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5\闵教字\红文\76-84\闵教字〔2025〕81号\"/>
    </mc:Choice>
  </mc:AlternateContent>
  <bookViews>
    <workbookView xWindow="360" yWindow="90" windowWidth="1980" windowHeight="12330" firstSheet="29" activeTab="29"/>
  </bookViews>
  <sheets>
    <sheet name="基本支出" sheetId="63" state="hidden" r:id="rId1"/>
    <sheet name="莘庄" sheetId="54" state="hidden" r:id="rId2"/>
    <sheet name="吴泾" sheetId="55" state="hidden" r:id="rId3"/>
    <sheet name="七宝" sheetId="61" state="hidden" r:id="rId4"/>
    <sheet name="马桥" sheetId="59" state="hidden" r:id="rId5"/>
    <sheet name="华漕" sheetId="58" state="hidden" r:id="rId6"/>
    <sheet name="颛桥" sheetId="57" state="hidden" r:id="rId7"/>
    <sheet name="虹桥" sheetId="56" state="hidden" r:id="rId8"/>
    <sheet name="清算2024年绩效" sheetId="64" state="hidden" r:id="rId9"/>
    <sheet name="2024年绩效增量" sheetId="68" state="hidden" r:id="rId10"/>
    <sheet name="补缴年金" sheetId="67" state="hidden" r:id="rId11"/>
    <sheet name="残疾就业保障" sheetId="31" state="hidden" r:id="rId12"/>
    <sheet name="社区教育" sheetId="43" state="hidden" r:id="rId13"/>
    <sheet name="保安经费" sheetId="33" state="hidden" r:id="rId14"/>
    <sheet name="补充公用经费" sheetId="32" state="hidden" r:id="rId15"/>
    <sheet name="清算补充公用经费" sheetId="65" state="hidden" r:id="rId16"/>
    <sheet name="Sheet1" sheetId="66" state="hidden" r:id="rId17"/>
    <sheet name="抚恤金" sheetId="75" state="hidden" r:id="rId18"/>
    <sheet name="中小学教育补充" sheetId="70" state="hidden" r:id="rId19"/>
    <sheet name="2025年设备购置与更新" sheetId="74" state="hidden" r:id="rId20"/>
    <sheet name="附件龙柏一幼细化表" sheetId="77" state="hidden" r:id="rId21"/>
    <sheet name="附件启英宝盛细化表" sheetId="78" state="hidden" r:id="rId22"/>
    <sheet name="附件实验幼儿园细化表" sheetId="79" state="hidden" r:id="rId23"/>
    <sheet name="附件田外初中细化表" sheetId="80" state="hidden" r:id="rId24"/>
    <sheet name="2025年校舍维修" sheetId="76" state="hidden" r:id="rId25"/>
    <sheet name="北桥中学应急维修" sheetId="71" state="hidden" r:id="rId26"/>
    <sheet name="晶城中学应急维修" sheetId="72" state="hidden" r:id="rId27"/>
    <sheet name="2024年校舍维修尾款" sheetId="73" state="hidden" r:id="rId28"/>
    <sheet name="保安经费追加" sheetId="81" state="hidden" r:id="rId29"/>
    <sheet name="颛桥镇" sheetId="91" r:id="rId30"/>
    <sheet name="扩班设备" sheetId="83" state="hidden" r:id="rId31"/>
    <sheet name="教育学院" sheetId="82" state="hidden" r:id="rId32"/>
    <sheet name="党建经费" sheetId="88" state="hidden" r:id="rId33"/>
  </sheets>
  <definedNames>
    <definedName name="_xlnm._FilterDatabase" localSheetId="19" hidden="1">'2025年设备购置与更新'!$A$2:$N$89</definedName>
    <definedName name="_xlnm._FilterDatabase" localSheetId="13" hidden="1">保安经费!$A$2:$J$182</definedName>
    <definedName name="_xlnm._FilterDatabase" localSheetId="14" hidden="1">补充公用经费!$A$2:$AN$116</definedName>
    <definedName name="_xlnm._FilterDatabase" localSheetId="11" hidden="1">残疾就业保障!$A$2:$E$122</definedName>
    <definedName name="_xlnm._FilterDatabase" localSheetId="32" hidden="1">党建经费!$A$2:$D$17</definedName>
    <definedName name="_xlnm._FilterDatabase" localSheetId="30" hidden="1">扩班设备!$A$2:$K$58</definedName>
    <definedName name="_xlnm._FilterDatabase" localSheetId="18" hidden="1">中小学教育补充!$A$2:$L$125</definedName>
    <definedName name="_xlnm.Print_Area" localSheetId="27">'2024年校舍维修尾款'!$A$1:$K$40</definedName>
    <definedName name="_xlnm.Print_Area" localSheetId="19">'2025年设备购置与更新'!$A$1:$L$90</definedName>
    <definedName name="_xlnm.Print_Area" localSheetId="24">'2025年校舍维修'!$A$1:$J$663</definedName>
    <definedName name="_xlnm.Print_Area" localSheetId="13">保安经费!$A$1:$J$183</definedName>
    <definedName name="_xlnm.Print_Area" localSheetId="28">保安经费追加!$A$1:$H$32</definedName>
    <definedName name="_xlnm.Print_Area" localSheetId="25">北桥中学应急维修!$A$1:$K$27</definedName>
    <definedName name="_xlnm.Print_Area" localSheetId="14">补充公用经费!$A$1:$AO$116</definedName>
    <definedName name="_xlnm.Print_Area" localSheetId="11">残疾就业保障!$A$1:$E$122</definedName>
    <definedName name="_xlnm.Print_Area" localSheetId="20">附件龙柏一幼细化表!$A$1:$H$76</definedName>
    <definedName name="_xlnm.Print_Area" localSheetId="21">附件启英宝盛细化表!$A$1:$H$80</definedName>
    <definedName name="_xlnm.Print_Area" localSheetId="22">附件实验幼儿园细化表!$A$1:$H$87</definedName>
    <definedName name="_xlnm.Print_Area" localSheetId="23">附件田外初中细化表!$A$1:$O$21</definedName>
    <definedName name="_xlnm.Print_Area" localSheetId="7">虹桥!$A$1:$P$72</definedName>
    <definedName name="_xlnm.Print_Area" localSheetId="5">华漕!$A$1:$O$72</definedName>
    <definedName name="_xlnm.Print_Area" localSheetId="0">基本支出!$A$1:$N$71</definedName>
    <definedName name="_xlnm.Print_Area" localSheetId="26">晶城中学应急维修!$A$1:$K$18</definedName>
    <definedName name="_xlnm.Print_Area" localSheetId="30">扩班设备!$A$1:$K$58</definedName>
    <definedName name="_xlnm.Print_Area" localSheetId="4">马桥!$A$1:$Q$72</definedName>
    <definedName name="_xlnm.Print_Area" localSheetId="3">七宝!$A$1:$Y$72</definedName>
    <definedName name="_xlnm.Print_Area" localSheetId="12">社区教育!$A$1:$C$13</definedName>
    <definedName name="_xlnm.Print_Area" localSheetId="1">莘庄!$A$1:$K$72</definedName>
    <definedName name="_xlnm.Print_Area" localSheetId="2">吴泾!$A$1:$K$72</definedName>
    <definedName name="_xlnm.Print_Area" localSheetId="18">中小学教育补充!$A$1:$J$126</definedName>
    <definedName name="_xlnm.Print_Area" localSheetId="6">颛桥!$A$1:$T$72</definedName>
    <definedName name="_xlnm.Print_Titles" localSheetId="27">'2024年校舍维修尾款'!$1:$2</definedName>
    <definedName name="_xlnm.Print_Titles" localSheetId="19">'2025年设备购置与更新'!$1:$2</definedName>
    <definedName name="_xlnm.Print_Titles" localSheetId="24">'2025年校舍维修'!$1:$3</definedName>
    <definedName name="_xlnm.Print_Titles" localSheetId="13">保安经费!$1:$2</definedName>
    <definedName name="_xlnm.Print_Titles" localSheetId="28">保安经费追加!$1:$2</definedName>
    <definedName name="_xlnm.Print_Titles" localSheetId="25">北桥中学应急维修!$1:$2</definedName>
    <definedName name="_xlnm.Print_Titles" localSheetId="14">补充公用经费!$1:$3</definedName>
    <definedName name="_xlnm.Print_Titles" localSheetId="11">残疾就业保障!$1:$2</definedName>
    <definedName name="_xlnm.Print_Titles" localSheetId="20">附件龙柏一幼细化表!$1:$3</definedName>
    <definedName name="_xlnm.Print_Titles" localSheetId="21">附件启英宝盛细化表!$1:$3</definedName>
    <definedName name="_xlnm.Print_Titles" localSheetId="22">附件实验幼儿园细化表!$1:$3</definedName>
    <definedName name="_xlnm.Print_Titles" localSheetId="7">虹桥!$1:$3</definedName>
    <definedName name="_xlnm.Print_Titles" localSheetId="5">华漕!$1:$3</definedName>
    <definedName name="_xlnm.Print_Titles" localSheetId="0">基本支出!$1:$2</definedName>
    <definedName name="_xlnm.Print_Titles" localSheetId="26">晶城中学应急维修!$1:$2</definedName>
    <definedName name="_xlnm.Print_Titles" localSheetId="30">扩班设备!$1:$2</definedName>
    <definedName name="_xlnm.Print_Titles" localSheetId="4">马桥!$1:$3</definedName>
    <definedName name="_xlnm.Print_Titles" localSheetId="3">七宝!$1:$3</definedName>
    <definedName name="_xlnm.Print_Titles" localSheetId="1">莘庄!$1:$3</definedName>
    <definedName name="_xlnm.Print_Titles" localSheetId="2">吴泾!$1:$3</definedName>
    <definedName name="_xlnm.Print_Titles" localSheetId="18">中小学教育补充!$1:$2</definedName>
    <definedName name="_xlnm.Print_Titles" localSheetId="6">颛桥!$1:$3</definedName>
  </definedNames>
  <calcPr calcId="162913"/>
</workbook>
</file>

<file path=xl/calcChain.xml><?xml version="1.0" encoding="utf-8"?>
<calcChain xmlns="http://schemas.openxmlformats.org/spreadsheetml/2006/main">
  <c r="J57" i="83" l="1"/>
  <c r="J56" i="83"/>
  <c r="J55" i="83"/>
  <c r="J54" i="83"/>
  <c r="J53" i="83"/>
  <c r="J52" i="83"/>
  <c r="J51" i="83"/>
  <c r="J50" i="83"/>
  <c r="J49" i="83"/>
  <c r="J48" i="83"/>
  <c r="J47" i="83"/>
  <c r="I46" i="83"/>
  <c r="J46" i="83" s="1"/>
  <c r="I45" i="83"/>
  <c r="J45" i="83" s="1"/>
  <c r="J44" i="83"/>
  <c r="J43" i="83"/>
  <c r="J42" i="83"/>
  <c r="J41" i="83"/>
  <c r="J40" i="83"/>
  <c r="J39" i="83"/>
  <c r="J38" i="83"/>
  <c r="J37" i="83"/>
  <c r="J36" i="83"/>
  <c r="J35" i="83"/>
  <c r="J34" i="83"/>
  <c r="J33" i="83"/>
  <c r="J32" i="83"/>
  <c r="J31" i="83"/>
  <c r="J30" i="83"/>
  <c r="J29" i="83"/>
  <c r="J28" i="83"/>
  <c r="J27" i="83"/>
  <c r="J26" i="83"/>
  <c r="J25" i="83"/>
  <c r="J24" i="83"/>
  <c r="J23" i="83"/>
  <c r="J22" i="83"/>
  <c r="J21" i="83"/>
  <c r="J20" i="83"/>
  <c r="J19" i="83"/>
  <c r="J18" i="83"/>
  <c r="J17" i="83"/>
  <c r="J16" i="83"/>
  <c r="J15" i="83"/>
  <c r="J14" i="83"/>
  <c r="J13" i="83"/>
  <c r="J12" i="83"/>
  <c r="J11" i="83"/>
  <c r="J10" i="83"/>
  <c r="J9" i="83"/>
  <c r="J8" i="83"/>
  <c r="J7" i="83"/>
  <c r="J6" i="83"/>
  <c r="J5" i="83"/>
  <c r="J4" i="83"/>
  <c r="J3" i="83"/>
  <c r="J58" i="83" l="1"/>
  <c r="C4" i="91" s="1"/>
  <c r="D16" i="88" l="1"/>
  <c r="D3" i="88"/>
  <c r="D17" i="88" s="1"/>
  <c r="C6" i="91" s="1"/>
  <c r="D14" i="88"/>
  <c r="D15" i="88"/>
  <c r="D13" i="88"/>
  <c r="D12" i="88"/>
  <c r="D10" i="88"/>
  <c r="D9" i="88"/>
  <c r="D8" i="88"/>
  <c r="D7" i="88"/>
  <c r="D6" i="88"/>
  <c r="D5" i="88"/>
  <c r="D4" i="88"/>
  <c r="D11" i="88"/>
  <c r="G4" i="82" l="1"/>
  <c r="G3" i="82"/>
  <c r="G5" i="82" s="1"/>
  <c r="C5" i="91" s="1"/>
  <c r="C7" i="91" s="1"/>
  <c r="K85" i="74" l="1"/>
  <c r="K79" i="74"/>
  <c r="H31" i="81"/>
  <c r="H25" i="81"/>
  <c r="H23" i="81"/>
  <c r="H20" i="81"/>
  <c r="H12" i="81"/>
  <c r="H8" i="81"/>
  <c r="H6" i="81"/>
  <c r="H32" i="81" s="1"/>
  <c r="J82" i="70"/>
  <c r="J81" i="70"/>
  <c r="J117" i="70"/>
  <c r="J25" i="70"/>
  <c r="J16" i="70"/>
  <c r="J80" i="70"/>
  <c r="J15" i="70"/>
  <c r="J79" i="70"/>
  <c r="J78" i="70"/>
  <c r="J24" i="70"/>
  <c r="J116" i="70"/>
  <c r="J59" i="70"/>
  <c r="J39" i="70"/>
  <c r="J23" i="70"/>
  <c r="J98" i="70"/>
  <c r="J77" i="70"/>
  <c r="J58" i="70"/>
  <c r="J115" i="70"/>
  <c r="J57" i="70"/>
  <c r="J38" i="70"/>
  <c r="J14" i="70"/>
  <c r="J76" i="70"/>
  <c r="J56" i="70"/>
  <c r="J55" i="70"/>
  <c r="J37" i="70"/>
  <c r="J8" i="70"/>
  <c r="J114" i="70"/>
  <c r="J54" i="70"/>
  <c r="J7" i="70"/>
  <c r="J53" i="70"/>
  <c r="J75" i="70"/>
  <c r="J51" i="70"/>
  <c r="J50" i="70"/>
  <c r="J113" i="70"/>
  <c r="J112" i="70"/>
  <c r="J101" i="70"/>
  <c r="J36" i="70"/>
  <c r="J6" i="70"/>
  <c r="J111" i="70"/>
  <c r="J35" i="70"/>
  <c r="J34" i="70"/>
  <c r="J110" i="70"/>
  <c r="J5" i="70"/>
  <c r="J74" i="70"/>
  <c r="J73" i="70"/>
  <c r="J4" i="70"/>
  <c r="J52" i="70"/>
  <c r="J33" i="70"/>
  <c r="L20" i="80" l="1"/>
  <c r="I20" i="80"/>
  <c r="I19" i="80"/>
  <c r="L18" i="80"/>
  <c r="I18" i="80"/>
  <c r="L17" i="80"/>
  <c r="I17" i="80"/>
  <c r="I16" i="80"/>
  <c r="L15" i="80"/>
  <c r="I15" i="80"/>
  <c r="L14" i="80"/>
  <c r="I14" i="80"/>
  <c r="L13" i="80"/>
  <c r="I13" i="80"/>
  <c r="I12" i="80"/>
  <c r="L11" i="80"/>
  <c r="I11" i="80"/>
  <c r="L10" i="80"/>
  <c r="I10" i="80"/>
  <c r="L9" i="80"/>
  <c r="I9" i="80"/>
  <c r="L8" i="80"/>
  <c r="I8" i="80"/>
  <c r="L7" i="80"/>
  <c r="I7" i="80"/>
  <c r="L6" i="80"/>
  <c r="I6" i="80"/>
  <c r="L5" i="80"/>
  <c r="I5" i="80"/>
  <c r="I21" i="80" l="1"/>
  <c r="L21" i="80"/>
  <c r="E85" i="79"/>
  <c r="G85" i="79" s="1"/>
  <c r="G84" i="79"/>
  <c r="G83" i="79"/>
  <c r="G80" i="79"/>
  <c r="G79" i="79"/>
  <c r="G78" i="79"/>
  <c r="G77" i="79"/>
  <c r="G76" i="79"/>
  <c r="G75" i="79"/>
  <c r="G72" i="79"/>
  <c r="G71" i="79"/>
  <c r="G73" i="79" s="1"/>
  <c r="G66" i="79"/>
  <c r="G67" i="79" s="1"/>
  <c r="G63" i="79"/>
  <c r="G62" i="79"/>
  <c r="G64" i="79" s="1"/>
  <c r="G59" i="79"/>
  <c r="G60" i="79" s="1"/>
  <c r="G52" i="79"/>
  <c r="G53" i="79" s="1"/>
  <c r="G49" i="79"/>
  <c r="G48" i="79"/>
  <c r="G47" i="79"/>
  <c r="G46" i="79"/>
  <c r="G45" i="79"/>
  <c r="G44" i="79"/>
  <c r="G43" i="79"/>
  <c r="G38" i="79"/>
  <c r="G37" i="79"/>
  <c r="G39" i="79" s="1"/>
  <c r="G31" i="79"/>
  <c r="G30" i="79"/>
  <c r="G32" i="79" s="1"/>
  <c r="G26" i="79"/>
  <c r="G25" i="79"/>
  <c r="G24" i="79"/>
  <c r="G23" i="79"/>
  <c r="G19" i="79"/>
  <c r="G20" i="79" s="1"/>
  <c r="G16" i="79"/>
  <c r="G17" i="79" s="1"/>
  <c r="G13" i="79"/>
  <c r="G12" i="79"/>
  <c r="G11" i="79"/>
  <c r="G10" i="79"/>
  <c r="G14" i="79" s="1"/>
  <c r="G5" i="79"/>
  <c r="G6" i="79" s="1"/>
  <c r="G27" i="79" l="1"/>
  <c r="G81" i="79"/>
  <c r="G86" i="79"/>
  <c r="G50" i="79"/>
  <c r="G87" i="79" s="1"/>
  <c r="E78" i="78"/>
  <c r="G78" i="78" s="1"/>
  <c r="G77" i="78"/>
  <c r="E76" i="78"/>
  <c r="G76" i="78" s="1"/>
  <c r="G73" i="78"/>
  <c r="G72" i="78"/>
  <c r="G71" i="78"/>
  <c r="G70" i="78"/>
  <c r="G74" i="78" s="1"/>
  <c r="G69" i="78"/>
  <c r="G66" i="78"/>
  <c r="G67" i="78" s="1"/>
  <c r="G61" i="78"/>
  <c r="G62" i="78" s="1"/>
  <c r="G58" i="78"/>
  <c r="G57" i="78"/>
  <c r="G59" i="78" s="1"/>
  <c r="G54" i="78"/>
  <c r="G55" i="78" s="1"/>
  <c r="G47" i="78"/>
  <c r="G48" i="78" s="1"/>
  <c r="G44" i="78"/>
  <c r="G43" i="78"/>
  <c r="G39" i="78"/>
  <c r="G38" i="78"/>
  <c r="G32" i="78"/>
  <c r="G31" i="78"/>
  <c r="G30" i="78"/>
  <c r="G27" i="78"/>
  <c r="G26" i="78"/>
  <c r="G25" i="78"/>
  <c r="G24" i="78"/>
  <c r="G28" i="78" s="1"/>
  <c r="G21" i="78"/>
  <c r="G20" i="78"/>
  <c r="G22" i="78" s="1"/>
  <c r="G16" i="78"/>
  <c r="G17" i="78" s="1"/>
  <c r="G12" i="78"/>
  <c r="G11" i="78"/>
  <c r="G10" i="78"/>
  <c r="G13" i="78" s="1"/>
  <c r="G6" i="78"/>
  <c r="G33" i="78" l="1"/>
  <c r="G45" i="78"/>
  <c r="G79" i="78"/>
  <c r="G80" i="78" s="1"/>
  <c r="E74" i="77" l="1"/>
  <c r="G74" i="77" s="1"/>
  <c r="G73" i="77"/>
  <c r="G72" i="77"/>
  <c r="G69" i="77"/>
  <c r="G68" i="77"/>
  <c r="G67" i="77"/>
  <c r="G66" i="77"/>
  <c r="G70" i="77" s="1"/>
  <c r="G63" i="77"/>
  <c r="G62" i="77"/>
  <c r="G64" i="77" s="1"/>
  <c r="G58" i="77"/>
  <c r="G57" i="77"/>
  <c r="G54" i="77"/>
  <c r="G53" i="77"/>
  <c r="G55" i="77" s="1"/>
  <c r="G50" i="77"/>
  <c r="G49" i="77"/>
  <c r="G51" i="77" s="1"/>
  <c r="G46" i="77"/>
  <c r="G47" i="77" s="1"/>
  <c r="G39" i="77"/>
  <c r="G40" i="77" s="1"/>
  <c r="G34" i="77"/>
  <c r="G35" i="77" s="1"/>
  <c r="G32" i="77"/>
  <c r="G31" i="77"/>
  <c r="G26" i="77"/>
  <c r="G25" i="77"/>
  <c r="G27" i="77" s="1"/>
  <c r="G22" i="77"/>
  <c r="E21" i="77"/>
  <c r="G21" i="77" s="1"/>
  <c r="G23" i="77" s="1"/>
  <c r="G18" i="77"/>
  <c r="G19" i="77" s="1"/>
  <c r="G14" i="77"/>
  <c r="G15" i="77" s="1"/>
  <c r="G10" i="77"/>
  <c r="G9" i="77"/>
  <c r="G8" i="77"/>
  <c r="G75" i="77" l="1"/>
  <c r="G11" i="77"/>
  <c r="G76" i="77"/>
  <c r="I125" i="76" l="1"/>
  <c r="K69" i="74"/>
  <c r="J584" i="76" l="1"/>
  <c r="J638" i="76"/>
  <c r="J630" i="76"/>
  <c r="J622" i="76"/>
  <c r="J592" i="76"/>
  <c r="J509" i="76"/>
  <c r="I497" i="76"/>
  <c r="J304" i="76"/>
  <c r="J183" i="76"/>
  <c r="J175" i="76"/>
  <c r="J170" i="76"/>
  <c r="J162" i="76"/>
  <c r="J138" i="76"/>
  <c r="J81" i="76"/>
  <c r="I66" i="76"/>
  <c r="J654" i="76"/>
  <c r="J615" i="76"/>
  <c r="J610" i="76"/>
  <c r="J601" i="76"/>
  <c r="J572" i="76"/>
  <c r="J560" i="76"/>
  <c r="J552" i="76"/>
  <c r="J545" i="76"/>
  <c r="J536" i="76"/>
  <c r="J524" i="76"/>
  <c r="J498" i="76"/>
  <c r="J406" i="76"/>
  <c r="J390" i="76"/>
  <c r="J383" i="76"/>
  <c r="J372" i="76"/>
  <c r="J367" i="76"/>
  <c r="J361" i="76"/>
  <c r="J355" i="76"/>
  <c r="J350" i="76"/>
  <c r="J341" i="76"/>
  <c r="J333" i="76"/>
  <c r="J327" i="76"/>
  <c r="J332" i="76" s="1"/>
  <c r="J315" i="76"/>
  <c r="J298" i="76"/>
  <c r="J291" i="76"/>
  <c r="J281" i="76"/>
  <c r="J273" i="76"/>
  <c r="J259" i="76"/>
  <c r="J254" i="76"/>
  <c r="J248" i="76"/>
  <c r="J241" i="76"/>
  <c r="J226" i="76"/>
  <c r="J215" i="76"/>
  <c r="J207" i="76"/>
  <c r="J201" i="76"/>
  <c r="J190" i="76"/>
  <c r="J154" i="76"/>
  <c r="J146" i="76"/>
  <c r="J132" i="76"/>
  <c r="J126" i="76"/>
  <c r="J109" i="76"/>
  <c r="J103" i="76"/>
  <c r="J98" i="76"/>
  <c r="J94" i="76"/>
  <c r="J75" i="76"/>
  <c r="J67" i="76"/>
  <c r="J30" i="76"/>
  <c r="J24" i="76"/>
  <c r="J16" i="76"/>
  <c r="J11" i="76"/>
  <c r="J4" i="76"/>
  <c r="I571" i="76"/>
  <c r="I544" i="76"/>
  <c r="J571" i="76" l="1"/>
  <c r="J544" i="76"/>
  <c r="J326" i="76"/>
  <c r="I662" i="76"/>
  <c r="J578" i="76"/>
  <c r="J662" i="76" s="1"/>
  <c r="J414" i="76"/>
  <c r="J497" i="76" s="1"/>
  <c r="I326" i="76"/>
  <c r="J206" i="76"/>
  <c r="I206" i="76"/>
  <c r="J66" i="76"/>
  <c r="J125" i="76"/>
  <c r="I663" i="76" l="1"/>
  <c r="J663" i="76"/>
  <c r="C26" i="75"/>
  <c r="C21" i="75"/>
  <c r="C19" i="75"/>
  <c r="C14" i="75"/>
  <c r="C11" i="75"/>
  <c r="C8" i="75"/>
  <c r="C4" i="75"/>
  <c r="C27" i="75" s="1"/>
  <c r="K88" i="74" l="1"/>
  <c r="K87" i="74"/>
  <c r="K86" i="74"/>
  <c r="K84" i="74"/>
  <c r="K83" i="74"/>
  <c r="K82" i="74"/>
  <c r="K81" i="74"/>
  <c r="K80" i="74"/>
  <c r="K78" i="74"/>
  <c r="K77" i="74"/>
  <c r="K76" i="74"/>
  <c r="K75" i="74"/>
  <c r="K74" i="74"/>
  <c r="K73" i="74"/>
  <c r="K72" i="74"/>
  <c r="K71" i="74"/>
  <c r="K70" i="74"/>
  <c r="K68" i="74"/>
  <c r="K66" i="74"/>
  <c r="K65" i="74"/>
  <c r="K64" i="74"/>
  <c r="K62" i="74"/>
  <c r="K63" i="74" s="1"/>
  <c r="K59" i="74"/>
  <c r="K58" i="74"/>
  <c r="K57" i="74"/>
  <c r="K56" i="74"/>
  <c r="K55" i="74"/>
  <c r="K54" i="74"/>
  <c r="K53" i="74"/>
  <c r="K52" i="74"/>
  <c r="K51" i="74"/>
  <c r="K50" i="74"/>
  <c r="K49" i="74"/>
  <c r="K48" i="74"/>
  <c r="K46" i="74"/>
  <c r="K45" i="74"/>
  <c r="K44" i="74"/>
  <c r="K43" i="74"/>
  <c r="K42" i="74"/>
  <c r="K41" i="74"/>
  <c r="K40" i="74"/>
  <c r="K39" i="74"/>
  <c r="K38" i="74"/>
  <c r="K37" i="74"/>
  <c r="K36" i="74"/>
  <c r="K35" i="74"/>
  <c r="K34" i="74"/>
  <c r="K33" i="74"/>
  <c r="K32" i="74"/>
  <c r="K31" i="74"/>
  <c r="K29" i="74"/>
  <c r="K28" i="74"/>
  <c r="K27" i="74"/>
  <c r="K26" i="74"/>
  <c r="K25" i="74"/>
  <c r="K24" i="74"/>
  <c r="K23" i="74"/>
  <c r="K21" i="74"/>
  <c r="K20" i="74"/>
  <c r="K19" i="74"/>
  <c r="K18" i="74"/>
  <c r="K17" i="74"/>
  <c r="K15" i="74"/>
  <c r="K14" i="74"/>
  <c r="K13" i="74"/>
  <c r="K12" i="74"/>
  <c r="K11" i="74"/>
  <c r="K8" i="74"/>
  <c r="K7" i="74"/>
  <c r="K6" i="74"/>
  <c r="K5" i="74"/>
  <c r="K4" i="74"/>
  <c r="K3" i="74"/>
  <c r="K22" i="74" l="1"/>
  <c r="K47" i="74"/>
  <c r="K89" i="74"/>
  <c r="K16" i="74"/>
  <c r="K9" i="74"/>
  <c r="K30" i="74"/>
  <c r="K67" i="74"/>
  <c r="K61" i="74"/>
  <c r="K90" i="74" l="1"/>
  <c r="K39" i="73"/>
  <c r="J39" i="73"/>
  <c r="I39" i="73"/>
  <c r="H39" i="73"/>
  <c r="G39" i="73"/>
  <c r="F39" i="73"/>
  <c r="E39" i="73"/>
  <c r="D39" i="73"/>
  <c r="H30" i="73"/>
  <c r="G30" i="73"/>
  <c r="F30" i="73"/>
  <c r="E30" i="73"/>
  <c r="D30" i="73"/>
  <c r="J29" i="73"/>
  <c r="I29" i="73"/>
  <c r="K29" i="73" s="1"/>
  <c r="I28" i="73"/>
  <c r="J24" i="73"/>
  <c r="J30" i="73" s="1"/>
  <c r="I24" i="73"/>
  <c r="G23" i="73"/>
  <c r="F23" i="73"/>
  <c r="E23" i="73"/>
  <c r="D23" i="73"/>
  <c r="J21" i="73"/>
  <c r="H21" i="73"/>
  <c r="H23" i="73" s="1"/>
  <c r="H20" i="73"/>
  <c r="G20" i="73"/>
  <c r="F20" i="73"/>
  <c r="E20" i="73"/>
  <c r="D20" i="73"/>
  <c r="J19" i="73"/>
  <c r="I19" i="73"/>
  <c r="J18" i="73"/>
  <c r="I18" i="73"/>
  <c r="K18" i="73" s="1"/>
  <c r="J17" i="73"/>
  <c r="K17" i="73" s="1"/>
  <c r="I17" i="73"/>
  <c r="J16" i="73"/>
  <c r="I16" i="73"/>
  <c r="K16" i="73" s="1"/>
  <c r="J15" i="73"/>
  <c r="I15" i="73"/>
  <c r="J14" i="73"/>
  <c r="I14" i="73"/>
  <c r="J13" i="73"/>
  <c r="H13" i="73"/>
  <c r="G13" i="73"/>
  <c r="F13" i="73"/>
  <c r="E13" i="73"/>
  <c r="D13" i="73"/>
  <c r="I12" i="73"/>
  <c r="K12" i="73" s="1"/>
  <c r="I11" i="73"/>
  <c r="K11" i="73" s="1"/>
  <c r="I10" i="73"/>
  <c r="I13" i="73" s="1"/>
  <c r="J9" i="73"/>
  <c r="H9" i="73"/>
  <c r="G9" i="73"/>
  <c r="F9" i="73"/>
  <c r="E9" i="73"/>
  <c r="D9" i="73"/>
  <c r="I8" i="73"/>
  <c r="K8" i="73" s="1"/>
  <c r="I7" i="73"/>
  <c r="K7" i="73" s="1"/>
  <c r="I6" i="73"/>
  <c r="K6" i="73" s="1"/>
  <c r="I5" i="73"/>
  <c r="J4" i="73"/>
  <c r="H4" i="73"/>
  <c r="G4" i="73"/>
  <c r="F4" i="73"/>
  <c r="E4" i="73"/>
  <c r="D4" i="73"/>
  <c r="I3" i="73"/>
  <c r="J20" i="71"/>
  <c r="J19" i="71"/>
  <c r="J18" i="71"/>
  <c r="J17" i="71"/>
  <c r="J16" i="71"/>
  <c r="J15" i="71"/>
  <c r="J14" i="71"/>
  <c r="J13" i="71"/>
  <c r="J12" i="71"/>
  <c r="J11" i="71"/>
  <c r="J10" i="71"/>
  <c r="J9" i="71"/>
  <c r="J8" i="71"/>
  <c r="J7" i="71"/>
  <c r="J6" i="71"/>
  <c r="J5" i="71"/>
  <c r="J4" i="71"/>
  <c r="J3" i="71"/>
  <c r="J14" i="72"/>
  <c r="J8" i="72"/>
  <c r="J7" i="72"/>
  <c r="J6" i="72"/>
  <c r="J5" i="72"/>
  <c r="J4" i="72"/>
  <c r="J3" i="72"/>
  <c r="I23" i="73"/>
  <c r="I21" i="73"/>
  <c r="J108" i="70"/>
  <c r="J125" i="70" s="1"/>
  <c r="J107" i="70"/>
  <c r="J100" i="70"/>
  <c r="J89" i="70"/>
  <c r="J88" i="70"/>
  <c r="J72" i="70"/>
  <c r="J71" i="70"/>
  <c r="J70" i="70"/>
  <c r="J69" i="70"/>
  <c r="J67" i="70"/>
  <c r="J66" i="70"/>
  <c r="J65" i="70"/>
  <c r="J45" i="70"/>
  <c r="J32" i="70"/>
  <c r="J31" i="70"/>
  <c r="J30" i="70"/>
  <c r="J21" i="70"/>
  <c r="J29" i="70" s="1"/>
  <c r="J13" i="70"/>
  <c r="J20" i="70" s="1"/>
  <c r="J12" i="70"/>
  <c r="J3" i="70"/>
  <c r="D59" i="65"/>
  <c r="C59" i="65"/>
  <c r="E58" i="65"/>
  <c r="E57" i="65"/>
  <c r="E56" i="65"/>
  <c r="E55" i="65"/>
  <c r="E54" i="65"/>
  <c r="D53" i="65"/>
  <c r="C53" i="65"/>
  <c r="E52" i="65"/>
  <c r="E51" i="65"/>
  <c r="E50" i="65"/>
  <c r="E49" i="65"/>
  <c r="E48" i="65"/>
  <c r="E47" i="65"/>
  <c r="E46" i="65"/>
  <c r="E45" i="65"/>
  <c r="E53" i="65" s="1"/>
  <c r="E44" i="65"/>
  <c r="D44" i="65"/>
  <c r="C44" i="65"/>
  <c r="E43" i="65"/>
  <c r="E42" i="65"/>
  <c r="E41" i="65"/>
  <c r="D40" i="65"/>
  <c r="C40" i="65"/>
  <c r="E39" i="65"/>
  <c r="E38" i="65"/>
  <c r="E37" i="65"/>
  <c r="D36" i="65"/>
  <c r="C36" i="65"/>
  <c r="E35" i="65"/>
  <c r="E34" i="65"/>
  <c r="E33" i="65"/>
  <c r="E32" i="65"/>
  <c r="E31" i="65"/>
  <c r="E30" i="65"/>
  <c r="D29" i="65"/>
  <c r="C29" i="65"/>
  <c r="E28" i="65"/>
  <c r="E27" i="65"/>
  <c r="E26" i="65"/>
  <c r="E25" i="65"/>
  <c r="E24" i="65"/>
  <c r="E23" i="65"/>
  <c r="E22" i="65"/>
  <c r="E21" i="65"/>
  <c r="E20" i="65"/>
  <c r="E19" i="65"/>
  <c r="E29" i="65" s="1"/>
  <c r="D18" i="65"/>
  <c r="C18" i="65"/>
  <c r="E17" i="65"/>
  <c r="E16" i="65"/>
  <c r="E15" i="65"/>
  <c r="E14" i="65"/>
  <c r="E13" i="65"/>
  <c r="E12" i="65"/>
  <c r="E11" i="65"/>
  <c r="E10" i="65"/>
  <c r="E9" i="65"/>
  <c r="E8" i="65"/>
  <c r="E7" i="65"/>
  <c r="D7" i="65"/>
  <c r="C7" i="65"/>
  <c r="E6" i="65"/>
  <c r="E5" i="65"/>
  <c r="D4" i="65"/>
  <c r="C4" i="65"/>
  <c r="C60" i="65" s="1"/>
  <c r="E3" i="65"/>
  <c r="E4" i="65" s="1"/>
  <c r="Z116" i="32"/>
  <c r="AN115" i="32"/>
  <c r="AN116" i="32" s="1"/>
  <c r="AB115" i="32"/>
  <c r="AA115" i="32"/>
  <c r="Z115" i="32"/>
  <c r="Y115" i="32"/>
  <c r="W115" i="32"/>
  <c r="V115" i="32"/>
  <c r="U115" i="32"/>
  <c r="T115" i="32"/>
  <c r="M115" i="32"/>
  <c r="L115" i="32"/>
  <c r="K115" i="32"/>
  <c r="J115" i="32"/>
  <c r="H115" i="32"/>
  <c r="G115" i="32"/>
  <c r="F115" i="32"/>
  <c r="E115" i="32"/>
  <c r="D115" i="32"/>
  <c r="AL114" i="32"/>
  <c r="AJ114" i="32"/>
  <c r="AH114" i="32"/>
  <c r="AG114" i="32"/>
  <c r="AF114" i="32"/>
  <c r="AE114" i="32"/>
  <c r="AD114" i="32"/>
  <c r="AC114" i="32"/>
  <c r="X114" i="32"/>
  <c r="R114" i="32"/>
  <c r="S114" i="32" s="1"/>
  <c r="Q114" i="32"/>
  <c r="P114" i="32"/>
  <c r="O114" i="32"/>
  <c r="N114" i="32"/>
  <c r="I114" i="32"/>
  <c r="AJ113" i="32"/>
  <c r="AD113" i="32"/>
  <c r="AC113" i="32"/>
  <c r="X113" i="32"/>
  <c r="R113" i="32"/>
  <c r="Q113" i="32"/>
  <c r="P113" i="32"/>
  <c r="O113" i="32"/>
  <c r="S113" i="32" s="1"/>
  <c r="N113" i="32"/>
  <c r="I113" i="32"/>
  <c r="AL112" i="32"/>
  <c r="AK112" i="32"/>
  <c r="AJ112" i="32"/>
  <c r="AI112" i="32"/>
  <c r="AH112" i="32"/>
  <c r="AG112" i="32"/>
  <c r="AF112" i="32"/>
  <c r="AE112" i="32"/>
  <c r="AD112" i="32"/>
  <c r="AC112" i="32"/>
  <c r="X112" i="32"/>
  <c r="R112" i="32"/>
  <c r="Q112" i="32"/>
  <c r="P112" i="32"/>
  <c r="O112" i="32"/>
  <c r="S112" i="32" s="1"/>
  <c r="N112" i="32"/>
  <c r="I112" i="32"/>
  <c r="AL111" i="32"/>
  <c r="AJ111" i="32"/>
  <c r="AH111" i="32"/>
  <c r="AG111" i="32"/>
  <c r="AD111" i="32"/>
  <c r="AC111" i="32"/>
  <c r="X111" i="32"/>
  <c r="R111" i="32"/>
  <c r="S111" i="32" s="1"/>
  <c r="Q111" i="32"/>
  <c r="P111" i="32"/>
  <c r="O111" i="32"/>
  <c r="N111" i="32"/>
  <c r="I111" i="32"/>
  <c r="AJ110" i="32"/>
  <c r="AI110" i="32"/>
  <c r="AH110" i="32"/>
  <c r="AD110" i="32"/>
  <c r="AC110" i="32"/>
  <c r="X110" i="32"/>
  <c r="S110" i="32"/>
  <c r="R110" i="32"/>
  <c r="Q110" i="32"/>
  <c r="P110" i="32"/>
  <c r="O110" i="32"/>
  <c r="N110" i="32"/>
  <c r="I110" i="32"/>
  <c r="AL109" i="32"/>
  <c r="AK109" i="32"/>
  <c r="AJ109" i="32"/>
  <c r="AI109" i="32"/>
  <c r="AH109" i="32"/>
  <c r="AG109" i="32"/>
  <c r="AF109" i="32"/>
  <c r="AE109" i="32"/>
  <c r="AD109" i="32"/>
  <c r="AC109" i="32"/>
  <c r="X109" i="32"/>
  <c r="R109" i="32"/>
  <c r="Q109" i="32"/>
  <c r="P109" i="32"/>
  <c r="O109" i="32"/>
  <c r="N109" i="32"/>
  <c r="I109" i="32"/>
  <c r="AJ108" i="32"/>
  <c r="AD108" i="32"/>
  <c r="AC108" i="32"/>
  <c r="X108" i="32"/>
  <c r="R108" i="32"/>
  <c r="S108" i="32" s="1"/>
  <c r="Q108" i="32"/>
  <c r="P108" i="32"/>
  <c r="O108" i="32"/>
  <c r="N108" i="32"/>
  <c r="I108" i="32"/>
  <c r="AJ107" i="32"/>
  <c r="AI107" i="32"/>
  <c r="AH107" i="32"/>
  <c r="AD107" i="32"/>
  <c r="AC107" i="32"/>
  <c r="X107" i="32"/>
  <c r="R107" i="32"/>
  <c r="Q107" i="32"/>
  <c r="P107" i="32"/>
  <c r="O107" i="32"/>
  <c r="N107" i="32"/>
  <c r="I107" i="32"/>
  <c r="AL106" i="32"/>
  <c r="AK106" i="32"/>
  <c r="AJ106" i="32"/>
  <c r="AI106" i="32"/>
  <c r="AG106" i="32"/>
  <c r="AF106" i="32"/>
  <c r="AE106" i="32"/>
  <c r="AD106" i="32"/>
  <c r="AC106" i="32"/>
  <c r="AH106" i="32" s="1"/>
  <c r="X106" i="32"/>
  <c r="R106" i="32"/>
  <c r="Q106" i="32"/>
  <c r="S106" i="32" s="1"/>
  <c r="P106" i="32"/>
  <c r="O106" i="32"/>
  <c r="N106" i="32"/>
  <c r="I106" i="32"/>
  <c r="AL105" i="32"/>
  <c r="AJ105" i="32"/>
  <c r="AI105" i="32"/>
  <c r="AH105" i="32"/>
  <c r="AG105" i="32"/>
  <c r="AF105" i="32"/>
  <c r="AE105" i="32"/>
  <c r="AD105" i="32"/>
  <c r="AC105" i="32"/>
  <c r="AK105" i="32" s="1"/>
  <c r="X105" i="32"/>
  <c r="R105" i="32"/>
  <c r="Q105" i="32"/>
  <c r="P105" i="32"/>
  <c r="O105" i="32"/>
  <c r="N105" i="32"/>
  <c r="N115" i="32" s="1"/>
  <c r="I105" i="32"/>
  <c r="AK104" i="32"/>
  <c r="AJ104" i="32"/>
  <c r="AH104" i="32"/>
  <c r="AE104" i="32"/>
  <c r="AD104" i="32"/>
  <c r="AC104" i="32"/>
  <c r="X104" i="32"/>
  <c r="S104" i="32"/>
  <c r="R104" i="32"/>
  <c r="Q104" i="32"/>
  <c r="P104" i="32"/>
  <c r="O104" i="32"/>
  <c r="N104" i="32"/>
  <c r="I104" i="32"/>
  <c r="AL103" i="32"/>
  <c r="AK103" i="32"/>
  <c r="AJ103" i="32"/>
  <c r="AI103" i="32"/>
  <c r="AG103" i="32"/>
  <c r="AF103" i="32"/>
  <c r="AE103" i="32"/>
  <c r="AD103" i="32"/>
  <c r="AC103" i="32"/>
  <c r="AH103" i="32" s="1"/>
  <c r="X103" i="32"/>
  <c r="R103" i="32"/>
  <c r="Q103" i="32"/>
  <c r="P103" i="32"/>
  <c r="O103" i="32"/>
  <c r="S103" i="32" s="1"/>
  <c r="N103" i="32"/>
  <c r="I103" i="32"/>
  <c r="AL102" i="32"/>
  <c r="AJ102" i="32"/>
  <c r="AF102" i="32"/>
  <c r="AE102" i="32"/>
  <c r="AD102" i="32"/>
  <c r="AC102" i="32"/>
  <c r="X102" i="32"/>
  <c r="R102" i="32"/>
  <c r="Q102" i="32"/>
  <c r="P102" i="32"/>
  <c r="O102" i="32"/>
  <c r="N102" i="32"/>
  <c r="I102" i="32"/>
  <c r="AJ101" i="32"/>
  <c r="AH101" i="32"/>
  <c r="AE101" i="32"/>
  <c r="AD101" i="32"/>
  <c r="AC101" i="32"/>
  <c r="X101" i="32"/>
  <c r="R101" i="32"/>
  <c r="Q101" i="32"/>
  <c r="Q115" i="32" s="1"/>
  <c r="P101" i="32"/>
  <c r="P115" i="32" s="1"/>
  <c r="O101" i="32"/>
  <c r="N101" i="32"/>
  <c r="I101" i="32"/>
  <c r="AN100" i="32"/>
  <c r="AB100" i="32"/>
  <c r="AA100" i="32"/>
  <c r="Z100" i="32"/>
  <c r="Y100" i="32"/>
  <c r="X100" i="32"/>
  <c r="W100" i="32"/>
  <c r="V100" i="32"/>
  <c r="U100" i="32"/>
  <c r="T100" i="32"/>
  <c r="M100" i="32"/>
  <c r="L100" i="32"/>
  <c r="K100" i="32"/>
  <c r="J100" i="32"/>
  <c r="H100" i="32"/>
  <c r="G100" i="32"/>
  <c r="F100" i="32"/>
  <c r="E100" i="32"/>
  <c r="D100" i="32"/>
  <c r="AL99" i="32"/>
  <c r="AK99" i="32"/>
  <c r="AJ99" i="32"/>
  <c r="AI99" i="32"/>
  <c r="AH99" i="32"/>
  <c r="AG99" i="32"/>
  <c r="AD99" i="32"/>
  <c r="AC99" i="32"/>
  <c r="AE99" i="32" s="1"/>
  <c r="X99" i="32"/>
  <c r="R99" i="32"/>
  <c r="Q99" i="32"/>
  <c r="P99" i="32"/>
  <c r="O99" i="32"/>
  <c r="N99" i="32"/>
  <c r="N100" i="32" s="1"/>
  <c r="I99" i="32"/>
  <c r="AJ98" i="32"/>
  <c r="AH98" i="32"/>
  <c r="AG98" i="32"/>
  <c r="AD98" i="32"/>
  <c r="AC98" i="32"/>
  <c r="X98" i="32"/>
  <c r="R98" i="32"/>
  <c r="Q98" i="32"/>
  <c r="P98" i="32"/>
  <c r="O98" i="32"/>
  <c r="N98" i="32"/>
  <c r="I98" i="32"/>
  <c r="AL97" i="32"/>
  <c r="AJ97" i="32"/>
  <c r="AJ100" i="32" s="1"/>
  <c r="AE97" i="32"/>
  <c r="AD97" i="32"/>
  <c r="AC97" i="32"/>
  <c r="X97" i="32"/>
  <c r="R97" i="32"/>
  <c r="Q97" i="32"/>
  <c r="P97" i="32"/>
  <c r="S97" i="32" s="1"/>
  <c r="O97" i="32"/>
  <c r="N97" i="32"/>
  <c r="I97" i="32"/>
  <c r="I100" i="32" s="1"/>
  <c r="AK96" i="32"/>
  <c r="AJ96" i="32"/>
  <c r="AG96" i="32"/>
  <c r="AF96" i="32"/>
  <c r="AD96" i="32"/>
  <c r="AC96" i="32"/>
  <c r="X96" i="32"/>
  <c r="R96" i="32"/>
  <c r="R100" i="32" s="1"/>
  <c r="Q96" i="32"/>
  <c r="P96" i="32"/>
  <c r="O96" i="32"/>
  <c r="N96" i="32"/>
  <c r="I96" i="32"/>
  <c r="AN95" i="32"/>
  <c r="AB95" i="32"/>
  <c r="AA95" i="32"/>
  <c r="Z95" i="32"/>
  <c r="Y95" i="32"/>
  <c r="X95" i="32"/>
  <c r="W95" i="32"/>
  <c r="W116" i="32" s="1"/>
  <c r="V95" i="32"/>
  <c r="U95" i="32"/>
  <c r="T95" i="32"/>
  <c r="M95" i="32"/>
  <c r="L95" i="32"/>
  <c r="K95" i="32"/>
  <c r="J95" i="32"/>
  <c r="H95" i="32"/>
  <c r="G95" i="32"/>
  <c r="F95" i="32"/>
  <c r="E95" i="32"/>
  <c r="D95" i="32"/>
  <c r="AL94" i="32"/>
  <c r="AK94" i="32"/>
  <c r="AJ94" i="32"/>
  <c r="AI94" i="32"/>
  <c r="AG94" i="32"/>
  <c r="AF94" i="32"/>
  <c r="AE94" i="32"/>
  <c r="AD94" i="32"/>
  <c r="AM94" i="32" s="1"/>
  <c r="AO94" i="32" s="1"/>
  <c r="AC94" i="32"/>
  <c r="AH94" i="32" s="1"/>
  <c r="X94" i="32"/>
  <c r="S94" i="32"/>
  <c r="R94" i="32"/>
  <c r="Q94" i="32"/>
  <c r="P94" i="32"/>
  <c r="O94" i="32"/>
  <c r="N94" i="32"/>
  <c r="I94" i="32"/>
  <c r="AJ93" i="32"/>
  <c r="AI93" i="32"/>
  <c r="AD93" i="32"/>
  <c r="AC93" i="32"/>
  <c r="X93" i="32"/>
  <c r="S93" i="32"/>
  <c r="R93" i="32"/>
  <c r="Q93" i="32"/>
  <c r="P93" i="32"/>
  <c r="O93" i="32"/>
  <c r="N93" i="32"/>
  <c r="I93" i="32"/>
  <c r="AJ92" i="32"/>
  <c r="AD92" i="32"/>
  <c r="AC92" i="32"/>
  <c r="X92" i="32"/>
  <c r="R92" i="32"/>
  <c r="Q92" i="32"/>
  <c r="P92" i="32"/>
  <c r="O92" i="32"/>
  <c r="S92" i="32" s="1"/>
  <c r="N92" i="32"/>
  <c r="I92" i="32"/>
  <c r="AL91" i="32"/>
  <c r="AK91" i="32"/>
  <c r="AJ91" i="32"/>
  <c r="AJ95" i="32" s="1"/>
  <c r="AI91" i="32"/>
  <c r="AG91" i="32"/>
  <c r="AF91" i="32"/>
  <c r="AE91" i="32"/>
  <c r="AD91" i="32"/>
  <c r="AC91" i="32"/>
  <c r="AH91" i="32" s="1"/>
  <c r="X91" i="32"/>
  <c r="R91" i="32"/>
  <c r="R95" i="32" s="1"/>
  <c r="Q91" i="32"/>
  <c r="Q95" i="32" s="1"/>
  <c r="P91" i="32"/>
  <c r="P95" i="32" s="1"/>
  <c r="O91" i="32"/>
  <c r="N91" i="32"/>
  <c r="I91" i="32"/>
  <c r="I95" i="32" s="1"/>
  <c r="AN90" i="32"/>
  <c r="AB90" i="32"/>
  <c r="AA90" i="32"/>
  <c r="Z90" i="32"/>
  <c r="Y90" i="32"/>
  <c r="W90" i="32"/>
  <c r="V90" i="32"/>
  <c r="U90" i="32"/>
  <c r="T90" i="32"/>
  <c r="M90" i="32"/>
  <c r="L90" i="32"/>
  <c r="K90" i="32"/>
  <c r="J90" i="32"/>
  <c r="H90" i="32"/>
  <c r="G90" i="32"/>
  <c r="F90" i="32"/>
  <c r="E90" i="32"/>
  <c r="D90" i="32"/>
  <c r="AK89" i="32"/>
  <c r="AJ89" i="32"/>
  <c r="AG89" i="32"/>
  <c r="AE89" i="32"/>
  <c r="AD89" i="32"/>
  <c r="AC89" i="32"/>
  <c r="X89" i="32"/>
  <c r="R89" i="32"/>
  <c r="Q89" i="32"/>
  <c r="P89" i="32"/>
  <c r="O89" i="32"/>
  <c r="N89" i="32"/>
  <c r="I89" i="32"/>
  <c r="AK88" i="32"/>
  <c r="AJ88" i="32"/>
  <c r="AH88" i="32"/>
  <c r="AG88" i="32"/>
  <c r="AF88" i="32"/>
  <c r="AD88" i="32"/>
  <c r="AC88" i="32"/>
  <c r="X88" i="32"/>
  <c r="R88" i="32"/>
  <c r="Q88" i="32"/>
  <c r="P88" i="32"/>
  <c r="S88" i="32" s="1"/>
  <c r="O88" i="32"/>
  <c r="N88" i="32"/>
  <c r="I88" i="32"/>
  <c r="AL87" i="32"/>
  <c r="AK87" i="32"/>
  <c r="AJ87" i="32"/>
  <c r="AG87" i="32"/>
  <c r="AF87" i="32"/>
  <c r="AD87" i="32"/>
  <c r="AC87" i="32"/>
  <c r="AE87" i="32" s="1"/>
  <c r="X87" i="32"/>
  <c r="R87" i="32"/>
  <c r="Q87" i="32"/>
  <c r="S87" i="32" s="1"/>
  <c r="P87" i="32"/>
  <c r="O87" i="32"/>
  <c r="N87" i="32"/>
  <c r="I87" i="32"/>
  <c r="AK86" i="32"/>
  <c r="AJ86" i="32"/>
  <c r="AD86" i="32"/>
  <c r="AC86" i="32"/>
  <c r="X86" i="32"/>
  <c r="R86" i="32"/>
  <c r="Q86" i="32"/>
  <c r="P86" i="32"/>
  <c r="O86" i="32"/>
  <c r="S86" i="32" s="1"/>
  <c r="N86" i="32"/>
  <c r="I86" i="32"/>
  <c r="AL85" i="32"/>
  <c r="AK85" i="32"/>
  <c r="AJ85" i="32"/>
  <c r="AG85" i="32"/>
  <c r="AF85" i="32"/>
  <c r="AD85" i="32"/>
  <c r="AC85" i="32"/>
  <c r="X85" i="32"/>
  <c r="R85" i="32"/>
  <c r="Q85" i="32"/>
  <c r="P85" i="32"/>
  <c r="S85" i="32" s="1"/>
  <c r="O85" i="32"/>
  <c r="N85" i="32"/>
  <c r="I85" i="32"/>
  <c r="AJ84" i="32"/>
  <c r="AI84" i="32"/>
  <c r="AH84" i="32"/>
  <c r="AG84" i="32"/>
  <c r="AF84" i="32"/>
  <c r="AD84" i="32"/>
  <c r="AC84" i="32"/>
  <c r="X84" i="32"/>
  <c r="R84" i="32"/>
  <c r="Q84" i="32"/>
  <c r="P84" i="32"/>
  <c r="O84" i="32"/>
  <c r="S84" i="32" s="1"/>
  <c r="N84" i="32"/>
  <c r="I84" i="32"/>
  <c r="AK83" i="32"/>
  <c r="AJ83" i="32"/>
  <c r="AI83" i="32"/>
  <c r="AH83" i="32"/>
  <c r="AG83" i="32"/>
  <c r="AD83" i="32"/>
  <c r="AC83" i="32"/>
  <c r="X83" i="32"/>
  <c r="R83" i="32"/>
  <c r="Q83" i="32"/>
  <c r="P83" i="32"/>
  <c r="O83" i="32"/>
  <c r="S83" i="32" s="1"/>
  <c r="N83" i="32"/>
  <c r="I83" i="32"/>
  <c r="AL82" i="32"/>
  <c r="AJ82" i="32"/>
  <c r="AH82" i="32"/>
  <c r="AD82" i="32"/>
  <c r="AC82" i="32"/>
  <c r="X82" i="32"/>
  <c r="R82" i="32"/>
  <c r="Q82" i="32"/>
  <c r="S82" i="32" s="1"/>
  <c r="P82" i="32"/>
  <c r="O82" i="32"/>
  <c r="N82" i="32"/>
  <c r="I82" i="32"/>
  <c r="AL81" i="32"/>
  <c r="AK81" i="32"/>
  <c r="AJ81" i="32"/>
  <c r="AI81" i="32"/>
  <c r="AH81" i="32"/>
  <c r="AG81" i="32"/>
  <c r="AD81" i="32"/>
  <c r="AC81" i="32"/>
  <c r="AE81" i="32" s="1"/>
  <c r="X81" i="32"/>
  <c r="S81" i="32"/>
  <c r="R81" i="32"/>
  <c r="Q81" i="32"/>
  <c r="P81" i="32"/>
  <c r="O81" i="32"/>
  <c r="N81" i="32"/>
  <c r="I81" i="32"/>
  <c r="AJ80" i="32"/>
  <c r="AH80" i="32"/>
  <c r="AD80" i="32"/>
  <c r="AC80" i="32"/>
  <c r="X80" i="32"/>
  <c r="R80" i="32"/>
  <c r="Q80" i="32"/>
  <c r="P80" i="32"/>
  <c r="O80" i="32"/>
  <c r="N80" i="32"/>
  <c r="I80" i="32"/>
  <c r="AJ79" i="32"/>
  <c r="AD79" i="32"/>
  <c r="AC79" i="32"/>
  <c r="X79" i="32"/>
  <c r="R79" i="32"/>
  <c r="Q79" i="32"/>
  <c r="P79" i="32"/>
  <c r="S79" i="32" s="1"/>
  <c r="O79" i="32"/>
  <c r="N79" i="32"/>
  <c r="I79" i="32"/>
  <c r="AL78" i="32"/>
  <c r="AK78" i="32"/>
  <c r="AJ78" i="32"/>
  <c r="AG78" i="32"/>
  <c r="AF78" i="32"/>
  <c r="AD78" i="32"/>
  <c r="AC78" i="32"/>
  <c r="X78" i="32"/>
  <c r="R78" i="32"/>
  <c r="Q78" i="32"/>
  <c r="S78" i="32" s="1"/>
  <c r="P78" i="32"/>
  <c r="O78" i="32"/>
  <c r="N78" i="32"/>
  <c r="I78" i="32"/>
  <c r="AK77" i="32"/>
  <c r="AJ77" i="32"/>
  <c r="AD77" i="32"/>
  <c r="AC77" i="32"/>
  <c r="X77" i="32"/>
  <c r="R77" i="32"/>
  <c r="Q77" i="32"/>
  <c r="P77" i="32"/>
  <c r="P90" i="32" s="1"/>
  <c r="O77" i="32"/>
  <c r="S77" i="32" s="1"/>
  <c r="N77" i="32"/>
  <c r="I77" i="32"/>
  <c r="AL76" i="32"/>
  <c r="AJ76" i="32"/>
  <c r="AD76" i="32"/>
  <c r="AC76" i="32"/>
  <c r="X76" i="32"/>
  <c r="R76" i="32"/>
  <c r="R90" i="32" s="1"/>
  <c r="Q76" i="32"/>
  <c r="P76" i="32"/>
  <c r="O76" i="32"/>
  <c r="N76" i="32"/>
  <c r="I76" i="32"/>
  <c r="AJ75" i="32"/>
  <c r="AD75" i="32"/>
  <c r="AC75" i="32"/>
  <c r="X75" i="32"/>
  <c r="R75" i="32"/>
  <c r="Q75" i="32"/>
  <c r="P75" i="32"/>
  <c r="O75" i="32"/>
  <c r="S75" i="32" s="1"/>
  <c r="N75" i="32"/>
  <c r="I75" i="32"/>
  <c r="AK74" i="32"/>
  <c r="AJ74" i="32"/>
  <c r="AI74" i="32"/>
  <c r="AH74" i="32"/>
  <c r="AD74" i="32"/>
  <c r="AC74" i="32"/>
  <c r="X74" i="32"/>
  <c r="R74" i="32"/>
  <c r="Q74" i="32"/>
  <c r="P74" i="32"/>
  <c r="O74" i="32"/>
  <c r="N74" i="32"/>
  <c r="I74" i="32"/>
  <c r="AJ73" i="32"/>
  <c r="AG73" i="32"/>
  <c r="AF73" i="32"/>
  <c r="AD73" i="32"/>
  <c r="AC73" i="32"/>
  <c r="X73" i="32"/>
  <c r="S73" i="32"/>
  <c r="R73" i="32"/>
  <c r="Q73" i="32"/>
  <c r="P73" i="32"/>
  <c r="O73" i="32"/>
  <c r="N73" i="32"/>
  <c r="I73" i="32"/>
  <c r="AL72" i="32"/>
  <c r="AK72" i="32"/>
  <c r="AJ72" i="32"/>
  <c r="AI72" i="32"/>
  <c r="AH72" i="32"/>
  <c r="AG72" i="32"/>
  <c r="AD72" i="32"/>
  <c r="AC72" i="32"/>
  <c r="AE72" i="32" s="1"/>
  <c r="X72" i="32"/>
  <c r="R72" i="32"/>
  <c r="Q72" i="32"/>
  <c r="S72" i="32" s="1"/>
  <c r="P72" i="32"/>
  <c r="O72" i="32"/>
  <c r="N72" i="32"/>
  <c r="I72" i="32"/>
  <c r="AJ71" i="32"/>
  <c r="AH71" i="32"/>
  <c r="AD71" i="32"/>
  <c r="AC71" i="32"/>
  <c r="X71" i="32"/>
  <c r="R71" i="32"/>
  <c r="Q71" i="32"/>
  <c r="P71" i="32"/>
  <c r="O71" i="32"/>
  <c r="N71" i="32"/>
  <c r="I71" i="32"/>
  <c r="AN70" i="32"/>
  <c r="AB70" i="32"/>
  <c r="AA70" i="32"/>
  <c r="Z70" i="32"/>
  <c r="Y70" i="32"/>
  <c r="W70" i="32"/>
  <c r="V70" i="32"/>
  <c r="U70" i="32"/>
  <c r="T70" i="32"/>
  <c r="M70" i="32"/>
  <c r="L70" i="32"/>
  <c r="K70" i="32"/>
  <c r="J70" i="32"/>
  <c r="H70" i="32"/>
  <c r="G70" i="32"/>
  <c r="F70" i="32"/>
  <c r="E70" i="32"/>
  <c r="D70" i="32"/>
  <c r="AJ69" i="32"/>
  <c r="AI69" i="32"/>
  <c r="AH69" i="32"/>
  <c r="AF69" i="32"/>
  <c r="AE69" i="32"/>
  <c r="AD69" i="32"/>
  <c r="AC69" i="32"/>
  <c r="X69" i="32"/>
  <c r="R69" i="32"/>
  <c r="Q69" i="32"/>
  <c r="P69" i="32"/>
  <c r="O69" i="32"/>
  <c r="S69" i="32" s="1"/>
  <c r="N69" i="32"/>
  <c r="I69" i="32"/>
  <c r="AK68" i="32"/>
  <c r="AJ68" i="32"/>
  <c r="AI68" i="32"/>
  <c r="AH68" i="32"/>
  <c r="AD68" i="32"/>
  <c r="AC68" i="32"/>
  <c r="X68" i="32"/>
  <c r="S68" i="32"/>
  <c r="R68" i="32"/>
  <c r="Q68" i="32"/>
  <c r="P68" i="32"/>
  <c r="O68" i="32"/>
  <c r="N68" i="32"/>
  <c r="I68" i="32"/>
  <c r="AM67" i="32"/>
  <c r="AO67" i="32" s="1"/>
  <c r="AL67" i="32"/>
  <c r="AK67" i="32"/>
  <c r="AJ67" i="32"/>
  <c r="AI67" i="32"/>
  <c r="AH67" i="32"/>
  <c r="AG67" i="32"/>
  <c r="AF67" i="32"/>
  <c r="AE67" i="32"/>
  <c r="AD67" i="32"/>
  <c r="AC67" i="32"/>
  <c r="X67" i="32"/>
  <c r="S67" i="32"/>
  <c r="R67" i="32"/>
  <c r="Q67" i="32"/>
  <c r="P67" i="32"/>
  <c r="O67" i="32"/>
  <c r="N67" i="32"/>
  <c r="I67" i="32"/>
  <c r="AJ66" i="32"/>
  <c r="AH66" i="32"/>
  <c r="AD66" i="32"/>
  <c r="AC66" i="32"/>
  <c r="X66" i="32"/>
  <c r="R66" i="32"/>
  <c r="S66" i="32" s="1"/>
  <c r="Q66" i="32"/>
  <c r="P66" i="32"/>
  <c r="O66" i="32"/>
  <c r="N66" i="32"/>
  <c r="I66" i="32"/>
  <c r="AJ65" i="32"/>
  <c r="AH65" i="32"/>
  <c r="AE65" i="32"/>
  <c r="AD65" i="32"/>
  <c r="AC65" i="32"/>
  <c r="X65" i="32"/>
  <c r="S65" i="32"/>
  <c r="R65" i="32"/>
  <c r="Q65" i="32"/>
  <c r="P65" i="32"/>
  <c r="O65" i="32"/>
  <c r="N65" i="32"/>
  <c r="I65" i="32"/>
  <c r="AL64" i="32"/>
  <c r="AM64" i="32" s="1"/>
  <c r="AO64" i="32" s="1"/>
  <c r="AK64" i="32"/>
  <c r="AJ64" i="32"/>
  <c r="AI64" i="32"/>
  <c r="AG64" i="32"/>
  <c r="AF64" i="32"/>
  <c r="AE64" i="32"/>
  <c r="AD64" i="32"/>
  <c r="AC64" i="32"/>
  <c r="AH64" i="32" s="1"/>
  <c r="X64" i="32"/>
  <c r="R64" i="32"/>
  <c r="Q64" i="32"/>
  <c r="P64" i="32"/>
  <c r="O64" i="32"/>
  <c r="N64" i="32"/>
  <c r="I64" i="32"/>
  <c r="AJ63" i="32"/>
  <c r="AE63" i="32"/>
  <c r="AD63" i="32"/>
  <c r="AC63" i="32"/>
  <c r="X63" i="32"/>
  <c r="R63" i="32"/>
  <c r="Q63" i="32"/>
  <c r="P63" i="32"/>
  <c r="O63" i="32"/>
  <c r="S63" i="32" s="1"/>
  <c r="N63" i="32"/>
  <c r="I63" i="32"/>
  <c r="AK62" i="32"/>
  <c r="AJ62" i="32"/>
  <c r="AI62" i="32"/>
  <c r="AH62" i="32"/>
  <c r="AD62" i="32"/>
  <c r="AC62" i="32"/>
  <c r="X62" i="32"/>
  <c r="R62" i="32"/>
  <c r="Q62" i="32"/>
  <c r="P62" i="32"/>
  <c r="O62" i="32"/>
  <c r="N62" i="32"/>
  <c r="I62" i="32"/>
  <c r="AL61" i="32"/>
  <c r="AK61" i="32"/>
  <c r="AJ61" i="32"/>
  <c r="AI61" i="32"/>
  <c r="AH61" i="32"/>
  <c r="AG61" i="32"/>
  <c r="AF61" i="32"/>
  <c r="AE61" i="32"/>
  <c r="AD61" i="32"/>
  <c r="AC61" i="32"/>
  <c r="X61" i="32"/>
  <c r="R61" i="32"/>
  <c r="Q61" i="32"/>
  <c r="P61" i="32"/>
  <c r="O61" i="32"/>
  <c r="N61" i="32"/>
  <c r="I61" i="32"/>
  <c r="AL60" i="32"/>
  <c r="AM60" i="32" s="1"/>
  <c r="AO60" i="32" s="1"/>
  <c r="AJ60" i="32"/>
  <c r="AI60" i="32"/>
  <c r="AH60" i="32"/>
  <c r="AG60" i="32"/>
  <c r="AF60" i="32"/>
  <c r="AE60" i="32"/>
  <c r="AD60" i="32"/>
  <c r="AC60" i="32"/>
  <c r="AK60" i="32" s="1"/>
  <c r="X60" i="32"/>
  <c r="R60" i="32"/>
  <c r="S60" i="32" s="1"/>
  <c r="Q60" i="32"/>
  <c r="P60" i="32"/>
  <c r="O60" i="32"/>
  <c r="N60" i="32"/>
  <c r="I60" i="32"/>
  <c r="AJ59" i="32"/>
  <c r="AD59" i="32"/>
  <c r="AC59" i="32"/>
  <c r="X59" i="32"/>
  <c r="R59" i="32"/>
  <c r="Q59" i="32"/>
  <c r="P59" i="32"/>
  <c r="O59" i="32"/>
  <c r="N59" i="32"/>
  <c r="I59" i="32"/>
  <c r="AL58" i="32"/>
  <c r="AK58" i="32"/>
  <c r="AJ58" i="32"/>
  <c r="AI58" i="32"/>
  <c r="AG58" i="32"/>
  <c r="AF58" i="32"/>
  <c r="AE58" i="32"/>
  <c r="AD58" i="32"/>
  <c r="AM58" i="32" s="1"/>
  <c r="AO58" i="32" s="1"/>
  <c r="AC58" i="32"/>
  <c r="AH58" i="32" s="1"/>
  <c r="X58" i="32"/>
  <c r="S58" i="32"/>
  <c r="R58" i="32"/>
  <c r="Q58" i="32"/>
  <c r="P58" i="32"/>
  <c r="O58" i="32"/>
  <c r="N58" i="32"/>
  <c r="I58" i="32"/>
  <c r="AJ57" i="32"/>
  <c r="AD57" i="32"/>
  <c r="AC57" i="32"/>
  <c r="X57" i="32"/>
  <c r="R57" i="32"/>
  <c r="S57" i="32" s="1"/>
  <c r="Q57" i="32"/>
  <c r="P57" i="32"/>
  <c r="O57" i="32"/>
  <c r="N57" i="32"/>
  <c r="I57" i="32"/>
  <c r="AK56" i="32"/>
  <c r="AJ56" i="32"/>
  <c r="AD56" i="32"/>
  <c r="AC56" i="32"/>
  <c r="X56" i="32"/>
  <c r="R56" i="32"/>
  <c r="Q56" i="32"/>
  <c r="P56" i="32"/>
  <c r="O56" i="32"/>
  <c r="S56" i="32" s="1"/>
  <c r="N56" i="32"/>
  <c r="I56" i="32"/>
  <c r="AL55" i="32"/>
  <c r="AK55" i="32"/>
  <c r="AJ55" i="32"/>
  <c r="AI55" i="32"/>
  <c r="AG55" i="32"/>
  <c r="AF55" i="32"/>
  <c r="AE55" i="32"/>
  <c r="AD55" i="32"/>
  <c r="AC55" i="32"/>
  <c r="AH55" i="32" s="1"/>
  <c r="X55" i="32"/>
  <c r="R55" i="32"/>
  <c r="Q55" i="32"/>
  <c r="P55" i="32"/>
  <c r="O55" i="32"/>
  <c r="S55" i="32" s="1"/>
  <c r="N55" i="32"/>
  <c r="I55" i="32"/>
  <c r="AL54" i="32"/>
  <c r="AJ54" i="32"/>
  <c r="AI54" i="32"/>
  <c r="AG54" i="32"/>
  <c r="AF54" i="32"/>
  <c r="AE54" i="32"/>
  <c r="AD54" i="32"/>
  <c r="AC54" i="32"/>
  <c r="AK54" i="32" s="1"/>
  <c r="X54" i="32"/>
  <c r="S54" i="32"/>
  <c r="R54" i="32"/>
  <c r="Q54" i="32"/>
  <c r="P54" i="32"/>
  <c r="O54" i="32"/>
  <c r="N54" i="32"/>
  <c r="I54" i="32"/>
  <c r="AK53" i="32"/>
  <c r="AJ53" i="32"/>
  <c r="AI53" i="32"/>
  <c r="AH53" i="32"/>
  <c r="AE53" i="32"/>
  <c r="AD53" i="32"/>
  <c r="AC53" i="32"/>
  <c r="X53" i="32"/>
  <c r="R53" i="32"/>
  <c r="Q53" i="32"/>
  <c r="P53" i="32"/>
  <c r="O53" i="32"/>
  <c r="N53" i="32"/>
  <c r="I53" i="32"/>
  <c r="AL52" i="32"/>
  <c r="AK52" i="32"/>
  <c r="AJ52" i="32"/>
  <c r="AI52" i="32"/>
  <c r="AG52" i="32"/>
  <c r="AF52" i="32"/>
  <c r="AE52" i="32"/>
  <c r="AD52" i="32"/>
  <c r="AC52" i="32"/>
  <c r="X52" i="32"/>
  <c r="R52" i="32"/>
  <c r="Q52" i="32"/>
  <c r="P52" i="32"/>
  <c r="O52" i="32"/>
  <c r="N52" i="32"/>
  <c r="I52" i="32"/>
  <c r="AN51" i="32"/>
  <c r="AD51" i="32"/>
  <c r="AB51" i="32"/>
  <c r="AB116" i="32" s="1"/>
  <c r="AA51" i="32"/>
  <c r="Z51" i="32"/>
  <c r="Y51" i="32"/>
  <c r="W51" i="32"/>
  <c r="V51" i="32"/>
  <c r="U51" i="32"/>
  <c r="T51" i="32"/>
  <c r="P51" i="32"/>
  <c r="M51" i="32"/>
  <c r="L51" i="32"/>
  <c r="K51" i="32"/>
  <c r="J51" i="32"/>
  <c r="H51" i="32"/>
  <c r="G51" i="32"/>
  <c r="F51" i="32"/>
  <c r="E51" i="32"/>
  <c r="D51" i="32"/>
  <c r="AL50" i="32"/>
  <c r="AJ50" i="32"/>
  <c r="AI50" i="32"/>
  <c r="AD50" i="32"/>
  <c r="AC50" i="32"/>
  <c r="X50" i="32"/>
  <c r="R50" i="32"/>
  <c r="Q50" i="32"/>
  <c r="P50" i="32"/>
  <c r="O50" i="32"/>
  <c r="N50" i="32"/>
  <c r="I50" i="32"/>
  <c r="AL49" i="32"/>
  <c r="AJ49" i="32"/>
  <c r="AH49" i="32"/>
  <c r="AG49" i="32"/>
  <c r="AF49" i="32"/>
  <c r="AE49" i="32"/>
  <c r="AD49" i="32"/>
  <c r="AC49" i="32"/>
  <c r="AI49" i="32" s="1"/>
  <c r="X49" i="32"/>
  <c r="R49" i="32"/>
  <c r="Q49" i="32"/>
  <c r="S49" i="32" s="1"/>
  <c r="P49" i="32"/>
  <c r="O49" i="32"/>
  <c r="N49" i="32"/>
  <c r="I49" i="32"/>
  <c r="AL48" i="32"/>
  <c r="AJ48" i="32"/>
  <c r="AI48" i="32"/>
  <c r="AH48" i="32"/>
  <c r="AG48" i="32"/>
  <c r="AD48" i="32"/>
  <c r="AC48" i="32"/>
  <c r="X48" i="32"/>
  <c r="R48" i="32"/>
  <c r="S48" i="32" s="1"/>
  <c r="Q48" i="32"/>
  <c r="P48" i="32"/>
  <c r="O48" i="32"/>
  <c r="N48" i="32"/>
  <c r="I48" i="32"/>
  <c r="AK47" i="32"/>
  <c r="AJ47" i="32"/>
  <c r="AI47" i="32"/>
  <c r="AH47" i="32"/>
  <c r="AG47" i="32"/>
  <c r="AE47" i="32"/>
  <c r="AD47" i="32"/>
  <c r="AC47" i="32"/>
  <c r="AF47" i="32" s="1"/>
  <c r="X47" i="32"/>
  <c r="R47" i="32"/>
  <c r="Q47" i="32"/>
  <c r="P47" i="32"/>
  <c r="O47" i="32"/>
  <c r="S47" i="32" s="1"/>
  <c r="N47" i="32"/>
  <c r="I47" i="32"/>
  <c r="AK46" i="32"/>
  <c r="AJ46" i="32"/>
  <c r="AH46" i="32"/>
  <c r="AG46" i="32"/>
  <c r="AF46" i="32"/>
  <c r="AE46" i="32"/>
  <c r="AD46" i="32"/>
  <c r="AC46" i="32"/>
  <c r="X46" i="32"/>
  <c r="R46" i="32"/>
  <c r="Q46" i="32"/>
  <c r="P46" i="32"/>
  <c r="S46" i="32" s="1"/>
  <c r="O46" i="32"/>
  <c r="N46" i="32"/>
  <c r="I46" i="32"/>
  <c r="AK45" i="32"/>
  <c r="AJ45" i="32"/>
  <c r="AI45" i="32"/>
  <c r="AH45" i="32"/>
  <c r="AG45" i="32"/>
  <c r="AF45" i="32"/>
  <c r="AD45" i="32"/>
  <c r="AC45" i="32"/>
  <c r="AE45" i="32" s="1"/>
  <c r="X45" i="32"/>
  <c r="S45" i="32"/>
  <c r="R45" i="32"/>
  <c r="Q45" i="32"/>
  <c r="P45" i="32"/>
  <c r="O45" i="32"/>
  <c r="N45" i="32"/>
  <c r="I45" i="32"/>
  <c r="AJ44" i="32"/>
  <c r="AH44" i="32"/>
  <c r="AG44" i="32"/>
  <c r="AD44" i="32"/>
  <c r="AC44" i="32"/>
  <c r="X44" i="32"/>
  <c r="R44" i="32"/>
  <c r="Q44" i="32"/>
  <c r="P44" i="32"/>
  <c r="O44" i="32"/>
  <c r="N44" i="32"/>
  <c r="I44" i="32"/>
  <c r="AL43" i="32"/>
  <c r="AJ43" i="32"/>
  <c r="AJ51" i="32" s="1"/>
  <c r="AH43" i="32"/>
  <c r="AG43" i="32"/>
  <c r="AF43" i="32"/>
  <c r="AE43" i="32"/>
  <c r="AD43" i="32"/>
  <c r="AC43" i="32"/>
  <c r="AI43" i="32" s="1"/>
  <c r="X43" i="32"/>
  <c r="R43" i="32"/>
  <c r="S43" i="32" s="1"/>
  <c r="Q43" i="32"/>
  <c r="P43" i="32"/>
  <c r="O43" i="32"/>
  <c r="N43" i="32"/>
  <c r="I43" i="32"/>
  <c r="AL42" i="32"/>
  <c r="AJ42" i="32"/>
  <c r="AG42" i="32"/>
  <c r="AD42" i="32"/>
  <c r="AC42" i="32"/>
  <c r="X42" i="32"/>
  <c r="R42" i="32"/>
  <c r="Q42" i="32"/>
  <c r="P42" i="32"/>
  <c r="O42" i="32"/>
  <c r="N42" i="32"/>
  <c r="I42" i="32"/>
  <c r="AK41" i="32"/>
  <c r="AJ41" i="32"/>
  <c r="AI41" i="32"/>
  <c r="AH41" i="32"/>
  <c r="AG41" i="32"/>
  <c r="AE41" i="32"/>
  <c r="AD41" i="32"/>
  <c r="AC41" i="32"/>
  <c r="AF41" i="32" s="1"/>
  <c r="X41" i="32"/>
  <c r="R41" i="32"/>
  <c r="Q41" i="32"/>
  <c r="P41" i="32"/>
  <c r="O41" i="32"/>
  <c r="N41" i="32"/>
  <c r="I41" i="32"/>
  <c r="AJ40" i="32"/>
  <c r="AD40" i="32"/>
  <c r="AC40" i="32"/>
  <c r="X40" i="32"/>
  <c r="R40" i="32"/>
  <c r="S40" i="32" s="1"/>
  <c r="Q40" i="32"/>
  <c r="P40" i="32"/>
  <c r="O40" i="32"/>
  <c r="N40" i="32"/>
  <c r="I40" i="32"/>
  <c r="AJ39" i="32"/>
  <c r="AH39" i="32"/>
  <c r="AE39" i="32"/>
  <c r="AD39" i="32"/>
  <c r="AC39" i="32"/>
  <c r="X39" i="32"/>
  <c r="S39" i="32"/>
  <c r="R39" i="32"/>
  <c r="Q39" i="32"/>
  <c r="P39" i="32"/>
  <c r="O39" i="32"/>
  <c r="N39" i="32"/>
  <c r="I39" i="32"/>
  <c r="AL38" i="32"/>
  <c r="AK38" i="32"/>
  <c r="AJ38" i="32"/>
  <c r="AI38" i="32"/>
  <c r="AH38" i="32"/>
  <c r="AG38" i="32"/>
  <c r="AD38" i="32"/>
  <c r="AC38" i="32"/>
  <c r="AF38" i="32" s="1"/>
  <c r="X38" i="32"/>
  <c r="R38" i="32"/>
  <c r="Q38" i="32"/>
  <c r="P38" i="32"/>
  <c r="S38" i="32" s="1"/>
  <c r="O38" i="32"/>
  <c r="N38" i="32"/>
  <c r="I38" i="32"/>
  <c r="AL37" i="32"/>
  <c r="AJ37" i="32"/>
  <c r="AF37" i="32"/>
  <c r="AD37" i="32"/>
  <c r="AC37" i="32"/>
  <c r="X37" i="32"/>
  <c r="R37" i="32"/>
  <c r="Q37" i="32"/>
  <c r="P37" i="32"/>
  <c r="O37" i="32"/>
  <c r="N37" i="32"/>
  <c r="I37" i="32"/>
  <c r="AK36" i="32"/>
  <c r="AJ36" i="32"/>
  <c r="AI36" i="32"/>
  <c r="AH36" i="32"/>
  <c r="AG36" i="32"/>
  <c r="AF36" i="32"/>
  <c r="AD36" i="32"/>
  <c r="AC36" i="32"/>
  <c r="X36" i="32"/>
  <c r="R36" i="32"/>
  <c r="Q36" i="32"/>
  <c r="P36" i="32"/>
  <c r="O36" i="32"/>
  <c r="N36" i="32"/>
  <c r="I36" i="32"/>
  <c r="AN35" i="32"/>
  <c r="AB35" i="32"/>
  <c r="AA35" i="32"/>
  <c r="Z35" i="32"/>
  <c r="Y35" i="32"/>
  <c r="W35" i="32"/>
  <c r="V35" i="32"/>
  <c r="U35" i="32"/>
  <c r="T35" i="32"/>
  <c r="M35" i="32"/>
  <c r="L35" i="32"/>
  <c r="K35" i="32"/>
  <c r="J35" i="32"/>
  <c r="H35" i="32"/>
  <c r="G35" i="32"/>
  <c r="F35" i="32"/>
  <c r="E35" i="32"/>
  <c r="D35" i="32"/>
  <c r="AL34" i="32"/>
  <c r="AK34" i="32"/>
  <c r="AJ34" i="32"/>
  <c r="AH34" i="32"/>
  <c r="AG34" i="32"/>
  <c r="AF34" i="32"/>
  <c r="AD34" i="32"/>
  <c r="AC34" i="32"/>
  <c r="AI34" i="32" s="1"/>
  <c r="X34" i="32"/>
  <c r="R34" i="32"/>
  <c r="Q34" i="32"/>
  <c r="P34" i="32"/>
  <c r="S34" i="32" s="1"/>
  <c r="O34" i="32"/>
  <c r="N34" i="32"/>
  <c r="I34" i="32"/>
  <c r="AJ33" i="32"/>
  <c r="AH33" i="32"/>
  <c r="AD33" i="32"/>
  <c r="AC33" i="32"/>
  <c r="X33" i="32"/>
  <c r="R33" i="32"/>
  <c r="Q33" i="32"/>
  <c r="S33" i="32" s="1"/>
  <c r="P33" i="32"/>
  <c r="O33" i="32"/>
  <c r="N33" i="32"/>
  <c r="I33" i="32"/>
  <c r="AL32" i="32"/>
  <c r="AK32" i="32"/>
  <c r="AJ32" i="32"/>
  <c r="AI32" i="32"/>
  <c r="AH32" i="32"/>
  <c r="AG32" i="32"/>
  <c r="AD32" i="32"/>
  <c r="AC32" i="32"/>
  <c r="X32" i="32"/>
  <c r="R32" i="32"/>
  <c r="Q32" i="32"/>
  <c r="P32" i="32"/>
  <c r="O32" i="32"/>
  <c r="N32" i="32"/>
  <c r="I32" i="32"/>
  <c r="AL31" i="32"/>
  <c r="AK31" i="32"/>
  <c r="AJ31" i="32"/>
  <c r="AH31" i="32"/>
  <c r="AF31" i="32"/>
  <c r="AE31" i="32"/>
  <c r="AD31" i="32"/>
  <c r="AC31" i="32"/>
  <c r="AI31" i="32" s="1"/>
  <c r="X31" i="32"/>
  <c r="R31" i="32"/>
  <c r="Q31" i="32"/>
  <c r="P31" i="32"/>
  <c r="O31" i="32"/>
  <c r="N31" i="32"/>
  <c r="I31" i="32"/>
  <c r="AK30" i="32"/>
  <c r="AJ30" i="32"/>
  <c r="AG30" i="32"/>
  <c r="AF30" i="32"/>
  <c r="AD30" i="32"/>
  <c r="AC30" i="32"/>
  <c r="X30" i="32"/>
  <c r="S30" i="32"/>
  <c r="R30" i="32"/>
  <c r="Q30" i="32"/>
  <c r="P30" i="32"/>
  <c r="O30" i="32"/>
  <c r="N30" i="32"/>
  <c r="I30" i="32"/>
  <c r="AL29" i="32"/>
  <c r="AK29" i="32"/>
  <c r="AJ29" i="32"/>
  <c r="AI29" i="32"/>
  <c r="AH29" i="32"/>
  <c r="AD29" i="32"/>
  <c r="AC29" i="32"/>
  <c r="X29" i="32"/>
  <c r="R29" i="32"/>
  <c r="Q29" i="32"/>
  <c r="P29" i="32"/>
  <c r="O29" i="32"/>
  <c r="S29" i="32" s="1"/>
  <c r="N29" i="32"/>
  <c r="I29" i="32"/>
  <c r="AJ28" i="32"/>
  <c r="AD28" i="32"/>
  <c r="AC28" i="32"/>
  <c r="X28" i="32"/>
  <c r="R28" i="32"/>
  <c r="R35" i="32" s="1"/>
  <c r="Q28" i="32"/>
  <c r="P28" i="32"/>
  <c r="O28" i="32"/>
  <c r="N28" i="32"/>
  <c r="I28" i="32"/>
  <c r="AJ27" i="32"/>
  <c r="AG27" i="32"/>
  <c r="AF27" i="32"/>
  <c r="AD27" i="32"/>
  <c r="AC27" i="32"/>
  <c r="X27" i="32"/>
  <c r="R27" i="32"/>
  <c r="Q27" i="32"/>
  <c r="P27" i="32"/>
  <c r="O27" i="32"/>
  <c r="N27" i="32"/>
  <c r="I27" i="32"/>
  <c r="AL26" i="32"/>
  <c r="AK26" i="32"/>
  <c r="AJ26" i="32"/>
  <c r="AH26" i="32"/>
  <c r="AG26" i="32"/>
  <c r="AD26" i="32"/>
  <c r="AC26" i="32"/>
  <c r="X26" i="32"/>
  <c r="X35" i="32" s="1"/>
  <c r="R26" i="32"/>
  <c r="Q26" i="32"/>
  <c r="P26" i="32"/>
  <c r="O26" i="32"/>
  <c r="S26" i="32" s="1"/>
  <c r="N26" i="32"/>
  <c r="I26" i="32"/>
  <c r="AJ25" i="32"/>
  <c r="AE25" i="32"/>
  <c r="AD25" i="32"/>
  <c r="AC25" i="32"/>
  <c r="X25" i="32"/>
  <c r="R25" i="32"/>
  <c r="Q25" i="32"/>
  <c r="P25" i="32"/>
  <c r="O25" i="32"/>
  <c r="N25" i="32"/>
  <c r="I25" i="32"/>
  <c r="AL24" i="32"/>
  <c r="AK24" i="32"/>
  <c r="AJ24" i="32"/>
  <c r="AH24" i="32"/>
  <c r="AG24" i="32"/>
  <c r="AF24" i="32"/>
  <c r="AD24" i="32"/>
  <c r="AC24" i="32"/>
  <c r="X24" i="32"/>
  <c r="S24" i="32"/>
  <c r="R24" i="32"/>
  <c r="Q24" i="32"/>
  <c r="P24" i="32"/>
  <c r="O24" i="32"/>
  <c r="N24" i="32"/>
  <c r="N35" i="32" s="1"/>
  <c r="I24" i="32"/>
  <c r="AN23" i="32"/>
  <c r="AB23" i="32"/>
  <c r="AA23" i="32"/>
  <c r="Z23" i="32"/>
  <c r="Y23" i="32"/>
  <c r="W23" i="32"/>
  <c r="V23" i="32"/>
  <c r="U23" i="32"/>
  <c r="T23" i="32"/>
  <c r="R23" i="32"/>
  <c r="Q23" i="32"/>
  <c r="O23" i="32"/>
  <c r="M23" i="32"/>
  <c r="L23" i="32"/>
  <c r="K23" i="32"/>
  <c r="J23" i="32"/>
  <c r="H23" i="32"/>
  <c r="G23" i="32"/>
  <c r="F23" i="32"/>
  <c r="E23" i="32"/>
  <c r="D23" i="32"/>
  <c r="AO22" i="32"/>
  <c r="AM22" i="32"/>
  <c r="AL22" i="32"/>
  <c r="AK22" i="32"/>
  <c r="AJ22" i="32"/>
  <c r="AI22" i="32"/>
  <c r="AH22" i="32"/>
  <c r="AG22" i="32"/>
  <c r="AF22" i="32"/>
  <c r="AE22" i="32"/>
  <c r="AD22" i="32"/>
  <c r="AC22" i="32"/>
  <c r="X22" i="32"/>
  <c r="S22" i="32"/>
  <c r="R22" i="32"/>
  <c r="Q22" i="32"/>
  <c r="P22" i="32"/>
  <c r="O22" i="32"/>
  <c r="N22" i="32"/>
  <c r="I22" i="32"/>
  <c r="AL21" i="32"/>
  <c r="AJ21" i="32"/>
  <c r="AI21" i="32"/>
  <c r="AH21" i="32"/>
  <c r="AG21" i="32"/>
  <c r="AF21" i="32"/>
  <c r="AE21" i="32"/>
  <c r="AD21" i="32"/>
  <c r="AC21" i="32"/>
  <c r="AK21" i="32" s="1"/>
  <c r="X21" i="32"/>
  <c r="R21" i="32"/>
  <c r="Q21" i="32"/>
  <c r="P21" i="32"/>
  <c r="O21" i="32"/>
  <c r="S21" i="32" s="1"/>
  <c r="N21" i="32"/>
  <c r="I21" i="32"/>
  <c r="AJ20" i="32"/>
  <c r="AH20" i="32"/>
  <c r="AD20" i="32"/>
  <c r="AC20" i="32"/>
  <c r="X20" i="32"/>
  <c r="S20" i="32"/>
  <c r="R20" i="32"/>
  <c r="Q20" i="32"/>
  <c r="P20" i="32"/>
  <c r="O20" i="32"/>
  <c r="N20" i="32"/>
  <c r="I20" i="32"/>
  <c r="AL19" i="32"/>
  <c r="AK19" i="32"/>
  <c r="AJ19" i="32"/>
  <c r="AM19" i="32" s="1"/>
  <c r="AO19" i="32" s="1"/>
  <c r="AI19" i="32"/>
  <c r="AH19" i="32"/>
  <c r="AG19" i="32"/>
  <c r="AF19" i="32"/>
  <c r="AE19" i="32"/>
  <c r="AD19" i="32"/>
  <c r="AC19" i="32"/>
  <c r="X19" i="32"/>
  <c r="R19" i="32"/>
  <c r="Q19" i="32"/>
  <c r="P19" i="32"/>
  <c r="S19" i="32" s="1"/>
  <c r="O19" i="32"/>
  <c r="N19" i="32"/>
  <c r="I19" i="32"/>
  <c r="AJ18" i="32"/>
  <c r="AH18" i="32"/>
  <c r="AD18" i="32"/>
  <c r="AC18" i="32"/>
  <c r="X18" i="32"/>
  <c r="R18" i="32"/>
  <c r="Q18" i="32"/>
  <c r="P18" i="32"/>
  <c r="O18" i="32"/>
  <c r="S18" i="32" s="1"/>
  <c r="N18" i="32"/>
  <c r="I18" i="32"/>
  <c r="AL17" i="32"/>
  <c r="AK17" i="32"/>
  <c r="AJ17" i="32"/>
  <c r="AE17" i="32"/>
  <c r="AD17" i="32"/>
  <c r="AC17" i="32"/>
  <c r="X17" i="32"/>
  <c r="R17" i="32"/>
  <c r="Q17" i="32"/>
  <c r="P17" i="32"/>
  <c r="O17" i="32"/>
  <c r="S17" i="32" s="1"/>
  <c r="N17" i="32"/>
  <c r="I17" i="32"/>
  <c r="AL16" i="32"/>
  <c r="AK16" i="32"/>
  <c r="AM16" i="32" s="1"/>
  <c r="AO16" i="32" s="1"/>
  <c r="AJ16" i="32"/>
  <c r="AI16" i="32"/>
  <c r="AH16" i="32"/>
  <c r="AG16" i="32"/>
  <c r="AF16" i="32"/>
  <c r="AE16" i="32"/>
  <c r="AD16" i="32"/>
  <c r="AC16" i="32"/>
  <c r="X16" i="32"/>
  <c r="R16" i="32"/>
  <c r="Q16" i="32"/>
  <c r="S16" i="32" s="1"/>
  <c r="P16" i="32"/>
  <c r="O16" i="32"/>
  <c r="N16" i="32"/>
  <c r="I16" i="32"/>
  <c r="AJ15" i="32"/>
  <c r="AD15" i="32"/>
  <c r="AC15" i="32"/>
  <c r="X15" i="32"/>
  <c r="R15" i="32"/>
  <c r="S15" i="32" s="1"/>
  <c r="Q15" i="32"/>
  <c r="P15" i="32"/>
  <c r="O15" i="32"/>
  <c r="N15" i="32"/>
  <c r="I15" i="32"/>
  <c r="AN14" i="32"/>
  <c r="AB14" i="32"/>
  <c r="AA14" i="32"/>
  <c r="Z14" i="32"/>
  <c r="Y14" i="32"/>
  <c r="W14" i="32"/>
  <c r="V14" i="32"/>
  <c r="U14" i="32"/>
  <c r="T14" i="32"/>
  <c r="M14" i="32"/>
  <c r="L14" i="32"/>
  <c r="K14" i="32"/>
  <c r="J14" i="32"/>
  <c r="H14" i="32"/>
  <c r="G14" i="32"/>
  <c r="F14" i="32"/>
  <c r="E14" i="32"/>
  <c r="D14" i="32"/>
  <c r="AL13" i="32"/>
  <c r="AK13" i="32"/>
  <c r="AJ13" i="32"/>
  <c r="AH13" i="32"/>
  <c r="AF13" i="32"/>
  <c r="AE13" i="32"/>
  <c r="AD13" i="32"/>
  <c r="AC13" i="32"/>
  <c r="AI13" i="32" s="1"/>
  <c r="X13" i="32"/>
  <c r="R13" i="32"/>
  <c r="Q13" i="32"/>
  <c r="P13" i="32"/>
  <c r="S13" i="32" s="1"/>
  <c r="O13" i="32"/>
  <c r="N13" i="32"/>
  <c r="I13" i="32"/>
  <c r="AL12" i="32"/>
  <c r="AJ12" i="32"/>
  <c r="AI12" i="32"/>
  <c r="AH12" i="32"/>
  <c r="AD12" i="32"/>
  <c r="AC12" i="32"/>
  <c r="X12" i="32"/>
  <c r="R12" i="32"/>
  <c r="Q12" i="32"/>
  <c r="P12" i="32"/>
  <c r="O12" i="32"/>
  <c r="S12" i="32" s="1"/>
  <c r="N12" i="32"/>
  <c r="I12" i="32"/>
  <c r="AJ11" i="32"/>
  <c r="AH11" i="32"/>
  <c r="AD11" i="32"/>
  <c r="AC11" i="32"/>
  <c r="X11" i="32"/>
  <c r="R11" i="32"/>
  <c r="Q11" i="32"/>
  <c r="P11" i="32"/>
  <c r="O11" i="32"/>
  <c r="N11" i="32"/>
  <c r="I11" i="32"/>
  <c r="AL10" i="32"/>
  <c r="AK10" i="32"/>
  <c r="AJ10" i="32"/>
  <c r="AH10" i="32"/>
  <c r="AG10" i="32"/>
  <c r="AF10" i="32"/>
  <c r="AE10" i="32"/>
  <c r="AD10" i="32"/>
  <c r="AC10" i="32"/>
  <c r="AI10" i="32" s="1"/>
  <c r="X10" i="32"/>
  <c r="R10" i="32"/>
  <c r="Q10" i="32"/>
  <c r="P10" i="32"/>
  <c r="S10" i="32" s="1"/>
  <c r="O10" i="32"/>
  <c r="N10" i="32"/>
  <c r="I10" i="32"/>
  <c r="AL9" i="32"/>
  <c r="AJ9" i="32"/>
  <c r="AH9" i="32"/>
  <c r="AD9" i="32"/>
  <c r="AC9" i="32"/>
  <c r="X9" i="32"/>
  <c r="R9" i="32"/>
  <c r="Q9" i="32"/>
  <c r="S9" i="32" s="1"/>
  <c r="P9" i="32"/>
  <c r="O9" i="32"/>
  <c r="N9" i="32"/>
  <c r="I9" i="32"/>
  <c r="AL8" i="32"/>
  <c r="AK8" i="32"/>
  <c r="AJ8" i="32"/>
  <c r="AI8" i="32"/>
  <c r="AH8" i="32"/>
  <c r="AG8" i="32"/>
  <c r="AF8" i="32"/>
  <c r="AD8" i="32"/>
  <c r="AC8" i="32"/>
  <c r="AE8" i="32" s="1"/>
  <c r="X8" i="32"/>
  <c r="R8" i="32"/>
  <c r="Q8" i="32"/>
  <c r="P8" i="32"/>
  <c r="O8" i="32"/>
  <c r="N8" i="32"/>
  <c r="I8" i="32"/>
  <c r="AJ7" i="32"/>
  <c r="AH7" i="32"/>
  <c r="AE7" i="32"/>
  <c r="AD7" i="32"/>
  <c r="AC7" i="32"/>
  <c r="X7" i="32"/>
  <c r="X14" i="32" s="1"/>
  <c r="R7" i="32"/>
  <c r="S7" i="32" s="1"/>
  <c r="Q7" i="32"/>
  <c r="P7" i="32"/>
  <c r="O7" i="32"/>
  <c r="N7" i="32"/>
  <c r="I7" i="32"/>
  <c r="AL6" i="32"/>
  <c r="AK6" i="32"/>
  <c r="AJ6" i="32"/>
  <c r="AD6" i="32"/>
  <c r="AC6" i="32"/>
  <c r="X6" i="32"/>
  <c r="R6" i="32"/>
  <c r="Q6" i="32"/>
  <c r="P6" i="32"/>
  <c r="O6" i="32"/>
  <c r="N6" i="32"/>
  <c r="N14" i="32" s="1"/>
  <c r="I6" i="32"/>
  <c r="AJ5" i="32"/>
  <c r="AE5" i="32"/>
  <c r="AD5" i="32"/>
  <c r="AC5" i="32"/>
  <c r="X5" i="32"/>
  <c r="R5" i="32"/>
  <c r="Q5" i="32"/>
  <c r="P5" i="32"/>
  <c r="O5" i="32"/>
  <c r="N5" i="32"/>
  <c r="I5" i="32"/>
  <c r="AK4" i="32"/>
  <c r="AJ4" i="32"/>
  <c r="AD4" i="32"/>
  <c r="AC4" i="32"/>
  <c r="X4" i="32"/>
  <c r="S4" i="32"/>
  <c r="R4" i="32"/>
  <c r="Q4" i="32"/>
  <c r="P4" i="32"/>
  <c r="O4" i="32"/>
  <c r="N4" i="32"/>
  <c r="I4" i="32"/>
  <c r="E182" i="33"/>
  <c r="D182" i="33"/>
  <c r="G181" i="33"/>
  <c r="G180" i="33"/>
  <c r="G179" i="33"/>
  <c r="G178" i="33"/>
  <c r="G177" i="33"/>
  <c r="G176" i="33"/>
  <c r="G175" i="33"/>
  <c r="G182" i="33" s="1"/>
  <c r="G174" i="33"/>
  <c r="E173" i="33"/>
  <c r="D173" i="33"/>
  <c r="G172" i="33"/>
  <c r="G171" i="33"/>
  <c r="G170" i="33"/>
  <c r="G169" i="33"/>
  <c r="G168" i="33"/>
  <c r="G167" i="33"/>
  <c r="G166" i="33"/>
  <c r="G165" i="33"/>
  <c r="G164" i="33"/>
  <c r="G163" i="33"/>
  <c r="G162" i="33"/>
  <c r="G161" i="33"/>
  <c r="G160" i="33"/>
  <c r="G159" i="33"/>
  <c r="G158" i="33"/>
  <c r="G157" i="33"/>
  <c r="G156" i="33"/>
  <c r="G155" i="33"/>
  <c r="G154" i="33"/>
  <c r="G153" i="33"/>
  <c r="G152" i="33"/>
  <c r="G151" i="33"/>
  <c r="G150" i="33"/>
  <c r="G149" i="33"/>
  <c r="G148" i="33"/>
  <c r="G147" i="33"/>
  <c r="G146" i="33"/>
  <c r="G145" i="33"/>
  <c r="G144" i="33"/>
  <c r="G143" i="33"/>
  <c r="E142" i="33"/>
  <c r="D142" i="33"/>
  <c r="G141" i="33"/>
  <c r="G140" i="33"/>
  <c r="G139" i="33"/>
  <c r="G138" i="33"/>
  <c r="G137" i="33"/>
  <c r="G136" i="33"/>
  <c r="G135" i="33"/>
  <c r="G134" i="33"/>
  <c r="G133" i="33"/>
  <c r="G132" i="33"/>
  <c r="G131" i="33"/>
  <c r="G130" i="33"/>
  <c r="G129" i="33"/>
  <c r="G128" i="33"/>
  <c r="G127" i="33"/>
  <c r="G126" i="33"/>
  <c r="G125" i="33"/>
  <c r="G124" i="33"/>
  <c r="G123" i="33"/>
  <c r="G122" i="33"/>
  <c r="G121" i="33"/>
  <c r="G120" i="33"/>
  <c r="G119" i="33"/>
  <c r="G118" i="33"/>
  <c r="G117" i="33"/>
  <c r="G116" i="33"/>
  <c r="G115" i="33"/>
  <c r="G114" i="33"/>
  <c r="G113" i="33"/>
  <c r="G142" i="33" s="1"/>
  <c r="E112" i="33"/>
  <c r="D112" i="33"/>
  <c r="G111" i="33"/>
  <c r="G110" i="33"/>
  <c r="G109" i="33"/>
  <c r="G108" i="33"/>
  <c r="G107" i="33"/>
  <c r="G106" i="33"/>
  <c r="G105" i="33"/>
  <c r="G104" i="33"/>
  <c r="G103" i="33"/>
  <c r="G102" i="33"/>
  <c r="G101" i="33"/>
  <c r="G100" i="33"/>
  <c r="G99" i="33"/>
  <c r="G98" i="33"/>
  <c r="G97" i="33"/>
  <c r="G96" i="33"/>
  <c r="G95" i="33"/>
  <c r="G94" i="33"/>
  <c r="G93" i="33"/>
  <c r="G92" i="33"/>
  <c r="G91" i="33"/>
  <c r="G90" i="33"/>
  <c r="G112" i="33" s="1"/>
  <c r="G89" i="33"/>
  <c r="G88" i="33"/>
  <c r="E87" i="33"/>
  <c r="D87" i="33"/>
  <c r="G86" i="33"/>
  <c r="G85" i="33"/>
  <c r="G84" i="33"/>
  <c r="G83" i="33"/>
  <c r="G82" i="33"/>
  <c r="G81" i="33"/>
  <c r="G80" i="33"/>
  <c r="G79" i="33"/>
  <c r="G78" i="33"/>
  <c r="G77" i="33"/>
  <c r="G76" i="33"/>
  <c r="G75" i="33"/>
  <c r="G74" i="33"/>
  <c r="E73" i="33"/>
  <c r="D73" i="33"/>
  <c r="G72" i="33"/>
  <c r="G71" i="33"/>
  <c r="G70" i="33"/>
  <c r="G69" i="33"/>
  <c r="G68" i="33"/>
  <c r="G67" i="33"/>
  <c r="G66" i="33"/>
  <c r="G65" i="33"/>
  <c r="G64" i="33"/>
  <c r="G63" i="33"/>
  <c r="G62" i="33"/>
  <c r="G61" i="33"/>
  <c r="G60" i="33"/>
  <c r="G59" i="33"/>
  <c r="G58" i="33"/>
  <c r="G57" i="33"/>
  <c r="G56" i="33"/>
  <c r="G55" i="33"/>
  <c r="G54" i="33"/>
  <c r="G53" i="33"/>
  <c r="G52" i="33"/>
  <c r="G51" i="33"/>
  <c r="G50" i="33"/>
  <c r="G49" i="33"/>
  <c r="G48" i="33"/>
  <c r="G47" i="33"/>
  <c r="G46" i="33"/>
  <c r="G73" i="33" s="1"/>
  <c r="G45" i="33"/>
  <c r="G44" i="33"/>
  <c r="G43" i="33"/>
  <c r="G42" i="33"/>
  <c r="E41" i="33"/>
  <c r="D41" i="33"/>
  <c r="G40" i="33"/>
  <c r="G39" i="33"/>
  <c r="G38" i="33"/>
  <c r="G37" i="33"/>
  <c r="G36" i="33"/>
  <c r="G35" i="33"/>
  <c r="G41" i="33" s="1"/>
  <c r="G34" i="33"/>
  <c r="E33" i="33"/>
  <c r="D33" i="33"/>
  <c r="G32" i="33"/>
  <c r="G31" i="33"/>
  <c r="G30" i="33"/>
  <c r="G29" i="33"/>
  <c r="G28" i="33"/>
  <c r="G27" i="33"/>
  <c r="G26" i="33"/>
  <c r="G25" i="33"/>
  <c r="G24" i="33"/>
  <c r="G23" i="33"/>
  <c r="G22" i="33"/>
  <c r="G21" i="33"/>
  <c r="G20" i="33"/>
  <c r="G19" i="33"/>
  <c r="G18" i="33"/>
  <c r="E17" i="33"/>
  <c r="D17" i="33"/>
  <c r="G16" i="33"/>
  <c r="G15" i="33"/>
  <c r="G14" i="33"/>
  <c r="G13" i="33"/>
  <c r="G12" i="33"/>
  <c r="G11" i="33"/>
  <c r="G10" i="33"/>
  <c r="G9" i="33"/>
  <c r="G8" i="33"/>
  <c r="G7" i="33"/>
  <c r="G17" i="33" s="1"/>
  <c r="G6" i="33"/>
  <c r="G5" i="33"/>
  <c r="G4" i="33"/>
  <c r="G3" i="33"/>
  <c r="B13" i="43"/>
  <c r="C12" i="43"/>
  <c r="C11" i="43"/>
  <c r="C10" i="43"/>
  <c r="C9" i="43"/>
  <c r="C8" i="43"/>
  <c r="C7" i="43"/>
  <c r="C6" i="43"/>
  <c r="C5" i="43"/>
  <c r="C4" i="43"/>
  <c r="C3" i="43"/>
  <c r="D121" i="31"/>
  <c r="D122" i="31" s="1"/>
  <c r="E120" i="31"/>
  <c r="E119" i="31"/>
  <c r="E118" i="31"/>
  <c r="E117" i="31"/>
  <c r="E116" i="31"/>
  <c r="E115" i="31"/>
  <c r="E114" i="31"/>
  <c r="E113" i="31"/>
  <c r="E112" i="31"/>
  <c r="E111" i="31"/>
  <c r="D110" i="31"/>
  <c r="E109" i="31"/>
  <c r="E108" i="31"/>
  <c r="E107" i="31"/>
  <c r="E106" i="31"/>
  <c r="E105" i="31"/>
  <c r="E104" i="31"/>
  <c r="E103" i="31"/>
  <c r="E102" i="31"/>
  <c r="E101" i="31"/>
  <c r="E100" i="31"/>
  <c r="E99" i="31"/>
  <c r="E98" i="31"/>
  <c r="E97" i="31"/>
  <c r="E96" i="31"/>
  <c r="E95" i="31"/>
  <c r="D94" i="31"/>
  <c r="E93" i="31"/>
  <c r="E92" i="31"/>
  <c r="E91" i="31"/>
  <c r="E90" i="31"/>
  <c r="E89" i="31"/>
  <c r="E88" i="31"/>
  <c r="E87" i="31"/>
  <c r="E86" i="31"/>
  <c r="D85" i="31"/>
  <c r="E84" i="31"/>
  <c r="E83" i="31"/>
  <c r="E82" i="31"/>
  <c r="E81" i="31"/>
  <c r="E80" i="31"/>
  <c r="E79" i="31"/>
  <c r="E78" i="31"/>
  <c r="E77" i="31"/>
  <c r="E76" i="31"/>
  <c r="E75" i="31"/>
  <c r="E74" i="31"/>
  <c r="E73" i="31"/>
  <c r="D72" i="31"/>
  <c r="E71" i="31"/>
  <c r="E70" i="31"/>
  <c r="E69" i="31"/>
  <c r="E68" i="31"/>
  <c r="E67" i="31"/>
  <c r="E66" i="31"/>
  <c r="E65" i="31"/>
  <c r="E64" i="31"/>
  <c r="E63" i="31"/>
  <c r="E62" i="31"/>
  <c r="E61" i="31"/>
  <c r="E60" i="31"/>
  <c r="E59" i="31"/>
  <c r="E58" i="31"/>
  <c r="E57" i="31"/>
  <c r="E56" i="31"/>
  <c r="D55" i="31"/>
  <c r="E54" i="31"/>
  <c r="E53" i="31"/>
  <c r="E52" i="31"/>
  <c r="E51" i="31"/>
  <c r="E50" i="31"/>
  <c r="E49" i="31"/>
  <c r="E48" i="31"/>
  <c r="E47" i="31"/>
  <c r="E46" i="31"/>
  <c r="E45" i="31"/>
  <c r="E44" i="31"/>
  <c r="E43" i="31"/>
  <c r="E42" i="31"/>
  <c r="E41" i="31"/>
  <c r="E40" i="31"/>
  <c r="E39" i="31"/>
  <c r="E38" i="31"/>
  <c r="E37" i="31"/>
  <c r="E36" i="31"/>
  <c r="D35" i="31"/>
  <c r="E34" i="31"/>
  <c r="E33" i="31"/>
  <c r="E32" i="31"/>
  <c r="E31" i="31"/>
  <c r="E30" i="31"/>
  <c r="E29" i="31"/>
  <c r="E28" i="31"/>
  <c r="E27" i="31"/>
  <c r="E26" i="31"/>
  <c r="E25" i="31"/>
  <c r="E24" i="31"/>
  <c r="E23" i="31"/>
  <c r="E22" i="31"/>
  <c r="E21" i="31"/>
  <c r="E20" i="31"/>
  <c r="E19" i="31"/>
  <c r="E18" i="31"/>
  <c r="E17" i="31"/>
  <c r="E16" i="31"/>
  <c r="E15" i="31"/>
  <c r="D14" i="31"/>
  <c r="E13" i="31"/>
  <c r="E12" i="31"/>
  <c r="E11" i="31"/>
  <c r="E10" i="31"/>
  <c r="E9" i="31"/>
  <c r="E8" i="31"/>
  <c r="D8" i="31"/>
  <c r="E7" i="31"/>
  <c r="E6" i="31"/>
  <c r="E5" i="31"/>
  <c r="E4" i="31"/>
  <c r="E3" i="31"/>
  <c r="J49" i="67"/>
  <c r="J47" i="67"/>
  <c r="J35" i="67"/>
  <c r="J32" i="67"/>
  <c r="J27" i="67"/>
  <c r="J13" i="67"/>
  <c r="J10" i="67"/>
  <c r="J7" i="67"/>
  <c r="J4" i="67"/>
  <c r="D7" i="68"/>
  <c r="C7" i="68"/>
  <c r="D6" i="68"/>
  <c r="C6" i="68"/>
  <c r="D4" i="68"/>
  <c r="C4" i="68"/>
  <c r="L125" i="64"/>
  <c r="K125" i="64"/>
  <c r="J125" i="64"/>
  <c r="H125" i="64"/>
  <c r="G125" i="64"/>
  <c r="F125" i="64"/>
  <c r="P124" i="64"/>
  <c r="O124" i="64"/>
  <c r="N124" i="64"/>
  <c r="M124" i="64"/>
  <c r="I124" i="64"/>
  <c r="Q124" i="64" s="1"/>
  <c r="Q123" i="64"/>
  <c r="P123" i="64"/>
  <c r="O123" i="64"/>
  <c r="N123" i="64"/>
  <c r="M123" i="64"/>
  <c r="I123" i="64"/>
  <c r="P122" i="64"/>
  <c r="O122" i="64"/>
  <c r="N122" i="64"/>
  <c r="M122" i="64"/>
  <c r="I122" i="64"/>
  <c r="Q122" i="64" s="1"/>
  <c r="Q121" i="64"/>
  <c r="P121" i="64"/>
  <c r="O121" i="64"/>
  <c r="N121" i="64"/>
  <c r="M121" i="64"/>
  <c r="I121" i="64"/>
  <c r="P120" i="64"/>
  <c r="O120" i="64"/>
  <c r="N120" i="64"/>
  <c r="M120" i="64"/>
  <c r="I120" i="64"/>
  <c r="Q120" i="64" s="1"/>
  <c r="Q119" i="64"/>
  <c r="P119" i="64"/>
  <c r="O119" i="64"/>
  <c r="N119" i="64"/>
  <c r="M119" i="64"/>
  <c r="I119" i="64"/>
  <c r="P118" i="64"/>
  <c r="O118" i="64"/>
  <c r="N118" i="64"/>
  <c r="M118" i="64"/>
  <c r="I118" i="64"/>
  <c r="Q118" i="64" s="1"/>
  <c r="Q117" i="64"/>
  <c r="P117" i="64"/>
  <c r="O117" i="64"/>
  <c r="N117" i="64"/>
  <c r="M117" i="64"/>
  <c r="I117" i="64"/>
  <c r="P116" i="64"/>
  <c r="O116" i="64"/>
  <c r="N116" i="64"/>
  <c r="M116" i="64"/>
  <c r="I116" i="64"/>
  <c r="Q115" i="64"/>
  <c r="P115" i="64"/>
  <c r="P125" i="64" s="1"/>
  <c r="O115" i="64"/>
  <c r="N115" i="64"/>
  <c r="M115" i="64"/>
  <c r="I115" i="64"/>
  <c r="P114" i="64"/>
  <c r="O114" i="64"/>
  <c r="N114" i="64"/>
  <c r="M114" i="64"/>
  <c r="M125" i="64" s="1"/>
  <c r="I114" i="64"/>
  <c r="Q114" i="64" s="1"/>
  <c r="L113" i="64"/>
  <c r="K113" i="64"/>
  <c r="J113" i="64"/>
  <c r="H113" i="64"/>
  <c r="F113" i="64"/>
  <c r="Q112" i="64"/>
  <c r="P112" i="64"/>
  <c r="O112" i="64"/>
  <c r="N112" i="64"/>
  <c r="M112" i="64"/>
  <c r="I112" i="64"/>
  <c r="P111" i="64"/>
  <c r="O111" i="64"/>
  <c r="N111" i="64"/>
  <c r="M111" i="64"/>
  <c r="I111" i="64"/>
  <c r="Q110" i="64"/>
  <c r="P110" i="64"/>
  <c r="O110" i="64"/>
  <c r="N110" i="64"/>
  <c r="M110" i="64"/>
  <c r="I110" i="64"/>
  <c r="P109" i="64"/>
  <c r="O109" i="64"/>
  <c r="N109" i="64"/>
  <c r="M109" i="64"/>
  <c r="I109" i="64"/>
  <c r="Q109" i="64" s="1"/>
  <c r="Q108" i="64"/>
  <c r="P108" i="64"/>
  <c r="O108" i="64"/>
  <c r="N108" i="64"/>
  <c r="M108" i="64"/>
  <c r="I108" i="64"/>
  <c r="P107" i="64"/>
  <c r="O107" i="64"/>
  <c r="N107" i="64"/>
  <c r="M107" i="64"/>
  <c r="I107" i="64"/>
  <c r="Q106" i="64"/>
  <c r="P106" i="64"/>
  <c r="O106" i="64"/>
  <c r="N106" i="64"/>
  <c r="M106" i="64"/>
  <c r="I106" i="64"/>
  <c r="P105" i="64"/>
  <c r="N105" i="64"/>
  <c r="M105" i="64"/>
  <c r="I105" i="64"/>
  <c r="Q105" i="64" s="1"/>
  <c r="G105" i="64"/>
  <c r="O105" i="64" s="1"/>
  <c r="Q104" i="64"/>
  <c r="P104" i="64"/>
  <c r="O104" i="64"/>
  <c r="N104" i="64"/>
  <c r="M104" i="64"/>
  <c r="I104" i="64"/>
  <c r="P103" i="64"/>
  <c r="N103" i="64"/>
  <c r="M103" i="64"/>
  <c r="I103" i="64"/>
  <c r="Q103" i="64" s="1"/>
  <c r="G103" i="64"/>
  <c r="O103" i="64" s="1"/>
  <c r="O113" i="64" s="1"/>
  <c r="Q102" i="64"/>
  <c r="P102" i="64"/>
  <c r="O102" i="64"/>
  <c r="N102" i="64"/>
  <c r="M102" i="64"/>
  <c r="I102" i="64"/>
  <c r="P101" i="64"/>
  <c r="O101" i="64"/>
  <c r="N101" i="64"/>
  <c r="M101" i="64"/>
  <c r="I101" i="64"/>
  <c r="Q101" i="64" s="1"/>
  <c r="P100" i="64"/>
  <c r="O100" i="64"/>
  <c r="N100" i="64"/>
  <c r="M100" i="64"/>
  <c r="Q100" i="64" s="1"/>
  <c r="I100" i="64"/>
  <c r="P99" i="64"/>
  <c r="O99" i="64"/>
  <c r="N99" i="64"/>
  <c r="M99" i="64"/>
  <c r="I99" i="64"/>
  <c r="Q99" i="64" s="1"/>
  <c r="P98" i="64"/>
  <c r="O98" i="64"/>
  <c r="N98" i="64"/>
  <c r="M98" i="64"/>
  <c r="I98" i="64"/>
  <c r="L97" i="64"/>
  <c r="K97" i="64"/>
  <c r="J97" i="64"/>
  <c r="H97" i="64"/>
  <c r="G97" i="64"/>
  <c r="F97" i="64"/>
  <c r="P96" i="64"/>
  <c r="O96" i="64"/>
  <c r="N96" i="64"/>
  <c r="M96" i="64"/>
  <c r="I96" i="64"/>
  <c r="Q96" i="64" s="1"/>
  <c r="P95" i="64"/>
  <c r="O95" i="64"/>
  <c r="N95" i="64"/>
  <c r="M95" i="64"/>
  <c r="I95" i="64"/>
  <c r="Q95" i="64" s="1"/>
  <c r="P94" i="64"/>
  <c r="O94" i="64"/>
  <c r="N94" i="64"/>
  <c r="M94" i="64"/>
  <c r="I94" i="64"/>
  <c r="P93" i="64"/>
  <c r="O93" i="64"/>
  <c r="N93" i="64"/>
  <c r="M93" i="64"/>
  <c r="I93" i="64"/>
  <c r="P92" i="64"/>
  <c r="O92" i="64"/>
  <c r="N92" i="64"/>
  <c r="M92" i="64"/>
  <c r="I92" i="64"/>
  <c r="P91" i="64"/>
  <c r="O91" i="64"/>
  <c r="N91" i="64"/>
  <c r="M91" i="64"/>
  <c r="I91" i="64"/>
  <c r="P90" i="64"/>
  <c r="O90" i="64"/>
  <c r="N90" i="64"/>
  <c r="M90" i="64"/>
  <c r="I90" i="64"/>
  <c r="Q90" i="64" s="1"/>
  <c r="F90" i="64"/>
  <c r="P89" i="64"/>
  <c r="O89" i="64"/>
  <c r="N89" i="64"/>
  <c r="M89" i="64"/>
  <c r="Q89" i="64" s="1"/>
  <c r="I89" i="64"/>
  <c r="P88" i="64"/>
  <c r="P97" i="64" s="1"/>
  <c r="O88" i="64"/>
  <c r="N88" i="64"/>
  <c r="M88" i="64"/>
  <c r="I88" i="64"/>
  <c r="L87" i="64"/>
  <c r="K87" i="64"/>
  <c r="J87" i="64"/>
  <c r="H87" i="64"/>
  <c r="G87" i="64"/>
  <c r="F87" i="64"/>
  <c r="Q86" i="64"/>
  <c r="P86" i="64"/>
  <c r="O86" i="64"/>
  <c r="N86" i="64"/>
  <c r="M86" i="64"/>
  <c r="I86" i="64"/>
  <c r="P85" i="64"/>
  <c r="O85" i="64"/>
  <c r="N85" i="64"/>
  <c r="M85" i="64"/>
  <c r="I85" i="64"/>
  <c r="Q85" i="64" s="1"/>
  <c r="Q84" i="64"/>
  <c r="P84" i="64"/>
  <c r="O84" i="64"/>
  <c r="N84" i="64"/>
  <c r="M84" i="64"/>
  <c r="I84" i="64"/>
  <c r="P83" i="64"/>
  <c r="O83" i="64"/>
  <c r="N83" i="64"/>
  <c r="M83" i="64"/>
  <c r="I83" i="64"/>
  <c r="Q83" i="64" s="1"/>
  <c r="Q82" i="64"/>
  <c r="P82" i="64"/>
  <c r="O82" i="64"/>
  <c r="N82" i="64"/>
  <c r="M82" i="64"/>
  <c r="I82" i="64"/>
  <c r="P81" i="64"/>
  <c r="O81" i="64"/>
  <c r="N81" i="64"/>
  <c r="M81" i="64"/>
  <c r="I81" i="64"/>
  <c r="Q80" i="64"/>
  <c r="P80" i="64"/>
  <c r="O80" i="64"/>
  <c r="N80" i="64"/>
  <c r="M80" i="64"/>
  <c r="I80" i="64"/>
  <c r="P79" i="64"/>
  <c r="O79" i="64"/>
  <c r="N79" i="64"/>
  <c r="M79" i="64"/>
  <c r="I79" i="64"/>
  <c r="Q79" i="64" s="1"/>
  <c r="Q78" i="64"/>
  <c r="P78" i="64"/>
  <c r="O78" i="64"/>
  <c r="N78" i="64"/>
  <c r="M78" i="64"/>
  <c r="I78" i="64"/>
  <c r="P77" i="64"/>
  <c r="O77" i="64"/>
  <c r="N77" i="64"/>
  <c r="M77" i="64"/>
  <c r="I77" i="64"/>
  <c r="Q77" i="64" s="1"/>
  <c r="Q76" i="64"/>
  <c r="P76" i="64"/>
  <c r="O76" i="64"/>
  <c r="N76" i="64"/>
  <c r="M76" i="64"/>
  <c r="I76" i="64"/>
  <c r="P75" i="64"/>
  <c r="O75" i="64"/>
  <c r="O87" i="64" s="1"/>
  <c r="N75" i="64"/>
  <c r="M75" i="64"/>
  <c r="I75" i="64"/>
  <c r="L74" i="64"/>
  <c r="K74" i="64"/>
  <c r="J74" i="64"/>
  <c r="H74" i="64"/>
  <c r="G74" i="64"/>
  <c r="F74" i="64"/>
  <c r="Q73" i="64"/>
  <c r="P73" i="64"/>
  <c r="O73" i="64"/>
  <c r="N73" i="64"/>
  <c r="M73" i="64"/>
  <c r="I73" i="64"/>
  <c r="P72" i="64"/>
  <c r="O72" i="64"/>
  <c r="N72" i="64"/>
  <c r="M72" i="64"/>
  <c r="I72" i="64"/>
  <c r="Q72" i="64" s="1"/>
  <c r="Q71" i="64"/>
  <c r="P71" i="64"/>
  <c r="O71" i="64"/>
  <c r="N71" i="64"/>
  <c r="M71" i="64"/>
  <c r="I71" i="64"/>
  <c r="P70" i="64"/>
  <c r="O70" i="64"/>
  <c r="N70" i="64"/>
  <c r="M70" i="64"/>
  <c r="I70" i="64"/>
  <c r="Q70" i="64" s="1"/>
  <c r="Q69" i="64"/>
  <c r="P69" i="64"/>
  <c r="O69" i="64"/>
  <c r="N69" i="64"/>
  <c r="M69" i="64"/>
  <c r="I69" i="64"/>
  <c r="P68" i="64"/>
  <c r="O68" i="64"/>
  <c r="N68" i="64"/>
  <c r="M68" i="64"/>
  <c r="I68" i="64"/>
  <c r="Q68" i="64" s="1"/>
  <c r="Q67" i="64"/>
  <c r="P67" i="64"/>
  <c r="O67" i="64"/>
  <c r="N67" i="64"/>
  <c r="M67" i="64"/>
  <c r="I67" i="64"/>
  <c r="P66" i="64"/>
  <c r="O66" i="64"/>
  <c r="N66" i="64"/>
  <c r="M66" i="64"/>
  <c r="I66" i="64"/>
  <c r="Q66" i="64" s="1"/>
  <c r="Q65" i="64"/>
  <c r="P65" i="64"/>
  <c r="O65" i="64"/>
  <c r="N65" i="64"/>
  <c r="M65" i="64"/>
  <c r="I65" i="64"/>
  <c r="P64" i="64"/>
  <c r="O64" i="64"/>
  <c r="N64" i="64"/>
  <c r="M64" i="64"/>
  <c r="I64" i="64"/>
  <c r="Q64" i="64" s="1"/>
  <c r="Q63" i="64"/>
  <c r="P63" i="64"/>
  <c r="O63" i="64"/>
  <c r="N63" i="64"/>
  <c r="M63" i="64"/>
  <c r="I63" i="64"/>
  <c r="P62" i="64"/>
  <c r="O62" i="64"/>
  <c r="N62" i="64"/>
  <c r="M62" i="64"/>
  <c r="I62" i="64"/>
  <c r="Q62" i="64" s="1"/>
  <c r="Q61" i="64"/>
  <c r="P61" i="64"/>
  <c r="O61" i="64"/>
  <c r="N61" i="64"/>
  <c r="M61" i="64"/>
  <c r="I61" i="64"/>
  <c r="P60" i="64"/>
  <c r="O60" i="64"/>
  <c r="N60" i="64"/>
  <c r="M60" i="64"/>
  <c r="I60" i="64"/>
  <c r="Q60" i="64" s="1"/>
  <c r="Q59" i="64"/>
  <c r="P59" i="64"/>
  <c r="O59" i="64"/>
  <c r="N59" i="64"/>
  <c r="M59" i="64"/>
  <c r="I59" i="64"/>
  <c r="P58" i="64"/>
  <c r="O58" i="64"/>
  <c r="N58" i="64"/>
  <c r="M58" i="64"/>
  <c r="M74" i="64" s="1"/>
  <c r="I58" i="64"/>
  <c r="L57" i="64"/>
  <c r="K57" i="64"/>
  <c r="J57" i="64"/>
  <c r="H57" i="64"/>
  <c r="G57" i="64"/>
  <c r="F57" i="64"/>
  <c r="P56" i="64"/>
  <c r="O56" i="64"/>
  <c r="N56" i="64"/>
  <c r="M56" i="64"/>
  <c r="Q56" i="64" s="1"/>
  <c r="I56" i="64"/>
  <c r="P55" i="64"/>
  <c r="O55" i="64"/>
  <c r="N55" i="64"/>
  <c r="M55" i="64"/>
  <c r="I55" i="64"/>
  <c r="Q55" i="64" s="1"/>
  <c r="P54" i="64"/>
  <c r="O54" i="64"/>
  <c r="N54" i="64"/>
  <c r="M54" i="64"/>
  <c r="Q54" i="64" s="1"/>
  <c r="I54" i="64"/>
  <c r="P53" i="64"/>
  <c r="O53" i="64"/>
  <c r="N53" i="64"/>
  <c r="M53" i="64"/>
  <c r="I53" i="64"/>
  <c r="P52" i="64"/>
  <c r="O52" i="64"/>
  <c r="N52" i="64"/>
  <c r="M52" i="64"/>
  <c r="Q52" i="64" s="1"/>
  <c r="I52" i="64"/>
  <c r="P51" i="64"/>
  <c r="O51" i="64"/>
  <c r="N51" i="64"/>
  <c r="M51" i="64"/>
  <c r="I51" i="64"/>
  <c r="Q51" i="64" s="1"/>
  <c r="P50" i="64"/>
  <c r="O50" i="64"/>
  <c r="N50" i="64"/>
  <c r="M50" i="64"/>
  <c r="Q50" i="64" s="1"/>
  <c r="I50" i="64"/>
  <c r="P49" i="64"/>
  <c r="O49" i="64"/>
  <c r="N49" i="64"/>
  <c r="M49" i="64"/>
  <c r="I49" i="64"/>
  <c r="Q49" i="64" s="1"/>
  <c r="P48" i="64"/>
  <c r="O48" i="64"/>
  <c r="N48" i="64"/>
  <c r="M48" i="64"/>
  <c r="Q48" i="64" s="1"/>
  <c r="I48" i="64"/>
  <c r="P47" i="64"/>
  <c r="O47" i="64"/>
  <c r="N47" i="64"/>
  <c r="M47" i="64"/>
  <c r="I47" i="64"/>
  <c r="Q47" i="64" s="1"/>
  <c r="P46" i="64"/>
  <c r="O46" i="64"/>
  <c r="N46" i="64"/>
  <c r="M46" i="64"/>
  <c r="Q46" i="64" s="1"/>
  <c r="I46" i="64"/>
  <c r="P45" i="64"/>
  <c r="O45" i="64"/>
  <c r="N45" i="64"/>
  <c r="M45" i="64"/>
  <c r="I45" i="64"/>
  <c r="P44" i="64"/>
  <c r="O44" i="64"/>
  <c r="N44" i="64"/>
  <c r="M44" i="64"/>
  <c r="Q44" i="64" s="1"/>
  <c r="I44" i="64"/>
  <c r="P43" i="64"/>
  <c r="O43" i="64"/>
  <c r="N43" i="64"/>
  <c r="M43" i="64"/>
  <c r="I43" i="64"/>
  <c r="Q43" i="64" s="1"/>
  <c r="P42" i="64"/>
  <c r="O42" i="64"/>
  <c r="N42" i="64"/>
  <c r="M42" i="64"/>
  <c r="I42" i="64"/>
  <c r="P41" i="64"/>
  <c r="O41" i="64"/>
  <c r="N41" i="64"/>
  <c r="M41" i="64"/>
  <c r="I41" i="64"/>
  <c r="P40" i="64"/>
  <c r="O40" i="64"/>
  <c r="N40" i="64"/>
  <c r="N57" i="64" s="1"/>
  <c r="M40" i="64"/>
  <c r="Q40" i="64" s="1"/>
  <c r="I40" i="64"/>
  <c r="P39" i="64"/>
  <c r="O39" i="64"/>
  <c r="N39" i="64"/>
  <c r="M39" i="64"/>
  <c r="I39" i="64"/>
  <c r="P38" i="64"/>
  <c r="P57" i="64" s="1"/>
  <c r="O38" i="64"/>
  <c r="O57" i="64" s="1"/>
  <c r="N38" i="64"/>
  <c r="M38" i="64"/>
  <c r="Q38" i="64" s="1"/>
  <c r="I38" i="64"/>
  <c r="P37" i="64"/>
  <c r="L37" i="64"/>
  <c r="K37" i="64"/>
  <c r="J37" i="64"/>
  <c r="H37" i="64"/>
  <c r="G37" i="64"/>
  <c r="F37" i="64"/>
  <c r="P36" i="64"/>
  <c r="O36" i="64"/>
  <c r="N36" i="64"/>
  <c r="M36" i="64"/>
  <c r="I36" i="64"/>
  <c r="Q36" i="64" s="1"/>
  <c r="Q35" i="64"/>
  <c r="P35" i="64"/>
  <c r="O35" i="64"/>
  <c r="N35" i="64"/>
  <c r="M35" i="64"/>
  <c r="I35" i="64"/>
  <c r="P34" i="64"/>
  <c r="O34" i="64"/>
  <c r="N34" i="64"/>
  <c r="M34" i="64"/>
  <c r="I34" i="64"/>
  <c r="Q33" i="64"/>
  <c r="P33" i="64"/>
  <c r="O33" i="64"/>
  <c r="N33" i="64"/>
  <c r="M33" i="64"/>
  <c r="I33" i="64"/>
  <c r="P32" i="64"/>
  <c r="O32" i="64"/>
  <c r="N32" i="64"/>
  <c r="M32" i="64"/>
  <c r="I32" i="64"/>
  <c r="Q32" i="64" s="1"/>
  <c r="P31" i="64"/>
  <c r="O31" i="64"/>
  <c r="N31" i="64"/>
  <c r="M31" i="64"/>
  <c r="Q31" i="64" s="1"/>
  <c r="I31" i="64"/>
  <c r="P30" i="64"/>
  <c r="O30" i="64"/>
  <c r="N30" i="64"/>
  <c r="M30" i="64"/>
  <c r="I30" i="64"/>
  <c r="Q30" i="64" s="1"/>
  <c r="P29" i="64"/>
  <c r="O29" i="64"/>
  <c r="N29" i="64"/>
  <c r="M29" i="64"/>
  <c r="Q29" i="64" s="1"/>
  <c r="I29" i="64"/>
  <c r="P28" i="64"/>
  <c r="O28" i="64"/>
  <c r="N28" i="64"/>
  <c r="M28" i="64"/>
  <c r="I28" i="64"/>
  <c r="Q28" i="64" s="1"/>
  <c r="P27" i="64"/>
  <c r="O27" i="64"/>
  <c r="N27" i="64"/>
  <c r="N37" i="64" s="1"/>
  <c r="M27" i="64"/>
  <c r="Q27" i="64" s="1"/>
  <c r="I27" i="64"/>
  <c r="P26" i="64"/>
  <c r="O26" i="64"/>
  <c r="N26" i="64"/>
  <c r="M26" i="64"/>
  <c r="I26" i="64"/>
  <c r="P25" i="64"/>
  <c r="O25" i="64"/>
  <c r="N25" i="64"/>
  <c r="M25" i="64"/>
  <c r="Q25" i="64" s="1"/>
  <c r="I25" i="64"/>
  <c r="P24" i="64"/>
  <c r="O24" i="64"/>
  <c r="N24" i="64"/>
  <c r="M24" i="64"/>
  <c r="I24" i="64"/>
  <c r="Q24" i="64" s="1"/>
  <c r="P23" i="64"/>
  <c r="O23" i="64"/>
  <c r="N23" i="64"/>
  <c r="M23" i="64"/>
  <c r="Q23" i="64" s="1"/>
  <c r="I23" i="64"/>
  <c r="P22" i="64"/>
  <c r="O22" i="64"/>
  <c r="N22" i="64"/>
  <c r="M22" i="64"/>
  <c r="I22" i="64"/>
  <c r="Q22" i="64" s="1"/>
  <c r="Q21" i="64"/>
  <c r="P21" i="64"/>
  <c r="O21" i="64"/>
  <c r="N21" i="64"/>
  <c r="M21" i="64"/>
  <c r="I21" i="64"/>
  <c r="P20" i="64"/>
  <c r="O20" i="64"/>
  <c r="N20" i="64"/>
  <c r="M20" i="64"/>
  <c r="I20" i="64"/>
  <c r="Q19" i="64"/>
  <c r="P19" i="64"/>
  <c r="O19" i="64"/>
  <c r="N19" i="64"/>
  <c r="M19" i="64"/>
  <c r="I19" i="64"/>
  <c r="P18" i="64"/>
  <c r="O18" i="64"/>
  <c r="O37" i="64" s="1"/>
  <c r="N18" i="64"/>
  <c r="M18" i="64"/>
  <c r="M37" i="64" s="1"/>
  <c r="I18" i="64"/>
  <c r="Q17" i="64"/>
  <c r="P17" i="64"/>
  <c r="O17" i="64"/>
  <c r="N17" i="64"/>
  <c r="M17" i="64"/>
  <c r="I17" i="64"/>
  <c r="O16" i="64"/>
  <c r="L16" i="64"/>
  <c r="K16" i="64"/>
  <c r="J16" i="64"/>
  <c r="H16" i="64"/>
  <c r="G16" i="64"/>
  <c r="F16" i="64"/>
  <c r="Q15" i="64"/>
  <c r="P15" i="64"/>
  <c r="O15" i="64"/>
  <c r="N15" i="64"/>
  <c r="M15" i="64"/>
  <c r="I15" i="64"/>
  <c r="P14" i="64"/>
  <c r="O14" i="64"/>
  <c r="N14" i="64"/>
  <c r="M14" i="64"/>
  <c r="Q14" i="64" s="1"/>
  <c r="I14" i="64"/>
  <c r="Q13" i="64"/>
  <c r="P13" i="64"/>
  <c r="O13" i="64"/>
  <c r="N13" i="64"/>
  <c r="M13" i="64"/>
  <c r="I13" i="64"/>
  <c r="P12" i="64"/>
  <c r="O12" i="64"/>
  <c r="N12" i="64"/>
  <c r="M12" i="64"/>
  <c r="Q12" i="64" s="1"/>
  <c r="I12" i="64"/>
  <c r="Q11" i="64"/>
  <c r="P11" i="64"/>
  <c r="P16" i="64" s="1"/>
  <c r="O11" i="64"/>
  <c r="N11" i="64"/>
  <c r="M11" i="64"/>
  <c r="I11" i="64"/>
  <c r="I16" i="64" s="1"/>
  <c r="P10" i="64"/>
  <c r="O10" i="64"/>
  <c r="N10" i="64"/>
  <c r="M10" i="64"/>
  <c r="I10" i="64"/>
  <c r="Q9" i="64"/>
  <c r="L9" i="64"/>
  <c r="K9" i="64"/>
  <c r="J9" i="64"/>
  <c r="H9" i="64"/>
  <c r="G9" i="64"/>
  <c r="F9" i="64"/>
  <c r="Q8" i="64"/>
  <c r="P8" i="64"/>
  <c r="O8" i="64"/>
  <c r="N8" i="64"/>
  <c r="M8" i="64"/>
  <c r="I8" i="64"/>
  <c r="P7" i="64"/>
  <c r="O7" i="64"/>
  <c r="N7" i="64"/>
  <c r="M7" i="64"/>
  <c r="Q7" i="64" s="1"/>
  <c r="I7" i="64"/>
  <c r="Q6" i="64"/>
  <c r="P6" i="64"/>
  <c r="O6" i="64"/>
  <c r="N6" i="64"/>
  <c r="M6" i="64"/>
  <c r="I6" i="64"/>
  <c r="P5" i="64"/>
  <c r="O5" i="64"/>
  <c r="N5" i="64"/>
  <c r="N9" i="64" s="1"/>
  <c r="M5" i="64"/>
  <c r="Q5" i="64" s="1"/>
  <c r="I5" i="64"/>
  <c r="Q4" i="64"/>
  <c r="P4" i="64"/>
  <c r="O4" i="64"/>
  <c r="O9" i="64" s="1"/>
  <c r="N4" i="64"/>
  <c r="M4" i="64"/>
  <c r="M9" i="64" s="1"/>
  <c r="I4" i="64"/>
  <c r="I9" i="64" s="1"/>
  <c r="P74" i="56"/>
  <c r="O74" i="56"/>
  <c r="N74" i="56"/>
  <c r="M74" i="56"/>
  <c r="L74" i="56"/>
  <c r="K74" i="56"/>
  <c r="J74" i="56"/>
  <c r="I74" i="56"/>
  <c r="H74" i="56"/>
  <c r="G74" i="56"/>
  <c r="F74" i="56"/>
  <c r="E74" i="56"/>
  <c r="P72" i="56"/>
  <c r="P71" i="56"/>
  <c r="P70" i="56"/>
  <c r="P69" i="56"/>
  <c r="P68" i="56"/>
  <c r="P67" i="56"/>
  <c r="P66" i="56"/>
  <c r="O65" i="56"/>
  <c r="N65" i="56"/>
  <c r="P65" i="56" s="1"/>
  <c r="M64" i="63" s="1"/>
  <c r="M65" i="56"/>
  <c r="L65" i="56"/>
  <c r="K65" i="56"/>
  <c r="J65" i="56"/>
  <c r="I65" i="56"/>
  <c r="H65" i="56"/>
  <c r="G65" i="56"/>
  <c r="F65" i="56"/>
  <c r="E65" i="56"/>
  <c r="P64" i="56"/>
  <c r="P63" i="56"/>
  <c r="P62" i="56"/>
  <c r="P61" i="56"/>
  <c r="O60" i="56"/>
  <c r="N60" i="56"/>
  <c r="M60" i="56"/>
  <c r="L60" i="56"/>
  <c r="K60" i="56"/>
  <c r="J60" i="56"/>
  <c r="I60" i="56"/>
  <c r="H60" i="56"/>
  <c r="H41" i="56" s="1"/>
  <c r="H40" i="56" s="1"/>
  <c r="G60" i="56"/>
  <c r="F60" i="56"/>
  <c r="E60" i="56"/>
  <c r="P59" i="56"/>
  <c r="P58" i="56"/>
  <c r="O57" i="56"/>
  <c r="N57" i="56"/>
  <c r="M57" i="56"/>
  <c r="L57" i="56"/>
  <c r="K57" i="56"/>
  <c r="J57" i="56"/>
  <c r="I57" i="56"/>
  <c r="H57" i="56"/>
  <c r="G57" i="56"/>
  <c r="F57" i="56"/>
  <c r="E57" i="56"/>
  <c r="P56" i="56"/>
  <c r="O55" i="56"/>
  <c r="N55" i="56"/>
  <c r="M55" i="56"/>
  <c r="L55" i="56"/>
  <c r="K55" i="56"/>
  <c r="J55" i="56"/>
  <c r="I55" i="56"/>
  <c r="H55" i="56"/>
  <c r="G55" i="56"/>
  <c r="F55" i="56"/>
  <c r="E55" i="56"/>
  <c r="O54" i="56"/>
  <c r="N54" i="56"/>
  <c r="N53" i="56" s="1"/>
  <c r="M54" i="56"/>
  <c r="L54" i="56"/>
  <c r="L53" i="56" s="1"/>
  <c r="K54" i="56"/>
  <c r="K53" i="56" s="1"/>
  <c r="J54" i="56"/>
  <c r="I54" i="56"/>
  <c r="H54" i="56"/>
  <c r="G54" i="56"/>
  <c r="G53" i="56" s="1"/>
  <c r="F54" i="56"/>
  <c r="F53" i="56" s="1"/>
  <c r="E54" i="56"/>
  <c r="P54" i="56" s="1"/>
  <c r="O53" i="56"/>
  <c r="M53" i="56"/>
  <c r="J53" i="56"/>
  <c r="I53" i="56"/>
  <c r="H53" i="56"/>
  <c r="E53" i="56"/>
  <c r="I52" i="56"/>
  <c r="O51" i="56"/>
  <c r="N51" i="56"/>
  <c r="M51" i="56"/>
  <c r="L51" i="56"/>
  <c r="K51" i="56"/>
  <c r="J51" i="56"/>
  <c r="H51" i="56"/>
  <c r="G51" i="56"/>
  <c r="F51" i="56"/>
  <c r="E51" i="56"/>
  <c r="O50" i="56"/>
  <c r="N50" i="56"/>
  <c r="M50" i="56"/>
  <c r="L50" i="56"/>
  <c r="L49" i="56" s="1"/>
  <c r="K50" i="56"/>
  <c r="J50" i="56"/>
  <c r="I50" i="56"/>
  <c r="I49" i="56" s="1"/>
  <c r="H50" i="56"/>
  <c r="H49" i="56" s="1"/>
  <c r="G50" i="56"/>
  <c r="F50" i="56"/>
  <c r="E50" i="56"/>
  <c r="O49" i="56"/>
  <c r="N49" i="56"/>
  <c r="M49" i="56"/>
  <c r="K49" i="56"/>
  <c r="J49" i="56"/>
  <c r="G49" i="56"/>
  <c r="F49" i="56"/>
  <c r="O48" i="56"/>
  <c r="N48" i="56"/>
  <c r="M48" i="56"/>
  <c r="L48" i="56"/>
  <c r="K48" i="56"/>
  <c r="J48" i="56"/>
  <c r="I48" i="56"/>
  <c r="H48" i="56"/>
  <c r="G48" i="56"/>
  <c r="F48" i="56"/>
  <c r="E48" i="56"/>
  <c r="N47" i="56"/>
  <c r="M47" i="56"/>
  <c r="J47" i="56"/>
  <c r="J46" i="56" s="1"/>
  <c r="I47" i="56"/>
  <c r="H47" i="56"/>
  <c r="H46" i="56" s="1"/>
  <c r="E47" i="56"/>
  <c r="N46" i="56"/>
  <c r="M46" i="56"/>
  <c r="O45" i="56"/>
  <c r="N45" i="56"/>
  <c r="M45" i="56"/>
  <c r="L45" i="56"/>
  <c r="K45" i="56"/>
  <c r="J45" i="56"/>
  <c r="I45" i="56"/>
  <c r="H45" i="56"/>
  <c r="G45" i="56"/>
  <c r="F45" i="56"/>
  <c r="E45" i="56"/>
  <c r="O44" i="56"/>
  <c r="N44" i="56"/>
  <c r="M44" i="56"/>
  <c r="L44" i="56"/>
  <c r="K44" i="56"/>
  <c r="J44" i="56"/>
  <c r="I44" i="56"/>
  <c r="H44" i="56"/>
  <c r="G44" i="56"/>
  <c r="F44" i="56"/>
  <c r="E44" i="56"/>
  <c r="O43" i="56"/>
  <c r="N43" i="56"/>
  <c r="M43" i="56"/>
  <c r="M42" i="56" s="1"/>
  <c r="L43" i="56"/>
  <c r="K43" i="56"/>
  <c r="J43" i="56"/>
  <c r="I43" i="56"/>
  <c r="H43" i="56"/>
  <c r="G43" i="56"/>
  <c r="F43" i="56"/>
  <c r="E43" i="56"/>
  <c r="P43" i="56" s="1"/>
  <c r="M42" i="63" s="1"/>
  <c r="O42" i="56"/>
  <c r="N42" i="56"/>
  <c r="L42" i="56"/>
  <c r="K42" i="56"/>
  <c r="J42" i="56"/>
  <c r="I42" i="56"/>
  <c r="H42" i="56"/>
  <c r="G42" i="56"/>
  <c r="F42" i="56"/>
  <c r="N41" i="56"/>
  <c r="M41" i="56"/>
  <c r="L41" i="56"/>
  <c r="L40" i="56" s="1"/>
  <c r="J41" i="56"/>
  <c r="N40" i="56"/>
  <c r="M40" i="56"/>
  <c r="J40" i="56"/>
  <c r="P39" i="56"/>
  <c r="P38" i="56"/>
  <c r="N37" i="56"/>
  <c r="M37" i="56"/>
  <c r="P36" i="56"/>
  <c r="O35" i="56"/>
  <c r="N35" i="56"/>
  <c r="M35" i="56"/>
  <c r="M32" i="56" s="1"/>
  <c r="L35" i="56"/>
  <c r="K35" i="56"/>
  <c r="J35" i="56"/>
  <c r="I35" i="56"/>
  <c r="H35" i="56"/>
  <c r="H32" i="56" s="1"/>
  <c r="G35" i="56"/>
  <c r="G32" i="56" s="1"/>
  <c r="F35" i="56"/>
  <c r="E35" i="56"/>
  <c r="P34" i="56"/>
  <c r="O33" i="56"/>
  <c r="N33" i="56"/>
  <c r="N32" i="56" s="1"/>
  <c r="M33" i="56"/>
  <c r="L33" i="56"/>
  <c r="K33" i="56"/>
  <c r="J33" i="56"/>
  <c r="J32" i="56" s="1"/>
  <c r="I33" i="56"/>
  <c r="H33" i="56"/>
  <c r="G33" i="56"/>
  <c r="F33" i="56"/>
  <c r="E33" i="56"/>
  <c r="O32" i="56"/>
  <c r="L32" i="56"/>
  <c r="K32" i="56"/>
  <c r="I32" i="56"/>
  <c r="E32" i="56"/>
  <c r="P31" i="56"/>
  <c r="P30" i="56"/>
  <c r="O29" i="56"/>
  <c r="N29" i="56"/>
  <c r="M29" i="56"/>
  <c r="L29" i="56"/>
  <c r="K29" i="56"/>
  <c r="K28" i="56" s="1"/>
  <c r="J29" i="56"/>
  <c r="J28" i="56" s="1"/>
  <c r="I29" i="56"/>
  <c r="H29" i="56"/>
  <c r="G29" i="56"/>
  <c r="G28" i="56" s="1"/>
  <c r="F29" i="56"/>
  <c r="E29" i="56"/>
  <c r="O28" i="56"/>
  <c r="N28" i="56"/>
  <c r="M28" i="56"/>
  <c r="L28" i="56"/>
  <c r="I28" i="56"/>
  <c r="H28" i="56"/>
  <c r="F28" i="56"/>
  <c r="E28" i="56"/>
  <c r="P28" i="56" s="1"/>
  <c r="M27" i="63" s="1"/>
  <c r="O27" i="56"/>
  <c r="N27" i="56"/>
  <c r="M27" i="56"/>
  <c r="M26" i="56" s="1"/>
  <c r="L27" i="56"/>
  <c r="K27" i="56"/>
  <c r="J27" i="56"/>
  <c r="J26" i="56" s="1"/>
  <c r="I27" i="56"/>
  <c r="H27" i="56"/>
  <c r="G27" i="56"/>
  <c r="G26" i="56" s="1"/>
  <c r="F27" i="56"/>
  <c r="E27" i="56"/>
  <c r="O26" i="56"/>
  <c r="N26" i="56"/>
  <c r="L26" i="56"/>
  <c r="K26" i="56"/>
  <c r="I26" i="56"/>
  <c r="H26" i="56"/>
  <c r="F26" i="56"/>
  <c r="O25" i="56"/>
  <c r="N25" i="56"/>
  <c r="M25" i="56"/>
  <c r="L25" i="56"/>
  <c r="K25" i="56"/>
  <c r="J25" i="56"/>
  <c r="I25" i="56"/>
  <c r="H25" i="56"/>
  <c r="G25" i="56"/>
  <c r="F25" i="56"/>
  <c r="E25" i="56"/>
  <c r="O24" i="56"/>
  <c r="N24" i="56"/>
  <c r="M24" i="56"/>
  <c r="L24" i="56"/>
  <c r="K24" i="56"/>
  <c r="K23" i="56" s="1"/>
  <c r="J24" i="56"/>
  <c r="I24" i="56"/>
  <c r="H24" i="56"/>
  <c r="G24" i="56"/>
  <c r="G23" i="56" s="1"/>
  <c r="F24" i="56"/>
  <c r="E24" i="56"/>
  <c r="O23" i="56"/>
  <c r="N23" i="56"/>
  <c r="M23" i="56"/>
  <c r="L23" i="56"/>
  <c r="I23" i="56"/>
  <c r="H23" i="56"/>
  <c r="F23" i="56"/>
  <c r="E23" i="56"/>
  <c r="O22" i="56"/>
  <c r="N22" i="56"/>
  <c r="M22" i="56"/>
  <c r="L22" i="56"/>
  <c r="K22" i="56"/>
  <c r="K21" i="56" s="1"/>
  <c r="J22" i="56"/>
  <c r="I22" i="56"/>
  <c r="H22" i="56"/>
  <c r="G22" i="56"/>
  <c r="G21" i="56" s="1"/>
  <c r="F22" i="56"/>
  <c r="E22" i="56"/>
  <c r="O21" i="56"/>
  <c r="N21" i="56"/>
  <c r="M21" i="56"/>
  <c r="L21" i="56"/>
  <c r="I21" i="56"/>
  <c r="H21" i="56"/>
  <c r="F21" i="56"/>
  <c r="P20" i="56"/>
  <c r="O19" i="56"/>
  <c r="N19" i="56"/>
  <c r="N16" i="56" s="1"/>
  <c r="N5" i="56" s="1"/>
  <c r="M19" i="56"/>
  <c r="L19" i="56"/>
  <c r="L16" i="56" s="1"/>
  <c r="K19" i="56"/>
  <c r="K16" i="56" s="1"/>
  <c r="J19" i="56"/>
  <c r="H19" i="56"/>
  <c r="H16" i="56" s="1"/>
  <c r="F19" i="56"/>
  <c r="P18" i="56"/>
  <c r="P17" i="56"/>
  <c r="O16" i="56"/>
  <c r="M16" i="56"/>
  <c r="J16" i="56"/>
  <c r="F16" i="56"/>
  <c r="O15" i="56"/>
  <c r="N15" i="56"/>
  <c r="M15" i="56"/>
  <c r="L15" i="56"/>
  <c r="K15" i="56"/>
  <c r="J15" i="56"/>
  <c r="I15" i="56"/>
  <c r="H15" i="56"/>
  <c r="G15" i="56"/>
  <c r="F15" i="56"/>
  <c r="E15" i="56"/>
  <c r="O14" i="56"/>
  <c r="N14" i="56"/>
  <c r="M14" i="56"/>
  <c r="L14" i="56"/>
  <c r="K14" i="56"/>
  <c r="J14" i="56"/>
  <c r="I14" i="56"/>
  <c r="H14" i="56"/>
  <c r="G14" i="56"/>
  <c r="G13" i="56" s="1"/>
  <c r="F14" i="56"/>
  <c r="E14" i="56"/>
  <c r="O13" i="56"/>
  <c r="N13" i="56"/>
  <c r="M13" i="56"/>
  <c r="L13" i="56"/>
  <c r="K13" i="56"/>
  <c r="J13" i="56"/>
  <c r="I13" i="56"/>
  <c r="H13" i="56"/>
  <c r="E13" i="56"/>
  <c r="O12" i="56"/>
  <c r="N12" i="56"/>
  <c r="M12" i="56"/>
  <c r="J12" i="56"/>
  <c r="F12" i="56"/>
  <c r="F11" i="56" s="1"/>
  <c r="F9" i="56" s="1"/>
  <c r="O11" i="56"/>
  <c r="O9" i="56" s="1"/>
  <c r="O5" i="56" s="1"/>
  <c r="N11" i="56"/>
  <c r="N9" i="56" s="1"/>
  <c r="M11" i="56"/>
  <c r="M9" i="56" s="1"/>
  <c r="J11" i="56"/>
  <c r="P10" i="56"/>
  <c r="J9" i="56"/>
  <c r="P8" i="56"/>
  <c r="P7" i="56"/>
  <c r="O6" i="56"/>
  <c r="N6" i="56"/>
  <c r="M6" i="56"/>
  <c r="L6" i="56"/>
  <c r="K6" i="56"/>
  <c r="J6" i="56"/>
  <c r="I6" i="56"/>
  <c r="H6" i="56"/>
  <c r="G6" i="56"/>
  <c r="F6" i="56"/>
  <c r="E6" i="56"/>
  <c r="S74" i="57"/>
  <c r="Q74" i="57"/>
  <c r="J74" i="57"/>
  <c r="I74" i="57"/>
  <c r="F74" i="57"/>
  <c r="E74" i="57"/>
  <c r="L72" i="57"/>
  <c r="K72" i="57"/>
  <c r="T72" i="57" s="1"/>
  <c r="T71" i="57"/>
  <c r="S71" i="57"/>
  <c r="L71" i="57"/>
  <c r="K71" i="57"/>
  <c r="T70" i="57"/>
  <c r="L69" i="63" s="1"/>
  <c r="T69" i="57"/>
  <c r="T68" i="57"/>
  <c r="T67" i="57"/>
  <c r="T66" i="57"/>
  <c r="S65" i="57"/>
  <c r="R65" i="57"/>
  <c r="Q65" i="57"/>
  <c r="P65" i="57"/>
  <c r="O65" i="57"/>
  <c r="N65" i="57"/>
  <c r="M65" i="57"/>
  <c r="L65" i="57"/>
  <c r="K65" i="57"/>
  <c r="J65" i="57"/>
  <c r="I65" i="57"/>
  <c r="H65" i="57"/>
  <c r="G65" i="57"/>
  <c r="F65" i="57"/>
  <c r="E65" i="57"/>
  <c r="T64" i="57"/>
  <c r="T63" i="57"/>
  <c r="T62" i="57"/>
  <c r="T61" i="57"/>
  <c r="S60" i="57"/>
  <c r="R60" i="57"/>
  <c r="R41" i="57" s="1"/>
  <c r="P60" i="57"/>
  <c r="O60" i="57"/>
  <c r="N60" i="57"/>
  <c r="M60" i="57"/>
  <c r="L60" i="57"/>
  <c r="K60" i="57"/>
  <c r="J60" i="57"/>
  <c r="J47" i="57" s="1"/>
  <c r="I60" i="57"/>
  <c r="I12" i="57" s="1"/>
  <c r="I11" i="57" s="1"/>
  <c r="H60" i="57"/>
  <c r="H20" i="57" s="1"/>
  <c r="G60" i="57"/>
  <c r="G20" i="57" s="1"/>
  <c r="G16" i="57" s="1"/>
  <c r="F60" i="57"/>
  <c r="E60" i="57"/>
  <c r="T59" i="57"/>
  <c r="T58" i="57"/>
  <c r="L57" i="63" s="1"/>
  <c r="S57" i="57"/>
  <c r="R57" i="57"/>
  <c r="Q57" i="57"/>
  <c r="P57" i="57"/>
  <c r="O57" i="57"/>
  <c r="N57" i="57"/>
  <c r="M57" i="57"/>
  <c r="L57" i="57"/>
  <c r="K57" i="57"/>
  <c r="J57" i="57"/>
  <c r="I57" i="57"/>
  <c r="H57" i="57"/>
  <c r="G57" i="57"/>
  <c r="F57" i="57"/>
  <c r="E57" i="57"/>
  <c r="T56" i="57"/>
  <c r="S55" i="57"/>
  <c r="R55" i="57"/>
  <c r="Q55" i="57"/>
  <c r="P55" i="57"/>
  <c r="O55" i="57"/>
  <c r="N55" i="57"/>
  <c r="M55" i="57"/>
  <c r="L55" i="57"/>
  <c r="K55" i="57"/>
  <c r="J55" i="57"/>
  <c r="I55" i="57"/>
  <c r="H55" i="57"/>
  <c r="G55" i="57"/>
  <c r="F55" i="57"/>
  <c r="E55" i="57"/>
  <c r="S54" i="57"/>
  <c r="R54" i="57"/>
  <c r="Q54" i="57"/>
  <c r="P54" i="57"/>
  <c r="P53" i="57" s="1"/>
  <c r="O54" i="57"/>
  <c r="O53" i="57" s="1"/>
  <c r="N54" i="57"/>
  <c r="N53" i="57" s="1"/>
  <c r="T53" i="57" s="1"/>
  <c r="L52" i="63" s="1"/>
  <c r="M54" i="57"/>
  <c r="L54" i="57"/>
  <c r="K54" i="57"/>
  <c r="K53" i="57" s="1"/>
  <c r="J54" i="57"/>
  <c r="I54" i="57"/>
  <c r="I53" i="57" s="1"/>
  <c r="H54" i="57"/>
  <c r="T54" i="57" s="1"/>
  <c r="G54" i="57"/>
  <c r="F54" i="57"/>
  <c r="E54" i="57"/>
  <c r="S53" i="57"/>
  <c r="R53" i="57"/>
  <c r="Q53" i="57"/>
  <c r="M53" i="57"/>
  <c r="L53" i="57"/>
  <c r="J53" i="57"/>
  <c r="H53" i="57"/>
  <c r="G53" i="57"/>
  <c r="F53" i="57"/>
  <c r="E53" i="57"/>
  <c r="T52" i="57"/>
  <c r="L52" i="57"/>
  <c r="H52" i="57"/>
  <c r="S51" i="57"/>
  <c r="R51" i="57"/>
  <c r="Q51" i="57"/>
  <c r="P51" i="57"/>
  <c r="O51" i="57"/>
  <c r="N51" i="57"/>
  <c r="M51" i="57"/>
  <c r="L51" i="57"/>
  <c r="K51" i="57"/>
  <c r="J51" i="57"/>
  <c r="I51" i="57"/>
  <c r="H51" i="57"/>
  <c r="G51" i="57"/>
  <c r="F51" i="57"/>
  <c r="E51" i="57"/>
  <c r="S50" i="57"/>
  <c r="S49" i="57" s="1"/>
  <c r="Q50" i="57"/>
  <c r="Q49" i="57" s="1"/>
  <c r="P50" i="57"/>
  <c r="P49" i="57" s="1"/>
  <c r="K50" i="57"/>
  <c r="K49" i="57" s="1"/>
  <c r="H50" i="57"/>
  <c r="G50" i="57"/>
  <c r="G49" i="57" s="1"/>
  <c r="F50" i="57"/>
  <c r="F49" i="57" s="1"/>
  <c r="J49" i="57"/>
  <c r="H49" i="57"/>
  <c r="S48" i="57"/>
  <c r="R48" i="57"/>
  <c r="Q48" i="57"/>
  <c r="Q46" i="57" s="1"/>
  <c r="P48" i="57"/>
  <c r="O48" i="57"/>
  <c r="N48" i="57"/>
  <c r="M48" i="57"/>
  <c r="L48" i="57"/>
  <c r="K48" i="57"/>
  <c r="K46" i="57" s="1"/>
  <c r="J48" i="57"/>
  <c r="J46" i="57" s="1"/>
  <c r="I48" i="57"/>
  <c r="I46" i="57" s="1"/>
  <c r="H48" i="57"/>
  <c r="G48" i="57"/>
  <c r="F48" i="57"/>
  <c r="E48" i="57"/>
  <c r="T48" i="57" s="1"/>
  <c r="L47" i="63" s="1"/>
  <c r="S47" i="57"/>
  <c r="S46" i="57" s="1"/>
  <c r="R47" i="57"/>
  <c r="R46" i="57" s="1"/>
  <c r="Q47" i="57"/>
  <c r="P47" i="57"/>
  <c r="N47" i="57"/>
  <c r="N46" i="57" s="1"/>
  <c r="K47" i="57"/>
  <c r="I47" i="57"/>
  <c r="G47" i="57"/>
  <c r="F47" i="57"/>
  <c r="E47" i="57"/>
  <c r="P46" i="57"/>
  <c r="G46" i="57"/>
  <c r="F46" i="57"/>
  <c r="S45" i="57"/>
  <c r="S44" i="57" s="1"/>
  <c r="R45" i="57"/>
  <c r="Q45" i="57"/>
  <c r="P45" i="57"/>
  <c r="O45" i="57"/>
  <c r="O44" i="57" s="1"/>
  <c r="N45" i="57"/>
  <c r="M45" i="57"/>
  <c r="L45" i="57"/>
  <c r="K45" i="57"/>
  <c r="K44" i="57" s="1"/>
  <c r="J45" i="57"/>
  <c r="J44" i="57" s="1"/>
  <c r="I45" i="57"/>
  <c r="I44" i="57" s="1"/>
  <c r="H45" i="57"/>
  <c r="H44" i="57" s="1"/>
  <c r="G45" i="57"/>
  <c r="F45" i="57"/>
  <c r="E45" i="57"/>
  <c r="R44" i="57"/>
  <c r="Q44" i="57"/>
  <c r="P44" i="57"/>
  <c r="N44" i="57"/>
  <c r="M44" i="57"/>
  <c r="L44" i="57"/>
  <c r="G44" i="57"/>
  <c r="F44" i="57"/>
  <c r="E44" i="57"/>
  <c r="S43" i="57"/>
  <c r="S42" i="57" s="1"/>
  <c r="R43" i="57"/>
  <c r="R42" i="57" s="1"/>
  <c r="Q43" i="57"/>
  <c r="Q42" i="57" s="1"/>
  <c r="P43" i="57"/>
  <c r="P42" i="57" s="1"/>
  <c r="O43" i="57"/>
  <c r="N43" i="57"/>
  <c r="M43" i="57"/>
  <c r="L43" i="57"/>
  <c r="K43" i="57"/>
  <c r="K42" i="57" s="1"/>
  <c r="J43" i="57"/>
  <c r="I43" i="57"/>
  <c r="H43" i="57"/>
  <c r="G43" i="57"/>
  <c r="G42" i="57" s="1"/>
  <c r="F43" i="57"/>
  <c r="F42" i="57" s="1"/>
  <c r="E43" i="57"/>
  <c r="O42" i="57"/>
  <c r="N42" i="57"/>
  <c r="M42" i="57"/>
  <c r="L42" i="57"/>
  <c r="J42" i="57"/>
  <c r="I42" i="57"/>
  <c r="H42" i="57"/>
  <c r="S41" i="57"/>
  <c r="S40" i="57" s="1"/>
  <c r="Q41" i="57"/>
  <c r="P41" i="57"/>
  <c r="N41" i="57"/>
  <c r="N40" i="57" s="1"/>
  <c r="K41" i="57"/>
  <c r="G41" i="57"/>
  <c r="G40" i="57" s="1"/>
  <c r="E41" i="57"/>
  <c r="R40" i="57"/>
  <c r="Q40" i="57"/>
  <c r="P40" i="57"/>
  <c r="K40" i="57"/>
  <c r="K37" i="57" s="1"/>
  <c r="E40" i="57"/>
  <c r="R39" i="57"/>
  <c r="P39" i="57"/>
  <c r="O39" i="57"/>
  <c r="J39" i="57"/>
  <c r="I39" i="57"/>
  <c r="T39" i="57" s="1"/>
  <c r="L38" i="63" s="1"/>
  <c r="H39" i="57"/>
  <c r="T38" i="57"/>
  <c r="S36" i="57"/>
  <c r="S35" i="57" s="1"/>
  <c r="Q36" i="57"/>
  <c r="O36" i="57"/>
  <c r="N36" i="57"/>
  <c r="M36" i="57"/>
  <c r="L36" i="57"/>
  <c r="K36" i="57"/>
  <c r="K35" i="57" s="1"/>
  <c r="J36" i="57"/>
  <c r="J35" i="57" s="1"/>
  <c r="J32" i="57" s="1"/>
  <c r="I36" i="57"/>
  <c r="H36" i="57"/>
  <c r="H35" i="57" s="1"/>
  <c r="G36" i="57"/>
  <c r="G35" i="57" s="1"/>
  <c r="F36" i="57"/>
  <c r="F35" i="57" s="1"/>
  <c r="E36" i="57"/>
  <c r="R35" i="57"/>
  <c r="Q35" i="57"/>
  <c r="P35" i="57"/>
  <c r="O35" i="57"/>
  <c r="N35" i="57"/>
  <c r="M35" i="57"/>
  <c r="L35" i="57"/>
  <c r="I35" i="57"/>
  <c r="I32" i="57" s="1"/>
  <c r="E35" i="57"/>
  <c r="S34" i="57"/>
  <c r="R34" i="57"/>
  <c r="R74" i="57" s="1"/>
  <c r="P34" i="57"/>
  <c r="P74" i="57" s="1"/>
  <c r="O34" i="57"/>
  <c r="N34" i="57"/>
  <c r="M34" i="57"/>
  <c r="L34" i="57"/>
  <c r="K34" i="57"/>
  <c r="K74" i="57" s="1"/>
  <c r="I34" i="57"/>
  <c r="H34" i="57"/>
  <c r="H74" i="57" s="1"/>
  <c r="G34" i="57"/>
  <c r="G74" i="57" s="1"/>
  <c r="F34" i="57"/>
  <c r="E34" i="57"/>
  <c r="S33" i="57"/>
  <c r="R33" i="57"/>
  <c r="R32" i="57" s="1"/>
  <c r="Q33" i="57"/>
  <c r="P33" i="57"/>
  <c r="P32" i="57" s="1"/>
  <c r="K33" i="57"/>
  <c r="K32" i="57" s="1"/>
  <c r="J33" i="57"/>
  <c r="I33" i="57"/>
  <c r="H33" i="57"/>
  <c r="G33" i="57"/>
  <c r="G32" i="57" s="1"/>
  <c r="F33" i="57"/>
  <c r="E33" i="57"/>
  <c r="S32" i="57"/>
  <c r="T31" i="57"/>
  <c r="S30" i="57"/>
  <c r="R30" i="57"/>
  <c r="Q30" i="57"/>
  <c r="O30" i="57"/>
  <c r="N30" i="57"/>
  <c r="M30" i="57"/>
  <c r="L30" i="57"/>
  <c r="K30" i="57"/>
  <c r="K15" i="57" s="1"/>
  <c r="J30" i="57"/>
  <c r="J50" i="57" s="1"/>
  <c r="I30" i="57"/>
  <c r="I15" i="57" s="1"/>
  <c r="H30" i="57"/>
  <c r="H15" i="57" s="1"/>
  <c r="G30" i="57"/>
  <c r="G15" i="57" s="1"/>
  <c r="F30" i="57"/>
  <c r="F25" i="57" s="1"/>
  <c r="E30" i="57"/>
  <c r="S29" i="57"/>
  <c r="S28" i="57" s="1"/>
  <c r="Q29" i="57"/>
  <c r="Q28" i="57" s="1"/>
  <c r="P29" i="57"/>
  <c r="P28" i="57" s="1"/>
  <c r="K29" i="57"/>
  <c r="K28" i="57" s="1"/>
  <c r="J29" i="57"/>
  <c r="I29" i="57"/>
  <c r="H29" i="57"/>
  <c r="G29" i="57"/>
  <c r="F29" i="57"/>
  <c r="F28" i="57" s="1"/>
  <c r="J28" i="57"/>
  <c r="I28" i="57"/>
  <c r="H28" i="57"/>
  <c r="G28" i="57"/>
  <c r="S27" i="57"/>
  <c r="S26" i="57" s="1"/>
  <c r="Q27" i="57"/>
  <c r="P27" i="57"/>
  <c r="O27" i="57"/>
  <c r="O26" i="57" s="1"/>
  <c r="N27" i="57"/>
  <c r="N26" i="57" s="1"/>
  <c r="M27" i="57"/>
  <c r="M26" i="57" s="1"/>
  <c r="L27" i="57"/>
  <c r="L26" i="57" s="1"/>
  <c r="J27" i="57"/>
  <c r="I27" i="57"/>
  <c r="H27" i="57"/>
  <c r="G27" i="57"/>
  <c r="F27" i="57"/>
  <c r="Q26" i="57"/>
  <c r="P26" i="57"/>
  <c r="J26" i="57"/>
  <c r="I26" i="57"/>
  <c r="H26" i="57"/>
  <c r="G26" i="57"/>
  <c r="F26" i="57"/>
  <c r="S25" i="57"/>
  <c r="P25" i="57"/>
  <c r="O25" i="57"/>
  <c r="M25" i="57"/>
  <c r="L25" i="57"/>
  <c r="J25" i="57"/>
  <c r="J23" i="57" s="1"/>
  <c r="I25" i="57"/>
  <c r="H25" i="57"/>
  <c r="S24" i="57"/>
  <c r="Q24" i="57"/>
  <c r="P24" i="57"/>
  <c r="O24" i="57"/>
  <c r="M24" i="57"/>
  <c r="L24" i="57"/>
  <c r="L23" i="57" s="1"/>
  <c r="J24" i="57"/>
  <c r="I24" i="57"/>
  <c r="H24" i="57"/>
  <c r="F24" i="57"/>
  <c r="E24" i="57"/>
  <c r="S23" i="57"/>
  <c r="S21" i="57" s="1"/>
  <c r="P23" i="57"/>
  <c r="P21" i="57" s="1"/>
  <c r="I23" i="57"/>
  <c r="H23" i="57"/>
  <c r="F23" i="57"/>
  <c r="S22" i="57"/>
  <c r="P22" i="57"/>
  <c r="M22" i="57"/>
  <c r="J22" i="57"/>
  <c r="J21" i="57" s="1"/>
  <c r="I22" i="57"/>
  <c r="I21" i="57" s="1"/>
  <c r="H22" i="57"/>
  <c r="G22" i="57"/>
  <c r="R20" i="57"/>
  <c r="O20" i="57"/>
  <c r="J20" i="57"/>
  <c r="J16" i="57" s="1"/>
  <c r="I20" i="57"/>
  <c r="I16" i="57" s="1"/>
  <c r="R19" i="57"/>
  <c r="R16" i="57" s="1"/>
  <c r="Q19" i="57"/>
  <c r="Q16" i="57" s="1"/>
  <c r="P19" i="57"/>
  <c r="P16" i="57" s="1"/>
  <c r="N19" i="57"/>
  <c r="L19" i="57"/>
  <c r="L16" i="57" s="1"/>
  <c r="K19" i="57"/>
  <c r="J19" i="57"/>
  <c r="I19" i="57"/>
  <c r="H19" i="57"/>
  <c r="H16" i="57" s="1"/>
  <c r="G19" i="57"/>
  <c r="F19" i="57"/>
  <c r="E19" i="57"/>
  <c r="T18" i="57"/>
  <c r="T17" i="57"/>
  <c r="N16" i="57"/>
  <c r="K16" i="57"/>
  <c r="S15" i="57"/>
  <c r="P15" i="57"/>
  <c r="L15" i="57"/>
  <c r="J15" i="57"/>
  <c r="F15" i="57"/>
  <c r="S14" i="57"/>
  <c r="Q14" i="57"/>
  <c r="P14" i="57"/>
  <c r="P13" i="57" s="1"/>
  <c r="O14" i="57"/>
  <c r="J14" i="57"/>
  <c r="H14" i="57"/>
  <c r="G14" i="57"/>
  <c r="F14" i="57"/>
  <c r="S13" i="57"/>
  <c r="J13" i="57"/>
  <c r="H13" i="57"/>
  <c r="G13" i="57"/>
  <c r="R12" i="57"/>
  <c r="R11" i="57" s="1"/>
  <c r="R9" i="57" s="1"/>
  <c r="Q12" i="57"/>
  <c r="P12" i="57"/>
  <c r="N12" i="57"/>
  <c r="N11" i="57" s="1"/>
  <c r="L12" i="57"/>
  <c r="L11" i="57" s="1"/>
  <c r="K12" i="57"/>
  <c r="K11" i="57" s="1"/>
  <c r="J12" i="57"/>
  <c r="G12" i="57"/>
  <c r="F12" i="57"/>
  <c r="Q11" i="57"/>
  <c r="Q9" i="57" s="1"/>
  <c r="P11" i="57"/>
  <c r="J11" i="57"/>
  <c r="G11" i="57"/>
  <c r="F11" i="57"/>
  <c r="S10" i="57"/>
  <c r="R10" i="57"/>
  <c r="Q10" i="57"/>
  <c r="P10" i="57"/>
  <c r="O10" i="57"/>
  <c r="N10" i="57"/>
  <c r="M10" i="57"/>
  <c r="L10" i="57"/>
  <c r="K10" i="57"/>
  <c r="K9" i="57" s="1"/>
  <c r="J10" i="57"/>
  <c r="I10" i="57"/>
  <c r="I9" i="57" s="1"/>
  <c r="H10" i="57"/>
  <c r="G10" i="57"/>
  <c r="F10" i="57"/>
  <c r="E10" i="57"/>
  <c r="P9" i="57"/>
  <c r="N9" i="57"/>
  <c r="L9" i="57"/>
  <c r="F9" i="57"/>
  <c r="S8" i="57"/>
  <c r="R8" i="57"/>
  <c r="Q8" i="57"/>
  <c r="Q6" i="57" s="1"/>
  <c r="P8" i="57"/>
  <c r="P6" i="57" s="1"/>
  <c r="O8" i="57"/>
  <c r="N8" i="57"/>
  <c r="M8" i="57"/>
  <c r="L8" i="57"/>
  <c r="K8" i="57"/>
  <c r="J8" i="57"/>
  <c r="J6" i="57" s="1"/>
  <c r="I8" i="57"/>
  <c r="H8" i="57"/>
  <c r="T8" i="57" s="1"/>
  <c r="L7" i="63" s="1"/>
  <c r="G8" i="57"/>
  <c r="F8" i="57"/>
  <c r="E8" i="57"/>
  <c r="E6" i="57" s="1"/>
  <c r="S7" i="57"/>
  <c r="R7" i="57"/>
  <c r="Q7" i="57"/>
  <c r="P7" i="57"/>
  <c r="O7" i="57"/>
  <c r="N7" i="57"/>
  <c r="M7" i="57"/>
  <c r="L7" i="57"/>
  <c r="L6" i="57" s="1"/>
  <c r="K7" i="57"/>
  <c r="J7" i="57"/>
  <c r="I7" i="57"/>
  <c r="I6" i="57" s="1"/>
  <c r="H7" i="57"/>
  <c r="G7" i="57"/>
  <c r="F7" i="57"/>
  <c r="E7" i="57"/>
  <c r="R6" i="57"/>
  <c r="O6" i="57"/>
  <c r="N6" i="57"/>
  <c r="M6" i="57"/>
  <c r="K6" i="57"/>
  <c r="F6" i="57"/>
  <c r="N72" i="58"/>
  <c r="N71" i="58"/>
  <c r="N70" i="58"/>
  <c r="K69" i="63" s="1"/>
  <c r="N69" i="58"/>
  <c r="N68" i="58"/>
  <c r="K67" i="63" s="1"/>
  <c r="N67" i="58"/>
  <c r="N66" i="58"/>
  <c r="K65" i="63" s="1"/>
  <c r="M65" i="58"/>
  <c r="L65" i="58"/>
  <c r="K65" i="58"/>
  <c r="J65" i="58"/>
  <c r="I65" i="58"/>
  <c r="H65" i="58"/>
  <c r="G65" i="58"/>
  <c r="F65" i="58"/>
  <c r="E65" i="58"/>
  <c r="N65" i="58" s="1"/>
  <c r="K64" i="63" s="1"/>
  <c r="N64" i="58"/>
  <c r="K63" i="63" s="1"/>
  <c r="N63" i="58"/>
  <c r="N62" i="58"/>
  <c r="N61" i="58"/>
  <c r="M60" i="58"/>
  <c r="L60" i="58"/>
  <c r="K60" i="58"/>
  <c r="K47" i="58" s="1"/>
  <c r="J60" i="58"/>
  <c r="J12" i="58" s="1"/>
  <c r="I60" i="58"/>
  <c r="H60" i="58"/>
  <c r="G60" i="58"/>
  <c r="F60" i="58"/>
  <c r="E60" i="58"/>
  <c r="E41" i="58" s="1"/>
  <c r="N59" i="58"/>
  <c r="N58" i="58"/>
  <c r="M57" i="58"/>
  <c r="L57" i="58"/>
  <c r="K57" i="58"/>
  <c r="J57" i="58"/>
  <c r="I57" i="58"/>
  <c r="H57" i="58"/>
  <c r="G57" i="58"/>
  <c r="F57" i="58"/>
  <c r="E57" i="58"/>
  <c r="N57" i="58" s="1"/>
  <c r="K56" i="63" s="1"/>
  <c r="N56" i="58"/>
  <c r="K55" i="63" s="1"/>
  <c r="M55" i="58"/>
  <c r="L55" i="58"/>
  <c r="K55" i="58"/>
  <c r="J55" i="58"/>
  <c r="I55" i="58"/>
  <c r="H55" i="58"/>
  <c r="G55" i="58"/>
  <c r="F55" i="58"/>
  <c r="N55" i="58" s="1"/>
  <c r="E55" i="58"/>
  <c r="M54" i="58"/>
  <c r="M53" i="58" s="1"/>
  <c r="L54" i="58"/>
  <c r="K54" i="58"/>
  <c r="J54" i="58"/>
  <c r="I54" i="58"/>
  <c r="H54" i="58"/>
  <c r="G54" i="58"/>
  <c r="G53" i="58" s="1"/>
  <c r="F54" i="58"/>
  <c r="F53" i="58" s="1"/>
  <c r="E54" i="58"/>
  <c r="L53" i="58"/>
  <c r="K53" i="58"/>
  <c r="J53" i="58"/>
  <c r="I53" i="58"/>
  <c r="H53" i="58"/>
  <c r="E53" i="58"/>
  <c r="N52" i="58"/>
  <c r="L52" i="58"/>
  <c r="M51" i="58"/>
  <c r="L51" i="58"/>
  <c r="K51" i="58"/>
  <c r="J51" i="58"/>
  <c r="I51" i="58"/>
  <c r="H51" i="58"/>
  <c r="G51" i="58"/>
  <c r="F51" i="58"/>
  <c r="E51" i="58"/>
  <c r="M50" i="58"/>
  <c r="L50" i="58"/>
  <c r="L49" i="58" s="1"/>
  <c r="K50" i="58"/>
  <c r="K49" i="58" s="1"/>
  <c r="J50" i="58"/>
  <c r="J49" i="58" s="1"/>
  <c r="I50" i="58"/>
  <c r="H50" i="58"/>
  <c r="H49" i="58" s="1"/>
  <c r="G50" i="58"/>
  <c r="G49" i="58" s="1"/>
  <c r="F50" i="58"/>
  <c r="F49" i="58" s="1"/>
  <c r="M49" i="58"/>
  <c r="I49" i="58"/>
  <c r="M48" i="58"/>
  <c r="L48" i="58"/>
  <c r="K48" i="58"/>
  <c r="J48" i="58"/>
  <c r="I48" i="58"/>
  <c r="H48" i="58"/>
  <c r="G48" i="58"/>
  <c r="F48" i="58"/>
  <c r="E48" i="58"/>
  <c r="N48" i="58" s="1"/>
  <c r="K47" i="63" s="1"/>
  <c r="M47" i="58"/>
  <c r="M46" i="58" s="1"/>
  <c r="L47" i="58"/>
  <c r="L46" i="58" s="1"/>
  <c r="H47" i="58"/>
  <c r="H46" i="58" s="1"/>
  <c r="K46" i="58"/>
  <c r="M45" i="58"/>
  <c r="M44" i="58" s="1"/>
  <c r="L45" i="58"/>
  <c r="L44" i="58" s="1"/>
  <c r="K45" i="58"/>
  <c r="K44" i="58" s="1"/>
  <c r="J45" i="58"/>
  <c r="N45" i="58" s="1"/>
  <c r="K44" i="63" s="1"/>
  <c r="I45" i="58"/>
  <c r="H45" i="58"/>
  <c r="G45" i="58"/>
  <c r="F45" i="58"/>
  <c r="E45" i="58"/>
  <c r="E44" i="58" s="1"/>
  <c r="I44" i="58"/>
  <c r="H44" i="58"/>
  <c r="G44" i="58"/>
  <c r="F44" i="58"/>
  <c r="M43" i="58"/>
  <c r="M42" i="58" s="1"/>
  <c r="L43" i="58"/>
  <c r="L42" i="58" s="1"/>
  <c r="K43" i="58"/>
  <c r="J43" i="58"/>
  <c r="J42" i="58" s="1"/>
  <c r="I43" i="58"/>
  <c r="I42" i="58" s="1"/>
  <c r="H43" i="58"/>
  <c r="H42" i="58" s="1"/>
  <c r="G43" i="58"/>
  <c r="G42" i="58" s="1"/>
  <c r="F43" i="58"/>
  <c r="F42" i="58" s="1"/>
  <c r="E43" i="58"/>
  <c r="K42" i="58"/>
  <c r="M41" i="58"/>
  <c r="L41" i="58"/>
  <c r="L40" i="58" s="1"/>
  <c r="H41" i="58"/>
  <c r="H40" i="58" s="1"/>
  <c r="M40" i="58"/>
  <c r="N39" i="58"/>
  <c r="N38" i="58"/>
  <c r="K37" i="63" s="1"/>
  <c r="E36" i="58"/>
  <c r="E35" i="58" s="1"/>
  <c r="M35" i="58"/>
  <c r="M32" i="58" s="1"/>
  <c r="L35" i="58"/>
  <c r="K35" i="58"/>
  <c r="K32" i="58" s="1"/>
  <c r="J35" i="58"/>
  <c r="I35" i="58"/>
  <c r="H35" i="58"/>
  <c r="G35" i="58"/>
  <c r="F35" i="58"/>
  <c r="N34" i="58"/>
  <c r="E34" i="58"/>
  <c r="E33" i="58" s="1"/>
  <c r="M33" i="58"/>
  <c r="L33" i="58"/>
  <c r="L32" i="58" s="1"/>
  <c r="K33" i="58"/>
  <c r="J33" i="58"/>
  <c r="I33" i="58"/>
  <c r="H33" i="58"/>
  <c r="G33" i="58"/>
  <c r="G32" i="58" s="1"/>
  <c r="F33" i="58"/>
  <c r="I32" i="58"/>
  <c r="H32" i="58"/>
  <c r="N31" i="58"/>
  <c r="E30" i="58"/>
  <c r="M29" i="58"/>
  <c r="M28" i="58" s="1"/>
  <c r="L29" i="58"/>
  <c r="L28" i="58" s="1"/>
  <c r="K29" i="58"/>
  <c r="J29" i="58"/>
  <c r="I29" i="58"/>
  <c r="H29" i="58"/>
  <c r="G29" i="58"/>
  <c r="F29" i="58"/>
  <c r="F28" i="58" s="1"/>
  <c r="K28" i="58"/>
  <c r="J28" i="58"/>
  <c r="I28" i="58"/>
  <c r="H28" i="58"/>
  <c r="G28" i="58"/>
  <c r="M27" i="58"/>
  <c r="M26" i="58" s="1"/>
  <c r="L27" i="58"/>
  <c r="K27" i="58"/>
  <c r="J27" i="58"/>
  <c r="J26" i="58" s="1"/>
  <c r="I27" i="58"/>
  <c r="H27" i="58"/>
  <c r="H26" i="58" s="1"/>
  <c r="G27" i="58"/>
  <c r="G26" i="58" s="1"/>
  <c r="F27" i="58"/>
  <c r="F26" i="58" s="1"/>
  <c r="E27" i="58"/>
  <c r="L26" i="58"/>
  <c r="K26" i="58"/>
  <c r="I26" i="58"/>
  <c r="M25" i="58"/>
  <c r="L25" i="58"/>
  <c r="K25" i="58"/>
  <c r="J25" i="58"/>
  <c r="I25" i="58"/>
  <c r="I23" i="58" s="1"/>
  <c r="I21" i="58" s="1"/>
  <c r="H25" i="58"/>
  <c r="G25" i="58"/>
  <c r="F25" i="58"/>
  <c r="F23" i="58" s="1"/>
  <c r="M24" i="58"/>
  <c r="M23" i="58" s="1"/>
  <c r="L24" i="58"/>
  <c r="K24" i="58"/>
  <c r="K23" i="58" s="1"/>
  <c r="J24" i="58"/>
  <c r="I24" i="58"/>
  <c r="H24" i="58"/>
  <c r="H23" i="58" s="1"/>
  <c r="G24" i="58"/>
  <c r="F24" i="58"/>
  <c r="E24" i="58"/>
  <c r="N24" i="58" s="1"/>
  <c r="L23" i="58"/>
  <c r="J23" i="58"/>
  <c r="M22" i="58"/>
  <c r="M21" i="58" s="1"/>
  <c r="L22" i="58"/>
  <c r="L21" i="58" s="1"/>
  <c r="K22" i="58"/>
  <c r="J22" i="58"/>
  <c r="I22" i="58"/>
  <c r="H22" i="58"/>
  <c r="G22" i="58"/>
  <c r="F22" i="58"/>
  <c r="J21" i="58"/>
  <c r="H21" i="58"/>
  <c r="F21" i="58"/>
  <c r="L20" i="58"/>
  <c r="K20" i="58"/>
  <c r="M19" i="58"/>
  <c r="L19" i="58"/>
  <c r="L16" i="58" s="1"/>
  <c r="K19" i="58"/>
  <c r="J19" i="58"/>
  <c r="J16" i="58" s="1"/>
  <c r="I19" i="58"/>
  <c r="I16" i="58" s="1"/>
  <c r="H19" i="58"/>
  <c r="H16" i="58" s="1"/>
  <c r="G19" i="58"/>
  <c r="N18" i="58"/>
  <c r="N17" i="58"/>
  <c r="M16" i="58"/>
  <c r="K16" i="58"/>
  <c r="M15" i="58"/>
  <c r="M13" i="58" s="1"/>
  <c r="L15" i="58"/>
  <c r="K15" i="58"/>
  <c r="J15" i="58"/>
  <c r="J13" i="58" s="1"/>
  <c r="I15" i="58"/>
  <c r="H15" i="58"/>
  <c r="G15" i="58"/>
  <c r="F15" i="58"/>
  <c r="M14" i="58"/>
  <c r="L14" i="58"/>
  <c r="L13" i="58" s="1"/>
  <c r="K14" i="58"/>
  <c r="J14" i="58"/>
  <c r="I14" i="58"/>
  <c r="H14" i="58"/>
  <c r="G14" i="58"/>
  <c r="G13" i="58" s="1"/>
  <c r="F14" i="58"/>
  <c r="F13" i="58" s="1"/>
  <c r="E14" i="58"/>
  <c r="M12" i="58"/>
  <c r="M11" i="58" s="1"/>
  <c r="M9" i="58" s="1"/>
  <c r="L12" i="58"/>
  <c r="K12" i="58"/>
  <c r="K11" i="58" s="1"/>
  <c r="K9" i="58" s="1"/>
  <c r="H12" i="58"/>
  <c r="H11" i="58" s="1"/>
  <c r="H9" i="58" s="1"/>
  <c r="G12" i="58"/>
  <c r="G11" i="58" s="1"/>
  <c r="G9" i="58" s="1"/>
  <c r="L11" i="58"/>
  <c r="J11" i="58"/>
  <c r="J9" i="58" s="1"/>
  <c r="J5" i="58" s="1"/>
  <c r="E10" i="58"/>
  <c r="L9" i="58"/>
  <c r="E8" i="58"/>
  <c r="N8" i="58" s="1"/>
  <c r="E7" i="58"/>
  <c r="M6" i="58"/>
  <c r="L6" i="58"/>
  <c r="K6" i="58"/>
  <c r="J6" i="58"/>
  <c r="I6" i="58"/>
  <c r="H6" i="58"/>
  <c r="G6" i="58"/>
  <c r="F6" i="58"/>
  <c r="Q74" i="59"/>
  <c r="P74" i="59"/>
  <c r="O74" i="59"/>
  <c r="N74" i="59"/>
  <c r="M74" i="59"/>
  <c r="L74" i="59"/>
  <c r="K74" i="59"/>
  <c r="J74" i="59"/>
  <c r="I74" i="59"/>
  <c r="H74" i="59"/>
  <c r="G74" i="59"/>
  <c r="F74" i="59"/>
  <c r="E74" i="59"/>
  <c r="Q72" i="59"/>
  <c r="Q71" i="59"/>
  <c r="J70" i="63" s="1"/>
  <c r="Q70" i="59"/>
  <c r="Q69" i="59"/>
  <c r="J68" i="63" s="1"/>
  <c r="Q68" i="59"/>
  <c r="J67" i="63" s="1"/>
  <c r="Q67" i="59"/>
  <c r="Q66" i="59"/>
  <c r="P65" i="59"/>
  <c r="O65" i="59"/>
  <c r="N65" i="59"/>
  <c r="M65" i="59"/>
  <c r="L65" i="59"/>
  <c r="K65" i="59"/>
  <c r="J65" i="59"/>
  <c r="I65" i="59"/>
  <c r="H65" i="59"/>
  <c r="G65" i="59"/>
  <c r="F65" i="59"/>
  <c r="E65" i="59"/>
  <c r="Q64" i="59"/>
  <c r="Q63" i="59"/>
  <c r="Q62" i="59"/>
  <c r="Q61" i="59"/>
  <c r="P60" i="59"/>
  <c r="O60" i="59"/>
  <c r="N60" i="59"/>
  <c r="M60" i="59"/>
  <c r="L60" i="59"/>
  <c r="K60" i="59"/>
  <c r="J60" i="59"/>
  <c r="J47" i="59" s="1"/>
  <c r="I60" i="59"/>
  <c r="H60" i="59"/>
  <c r="G60" i="59"/>
  <c r="G47" i="59" s="1"/>
  <c r="F60" i="59"/>
  <c r="F19" i="59" s="1"/>
  <c r="E60" i="59"/>
  <c r="Q59" i="59"/>
  <c r="J58" i="63" s="1"/>
  <c r="Q58" i="59"/>
  <c r="J57" i="63" s="1"/>
  <c r="P57" i="59"/>
  <c r="O57" i="59"/>
  <c r="N57" i="59"/>
  <c r="M57" i="59"/>
  <c r="L57" i="59"/>
  <c r="K57" i="59"/>
  <c r="J57" i="59"/>
  <c r="I57" i="59"/>
  <c r="H57" i="59"/>
  <c r="G57" i="59"/>
  <c r="F57" i="59"/>
  <c r="E57" i="59"/>
  <c r="Q57" i="59" s="1"/>
  <c r="J56" i="63" s="1"/>
  <c r="Q56" i="59"/>
  <c r="J55" i="63" s="1"/>
  <c r="P55" i="59"/>
  <c r="O55" i="59"/>
  <c r="N55" i="59"/>
  <c r="M55" i="59"/>
  <c r="L55" i="59"/>
  <c r="K55" i="59"/>
  <c r="J55" i="59"/>
  <c r="I55" i="59"/>
  <c r="H55" i="59"/>
  <c r="G55" i="59"/>
  <c r="F55" i="59"/>
  <c r="E55" i="59"/>
  <c r="Q55" i="59" s="1"/>
  <c r="J54" i="63" s="1"/>
  <c r="P54" i="59"/>
  <c r="P53" i="59" s="1"/>
  <c r="O54" i="59"/>
  <c r="N54" i="59"/>
  <c r="M54" i="59"/>
  <c r="M53" i="59" s="1"/>
  <c r="L54" i="59"/>
  <c r="L53" i="59" s="1"/>
  <c r="K54" i="59"/>
  <c r="J54" i="59"/>
  <c r="J53" i="59" s="1"/>
  <c r="I54" i="59"/>
  <c r="I53" i="59" s="1"/>
  <c r="H54" i="59"/>
  <c r="H53" i="59" s="1"/>
  <c r="G54" i="59"/>
  <c r="F54" i="59"/>
  <c r="E54" i="59"/>
  <c r="O53" i="59"/>
  <c r="N53" i="59"/>
  <c r="K53" i="59"/>
  <c r="G53" i="59"/>
  <c r="F53" i="59"/>
  <c r="E53" i="59"/>
  <c r="Q53" i="59" s="1"/>
  <c r="J52" i="63" s="1"/>
  <c r="F52" i="59"/>
  <c r="Q52" i="59" s="1"/>
  <c r="J51" i="63" s="1"/>
  <c r="P51" i="59"/>
  <c r="O51" i="59"/>
  <c r="N51" i="59"/>
  <c r="M51" i="59"/>
  <c r="L51" i="59"/>
  <c r="K51" i="59"/>
  <c r="J51" i="59"/>
  <c r="I51" i="59"/>
  <c r="H51" i="59"/>
  <c r="G51" i="59"/>
  <c r="F51" i="59"/>
  <c r="E51" i="59"/>
  <c r="Q51" i="59" s="1"/>
  <c r="J50" i="63" s="1"/>
  <c r="N50" i="59"/>
  <c r="M50" i="59"/>
  <c r="L50" i="59"/>
  <c r="K50" i="59"/>
  <c r="J50" i="59"/>
  <c r="J49" i="59" s="1"/>
  <c r="I50" i="59"/>
  <c r="I49" i="59" s="1"/>
  <c r="H50" i="59"/>
  <c r="G50" i="59"/>
  <c r="F50" i="59"/>
  <c r="E50" i="59"/>
  <c r="E49" i="59" s="1"/>
  <c r="N49" i="59"/>
  <c r="M49" i="59"/>
  <c r="L49" i="59"/>
  <c r="K49" i="59"/>
  <c r="H49" i="59"/>
  <c r="G49" i="59"/>
  <c r="P48" i="59"/>
  <c r="O48" i="59"/>
  <c r="N48" i="59"/>
  <c r="M48" i="59"/>
  <c r="L48" i="59"/>
  <c r="K48" i="59"/>
  <c r="J48" i="59"/>
  <c r="I48" i="59"/>
  <c r="H48" i="59"/>
  <c r="G48" i="59"/>
  <c r="F48" i="59"/>
  <c r="E48" i="59"/>
  <c r="L47" i="59"/>
  <c r="L46" i="59" s="1"/>
  <c r="I47" i="59"/>
  <c r="I46" i="59" s="1"/>
  <c r="H47" i="59"/>
  <c r="H46" i="59" s="1"/>
  <c r="F47" i="59"/>
  <c r="F46" i="59" s="1"/>
  <c r="E47" i="59"/>
  <c r="J46" i="59"/>
  <c r="G46" i="59"/>
  <c r="P45" i="59"/>
  <c r="P44" i="59" s="1"/>
  <c r="O45" i="59"/>
  <c r="N45" i="59"/>
  <c r="N44" i="59" s="1"/>
  <c r="M45" i="59"/>
  <c r="L45" i="59"/>
  <c r="K45" i="59"/>
  <c r="J45" i="59"/>
  <c r="J44" i="59" s="1"/>
  <c r="I45" i="59"/>
  <c r="H45" i="59"/>
  <c r="H44" i="59" s="1"/>
  <c r="G45" i="59"/>
  <c r="G44" i="59" s="1"/>
  <c r="G37" i="59" s="1"/>
  <c r="F45" i="59"/>
  <c r="E45" i="59"/>
  <c r="O44" i="59"/>
  <c r="M44" i="59"/>
  <c r="L44" i="59"/>
  <c r="K44" i="59"/>
  <c r="I44" i="59"/>
  <c r="F44" i="59"/>
  <c r="E44" i="59"/>
  <c r="P43" i="59"/>
  <c r="P42" i="59" s="1"/>
  <c r="O43" i="59"/>
  <c r="N43" i="59"/>
  <c r="M43" i="59"/>
  <c r="L43" i="59"/>
  <c r="L42" i="59" s="1"/>
  <c r="K43" i="59"/>
  <c r="J43" i="59"/>
  <c r="J42" i="59" s="1"/>
  <c r="I43" i="59"/>
  <c r="H43" i="59"/>
  <c r="H42" i="59" s="1"/>
  <c r="G43" i="59"/>
  <c r="F43" i="59"/>
  <c r="F42" i="59" s="1"/>
  <c r="E43" i="59"/>
  <c r="Q42" i="59"/>
  <c r="O42" i="59"/>
  <c r="N42" i="59"/>
  <c r="M42" i="59"/>
  <c r="K42" i="59"/>
  <c r="I42" i="59"/>
  <c r="G42" i="59"/>
  <c r="E42" i="59"/>
  <c r="N41" i="59"/>
  <c r="N40" i="59" s="1"/>
  <c r="K41" i="59"/>
  <c r="K40" i="59" s="1"/>
  <c r="J41" i="59"/>
  <c r="I41" i="59"/>
  <c r="I40" i="59" s="1"/>
  <c r="H41" i="59"/>
  <c r="H40" i="59" s="1"/>
  <c r="G41" i="59"/>
  <c r="G40" i="59" s="1"/>
  <c r="F41" i="59"/>
  <c r="F40" i="59" s="1"/>
  <c r="E41" i="59"/>
  <c r="J40" i="59"/>
  <c r="E40" i="59"/>
  <c r="H39" i="59"/>
  <c r="L38" i="59"/>
  <c r="K38" i="59"/>
  <c r="J38" i="59"/>
  <c r="I38" i="59"/>
  <c r="H38" i="59"/>
  <c r="G38" i="59"/>
  <c r="G39" i="59" s="1"/>
  <c r="Q36" i="59"/>
  <c r="P35" i="59"/>
  <c r="O35" i="59"/>
  <c r="N35" i="59"/>
  <c r="M35" i="59"/>
  <c r="L35" i="59"/>
  <c r="K35" i="59"/>
  <c r="J35" i="59"/>
  <c r="I35" i="59"/>
  <c r="I32" i="59" s="1"/>
  <c r="H35" i="59"/>
  <c r="G35" i="59"/>
  <c r="F35" i="59"/>
  <c r="E35" i="59"/>
  <c r="Q35" i="59" s="1"/>
  <c r="J34" i="63" s="1"/>
  <c r="Q34" i="59"/>
  <c r="P33" i="59"/>
  <c r="O33" i="59"/>
  <c r="N33" i="59"/>
  <c r="N32" i="59" s="1"/>
  <c r="M33" i="59"/>
  <c r="L33" i="59"/>
  <c r="K33" i="59"/>
  <c r="K32" i="59" s="1"/>
  <c r="J33" i="59"/>
  <c r="J32" i="59" s="1"/>
  <c r="I33" i="59"/>
  <c r="H33" i="59"/>
  <c r="G33" i="59"/>
  <c r="G32" i="59" s="1"/>
  <c r="F33" i="59"/>
  <c r="F32" i="59" s="1"/>
  <c r="E33" i="59"/>
  <c r="P32" i="59"/>
  <c r="O32" i="59"/>
  <c r="M32" i="59"/>
  <c r="L32" i="59"/>
  <c r="H32" i="59"/>
  <c r="E32" i="59"/>
  <c r="Q32" i="59" s="1"/>
  <c r="J31" i="63" s="1"/>
  <c r="Q31" i="59"/>
  <c r="P30" i="59"/>
  <c r="O30" i="59"/>
  <c r="O29" i="59" s="1"/>
  <c r="N30" i="59"/>
  <c r="M29" i="59"/>
  <c r="M28" i="59" s="1"/>
  <c r="L29" i="59"/>
  <c r="K29" i="59"/>
  <c r="K28" i="59" s="1"/>
  <c r="J29" i="59"/>
  <c r="I29" i="59"/>
  <c r="I28" i="59" s="1"/>
  <c r="H29" i="59"/>
  <c r="H28" i="59" s="1"/>
  <c r="G29" i="59"/>
  <c r="F29" i="59"/>
  <c r="E29" i="59"/>
  <c r="E28" i="59" s="1"/>
  <c r="O28" i="59"/>
  <c r="L28" i="59"/>
  <c r="J28" i="59"/>
  <c r="G28" i="59"/>
  <c r="F28" i="59"/>
  <c r="M27" i="59"/>
  <c r="L27" i="59"/>
  <c r="K27" i="59"/>
  <c r="J27" i="59"/>
  <c r="I27" i="59"/>
  <c r="I26" i="59" s="1"/>
  <c r="H27" i="59"/>
  <c r="H26" i="59" s="1"/>
  <c r="G27" i="59"/>
  <c r="G26" i="59" s="1"/>
  <c r="F27" i="59"/>
  <c r="E27" i="59"/>
  <c r="M26" i="59"/>
  <c r="L26" i="59"/>
  <c r="K26" i="59"/>
  <c r="J26" i="59"/>
  <c r="F26" i="59"/>
  <c r="E26" i="59"/>
  <c r="O25" i="59"/>
  <c r="M25" i="59"/>
  <c r="L25" i="59"/>
  <c r="K25" i="59"/>
  <c r="J25" i="59"/>
  <c r="I25" i="59"/>
  <c r="I23" i="59" s="1"/>
  <c r="H25" i="59"/>
  <c r="G25" i="59"/>
  <c r="F25" i="59"/>
  <c r="E25" i="59"/>
  <c r="P24" i="59"/>
  <c r="O24" i="59"/>
  <c r="M24" i="59"/>
  <c r="L24" i="59"/>
  <c r="K24" i="59"/>
  <c r="K23" i="59" s="1"/>
  <c r="K21" i="59" s="1"/>
  <c r="J24" i="59"/>
  <c r="J23" i="59" s="1"/>
  <c r="I24" i="59"/>
  <c r="H24" i="59"/>
  <c r="G24" i="59"/>
  <c r="F24" i="59"/>
  <c r="E24" i="59"/>
  <c r="M23" i="59"/>
  <c r="M21" i="59" s="1"/>
  <c r="L23" i="59"/>
  <c r="H23" i="59"/>
  <c r="G23" i="59"/>
  <c r="G21" i="59" s="1"/>
  <c r="P22" i="59"/>
  <c r="O22" i="59"/>
  <c r="M22" i="59"/>
  <c r="L22" i="59"/>
  <c r="K22" i="59"/>
  <c r="J22" i="59"/>
  <c r="I22" i="59"/>
  <c r="H22" i="59"/>
  <c r="H21" i="59" s="1"/>
  <c r="G22" i="59"/>
  <c r="F22" i="59"/>
  <c r="E22" i="59"/>
  <c r="J21" i="59"/>
  <c r="I21" i="59"/>
  <c r="H20" i="59"/>
  <c r="G20" i="59"/>
  <c r="Q20" i="59" s="1"/>
  <c r="F20" i="59"/>
  <c r="E20" i="59"/>
  <c r="L19" i="59"/>
  <c r="L16" i="59" s="1"/>
  <c r="J19" i="59"/>
  <c r="J16" i="59" s="1"/>
  <c r="I19" i="59"/>
  <c r="I16" i="59" s="1"/>
  <c r="H19" i="59"/>
  <c r="H16" i="59" s="1"/>
  <c r="G19" i="59"/>
  <c r="E19" i="59"/>
  <c r="Q18" i="59"/>
  <c r="Q17" i="59"/>
  <c r="G16" i="59"/>
  <c r="F16" i="59"/>
  <c r="P15" i="59"/>
  <c r="O15" i="59"/>
  <c r="M15" i="59"/>
  <c r="L15" i="59"/>
  <c r="K15" i="59"/>
  <c r="K13" i="59" s="1"/>
  <c r="J15" i="59"/>
  <c r="I15" i="59"/>
  <c r="H15" i="59"/>
  <c r="G15" i="59"/>
  <c r="F15" i="59"/>
  <c r="E15" i="59"/>
  <c r="P14" i="59"/>
  <c r="P13" i="59" s="1"/>
  <c r="M14" i="59"/>
  <c r="L14" i="59"/>
  <c r="L13" i="59" s="1"/>
  <c r="K14" i="59"/>
  <c r="J14" i="59"/>
  <c r="I14" i="59"/>
  <c r="H14" i="59"/>
  <c r="G14" i="59"/>
  <c r="F14" i="59"/>
  <c r="E14" i="59"/>
  <c r="M13" i="59"/>
  <c r="J13" i="59"/>
  <c r="I13" i="59"/>
  <c r="G13" i="59"/>
  <c r="F13" i="59"/>
  <c r="J12" i="59"/>
  <c r="J11" i="59" s="1"/>
  <c r="I12" i="59"/>
  <c r="H12" i="59"/>
  <c r="G12" i="59"/>
  <c r="G11" i="59" s="1"/>
  <c r="F12" i="59"/>
  <c r="F11" i="59" s="1"/>
  <c r="F9" i="59" s="1"/>
  <c r="E12" i="59"/>
  <c r="I11" i="59"/>
  <c r="I9" i="59" s="1"/>
  <c r="H11" i="59"/>
  <c r="H9" i="59" s="1"/>
  <c r="E11" i="59"/>
  <c r="E9" i="59" s="1"/>
  <c r="Q10" i="59"/>
  <c r="J9" i="63" s="1"/>
  <c r="J9" i="59"/>
  <c r="P8" i="59"/>
  <c r="O8" i="59"/>
  <c r="N8" i="59"/>
  <c r="Q8" i="59" s="1"/>
  <c r="L8" i="59"/>
  <c r="P7" i="59"/>
  <c r="P6" i="59" s="1"/>
  <c r="O7" i="59"/>
  <c r="O6" i="59" s="1"/>
  <c r="N7" i="59"/>
  <c r="L7" i="59"/>
  <c r="M6" i="59"/>
  <c r="L6" i="59"/>
  <c r="K6" i="59"/>
  <c r="J6" i="59"/>
  <c r="I6" i="59"/>
  <c r="H6" i="59"/>
  <c r="G6" i="59"/>
  <c r="F6" i="59"/>
  <c r="E6" i="59"/>
  <c r="J5" i="59"/>
  <c r="X74" i="61"/>
  <c r="W74" i="61"/>
  <c r="V74" i="61"/>
  <c r="U74" i="61"/>
  <c r="T74" i="61"/>
  <c r="S74" i="61"/>
  <c r="R74" i="61"/>
  <c r="Q74" i="61"/>
  <c r="L74" i="61"/>
  <c r="K74" i="61"/>
  <c r="J74" i="61"/>
  <c r="I74" i="61"/>
  <c r="G74" i="61"/>
  <c r="F74" i="61"/>
  <c r="E74" i="61"/>
  <c r="Y72" i="61"/>
  <c r="Y71" i="61"/>
  <c r="Y70" i="61"/>
  <c r="G69" i="63" s="1"/>
  <c r="Y69" i="61"/>
  <c r="Y68" i="61"/>
  <c r="Y67" i="61"/>
  <c r="Y66" i="61"/>
  <c r="X65" i="61"/>
  <c r="W65" i="61"/>
  <c r="V65" i="61"/>
  <c r="U65" i="61"/>
  <c r="T65" i="61"/>
  <c r="S65" i="61"/>
  <c r="R65" i="61"/>
  <c r="Q65" i="61"/>
  <c r="P65" i="61"/>
  <c r="O65" i="61"/>
  <c r="N65" i="61"/>
  <c r="M65" i="61"/>
  <c r="L65" i="61"/>
  <c r="K65" i="61"/>
  <c r="J65" i="61"/>
  <c r="I65" i="61"/>
  <c r="H65" i="61"/>
  <c r="G65" i="61"/>
  <c r="F65" i="61"/>
  <c r="E65" i="61"/>
  <c r="Y65" i="61" s="1"/>
  <c r="G64" i="63" s="1"/>
  <c r="Y64" i="61"/>
  <c r="Y63" i="61"/>
  <c r="Y62" i="61"/>
  <c r="G61" i="63" s="1"/>
  <c r="Y61" i="61"/>
  <c r="X60" i="61"/>
  <c r="W60" i="61"/>
  <c r="V60" i="61"/>
  <c r="U60" i="61"/>
  <c r="U47" i="61" s="1"/>
  <c r="T60" i="61"/>
  <c r="S60" i="61"/>
  <c r="S47" i="61" s="1"/>
  <c r="R60" i="61"/>
  <c r="Q60" i="61"/>
  <c r="Q47" i="61" s="1"/>
  <c r="P60" i="61"/>
  <c r="O60" i="61"/>
  <c r="N60" i="61"/>
  <c r="M60" i="61"/>
  <c r="L60" i="61"/>
  <c r="K60" i="61"/>
  <c r="J60" i="61"/>
  <c r="I60" i="61"/>
  <c r="I47" i="61" s="1"/>
  <c r="H60" i="61"/>
  <c r="G60" i="61"/>
  <c r="G47" i="61" s="1"/>
  <c r="F60" i="61"/>
  <c r="E60" i="61"/>
  <c r="E47" i="61" s="1"/>
  <c r="Y59" i="61"/>
  <c r="Y58" i="61"/>
  <c r="X57" i="61"/>
  <c r="W57" i="61"/>
  <c r="V57" i="61"/>
  <c r="U57" i="61"/>
  <c r="T57" i="61"/>
  <c r="S57" i="61"/>
  <c r="R57" i="61"/>
  <c r="Q57" i="61"/>
  <c r="P57" i="61"/>
  <c r="O57" i="61"/>
  <c r="N57" i="61"/>
  <c r="M57" i="61"/>
  <c r="L57" i="61"/>
  <c r="K57" i="61"/>
  <c r="J57" i="61"/>
  <c r="I57" i="61"/>
  <c r="H57" i="61"/>
  <c r="G57" i="61"/>
  <c r="F57" i="61"/>
  <c r="E57" i="61"/>
  <c r="Y56" i="61"/>
  <c r="X55" i="61"/>
  <c r="W55" i="61"/>
  <c r="V55" i="61"/>
  <c r="U55" i="61"/>
  <c r="T55" i="61"/>
  <c r="S55" i="61"/>
  <c r="R55" i="61"/>
  <c r="Q55" i="61"/>
  <c r="P55" i="61"/>
  <c r="O55" i="61"/>
  <c r="N55" i="61"/>
  <c r="M55" i="61"/>
  <c r="L55" i="61"/>
  <c r="K55" i="61"/>
  <c r="J55" i="61"/>
  <c r="I55" i="61"/>
  <c r="H55" i="61"/>
  <c r="G55" i="61"/>
  <c r="F55" i="61"/>
  <c r="E55" i="61"/>
  <c r="X54" i="61"/>
  <c r="W54" i="61"/>
  <c r="V54" i="61"/>
  <c r="U54" i="61"/>
  <c r="U53" i="61" s="1"/>
  <c r="T54" i="61"/>
  <c r="S54" i="61"/>
  <c r="S53" i="61" s="1"/>
  <c r="R54" i="61"/>
  <c r="R53" i="61" s="1"/>
  <c r="Q54" i="61"/>
  <c r="Q53" i="61" s="1"/>
  <c r="P54" i="61"/>
  <c r="P53" i="61" s="1"/>
  <c r="O54" i="61"/>
  <c r="N54" i="61"/>
  <c r="M54" i="61"/>
  <c r="L54" i="61"/>
  <c r="K54" i="61"/>
  <c r="J54" i="61"/>
  <c r="I54" i="61"/>
  <c r="I53" i="61" s="1"/>
  <c r="H54" i="61"/>
  <c r="G54" i="61"/>
  <c r="G53" i="61" s="1"/>
  <c r="F54" i="61"/>
  <c r="F53" i="61" s="1"/>
  <c r="E54" i="61"/>
  <c r="X53" i="61"/>
  <c r="W53" i="61"/>
  <c r="V53" i="61"/>
  <c r="T53" i="61"/>
  <c r="O53" i="61"/>
  <c r="N53" i="61"/>
  <c r="M53" i="61"/>
  <c r="L53" i="61"/>
  <c r="K53" i="61"/>
  <c r="J53" i="61"/>
  <c r="H53" i="61"/>
  <c r="I52" i="61"/>
  <c r="F52" i="61"/>
  <c r="X51" i="61"/>
  <c r="W51" i="61"/>
  <c r="V51" i="61"/>
  <c r="U51" i="61"/>
  <c r="T51" i="61"/>
  <c r="S51" i="61"/>
  <c r="R51" i="61"/>
  <c r="Q51" i="61"/>
  <c r="P51" i="61"/>
  <c r="O51" i="61"/>
  <c r="N51" i="61"/>
  <c r="M51" i="61"/>
  <c r="L51" i="61"/>
  <c r="K51" i="61"/>
  <c r="J51" i="61"/>
  <c r="H51" i="61"/>
  <c r="G51" i="61"/>
  <c r="F51" i="61"/>
  <c r="E51" i="61"/>
  <c r="X50" i="61"/>
  <c r="T50" i="61"/>
  <c r="T49" i="61" s="1"/>
  <c r="S50" i="61"/>
  <c r="S49" i="61" s="1"/>
  <c r="R50" i="61"/>
  <c r="Q50" i="61"/>
  <c r="P50" i="61"/>
  <c r="O50" i="61"/>
  <c r="O49" i="61" s="1"/>
  <c r="L50" i="61"/>
  <c r="L49" i="61" s="1"/>
  <c r="J50" i="61"/>
  <c r="J49" i="61" s="1"/>
  <c r="I50" i="61"/>
  <c r="G50" i="61"/>
  <c r="E50" i="61"/>
  <c r="X49" i="61"/>
  <c r="R49" i="61"/>
  <c r="Q49" i="61"/>
  <c r="P49" i="61"/>
  <c r="I49" i="61"/>
  <c r="G49" i="61"/>
  <c r="E49" i="61"/>
  <c r="X48" i="61"/>
  <c r="W48" i="61"/>
  <c r="V48" i="61"/>
  <c r="U48" i="61"/>
  <c r="T48" i="61"/>
  <c r="S48" i="61"/>
  <c r="S46" i="61" s="1"/>
  <c r="R48" i="61"/>
  <c r="Q48" i="61"/>
  <c r="P48" i="61"/>
  <c r="O48" i="61"/>
  <c r="N48" i="61"/>
  <c r="M48" i="61"/>
  <c r="L48" i="61"/>
  <c r="K48" i="61"/>
  <c r="J48" i="61"/>
  <c r="I48" i="61"/>
  <c r="I46" i="61" s="1"/>
  <c r="H48" i="61"/>
  <c r="G48" i="61"/>
  <c r="G46" i="61" s="1"/>
  <c r="F48" i="61"/>
  <c r="E48" i="61"/>
  <c r="X47" i="61"/>
  <c r="W47" i="61"/>
  <c r="W46" i="61" s="1"/>
  <c r="V47" i="61"/>
  <c r="V46" i="61" s="1"/>
  <c r="R47" i="61"/>
  <c r="P47" i="61"/>
  <c r="N47" i="61"/>
  <c r="L47" i="61"/>
  <c r="K47" i="61"/>
  <c r="J47" i="61"/>
  <c r="J46" i="61" s="1"/>
  <c r="F47" i="61"/>
  <c r="X46" i="61"/>
  <c r="L46" i="61"/>
  <c r="K46" i="61"/>
  <c r="X45" i="61"/>
  <c r="X44" i="61" s="1"/>
  <c r="W45" i="61"/>
  <c r="V45" i="61"/>
  <c r="V44" i="61" s="1"/>
  <c r="U45" i="61"/>
  <c r="U44" i="61" s="1"/>
  <c r="T45" i="61"/>
  <c r="T44" i="61" s="1"/>
  <c r="S45" i="61"/>
  <c r="R45" i="61"/>
  <c r="R44" i="61" s="1"/>
  <c r="Q45" i="61"/>
  <c r="Q44" i="61" s="1"/>
  <c r="P45" i="61"/>
  <c r="P44" i="61" s="1"/>
  <c r="O45" i="61"/>
  <c r="N45" i="61"/>
  <c r="M45" i="61"/>
  <c r="L45" i="61"/>
  <c r="L44" i="61" s="1"/>
  <c r="K45" i="61"/>
  <c r="J45" i="61"/>
  <c r="J44" i="61" s="1"/>
  <c r="I45" i="61"/>
  <c r="H45" i="61"/>
  <c r="H44" i="61" s="1"/>
  <c r="G45" i="61"/>
  <c r="F45" i="61"/>
  <c r="E45" i="61"/>
  <c r="W44" i="61"/>
  <c r="S44" i="61"/>
  <c r="O44" i="61"/>
  <c r="N44" i="61"/>
  <c r="M44" i="61"/>
  <c r="K44" i="61"/>
  <c r="I44" i="61"/>
  <c r="G44" i="61"/>
  <c r="F44" i="61"/>
  <c r="E44" i="61"/>
  <c r="X43" i="61"/>
  <c r="W43" i="61"/>
  <c r="V43" i="61"/>
  <c r="U43" i="61"/>
  <c r="T43" i="61"/>
  <c r="S43" i="61"/>
  <c r="R43" i="61"/>
  <c r="R42" i="61" s="1"/>
  <c r="Q43" i="61"/>
  <c r="P43" i="61"/>
  <c r="P42" i="61" s="1"/>
  <c r="O43" i="61"/>
  <c r="O42" i="61" s="1"/>
  <c r="N43" i="61"/>
  <c r="N42" i="61" s="1"/>
  <c r="M43" i="61"/>
  <c r="L43" i="61"/>
  <c r="K43" i="61"/>
  <c r="J43" i="61"/>
  <c r="I43" i="61"/>
  <c r="H43" i="61"/>
  <c r="G43" i="61"/>
  <c r="F43" i="61"/>
  <c r="E43" i="61"/>
  <c r="X42" i="61"/>
  <c r="X37" i="61" s="1"/>
  <c r="W42" i="61"/>
  <c r="V42" i="61"/>
  <c r="U42" i="61"/>
  <c r="T42" i="61"/>
  <c r="S42" i="61"/>
  <c r="Q42" i="61"/>
  <c r="M42" i="61"/>
  <c r="L42" i="61"/>
  <c r="K42" i="61"/>
  <c r="J42" i="61"/>
  <c r="I42" i="61"/>
  <c r="H42" i="61"/>
  <c r="G42" i="61"/>
  <c r="E42" i="61"/>
  <c r="X41" i="61"/>
  <c r="X40" i="61" s="1"/>
  <c r="V41" i="61"/>
  <c r="V40" i="61" s="1"/>
  <c r="U41" i="61"/>
  <c r="U40" i="61" s="1"/>
  <c r="S41" i="61"/>
  <c r="R41" i="61"/>
  <c r="R40" i="61" s="1"/>
  <c r="Q41" i="61"/>
  <c r="Q40" i="61" s="1"/>
  <c r="P41" i="61"/>
  <c r="P40" i="61" s="1"/>
  <c r="N41" i="61"/>
  <c r="L41" i="61"/>
  <c r="L40" i="61" s="1"/>
  <c r="J41" i="61"/>
  <c r="J40" i="61" s="1"/>
  <c r="G41" i="61"/>
  <c r="F41" i="61"/>
  <c r="F40" i="61" s="1"/>
  <c r="E41" i="61"/>
  <c r="S40" i="61"/>
  <c r="N40" i="61"/>
  <c r="G40" i="61"/>
  <c r="E40" i="61"/>
  <c r="Y39" i="61"/>
  <c r="Y38" i="61"/>
  <c r="W36" i="61"/>
  <c r="V36" i="61"/>
  <c r="U36" i="61"/>
  <c r="P36" i="61"/>
  <c r="O36" i="61"/>
  <c r="O35" i="61" s="1"/>
  <c r="N36" i="61"/>
  <c r="L36" i="61"/>
  <c r="K36" i="61"/>
  <c r="K35" i="61" s="1"/>
  <c r="H36" i="61"/>
  <c r="F36" i="61"/>
  <c r="X35" i="61"/>
  <c r="W35" i="61"/>
  <c r="V35" i="61"/>
  <c r="V32" i="61" s="1"/>
  <c r="U35" i="61"/>
  <c r="T35" i="61"/>
  <c r="S35" i="61"/>
  <c r="R35" i="61"/>
  <c r="Q35" i="61"/>
  <c r="P35" i="61"/>
  <c r="N35" i="61"/>
  <c r="M35" i="61"/>
  <c r="L35" i="61"/>
  <c r="L32" i="61" s="1"/>
  <c r="J35" i="61"/>
  <c r="J32" i="61" s="1"/>
  <c r="I35" i="61"/>
  <c r="H35" i="61"/>
  <c r="G35" i="61"/>
  <c r="E35" i="61"/>
  <c r="W34" i="61"/>
  <c r="P34" i="61"/>
  <c r="O34" i="61"/>
  <c r="O33" i="61" s="1"/>
  <c r="O32" i="61" s="1"/>
  <c r="N34" i="61"/>
  <c r="M34" i="61"/>
  <c r="M33" i="61" s="1"/>
  <c r="M32" i="61" s="1"/>
  <c r="L34" i="61"/>
  <c r="L33" i="61" s="1"/>
  <c r="K34" i="61"/>
  <c r="H34" i="61"/>
  <c r="F34" i="61"/>
  <c r="X33" i="61"/>
  <c r="W33" i="61"/>
  <c r="V33" i="61"/>
  <c r="U33" i="61"/>
  <c r="U32" i="61" s="1"/>
  <c r="T33" i="61"/>
  <c r="S33" i="61"/>
  <c r="S32" i="61" s="1"/>
  <c r="R33" i="61"/>
  <c r="R32" i="61" s="1"/>
  <c r="Q33" i="61"/>
  <c r="Q32" i="61" s="1"/>
  <c r="K33" i="61"/>
  <c r="K32" i="61" s="1"/>
  <c r="J33" i="61"/>
  <c r="I33" i="61"/>
  <c r="G33" i="61"/>
  <c r="G32" i="61" s="1"/>
  <c r="F33" i="61"/>
  <c r="E33" i="61"/>
  <c r="X32" i="61"/>
  <c r="T32" i="61"/>
  <c r="E32" i="61"/>
  <c r="Y31" i="61"/>
  <c r="G30" i="63" s="1"/>
  <c r="W30" i="61"/>
  <c r="V30" i="61"/>
  <c r="U30" i="61"/>
  <c r="U15" i="61" s="1"/>
  <c r="P30" i="61"/>
  <c r="O30" i="61"/>
  <c r="O27" i="61" s="1"/>
  <c r="N30" i="61"/>
  <c r="N15" i="61" s="1"/>
  <c r="M30" i="61"/>
  <c r="L30" i="61"/>
  <c r="K30" i="61"/>
  <c r="H30" i="61"/>
  <c r="F30" i="61"/>
  <c r="X29" i="61"/>
  <c r="X28" i="61" s="1"/>
  <c r="V29" i="61"/>
  <c r="V28" i="61" s="1"/>
  <c r="T29" i="61"/>
  <c r="S29" i="61"/>
  <c r="R29" i="61"/>
  <c r="R28" i="61" s="1"/>
  <c r="Q29" i="61"/>
  <c r="P29" i="61"/>
  <c r="P28" i="61" s="1"/>
  <c r="O29" i="61"/>
  <c r="N29" i="61"/>
  <c r="N28" i="61" s="1"/>
  <c r="M29" i="61"/>
  <c r="M28" i="61" s="1"/>
  <c r="L29" i="61"/>
  <c r="L28" i="61" s="1"/>
  <c r="K29" i="61"/>
  <c r="K28" i="61" s="1"/>
  <c r="J29" i="61"/>
  <c r="I29" i="61"/>
  <c r="G29" i="61"/>
  <c r="E29" i="61"/>
  <c r="T28" i="61"/>
  <c r="S28" i="61"/>
  <c r="Q28" i="61"/>
  <c r="O28" i="61"/>
  <c r="J28" i="61"/>
  <c r="I28" i="61"/>
  <c r="G28" i="61"/>
  <c r="E28" i="61"/>
  <c r="X27" i="61"/>
  <c r="X26" i="61" s="1"/>
  <c r="T27" i="61"/>
  <c r="T26" i="61" s="1"/>
  <c r="S27" i="61"/>
  <c r="R27" i="61"/>
  <c r="Q27" i="61"/>
  <c r="P27" i="61"/>
  <c r="P26" i="61" s="1"/>
  <c r="L27" i="61"/>
  <c r="L26" i="61" s="1"/>
  <c r="J27" i="61"/>
  <c r="J26" i="61" s="1"/>
  <c r="I27" i="61"/>
  <c r="G27" i="61"/>
  <c r="G26" i="61" s="1"/>
  <c r="E27" i="61"/>
  <c r="S26" i="61"/>
  <c r="R26" i="61"/>
  <c r="Q26" i="61"/>
  <c r="O26" i="61"/>
  <c r="I26" i="61"/>
  <c r="I5" i="61" s="1"/>
  <c r="I73" i="61" s="1"/>
  <c r="E26" i="61"/>
  <c r="X25" i="61"/>
  <c r="V25" i="61"/>
  <c r="T25" i="61"/>
  <c r="S25" i="61"/>
  <c r="R25" i="61"/>
  <c r="Q25" i="61"/>
  <c r="P25" i="61"/>
  <c r="P23" i="61" s="1"/>
  <c r="P21" i="61" s="1"/>
  <c r="O25" i="61"/>
  <c r="N25" i="61"/>
  <c r="L25" i="61"/>
  <c r="J25" i="61"/>
  <c r="I25" i="61"/>
  <c r="G25" i="61"/>
  <c r="E25" i="61"/>
  <c r="X24" i="61"/>
  <c r="X23" i="61" s="1"/>
  <c r="T24" i="61"/>
  <c r="S24" i="61"/>
  <c r="R24" i="61"/>
  <c r="Q24" i="61"/>
  <c r="P24" i="61"/>
  <c r="O24" i="61"/>
  <c r="O23" i="61" s="1"/>
  <c r="M24" i="61"/>
  <c r="L24" i="61"/>
  <c r="K24" i="61"/>
  <c r="J24" i="61"/>
  <c r="I24" i="61"/>
  <c r="I23" i="61" s="1"/>
  <c r="G24" i="61"/>
  <c r="E24" i="61"/>
  <c r="T23" i="61"/>
  <c r="T21" i="61" s="1"/>
  <c r="S23" i="61"/>
  <c r="R23" i="61"/>
  <c r="Q23" i="61"/>
  <c r="L23" i="61"/>
  <c r="J23" i="61"/>
  <c r="J21" i="61" s="1"/>
  <c r="G23" i="61"/>
  <c r="E23" i="61"/>
  <c r="X22" i="61"/>
  <c r="T22" i="61"/>
  <c r="S22" i="61"/>
  <c r="S21" i="61" s="1"/>
  <c r="S5" i="61" s="1"/>
  <c r="R22" i="61"/>
  <c r="Q22" i="61"/>
  <c r="Q21" i="61" s="1"/>
  <c r="P22" i="61"/>
  <c r="O22" i="61"/>
  <c r="N22" i="61"/>
  <c r="M22" i="61"/>
  <c r="L22" i="61"/>
  <c r="J22" i="61"/>
  <c r="I22" i="61"/>
  <c r="I21" i="61" s="1"/>
  <c r="G22" i="61"/>
  <c r="G21" i="61" s="1"/>
  <c r="F22" i="61"/>
  <c r="E22" i="61"/>
  <c r="X21" i="61"/>
  <c r="L21" i="61"/>
  <c r="M20" i="61"/>
  <c r="L20" i="61"/>
  <c r="K20" i="61"/>
  <c r="J20" i="61"/>
  <c r="J16" i="61" s="1"/>
  <c r="I20" i="61"/>
  <c r="H20" i="61"/>
  <c r="G20" i="61"/>
  <c r="F20" i="61"/>
  <c r="X19" i="61"/>
  <c r="V19" i="61"/>
  <c r="V16" i="61" s="1"/>
  <c r="U19" i="61"/>
  <c r="U16" i="61" s="1"/>
  <c r="T19" i="61"/>
  <c r="S19" i="61"/>
  <c r="R19" i="61"/>
  <c r="Q19" i="61"/>
  <c r="Q16" i="61" s="1"/>
  <c r="P19" i="61"/>
  <c r="P16" i="61" s="1"/>
  <c r="N19" i="61"/>
  <c r="L19" i="61"/>
  <c r="L16" i="61" s="1"/>
  <c r="J19" i="61"/>
  <c r="I19" i="61"/>
  <c r="I16" i="61" s="1"/>
  <c r="H19" i="61"/>
  <c r="G19" i="61"/>
  <c r="G16" i="61" s="1"/>
  <c r="G5" i="61" s="1"/>
  <c r="F19" i="61"/>
  <c r="E19" i="61"/>
  <c r="Y18" i="61"/>
  <c r="U18" i="61"/>
  <c r="H18" i="61"/>
  <c r="G18" i="61"/>
  <c r="Y17" i="61"/>
  <c r="X16" i="61"/>
  <c r="T16" i="61"/>
  <c r="S16" i="61"/>
  <c r="R16" i="61"/>
  <c r="N16" i="61"/>
  <c r="H16" i="61"/>
  <c r="F16" i="61"/>
  <c r="X15" i="61"/>
  <c r="T15" i="61"/>
  <c r="S15" i="61"/>
  <c r="S13" i="61" s="1"/>
  <c r="R15" i="61"/>
  <c r="Q15" i="61"/>
  <c r="P15" i="61"/>
  <c r="O15" i="61"/>
  <c r="L15" i="61"/>
  <c r="K15" i="61"/>
  <c r="J15" i="61"/>
  <c r="I15" i="61"/>
  <c r="I13" i="61" s="1"/>
  <c r="G15" i="61"/>
  <c r="G13" i="61" s="1"/>
  <c r="E15" i="61"/>
  <c r="X14" i="61"/>
  <c r="T14" i="61"/>
  <c r="S14" i="61"/>
  <c r="R14" i="61"/>
  <c r="R13" i="61" s="1"/>
  <c r="Q14" i="61"/>
  <c r="P14" i="61"/>
  <c r="P13" i="61" s="1"/>
  <c r="O14" i="61"/>
  <c r="O13" i="61" s="1"/>
  <c r="N14" i="61"/>
  <c r="N13" i="61" s="1"/>
  <c r="M14" i="61"/>
  <c r="L14" i="61"/>
  <c r="L13" i="61" s="1"/>
  <c r="J14" i="61"/>
  <c r="I14" i="61"/>
  <c r="G14" i="61"/>
  <c r="E14" i="61"/>
  <c r="X13" i="61"/>
  <c r="Q13" i="61"/>
  <c r="J13" i="61"/>
  <c r="E13" i="61"/>
  <c r="X12" i="61"/>
  <c r="W12" i="61"/>
  <c r="W11" i="61" s="1"/>
  <c r="V12" i="61"/>
  <c r="V11" i="61" s="1"/>
  <c r="V9" i="61" s="1"/>
  <c r="U12" i="61"/>
  <c r="S12" i="61"/>
  <c r="R12" i="61"/>
  <c r="Q12" i="61"/>
  <c r="P12" i="61"/>
  <c r="O12" i="61"/>
  <c r="O11" i="61" s="1"/>
  <c r="O9" i="61" s="1"/>
  <c r="N12" i="61"/>
  <c r="N11" i="61" s="1"/>
  <c r="L12" i="61"/>
  <c r="L11" i="61" s="1"/>
  <c r="K12" i="61"/>
  <c r="K11" i="61" s="1"/>
  <c r="J12" i="61"/>
  <c r="J11" i="61" s="1"/>
  <c r="J9" i="61" s="1"/>
  <c r="I12" i="61"/>
  <c r="I11" i="61" s="1"/>
  <c r="H12" i="61"/>
  <c r="H11" i="61" s="1"/>
  <c r="H9" i="61" s="1"/>
  <c r="G12" i="61"/>
  <c r="F12" i="61"/>
  <c r="E12" i="61"/>
  <c r="X11" i="61"/>
  <c r="X9" i="61" s="1"/>
  <c r="U11" i="61"/>
  <c r="U9" i="61" s="1"/>
  <c r="S11" i="61"/>
  <c r="S9" i="61" s="1"/>
  <c r="R11" i="61"/>
  <c r="Q11" i="61"/>
  <c r="Q9" i="61" s="1"/>
  <c r="P11" i="61"/>
  <c r="G11" i="61"/>
  <c r="G9" i="61" s="1"/>
  <c r="F11" i="61"/>
  <c r="E11" i="61"/>
  <c r="W10" i="61"/>
  <c r="V10" i="61"/>
  <c r="U10" i="61"/>
  <c r="P10" i="61"/>
  <c r="O10" i="61"/>
  <c r="N10" i="61"/>
  <c r="M10" i="61"/>
  <c r="L10" i="61"/>
  <c r="L9" i="61" s="1"/>
  <c r="K10" i="61"/>
  <c r="H10" i="61"/>
  <c r="F10" i="61"/>
  <c r="R9" i="61"/>
  <c r="N9" i="61"/>
  <c r="I9" i="61"/>
  <c r="F9" i="61"/>
  <c r="W8" i="61"/>
  <c r="V8" i="61"/>
  <c r="U8" i="61"/>
  <c r="P8" i="61"/>
  <c r="O8" i="61"/>
  <c r="N8" i="61"/>
  <c r="M8" i="61"/>
  <c r="L8" i="61"/>
  <c r="K8" i="61"/>
  <c r="H8" i="61"/>
  <c r="Y8" i="61" s="1"/>
  <c r="G7" i="63" s="1"/>
  <c r="F8" i="61"/>
  <c r="W7" i="61"/>
  <c r="W6" i="61" s="1"/>
  <c r="V7" i="61"/>
  <c r="U7" i="61"/>
  <c r="P7" i="61"/>
  <c r="P6" i="61" s="1"/>
  <c r="O7" i="61"/>
  <c r="N7" i="61"/>
  <c r="M7" i="61"/>
  <c r="L7" i="61"/>
  <c r="K7" i="61"/>
  <c r="H7" i="61"/>
  <c r="F7" i="61"/>
  <c r="X6" i="61"/>
  <c r="V6" i="61"/>
  <c r="U6" i="61"/>
  <c r="T6" i="61"/>
  <c r="S6" i="61"/>
  <c r="R6" i="61"/>
  <c r="Q6" i="61"/>
  <c r="O6" i="61"/>
  <c r="N6" i="61"/>
  <c r="M6" i="61"/>
  <c r="L6" i="61"/>
  <c r="K6" i="61"/>
  <c r="J6" i="61"/>
  <c r="I6" i="61"/>
  <c r="G6" i="61"/>
  <c r="F6" i="61"/>
  <c r="E6" i="61"/>
  <c r="I74" i="55"/>
  <c r="G74" i="55"/>
  <c r="F74" i="55"/>
  <c r="E74" i="55"/>
  <c r="J72" i="55"/>
  <c r="F71" i="63" s="1"/>
  <c r="J71" i="55"/>
  <c r="J70" i="55"/>
  <c r="J69" i="55"/>
  <c r="J68" i="55"/>
  <c r="F67" i="63" s="1"/>
  <c r="J67" i="55"/>
  <c r="J66" i="55"/>
  <c r="I65" i="55"/>
  <c r="H65" i="55"/>
  <c r="G65" i="55"/>
  <c r="F65" i="55"/>
  <c r="J65" i="55" s="1"/>
  <c r="E65" i="55"/>
  <c r="J64" i="55"/>
  <c r="F63" i="63" s="1"/>
  <c r="J63" i="55"/>
  <c r="J62" i="55"/>
  <c r="J61" i="55"/>
  <c r="F60" i="63" s="1"/>
  <c r="I60" i="55"/>
  <c r="H60" i="55"/>
  <c r="H41" i="55" s="1"/>
  <c r="G60" i="55"/>
  <c r="F60" i="55"/>
  <c r="E60" i="55"/>
  <c r="J59" i="55"/>
  <c r="F58" i="63" s="1"/>
  <c r="J58" i="55"/>
  <c r="I57" i="55"/>
  <c r="H57" i="55"/>
  <c r="G57" i="55"/>
  <c r="F57" i="55"/>
  <c r="E57" i="55"/>
  <c r="J56" i="55"/>
  <c r="F55" i="63" s="1"/>
  <c r="I55" i="55"/>
  <c r="H55" i="55"/>
  <c r="G55" i="55"/>
  <c r="F55" i="55"/>
  <c r="E55" i="55"/>
  <c r="I54" i="55"/>
  <c r="H54" i="55"/>
  <c r="G54" i="55"/>
  <c r="F54" i="55"/>
  <c r="E54" i="55"/>
  <c r="I53" i="55"/>
  <c r="H53" i="55"/>
  <c r="G53" i="55"/>
  <c r="F53" i="55"/>
  <c r="J52" i="55"/>
  <c r="I51" i="55"/>
  <c r="H51" i="55"/>
  <c r="G51" i="55"/>
  <c r="F51" i="55"/>
  <c r="E51" i="55"/>
  <c r="J51" i="55" s="1"/>
  <c r="F50" i="63" s="1"/>
  <c r="J50" i="55"/>
  <c r="I50" i="55"/>
  <c r="I49" i="55" s="1"/>
  <c r="H50" i="55"/>
  <c r="H49" i="55" s="1"/>
  <c r="G50" i="55"/>
  <c r="G49" i="55" s="1"/>
  <c r="F50" i="55"/>
  <c r="F49" i="55" s="1"/>
  <c r="E50" i="55"/>
  <c r="E49" i="55"/>
  <c r="I48" i="55"/>
  <c r="H48" i="55"/>
  <c r="G48" i="55"/>
  <c r="F48" i="55"/>
  <c r="E48" i="55"/>
  <c r="I47" i="55"/>
  <c r="H47" i="55"/>
  <c r="I45" i="55"/>
  <c r="I44" i="55" s="1"/>
  <c r="H45" i="55"/>
  <c r="H44" i="55" s="1"/>
  <c r="G45" i="55"/>
  <c r="F45" i="55"/>
  <c r="F44" i="55" s="1"/>
  <c r="E45" i="55"/>
  <c r="G44" i="55"/>
  <c r="I43" i="55"/>
  <c r="I42" i="55" s="1"/>
  <c r="H43" i="55"/>
  <c r="H42" i="55" s="1"/>
  <c r="G43" i="55"/>
  <c r="F43" i="55"/>
  <c r="F42" i="55" s="1"/>
  <c r="E43" i="55"/>
  <c r="G42" i="55"/>
  <c r="I41" i="55"/>
  <c r="I40" i="55" s="1"/>
  <c r="F41" i="55"/>
  <c r="E41" i="55"/>
  <c r="H40" i="55"/>
  <c r="F40" i="55"/>
  <c r="G39" i="55"/>
  <c r="F39" i="55"/>
  <c r="H38" i="55"/>
  <c r="G38" i="55"/>
  <c r="F38" i="55"/>
  <c r="E38" i="55"/>
  <c r="F36" i="55"/>
  <c r="J36" i="55" s="1"/>
  <c r="I35" i="55"/>
  <c r="I32" i="55" s="1"/>
  <c r="H35" i="55"/>
  <c r="G35" i="55"/>
  <c r="F35" i="55"/>
  <c r="E35" i="55"/>
  <c r="H34" i="55"/>
  <c r="I33" i="55"/>
  <c r="G33" i="55"/>
  <c r="F33" i="55"/>
  <c r="E33" i="55"/>
  <c r="E32" i="55"/>
  <c r="J31" i="55"/>
  <c r="J30" i="55"/>
  <c r="J29" i="55"/>
  <c r="F28" i="63" s="1"/>
  <c r="I29" i="55"/>
  <c r="I28" i="55" s="1"/>
  <c r="H29" i="55"/>
  <c r="H28" i="55" s="1"/>
  <c r="G29" i="55"/>
  <c r="F29" i="55"/>
  <c r="E29" i="55"/>
  <c r="E28" i="55" s="1"/>
  <c r="G28" i="55"/>
  <c r="F28" i="55"/>
  <c r="J28" i="55" s="1"/>
  <c r="F27" i="63" s="1"/>
  <c r="I27" i="55"/>
  <c r="I26" i="55" s="1"/>
  <c r="H27" i="55"/>
  <c r="H26" i="55" s="1"/>
  <c r="G27" i="55"/>
  <c r="G26" i="55" s="1"/>
  <c r="F27" i="55"/>
  <c r="F26" i="55" s="1"/>
  <c r="E27" i="55"/>
  <c r="E26" i="55" s="1"/>
  <c r="I25" i="55"/>
  <c r="H25" i="55"/>
  <c r="H23" i="55" s="1"/>
  <c r="H21" i="55" s="1"/>
  <c r="G25" i="55"/>
  <c r="F25" i="55"/>
  <c r="E25" i="55"/>
  <c r="J25" i="55" s="1"/>
  <c r="F24" i="63" s="1"/>
  <c r="J24" i="55"/>
  <c r="I24" i="55"/>
  <c r="H24" i="55"/>
  <c r="G24" i="55"/>
  <c r="F24" i="55"/>
  <c r="E24" i="55"/>
  <c r="I23" i="55"/>
  <c r="G23" i="55"/>
  <c r="F23" i="55"/>
  <c r="F21" i="55" s="1"/>
  <c r="J22" i="55"/>
  <c r="I22" i="55"/>
  <c r="H22" i="55"/>
  <c r="G22" i="55"/>
  <c r="F22" i="55"/>
  <c r="E22" i="55"/>
  <c r="I21" i="55"/>
  <c r="G21" i="55"/>
  <c r="J20" i="55"/>
  <c r="I19" i="55"/>
  <c r="H19" i="55"/>
  <c r="H16" i="55" s="1"/>
  <c r="J18" i="55"/>
  <c r="J17" i="55"/>
  <c r="F16" i="63" s="1"/>
  <c r="I16" i="55"/>
  <c r="J15" i="55"/>
  <c r="I15" i="55"/>
  <c r="H15" i="55"/>
  <c r="G15" i="55"/>
  <c r="F15" i="55"/>
  <c r="E15" i="55"/>
  <c r="E13" i="55" s="1"/>
  <c r="I14" i="55"/>
  <c r="H14" i="55"/>
  <c r="H13" i="55" s="1"/>
  <c r="G14" i="55"/>
  <c r="F14" i="55"/>
  <c r="E14" i="55"/>
  <c r="I13" i="55"/>
  <c r="F13" i="55"/>
  <c r="I12" i="55"/>
  <c r="H12" i="55"/>
  <c r="H11" i="55" s="1"/>
  <c r="H9" i="55" s="1"/>
  <c r="I11" i="55"/>
  <c r="I9" i="55" s="1"/>
  <c r="J10" i="55"/>
  <c r="J8" i="55"/>
  <c r="J7" i="55"/>
  <c r="I6" i="55"/>
  <c r="H6" i="55"/>
  <c r="G6" i="55"/>
  <c r="F6" i="55"/>
  <c r="E6" i="55"/>
  <c r="J74" i="54"/>
  <c r="I74" i="54"/>
  <c r="H74" i="54"/>
  <c r="G74" i="54"/>
  <c r="E74" i="54"/>
  <c r="J72" i="54"/>
  <c r="E71" i="63" s="1"/>
  <c r="N71" i="63" s="1"/>
  <c r="J71" i="54"/>
  <c r="J70" i="54"/>
  <c r="J69" i="54"/>
  <c r="E68" i="63" s="1"/>
  <c r="J68" i="54"/>
  <c r="E67" i="63" s="1"/>
  <c r="N67" i="63" s="1"/>
  <c r="P67" i="63" s="1"/>
  <c r="J67" i="54"/>
  <c r="J66" i="54"/>
  <c r="I65" i="54"/>
  <c r="H65" i="54"/>
  <c r="G65" i="54"/>
  <c r="F65" i="54"/>
  <c r="E65" i="54"/>
  <c r="J64" i="54"/>
  <c r="J63" i="54"/>
  <c r="J62" i="54"/>
  <c r="E61" i="63" s="1"/>
  <c r="J61" i="54"/>
  <c r="E60" i="63" s="1"/>
  <c r="J60" i="54"/>
  <c r="E59" i="63" s="1"/>
  <c r="I60" i="54"/>
  <c r="H60" i="54"/>
  <c r="G60" i="54"/>
  <c r="F60" i="54"/>
  <c r="F12" i="54" s="1"/>
  <c r="F11" i="54" s="1"/>
  <c r="F9" i="54" s="1"/>
  <c r="E60" i="54"/>
  <c r="J59" i="54"/>
  <c r="E58" i="63" s="1"/>
  <c r="J58" i="54"/>
  <c r="E57" i="63" s="1"/>
  <c r="I57" i="54"/>
  <c r="H57" i="54"/>
  <c r="G57" i="54"/>
  <c r="F57" i="54"/>
  <c r="E57" i="54"/>
  <c r="J56" i="54"/>
  <c r="I55" i="54"/>
  <c r="H55" i="54"/>
  <c r="G55" i="54"/>
  <c r="F55" i="54"/>
  <c r="E55" i="54"/>
  <c r="I54" i="54"/>
  <c r="I53" i="54" s="1"/>
  <c r="H54" i="54"/>
  <c r="H53" i="54" s="1"/>
  <c r="G54" i="54"/>
  <c r="G53" i="54" s="1"/>
  <c r="F54" i="54"/>
  <c r="E54" i="54"/>
  <c r="F53" i="54"/>
  <c r="E53" i="54"/>
  <c r="J52" i="54"/>
  <c r="I51" i="54"/>
  <c r="H51" i="54"/>
  <c r="J51" i="54" s="1"/>
  <c r="G51" i="54"/>
  <c r="F51" i="54"/>
  <c r="E51" i="54"/>
  <c r="I50" i="54"/>
  <c r="I49" i="54" s="1"/>
  <c r="H50" i="54"/>
  <c r="G50" i="54"/>
  <c r="G49" i="54" s="1"/>
  <c r="F50" i="54"/>
  <c r="E50" i="54"/>
  <c r="H49" i="54"/>
  <c r="F49" i="54"/>
  <c r="J49" i="54" s="1"/>
  <c r="E48" i="63" s="1"/>
  <c r="E49" i="54"/>
  <c r="I48" i="54"/>
  <c r="H48" i="54"/>
  <c r="G48" i="54"/>
  <c r="F48" i="54"/>
  <c r="J48" i="54" s="1"/>
  <c r="E47" i="63" s="1"/>
  <c r="E48" i="54"/>
  <c r="I47" i="54"/>
  <c r="I46" i="54" s="1"/>
  <c r="H47" i="54"/>
  <c r="H46" i="54" s="1"/>
  <c r="F47" i="54"/>
  <c r="E47" i="54"/>
  <c r="E46" i="54" s="1"/>
  <c r="I45" i="54"/>
  <c r="I44" i="54" s="1"/>
  <c r="H45" i="54"/>
  <c r="H44" i="54" s="1"/>
  <c r="G45" i="54"/>
  <c r="F45" i="54"/>
  <c r="E45" i="54"/>
  <c r="E44" i="54" s="1"/>
  <c r="G44" i="54"/>
  <c r="I43" i="54"/>
  <c r="H43" i="54"/>
  <c r="H42" i="54" s="1"/>
  <c r="G43" i="54"/>
  <c r="F43" i="54"/>
  <c r="F42" i="54" s="1"/>
  <c r="E43" i="54"/>
  <c r="I42" i="54"/>
  <c r="G42" i="54"/>
  <c r="I41" i="54"/>
  <c r="H41" i="54"/>
  <c r="H40" i="54" s="1"/>
  <c r="H37" i="54" s="1"/>
  <c r="F41" i="54"/>
  <c r="F40" i="54" s="1"/>
  <c r="E41" i="54"/>
  <c r="I40" i="54"/>
  <c r="J39" i="54"/>
  <c r="J38" i="54"/>
  <c r="J36" i="54"/>
  <c r="E35" i="63" s="1"/>
  <c r="I35" i="54"/>
  <c r="J35" i="54" s="1"/>
  <c r="E34" i="63" s="1"/>
  <c r="H35" i="54"/>
  <c r="G35" i="54"/>
  <c r="F35" i="54"/>
  <c r="E35" i="54"/>
  <c r="J34" i="54"/>
  <c r="I33" i="54"/>
  <c r="H33" i="54"/>
  <c r="G33" i="54"/>
  <c r="G32" i="54" s="1"/>
  <c r="F33" i="54"/>
  <c r="F32" i="54" s="1"/>
  <c r="E33" i="54"/>
  <c r="H32" i="54"/>
  <c r="J31" i="54"/>
  <c r="J30" i="54"/>
  <c r="I29" i="54"/>
  <c r="H29" i="54"/>
  <c r="H28" i="54" s="1"/>
  <c r="G29" i="54"/>
  <c r="G28" i="54" s="1"/>
  <c r="F29" i="54"/>
  <c r="E29" i="54"/>
  <c r="I28" i="54"/>
  <c r="E28" i="54"/>
  <c r="J27" i="54"/>
  <c r="I27" i="54"/>
  <c r="H27" i="54"/>
  <c r="H26" i="54" s="1"/>
  <c r="G27" i="54"/>
  <c r="G26" i="54" s="1"/>
  <c r="F27" i="54"/>
  <c r="F26" i="54" s="1"/>
  <c r="J26" i="54" s="1"/>
  <c r="E25" i="63" s="1"/>
  <c r="E27" i="54"/>
  <c r="I26" i="54"/>
  <c r="E26" i="54"/>
  <c r="I25" i="54"/>
  <c r="I23" i="54" s="1"/>
  <c r="H25" i="54"/>
  <c r="G25" i="54"/>
  <c r="G23" i="54" s="1"/>
  <c r="G21" i="54" s="1"/>
  <c r="F25" i="54"/>
  <c r="E25" i="54"/>
  <c r="I24" i="54"/>
  <c r="H24" i="54"/>
  <c r="H23" i="54" s="1"/>
  <c r="G24" i="54"/>
  <c r="F24" i="54"/>
  <c r="E24" i="54"/>
  <c r="E23" i="54" s="1"/>
  <c r="F23" i="54"/>
  <c r="J22" i="54"/>
  <c r="E21" i="63" s="1"/>
  <c r="I22" i="54"/>
  <c r="H22" i="54"/>
  <c r="G22" i="54"/>
  <c r="F22" i="54"/>
  <c r="E22" i="54"/>
  <c r="H21" i="54"/>
  <c r="J20" i="54"/>
  <c r="E19" i="63" s="1"/>
  <c r="I19" i="54"/>
  <c r="I16" i="54" s="1"/>
  <c r="G19" i="54"/>
  <c r="G16" i="54" s="1"/>
  <c r="F19" i="54"/>
  <c r="E19" i="54"/>
  <c r="J18" i="54"/>
  <c r="J17" i="54"/>
  <c r="E16" i="54"/>
  <c r="I15" i="54"/>
  <c r="H15" i="54"/>
  <c r="G15" i="54"/>
  <c r="F15" i="54"/>
  <c r="F13" i="54" s="1"/>
  <c r="E15" i="54"/>
  <c r="I14" i="54"/>
  <c r="H14" i="54"/>
  <c r="G14" i="54"/>
  <c r="G13" i="54" s="1"/>
  <c r="F14" i="54"/>
  <c r="E14" i="54"/>
  <c r="I13" i="54"/>
  <c r="H13" i="54"/>
  <c r="I12" i="54"/>
  <c r="E12" i="54"/>
  <c r="I11" i="54"/>
  <c r="I9" i="54" s="1"/>
  <c r="J10" i="54"/>
  <c r="J8" i="54"/>
  <c r="E7" i="63" s="1"/>
  <c r="J7" i="54"/>
  <c r="I6" i="54"/>
  <c r="H6" i="54"/>
  <c r="G6" i="54"/>
  <c r="F6" i="54"/>
  <c r="E6" i="54"/>
  <c r="P71" i="63"/>
  <c r="M71" i="63"/>
  <c r="L71" i="63"/>
  <c r="K71" i="63"/>
  <c r="J71" i="63"/>
  <c r="I71" i="63"/>
  <c r="H71" i="63"/>
  <c r="G71" i="63"/>
  <c r="M70" i="63"/>
  <c r="L70" i="63"/>
  <c r="K70" i="63"/>
  <c r="I70" i="63"/>
  <c r="H70" i="63"/>
  <c r="G70" i="63"/>
  <c r="N70" i="63" s="1"/>
  <c r="P70" i="63" s="1"/>
  <c r="F70" i="63"/>
  <c r="E70" i="63"/>
  <c r="M69" i="63"/>
  <c r="J69" i="63"/>
  <c r="I69" i="63"/>
  <c r="H69" i="63"/>
  <c r="F69" i="63"/>
  <c r="E69" i="63"/>
  <c r="N68" i="63"/>
  <c r="P68" i="63" s="1"/>
  <c r="M68" i="63"/>
  <c r="L68" i="63"/>
  <c r="K68" i="63"/>
  <c r="I68" i="63"/>
  <c r="H68" i="63"/>
  <c r="G68" i="63"/>
  <c r="F68" i="63"/>
  <c r="M67" i="63"/>
  <c r="L67" i="63"/>
  <c r="I67" i="63"/>
  <c r="H67" i="63"/>
  <c r="G67" i="63"/>
  <c r="M66" i="63"/>
  <c r="L66" i="63"/>
  <c r="K66" i="63"/>
  <c r="J66" i="63"/>
  <c r="I66" i="63"/>
  <c r="H66" i="63"/>
  <c r="G66" i="63"/>
  <c r="F66" i="63"/>
  <c r="E66" i="63"/>
  <c r="N66" i="63" s="1"/>
  <c r="P66" i="63" s="1"/>
  <c r="M65" i="63"/>
  <c r="L65" i="63"/>
  <c r="J65" i="63"/>
  <c r="I65" i="63"/>
  <c r="H65" i="63"/>
  <c r="G65" i="63"/>
  <c r="F65" i="63"/>
  <c r="E65" i="63"/>
  <c r="N65" i="63" s="1"/>
  <c r="P65" i="63" s="1"/>
  <c r="I64" i="63"/>
  <c r="H64" i="63"/>
  <c r="F64" i="63"/>
  <c r="N63" i="63"/>
  <c r="P63" i="63" s="1"/>
  <c r="M63" i="63"/>
  <c r="L63" i="63"/>
  <c r="J63" i="63"/>
  <c r="I63" i="63"/>
  <c r="H63" i="63"/>
  <c r="G63" i="63"/>
  <c r="E63" i="63"/>
  <c r="N62" i="63"/>
  <c r="P62" i="63" s="1"/>
  <c r="M62" i="63"/>
  <c r="L62" i="63"/>
  <c r="K62" i="63"/>
  <c r="J62" i="63"/>
  <c r="I62" i="63"/>
  <c r="H62" i="63"/>
  <c r="G62" i="63"/>
  <c r="F62" i="63"/>
  <c r="E62" i="63"/>
  <c r="N61" i="63"/>
  <c r="P61" i="63" s="1"/>
  <c r="M61" i="63"/>
  <c r="L61" i="63"/>
  <c r="K61" i="63"/>
  <c r="J61" i="63"/>
  <c r="I61" i="63"/>
  <c r="H61" i="63"/>
  <c r="F61" i="63"/>
  <c r="M60" i="63"/>
  <c r="L60" i="63"/>
  <c r="K60" i="63"/>
  <c r="J60" i="63"/>
  <c r="I60" i="63"/>
  <c r="H60" i="63"/>
  <c r="G60" i="63"/>
  <c r="I59" i="63"/>
  <c r="H59" i="63"/>
  <c r="M58" i="63"/>
  <c r="L58" i="63"/>
  <c r="K58" i="63"/>
  <c r="I58" i="63"/>
  <c r="H58" i="63"/>
  <c r="G58" i="63"/>
  <c r="M57" i="63"/>
  <c r="K57" i="63"/>
  <c r="I57" i="63"/>
  <c r="H57" i="63"/>
  <c r="G57" i="63"/>
  <c r="F57" i="63"/>
  <c r="I56" i="63"/>
  <c r="H56" i="63"/>
  <c r="P55" i="63"/>
  <c r="M55" i="63"/>
  <c r="L55" i="63"/>
  <c r="I55" i="63"/>
  <c r="H55" i="63"/>
  <c r="G55" i="63"/>
  <c r="E55" i="63"/>
  <c r="N55" i="63" s="1"/>
  <c r="K54" i="63"/>
  <c r="I54" i="63"/>
  <c r="H54" i="63"/>
  <c r="M53" i="63"/>
  <c r="L53" i="63"/>
  <c r="I53" i="63"/>
  <c r="H53" i="63"/>
  <c r="I52" i="63"/>
  <c r="H52" i="63"/>
  <c r="L51" i="63"/>
  <c r="K51" i="63"/>
  <c r="I51" i="63"/>
  <c r="H51" i="63"/>
  <c r="F51" i="63"/>
  <c r="E51" i="63"/>
  <c r="I50" i="63"/>
  <c r="H50" i="63"/>
  <c r="E50" i="63"/>
  <c r="I49" i="63"/>
  <c r="H49" i="63"/>
  <c r="F49" i="63"/>
  <c r="I48" i="63"/>
  <c r="H48" i="63"/>
  <c r="I47" i="63"/>
  <c r="H47" i="63"/>
  <c r="I46" i="63"/>
  <c r="H46" i="63"/>
  <c r="I45" i="63"/>
  <c r="H45" i="63"/>
  <c r="I44" i="63"/>
  <c r="H44" i="63"/>
  <c r="I43" i="63"/>
  <c r="H43" i="63"/>
  <c r="I42" i="63"/>
  <c r="H42" i="63"/>
  <c r="J41" i="63"/>
  <c r="I41" i="63"/>
  <c r="H41" i="63"/>
  <c r="I40" i="63"/>
  <c r="H40" i="63"/>
  <c r="I39" i="63"/>
  <c r="H39" i="63"/>
  <c r="M38" i="63"/>
  <c r="K38" i="63"/>
  <c r="I38" i="63"/>
  <c r="H38" i="63"/>
  <c r="G38" i="63"/>
  <c r="E38" i="63"/>
  <c r="M37" i="63"/>
  <c r="L37" i="63"/>
  <c r="I37" i="63"/>
  <c r="H37" i="63"/>
  <c r="G37" i="63"/>
  <c r="E37" i="63"/>
  <c r="I36" i="63"/>
  <c r="H36" i="63"/>
  <c r="M35" i="63"/>
  <c r="J35" i="63"/>
  <c r="I35" i="63"/>
  <c r="H35" i="63"/>
  <c r="F35" i="63"/>
  <c r="I34" i="63"/>
  <c r="H34" i="63"/>
  <c r="M33" i="63"/>
  <c r="K33" i="63"/>
  <c r="J33" i="63"/>
  <c r="I33" i="63"/>
  <c r="H33" i="63"/>
  <c r="E33" i="63"/>
  <c r="I32" i="63"/>
  <c r="H32" i="63"/>
  <c r="I31" i="63"/>
  <c r="H31" i="63"/>
  <c r="P30" i="63"/>
  <c r="M30" i="63"/>
  <c r="L30" i="63"/>
  <c r="K30" i="63"/>
  <c r="J30" i="63"/>
  <c r="I30" i="63"/>
  <c r="H30" i="63"/>
  <c r="F30" i="63"/>
  <c r="N30" i="63" s="1"/>
  <c r="E30" i="63"/>
  <c r="M29" i="63"/>
  <c r="I29" i="63"/>
  <c r="H29" i="63"/>
  <c r="F29" i="63"/>
  <c r="E29" i="63"/>
  <c r="I28" i="63"/>
  <c r="H28" i="63"/>
  <c r="I27" i="63"/>
  <c r="H27" i="63"/>
  <c r="I26" i="63"/>
  <c r="H26" i="63"/>
  <c r="E26" i="63"/>
  <c r="I25" i="63"/>
  <c r="H25" i="63"/>
  <c r="I24" i="63"/>
  <c r="H24" i="63"/>
  <c r="K23" i="63"/>
  <c r="I23" i="63"/>
  <c r="H23" i="63"/>
  <c r="F23" i="63"/>
  <c r="I22" i="63"/>
  <c r="H22" i="63"/>
  <c r="I21" i="63"/>
  <c r="H21" i="63"/>
  <c r="F21" i="63"/>
  <c r="I20" i="63"/>
  <c r="H20" i="63"/>
  <c r="M19" i="63"/>
  <c r="J19" i="63"/>
  <c r="I19" i="63"/>
  <c r="H19" i="63"/>
  <c r="F19" i="63"/>
  <c r="I18" i="63"/>
  <c r="H18" i="63"/>
  <c r="N17" i="63"/>
  <c r="P17" i="63" s="1"/>
  <c r="M17" i="63"/>
  <c r="L17" i="63"/>
  <c r="K17" i="63"/>
  <c r="J17" i="63"/>
  <c r="I17" i="63"/>
  <c r="H17" i="63"/>
  <c r="G17" i="63"/>
  <c r="F17" i="63"/>
  <c r="E17" i="63"/>
  <c r="M16" i="63"/>
  <c r="L16" i="63"/>
  <c r="K16" i="63"/>
  <c r="J16" i="63"/>
  <c r="I16" i="63"/>
  <c r="H16" i="63"/>
  <c r="G16" i="63"/>
  <c r="E16" i="63"/>
  <c r="N16" i="63" s="1"/>
  <c r="P16" i="63" s="1"/>
  <c r="I15" i="63"/>
  <c r="H15" i="63"/>
  <c r="I14" i="63"/>
  <c r="H14" i="63"/>
  <c r="F14" i="63"/>
  <c r="I13" i="63"/>
  <c r="H13" i="63"/>
  <c r="I12" i="63"/>
  <c r="H12" i="63"/>
  <c r="I11" i="63"/>
  <c r="H11" i="63"/>
  <c r="I10" i="63"/>
  <c r="H10" i="63"/>
  <c r="M9" i="63"/>
  <c r="I9" i="63"/>
  <c r="H9" i="63"/>
  <c r="F9" i="63"/>
  <c r="E9" i="63"/>
  <c r="I8" i="63"/>
  <c r="H8" i="63"/>
  <c r="M7" i="63"/>
  <c r="K7" i="63"/>
  <c r="J7" i="63"/>
  <c r="I7" i="63"/>
  <c r="H7" i="63"/>
  <c r="F7" i="63"/>
  <c r="M6" i="63"/>
  <c r="I6" i="63"/>
  <c r="H6" i="63"/>
  <c r="F6" i="63"/>
  <c r="E6" i="63"/>
  <c r="I5" i="63"/>
  <c r="H5" i="63"/>
  <c r="I4" i="63"/>
  <c r="H4" i="63"/>
  <c r="I3" i="63"/>
  <c r="H3" i="63"/>
  <c r="G73" i="61" l="1"/>
  <c r="S73" i="61"/>
  <c r="S4" i="61"/>
  <c r="E40" i="58"/>
  <c r="L37" i="59"/>
  <c r="H6" i="61"/>
  <c r="Y7" i="61"/>
  <c r="G6" i="63" s="1"/>
  <c r="S37" i="61"/>
  <c r="J14" i="55"/>
  <c r="F13" i="63" s="1"/>
  <c r="G13" i="55"/>
  <c r="J13" i="55" s="1"/>
  <c r="F12" i="63" s="1"/>
  <c r="X5" i="61"/>
  <c r="J73" i="59"/>
  <c r="Q44" i="59"/>
  <c r="J43" i="63" s="1"/>
  <c r="K5" i="58"/>
  <c r="K4" i="58" s="1"/>
  <c r="P23" i="56"/>
  <c r="M22" i="63" s="1"/>
  <c r="M16" i="64"/>
  <c r="Q10" i="64"/>
  <c r="Q16" i="64" s="1"/>
  <c r="E11" i="54"/>
  <c r="E32" i="54"/>
  <c r="J32" i="54" s="1"/>
  <c r="E31" i="63" s="1"/>
  <c r="J33" i="54"/>
  <c r="E32" i="63" s="1"/>
  <c r="W9" i="61"/>
  <c r="Y10" i="61"/>
  <c r="G9" i="63" s="1"/>
  <c r="N9" i="63" s="1"/>
  <c r="P9" i="63" s="1"/>
  <c r="Q26" i="59"/>
  <c r="J25" i="63" s="1"/>
  <c r="P41" i="59"/>
  <c r="P40" i="59" s="1"/>
  <c r="P19" i="59"/>
  <c r="P16" i="59" s="1"/>
  <c r="P47" i="59"/>
  <c r="P46" i="59" s="1"/>
  <c r="P12" i="59"/>
  <c r="P11" i="59" s="1"/>
  <c r="P9" i="59" s="1"/>
  <c r="J57" i="54"/>
  <c r="E56" i="63" s="1"/>
  <c r="N60" i="63"/>
  <c r="P60" i="63" s="1"/>
  <c r="H74" i="61"/>
  <c r="H33" i="61"/>
  <c r="H32" i="61" s="1"/>
  <c r="Y34" i="61"/>
  <c r="L5" i="58"/>
  <c r="L4" i="58" s="1"/>
  <c r="P22" i="56"/>
  <c r="M21" i="63" s="1"/>
  <c r="E21" i="56"/>
  <c r="P21" i="56" s="1"/>
  <c r="M20" i="63" s="1"/>
  <c r="J23" i="56"/>
  <c r="J21" i="56" s="1"/>
  <c r="P27" i="56"/>
  <c r="M26" i="63" s="1"/>
  <c r="E26" i="56"/>
  <c r="P26" i="56" s="1"/>
  <c r="M25" i="63" s="1"/>
  <c r="E42" i="56"/>
  <c r="P42" i="56" s="1"/>
  <c r="M41" i="63" s="1"/>
  <c r="P126" i="64"/>
  <c r="N69" i="63"/>
  <c r="P69" i="63" s="1"/>
  <c r="P37" i="57"/>
  <c r="O73" i="56"/>
  <c r="F46" i="61"/>
  <c r="N35" i="63"/>
  <c r="P35" i="63" s="1"/>
  <c r="O19" i="59"/>
  <c r="O16" i="59" s="1"/>
  <c r="O47" i="59"/>
  <c r="O46" i="59" s="1"/>
  <c r="O41" i="59"/>
  <c r="O40" i="59" s="1"/>
  <c r="O12" i="59"/>
  <c r="O11" i="59" s="1"/>
  <c r="O9" i="59" s="1"/>
  <c r="O5" i="59" s="1"/>
  <c r="N7" i="63"/>
  <c r="P7" i="63" s="1"/>
  <c r="J6" i="54"/>
  <c r="E5" i="63" s="1"/>
  <c r="J27" i="55"/>
  <c r="F26" i="63" s="1"/>
  <c r="J38" i="55"/>
  <c r="F37" i="63" s="1"/>
  <c r="N37" i="63" s="1"/>
  <c r="P37" i="63" s="1"/>
  <c r="E39" i="55"/>
  <c r="J39" i="55" s="1"/>
  <c r="F38" i="63" s="1"/>
  <c r="N38" i="63" s="1"/>
  <c r="P38" i="63" s="1"/>
  <c r="I46" i="55"/>
  <c r="I37" i="55" s="1"/>
  <c r="J54" i="55"/>
  <c r="F53" i="63" s="1"/>
  <c r="E53" i="55"/>
  <c r="J53" i="55" s="1"/>
  <c r="F52" i="63" s="1"/>
  <c r="L37" i="61"/>
  <c r="N73" i="56"/>
  <c r="N4" i="56"/>
  <c r="S42" i="32"/>
  <c r="Q51" i="32"/>
  <c r="G9" i="59"/>
  <c r="Q9" i="59" s="1"/>
  <c r="J8" i="63" s="1"/>
  <c r="J23" i="54"/>
  <c r="E22" i="63" s="1"/>
  <c r="F21" i="54"/>
  <c r="F19" i="58"/>
  <c r="F16" i="58" s="1"/>
  <c r="F12" i="58"/>
  <c r="F11" i="58" s="1"/>
  <c r="F9" i="58" s="1"/>
  <c r="F5" i="58" s="1"/>
  <c r="F41" i="58"/>
  <c r="F40" i="58" s="1"/>
  <c r="F47" i="58"/>
  <c r="F46" i="58" s="1"/>
  <c r="AL20" i="32"/>
  <c r="AK20" i="32"/>
  <c r="AG20" i="32"/>
  <c r="AI20" i="32"/>
  <c r="AF20" i="32"/>
  <c r="AE20" i="32"/>
  <c r="AM20" i="32" s="1"/>
  <c r="AO20" i="32" s="1"/>
  <c r="J15" i="54"/>
  <c r="E14" i="63" s="1"/>
  <c r="E13" i="54"/>
  <c r="J13" i="54" s="1"/>
  <c r="E12" i="63" s="1"/>
  <c r="K3" i="73"/>
  <c r="I4" i="73"/>
  <c r="W14" i="61"/>
  <c r="W13" i="61" s="1"/>
  <c r="W5" i="61" s="1"/>
  <c r="W22" i="61"/>
  <c r="W21" i="61" s="1"/>
  <c r="W27" i="61"/>
  <c r="W26" i="61" s="1"/>
  <c r="W25" i="61"/>
  <c r="W15" i="61"/>
  <c r="W50" i="61"/>
  <c r="W49" i="61" s="1"/>
  <c r="W29" i="61"/>
  <c r="W28" i="61" s="1"/>
  <c r="E19" i="58"/>
  <c r="N60" i="58"/>
  <c r="K59" i="63" s="1"/>
  <c r="E12" i="58"/>
  <c r="E47" i="58"/>
  <c r="Y6" i="61"/>
  <c r="G5" i="63" s="1"/>
  <c r="I5" i="54"/>
  <c r="F16" i="54"/>
  <c r="J16" i="54" s="1"/>
  <c r="E15" i="63" s="1"/>
  <c r="N58" i="63"/>
  <c r="P58" i="63" s="1"/>
  <c r="W24" i="61"/>
  <c r="W23" i="61" s="1"/>
  <c r="F50" i="61"/>
  <c r="F24" i="61"/>
  <c r="F29" i="61"/>
  <c r="F14" i="61"/>
  <c r="F13" i="61" s="1"/>
  <c r="F15" i="61"/>
  <c r="F27" i="61"/>
  <c r="F26" i="61" s="1"/>
  <c r="F25" i="61"/>
  <c r="Q37" i="61"/>
  <c r="H5" i="59"/>
  <c r="E46" i="59"/>
  <c r="N53" i="58"/>
  <c r="K52" i="63" s="1"/>
  <c r="N54" i="58"/>
  <c r="K53" i="63" s="1"/>
  <c r="Q7" i="59"/>
  <c r="J6" i="63" s="1"/>
  <c r="G5" i="54"/>
  <c r="N47" i="63"/>
  <c r="P47" i="63" s="1"/>
  <c r="E21" i="61"/>
  <c r="Y30" i="61"/>
  <c r="G29" i="63" s="1"/>
  <c r="N29" i="63" s="1"/>
  <c r="P29" i="63" s="1"/>
  <c r="F42" i="61"/>
  <c r="Y43" i="61"/>
  <c r="G42" i="63" s="1"/>
  <c r="N6" i="63"/>
  <c r="P6" i="63" s="1"/>
  <c r="F44" i="54"/>
  <c r="J45" i="54"/>
  <c r="E44" i="63" s="1"/>
  <c r="P33" i="61"/>
  <c r="P32" i="61" s="1"/>
  <c r="P74" i="61"/>
  <c r="G37" i="61"/>
  <c r="G4" i="61" s="1"/>
  <c r="Y48" i="61"/>
  <c r="G47" i="63" s="1"/>
  <c r="H37" i="59"/>
  <c r="N51" i="58"/>
  <c r="K50" i="63" s="1"/>
  <c r="Y44" i="61"/>
  <c r="G43" i="63" s="1"/>
  <c r="I21" i="54"/>
  <c r="J25" i="54"/>
  <c r="E24" i="63" s="1"/>
  <c r="J50" i="54"/>
  <c r="E49" i="63" s="1"/>
  <c r="J35" i="55"/>
  <c r="F34" i="63" s="1"/>
  <c r="M13" i="61"/>
  <c r="R21" i="61"/>
  <c r="R5" i="61" s="1"/>
  <c r="V14" i="61"/>
  <c r="V13" i="61" s="1"/>
  <c r="V22" i="61"/>
  <c r="V15" i="61"/>
  <c r="V50" i="61"/>
  <c r="V49" i="61" s="1"/>
  <c r="J37" i="61"/>
  <c r="Q45" i="59"/>
  <c r="J44" i="63" s="1"/>
  <c r="N19" i="59"/>
  <c r="N16" i="59" s="1"/>
  <c r="N12" i="59"/>
  <c r="N11" i="59" s="1"/>
  <c r="N9" i="59" s="1"/>
  <c r="N47" i="59"/>
  <c r="N46" i="59" s="1"/>
  <c r="N37" i="59" s="1"/>
  <c r="F32" i="58"/>
  <c r="N33" i="58"/>
  <c r="K32" i="63" s="1"/>
  <c r="M37" i="58"/>
  <c r="J9" i="57"/>
  <c r="J5" i="57" s="1"/>
  <c r="E25" i="57"/>
  <c r="E22" i="57"/>
  <c r="E15" i="57"/>
  <c r="T30" i="57"/>
  <c r="L29" i="63" s="1"/>
  <c r="E29" i="57"/>
  <c r="E27" i="57"/>
  <c r="E14" i="57"/>
  <c r="E50" i="57"/>
  <c r="R25" i="57"/>
  <c r="R22" i="57"/>
  <c r="R27" i="57"/>
  <c r="R26" i="57" s="1"/>
  <c r="R24" i="57"/>
  <c r="R14" i="57"/>
  <c r="R50" i="57"/>
  <c r="R49" i="57" s="1"/>
  <c r="E46" i="56"/>
  <c r="AJ23" i="32"/>
  <c r="J23" i="73"/>
  <c r="K21" i="73"/>
  <c r="K23" i="73" s="1"/>
  <c r="G5" i="59"/>
  <c r="Q37" i="57"/>
  <c r="E46" i="57"/>
  <c r="F32" i="56"/>
  <c r="P33" i="56"/>
  <c r="M32" i="63" s="1"/>
  <c r="H29" i="61"/>
  <c r="H28" i="61" s="1"/>
  <c r="H25" i="61"/>
  <c r="H22" i="61"/>
  <c r="Y22" i="61" s="1"/>
  <c r="G21" i="63" s="1"/>
  <c r="N21" i="63" s="1"/>
  <c r="P21" i="63" s="1"/>
  <c r="H14" i="61"/>
  <c r="H13" i="61" s="1"/>
  <c r="H27" i="61"/>
  <c r="H26" i="61" s="1"/>
  <c r="I37" i="59"/>
  <c r="M5" i="58"/>
  <c r="F28" i="54"/>
  <c r="J28" i="54" s="1"/>
  <c r="E27" i="63" s="1"/>
  <c r="J29" i="54"/>
  <c r="E28" i="63" s="1"/>
  <c r="I32" i="54"/>
  <c r="E42" i="54"/>
  <c r="J42" i="54" s="1"/>
  <c r="E41" i="63" s="1"/>
  <c r="J43" i="54"/>
  <c r="E42" i="63" s="1"/>
  <c r="N42" i="63" s="1"/>
  <c r="P42" i="63" s="1"/>
  <c r="E40" i="55"/>
  <c r="J40" i="55" s="1"/>
  <c r="F39" i="63" s="1"/>
  <c r="J41" i="55"/>
  <c r="F40" i="63" s="1"/>
  <c r="E44" i="55"/>
  <c r="J44" i="55" s="1"/>
  <c r="F43" i="63" s="1"/>
  <c r="J45" i="55"/>
  <c r="F44" i="63" s="1"/>
  <c r="H24" i="61"/>
  <c r="U24" i="61"/>
  <c r="N74" i="61"/>
  <c r="N33" i="61"/>
  <c r="N32" i="61" s="1"/>
  <c r="U46" i="61"/>
  <c r="E13" i="59"/>
  <c r="J37" i="59"/>
  <c r="J4" i="59" s="1"/>
  <c r="M23" i="57"/>
  <c r="M21" i="57" s="1"/>
  <c r="T35" i="57"/>
  <c r="L34" i="63" s="1"/>
  <c r="R37" i="57"/>
  <c r="O97" i="64"/>
  <c r="S36" i="32"/>
  <c r="O51" i="32"/>
  <c r="N116" i="32"/>
  <c r="I30" i="73"/>
  <c r="K24" i="73"/>
  <c r="K30" i="73" s="1"/>
  <c r="F35" i="61"/>
  <c r="Y36" i="61"/>
  <c r="G35" i="63" s="1"/>
  <c r="Q43" i="59"/>
  <c r="J42" i="63" s="1"/>
  <c r="J55" i="54"/>
  <c r="E54" i="63" s="1"/>
  <c r="N57" i="63"/>
  <c r="P57" i="63" s="1"/>
  <c r="J65" i="54"/>
  <c r="E64" i="63" s="1"/>
  <c r="N64" i="63" s="1"/>
  <c r="P64" i="63" s="1"/>
  <c r="E23" i="55"/>
  <c r="L5" i="61"/>
  <c r="E9" i="61"/>
  <c r="V24" i="61"/>
  <c r="V23" i="61" s="1"/>
  <c r="I5" i="59"/>
  <c r="K37" i="59"/>
  <c r="O23" i="57"/>
  <c r="O47" i="57"/>
  <c r="O46" i="57" s="1"/>
  <c r="O19" i="57"/>
  <c r="O16" i="57" s="1"/>
  <c r="O12" i="57"/>
  <c r="O11" i="57" s="1"/>
  <c r="O9" i="57" s="1"/>
  <c r="O41" i="57"/>
  <c r="O40" i="57" s="1"/>
  <c r="P14" i="56"/>
  <c r="M13" i="63" s="1"/>
  <c r="F13" i="56"/>
  <c r="N74" i="64"/>
  <c r="P87" i="64"/>
  <c r="AM21" i="32"/>
  <c r="AO21" i="32" s="1"/>
  <c r="AG92" i="32"/>
  <c r="AF92" i="32"/>
  <c r="AL92" i="32"/>
  <c r="AL95" i="32" s="1"/>
  <c r="AC95" i="32"/>
  <c r="AI92" i="32"/>
  <c r="AH92" i="32"/>
  <c r="AE92" i="32"/>
  <c r="AK92" i="32"/>
  <c r="H5" i="55"/>
  <c r="J49" i="55"/>
  <c r="F48" i="63" s="1"/>
  <c r="M74" i="61"/>
  <c r="O21" i="59"/>
  <c r="Q38" i="59"/>
  <c r="J37" i="63" s="1"/>
  <c r="Q48" i="59"/>
  <c r="J47" i="63" s="1"/>
  <c r="F49" i="59"/>
  <c r="F37" i="59" s="1"/>
  <c r="N27" i="58"/>
  <c r="K26" i="63" s="1"/>
  <c r="E26" i="58"/>
  <c r="N26" i="58" s="1"/>
  <c r="K25" i="63" s="1"/>
  <c r="E50" i="58"/>
  <c r="E22" i="58"/>
  <c r="N30" i="58"/>
  <c r="K29" i="63" s="1"/>
  <c r="E25" i="58"/>
  <c r="E15" i="58"/>
  <c r="N15" i="58" s="1"/>
  <c r="K14" i="63" s="1"/>
  <c r="E29" i="58"/>
  <c r="N43" i="58"/>
  <c r="K42" i="63" s="1"/>
  <c r="E42" i="58"/>
  <c r="N42" i="58" s="1"/>
  <c r="K41" i="63" s="1"/>
  <c r="F13" i="57"/>
  <c r="R15" i="57"/>
  <c r="M14" i="57"/>
  <c r="M13" i="57" s="1"/>
  <c r="M50" i="57"/>
  <c r="M49" i="57" s="1"/>
  <c r="M29" i="57"/>
  <c r="M28" i="57" s="1"/>
  <c r="M15" i="57"/>
  <c r="H32" i="57"/>
  <c r="J5" i="56"/>
  <c r="Q42" i="64"/>
  <c r="M57" i="64"/>
  <c r="P74" i="64"/>
  <c r="P113" i="64"/>
  <c r="H37" i="56"/>
  <c r="J14" i="54"/>
  <c r="E13" i="63" s="1"/>
  <c r="I37" i="54"/>
  <c r="F46" i="54"/>
  <c r="I5" i="55"/>
  <c r="J55" i="55"/>
  <c r="F54" i="63" s="1"/>
  <c r="E12" i="55"/>
  <c r="E47" i="55"/>
  <c r="E19" i="55"/>
  <c r="J60" i="55"/>
  <c r="F59" i="63" s="1"/>
  <c r="N59" i="63" s="1"/>
  <c r="P59" i="63" s="1"/>
  <c r="J5" i="61"/>
  <c r="O21" i="61"/>
  <c r="V27" i="61"/>
  <c r="V26" i="61" s="1"/>
  <c r="U50" i="61"/>
  <c r="U49" i="61" s="1"/>
  <c r="U37" i="61" s="1"/>
  <c r="I51" i="61"/>
  <c r="Y51" i="61" s="1"/>
  <c r="G50" i="63" s="1"/>
  <c r="N50" i="63" s="1"/>
  <c r="P50" i="63" s="1"/>
  <c r="Y52" i="61"/>
  <c r="G51" i="63" s="1"/>
  <c r="N51" i="63" s="1"/>
  <c r="P51" i="63" s="1"/>
  <c r="M41" i="61"/>
  <c r="M40" i="61" s="1"/>
  <c r="M19" i="61"/>
  <c r="M16" i="61" s="1"/>
  <c r="M12" i="61"/>
  <c r="M11" i="61" s="1"/>
  <c r="M9" i="61" s="1"/>
  <c r="M47" i="61"/>
  <c r="M46" i="61" s="1"/>
  <c r="Y60" i="61"/>
  <c r="G59" i="63" s="1"/>
  <c r="O74" i="61"/>
  <c r="N27" i="59"/>
  <c r="N26" i="59" s="1"/>
  <c r="Q30" i="59"/>
  <c r="J29" i="63" s="1"/>
  <c r="N25" i="59"/>
  <c r="Q25" i="59" s="1"/>
  <c r="J24" i="63" s="1"/>
  <c r="N24" i="59"/>
  <c r="N23" i="59" s="1"/>
  <c r="N15" i="59"/>
  <c r="Q15" i="59" s="1"/>
  <c r="J14" i="63" s="1"/>
  <c r="N14" i="59"/>
  <c r="N29" i="59"/>
  <c r="N28" i="59" s="1"/>
  <c r="N22" i="59"/>
  <c r="J44" i="58"/>
  <c r="N44" i="58" s="1"/>
  <c r="K43" i="63" s="1"/>
  <c r="G9" i="57"/>
  <c r="N50" i="57"/>
  <c r="N49" i="57" s="1"/>
  <c r="N29" i="57"/>
  <c r="N28" i="57" s="1"/>
  <c r="N25" i="57"/>
  <c r="N22" i="57"/>
  <c r="N15" i="57"/>
  <c r="N24" i="57"/>
  <c r="N14" i="57"/>
  <c r="Q116" i="64"/>
  <c r="Q125" i="64" s="1"/>
  <c r="I125" i="64"/>
  <c r="N125" i="64"/>
  <c r="J24" i="54"/>
  <c r="E23" i="63" s="1"/>
  <c r="J6" i="55"/>
  <c r="F5" i="63" s="1"/>
  <c r="J26" i="55"/>
  <c r="F25" i="63" s="1"/>
  <c r="H74" i="55"/>
  <c r="J34" i="55"/>
  <c r="H33" i="55"/>
  <c r="H37" i="55"/>
  <c r="H39" i="55"/>
  <c r="F12" i="55"/>
  <c r="F11" i="55" s="1"/>
  <c r="F9" i="55" s="1"/>
  <c r="F5" i="55" s="1"/>
  <c r="F19" i="55"/>
  <c r="F16" i="55" s="1"/>
  <c r="F47" i="55"/>
  <c r="F46" i="55" s="1"/>
  <c r="F37" i="55" s="1"/>
  <c r="Q5" i="61"/>
  <c r="M23" i="61"/>
  <c r="M21" i="61" s="1"/>
  <c r="E53" i="61"/>
  <c r="Y53" i="61" s="1"/>
  <c r="G52" i="63" s="1"/>
  <c r="Y54" i="61"/>
  <c r="G53" i="63" s="1"/>
  <c r="Q54" i="59"/>
  <c r="J53" i="63" s="1"/>
  <c r="L12" i="59"/>
  <c r="L11" i="59" s="1"/>
  <c r="L9" i="59" s="1"/>
  <c r="L5" i="59" s="1"/>
  <c r="L41" i="59"/>
  <c r="L40" i="59" s="1"/>
  <c r="N10" i="58"/>
  <c r="K9" i="63" s="1"/>
  <c r="H6" i="57"/>
  <c r="T7" i="57"/>
  <c r="L6" i="63" s="1"/>
  <c r="P5" i="57"/>
  <c r="T10" i="57"/>
  <c r="L9" i="63" s="1"/>
  <c r="R29" i="57"/>
  <c r="R28" i="57" s="1"/>
  <c r="O50" i="57"/>
  <c r="O49" i="57" s="1"/>
  <c r="O29" i="57"/>
  <c r="O28" i="57" s="1"/>
  <c r="O15" i="57"/>
  <c r="O13" i="57" s="1"/>
  <c r="O22" i="57"/>
  <c r="P32" i="56"/>
  <c r="M31" i="63" s="1"/>
  <c r="Q37" i="64"/>
  <c r="Q20" i="64"/>
  <c r="AK18" i="32"/>
  <c r="AL18" i="32"/>
  <c r="AI18" i="32"/>
  <c r="AE18" i="32"/>
  <c r="AG18" i="32"/>
  <c r="AF18" i="32"/>
  <c r="AC23" i="32"/>
  <c r="AD70" i="32"/>
  <c r="AK57" i="32"/>
  <c r="AK70" i="32" s="1"/>
  <c r="AI57" i="32"/>
  <c r="AI70" i="32" s="1"/>
  <c r="AL57" i="32"/>
  <c r="AG57" i="32"/>
  <c r="AH57" i="32"/>
  <c r="AF57" i="32"/>
  <c r="AE57" i="32"/>
  <c r="E40" i="54"/>
  <c r="J41" i="54"/>
  <c r="E40" i="63" s="1"/>
  <c r="J53" i="54"/>
  <c r="E52" i="63" s="1"/>
  <c r="N52" i="63" s="1"/>
  <c r="P52" i="63" s="1"/>
  <c r="E42" i="55"/>
  <c r="J42" i="55" s="1"/>
  <c r="F41" i="63" s="1"/>
  <c r="J43" i="55"/>
  <c r="F42" i="63" s="1"/>
  <c r="G47" i="55"/>
  <c r="G46" i="55" s="1"/>
  <c r="G41" i="55"/>
  <c r="G40" i="55" s="1"/>
  <c r="G19" i="55"/>
  <c r="G16" i="55" s="1"/>
  <c r="G12" i="55"/>
  <c r="G11" i="55" s="1"/>
  <c r="G9" i="55" s="1"/>
  <c r="G5" i="55" s="1"/>
  <c r="H15" i="61"/>
  <c r="Y20" i="61"/>
  <c r="G19" i="63" s="1"/>
  <c r="N19" i="63" s="1"/>
  <c r="P19" i="63" s="1"/>
  <c r="U29" i="61"/>
  <c r="U28" i="61" s="1"/>
  <c r="U25" i="61"/>
  <c r="U14" i="61"/>
  <c r="U13" i="61" s="1"/>
  <c r="U27" i="61"/>
  <c r="U26" i="61" s="1"/>
  <c r="U22" i="61"/>
  <c r="H50" i="61"/>
  <c r="H49" i="61" s="1"/>
  <c r="O41" i="61"/>
  <c r="O40" i="61" s="1"/>
  <c r="O19" i="61"/>
  <c r="O16" i="61" s="1"/>
  <c r="O5" i="61" s="1"/>
  <c r="O47" i="61"/>
  <c r="O46" i="61" s="1"/>
  <c r="E21" i="59"/>
  <c r="M12" i="59"/>
  <c r="M11" i="59" s="1"/>
  <c r="M9" i="59" s="1"/>
  <c r="M41" i="59"/>
  <c r="M40" i="59" s="1"/>
  <c r="M19" i="59"/>
  <c r="M16" i="59" s="1"/>
  <c r="M47" i="59"/>
  <c r="M46" i="59" s="1"/>
  <c r="N14" i="58"/>
  <c r="K13" i="63" s="1"/>
  <c r="E23" i="57"/>
  <c r="G37" i="57"/>
  <c r="T45" i="57"/>
  <c r="L44" i="63" s="1"/>
  <c r="H12" i="57"/>
  <c r="H11" i="57" s="1"/>
  <c r="H9" i="57" s="1"/>
  <c r="H41" i="57"/>
  <c r="H40" i="57" s="1"/>
  <c r="H47" i="57"/>
  <c r="H46" i="57" s="1"/>
  <c r="I37" i="64"/>
  <c r="Q18" i="64"/>
  <c r="S37" i="57"/>
  <c r="J37" i="56"/>
  <c r="M113" i="64"/>
  <c r="AI25" i="32"/>
  <c r="AL25" i="32"/>
  <c r="AK25" i="32"/>
  <c r="AK35" i="32" s="1"/>
  <c r="AG25" i="32"/>
  <c r="AC35" i="32"/>
  <c r="AH25" i="32"/>
  <c r="AH35" i="32" s="1"/>
  <c r="AF25" i="32"/>
  <c r="H46" i="55"/>
  <c r="T13" i="61"/>
  <c r="E16" i="61"/>
  <c r="K14" i="61"/>
  <c r="K13" i="61" s="1"/>
  <c r="K22" i="61"/>
  <c r="K27" i="61"/>
  <c r="K26" i="61" s="1"/>
  <c r="Y26" i="61" s="1"/>
  <c r="G25" i="63" s="1"/>
  <c r="N25" i="63" s="1"/>
  <c r="P25" i="63" s="1"/>
  <c r="K25" i="61"/>
  <c r="K23" i="61" s="1"/>
  <c r="K50" i="61"/>
  <c r="K49" i="61" s="1"/>
  <c r="E46" i="61"/>
  <c r="Q46" i="61"/>
  <c r="E23" i="59"/>
  <c r="I13" i="58"/>
  <c r="O74" i="57"/>
  <c r="O33" i="57"/>
  <c r="O32" i="57" s="1"/>
  <c r="P15" i="56"/>
  <c r="M14" i="63" s="1"/>
  <c r="AM17" i="32"/>
  <c r="AO17" i="32" s="1"/>
  <c r="AM18" i="32"/>
  <c r="AO18" i="32" s="1"/>
  <c r="AD23" i="32"/>
  <c r="M15" i="61"/>
  <c r="M27" i="61"/>
  <c r="M26" i="61" s="1"/>
  <c r="M50" i="61"/>
  <c r="M49" i="61" s="1"/>
  <c r="N46" i="61"/>
  <c r="N37" i="61" s="1"/>
  <c r="Q19" i="59"/>
  <c r="J18" i="63" s="1"/>
  <c r="F23" i="59"/>
  <c r="F21" i="59" s="1"/>
  <c r="F5" i="59" s="1"/>
  <c r="E6" i="58"/>
  <c r="N7" i="58"/>
  <c r="K6" i="63" s="1"/>
  <c r="K21" i="58"/>
  <c r="H37" i="58"/>
  <c r="T57" i="57"/>
  <c r="L56" i="63" s="1"/>
  <c r="L47" i="57"/>
  <c r="L46" i="57" s="1"/>
  <c r="L41" i="57"/>
  <c r="L40" i="57" s="1"/>
  <c r="P60" i="56"/>
  <c r="M59" i="63" s="1"/>
  <c r="E41" i="56"/>
  <c r="E19" i="56"/>
  <c r="E12" i="56"/>
  <c r="N16" i="64"/>
  <c r="AG56" i="32"/>
  <c r="AF56" i="32"/>
  <c r="AM56" i="32" s="1"/>
  <c r="AO56" i="32" s="1"/>
  <c r="AL56" i="32"/>
  <c r="AL70" i="32" s="1"/>
  <c r="AI56" i="32"/>
  <c r="AH56" i="32"/>
  <c r="AE56" i="32"/>
  <c r="J48" i="55"/>
  <c r="F47" i="63" s="1"/>
  <c r="J57" i="55"/>
  <c r="F56" i="63" s="1"/>
  <c r="P9" i="61"/>
  <c r="P5" i="61" s="1"/>
  <c r="M25" i="61"/>
  <c r="Y45" i="61"/>
  <c r="G44" i="63" s="1"/>
  <c r="H47" i="61"/>
  <c r="H46" i="61" s="1"/>
  <c r="H41" i="61"/>
  <c r="H40" i="61" s="1"/>
  <c r="T47" i="61"/>
  <c r="T46" i="61" s="1"/>
  <c r="T12" i="61"/>
  <c r="T11" i="61" s="1"/>
  <c r="T9" i="61" s="1"/>
  <c r="T5" i="61" s="1"/>
  <c r="T41" i="61"/>
  <c r="T40" i="61" s="1"/>
  <c r="K47" i="59"/>
  <c r="K46" i="59" s="1"/>
  <c r="K12" i="59"/>
  <c r="K11" i="59" s="1"/>
  <c r="K9" i="59" s="1"/>
  <c r="K19" i="59"/>
  <c r="K16" i="59" s="1"/>
  <c r="J32" i="58"/>
  <c r="L37" i="58"/>
  <c r="Q13" i="57"/>
  <c r="T36" i="57"/>
  <c r="L35" i="63" s="1"/>
  <c r="E42" i="57"/>
  <c r="T43" i="57"/>
  <c r="L42" i="63" s="1"/>
  <c r="M47" i="57"/>
  <c r="M46" i="57" s="1"/>
  <c r="M19" i="57"/>
  <c r="M16" i="57" s="1"/>
  <c r="M12" i="57"/>
  <c r="M11" i="57" s="1"/>
  <c r="M9" i="57" s="1"/>
  <c r="M41" i="57"/>
  <c r="M40" i="57" s="1"/>
  <c r="N87" i="64"/>
  <c r="N97" i="64"/>
  <c r="Q93" i="64"/>
  <c r="Q111" i="64"/>
  <c r="G113" i="64"/>
  <c r="L126" i="64"/>
  <c r="AD14" i="32"/>
  <c r="O14" i="32"/>
  <c r="S6" i="32"/>
  <c r="AM114" i="32"/>
  <c r="AO114" i="32" s="1"/>
  <c r="E5" i="61"/>
  <c r="K9" i="61"/>
  <c r="Y57" i="61"/>
  <c r="G56" i="63" s="1"/>
  <c r="Q60" i="59"/>
  <c r="J59" i="63" s="1"/>
  <c r="H13" i="58"/>
  <c r="H5" i="58" s="1"/>
  <c r="H4" i="58" s="1"/>
  <c r="G47" i="58"/>
  <c r="G46" i="58" s="1"/>
  <c r="G41" i="58"/>
  <c r="G40" i="58" s="1"/>
  <c r="G37" i="58" s="1"/>
  <c r="G20" i="58"/>
  <c r="N20" i="58" s="1"/>
  <c r="K19" i="63" s="1"/>
  <c r="G47" i="56"/>
  <c r="G46" i="56" s="1"/>
  <c r="G41" i="56"/>
  <c r="G40" i="56" s="1"/>
  <c r="G37" i="56" s="1"/>
  <c r="G19" i="56"/>
  <c r="G16" i="56" s="1"/>
  <c r="G12" i="56"/>
  <c r="G11" i="56" s="1"/>
  <c r="G9" i="56" s="1"/>
  <c r="E85" i="31"/>
  <c r="S101" i="32"/>
  <c r="S115" i="32" s="1"/>
  <c r="I115" i="32"/>
  <c r="I116" i="32" s="1"/>
  <c r="G47" i="54"/>
  <c r="G41" i="54"/>
  <c r="G40" i="54" s="1"/>
  <c r="W32" i="61"/>
  <c r="V37" i="61"/>
  <c r="H13" i="59"/>
  <c r="Q27" i="59"/>
  <c r="J26" i="63" s="1"/>
  <c r="Q39" i="59"/>
  <c r="J38" i="63" s="1"/>
  <c r="I12" i="58"/>
  <c r="I11" i="58" s="1"/>
  <c r="I9" i="58" s="1"/>
  <c r="I47" i="58"/>
  <c r="I46" i="58" s="1"/>
  <c r="I41" i="58"/>
  <c r="I40" i="58" s="1"/>
  <c r="I37" i="58" s="1"/>
  <c r="L74" i="57"/>
  <c r="L33" i="57"/>
  <c r="L32" i="57" s="1"/>
  <c r="T55" i="57"/>
  <c r="L54" i="63" s="1"/>
  <c r="P9" i="64"/>
  <c r="AI11" i="32"/>
  <c r="AG11" i="32"/>
  <c r="AE11" i="32"/>
  <c r="AL11" i="32"/>
  <c r="AK11" i="32"/>
  <c r="G12" i="54"/>
  <c r="G11" i="54" s="1"/>
  <c r="G9" i="54" s="1"/>
  <c r="H12" i="54"/>
  <c r="H11" i="54" s="1"/>
  <c r="H9" i="54" s="1"/>
  <c r="H5" i="54" s="1"/>
  <c r="H19" i="54"/>
  <c r="H16" i="54" s="1"/>
  <c r="F32" i="55"/>
  <c r="I32" i="61"/>
  <c r="P46" i="61"/>
  <c r="P37" i="61" s="1"/>
  <c r="Y55" i="61"/>
  <c r="G54" i="63" s="1"/>
  <c r="K13" i="58"/>
  <c r="G23" i="58"/>
  <c r="G21" i="58" s="1"/>
  <c r="N35" i="58"/>
  <c r="K34" i="63" s="1"/>
  <c r="K14" i="57"/>
  <c r="K13" i="57" s="1"/>
  <c r="K25" i="57"/>
  <c r="K24" i="57"/>
  <c r="K22" i="57"/>
  <c r="M74" i="57"/>
  <c r="M33" i="57"/>
  <c r="M32" i="57" s="1"/>
  <c r="T51" i="57"/>
  <c r="L50" i="63" s="1"/>
  <c r="P25" i="56"/>
  <c r="M24" i="63" s="1"/>
  <c r="P52" i="56"/>
  <c r="M51" i="63" s="1"/>
  <c r="I51" i="56"/>
  <c r="J50" i="67"/>
  <c r="E121" i="31"/>
  <c r="S28" i="32"/>
  <c r="P35" i="32"/>
  <c r="R51" i="32"/>
  <c r="AM48" i="32"/>
  <c r="AO48" i="32" s="1"/>
  <c r="R115" i="32"/>
  <c r="S102" i="32"/>
  <c r="E21" i="54"/>
  <c r="J21" i="54" s="1"/>
  <c r="E20" i="63" s="1"/>
  <c r="J54" i="54"/>
  <c r="E53" i="63" s="1"/>
  <c r="G32" i="55"/>
  <c r="Y15" i="61"/>
  <c r="G14" i="63" s="1"/>
  <c r="I41" i="61"/>
  <c r="I40" i="61" s="1"/>
  <c r="I37" i="61" s="1"/>
  <c r="R46" i="61"/>
  <c r="R37" i="61" s="1"/>
  <c r="K41" i="61"/>
  <c r="K40" i="61" s="1"/>
  <c r="K37" i="61" s="1"/>
  <c r="K19" i="61"/>
  <c r="K16" i="61" s="1"/>
  <c r="W41" i="61"/>
  <c r="W40" i="61" s="1"/>
  <c r="W37" i="61" s="1"/>
  <c r="W19" i="61"/>
  <c r="W16" i="61" s="1"/>
  <c r="O23" i="59"/>
  <c r="Q65" i="59"/>
  <c r="J64" i="63" s="1"/>
  <c r="K27" i="57"/>
  <c r="K26" i="57" s="1"/>
  <c r="L14" i="57"/>
  <c r="L13" i="57" s="1"/>
  <c r="L5" i="57" s="1"/>
  <c r="L50" i="57"/>
  <c r="L49" i="57" s="1"/>
  <c r="L29" i="57"/>
  <c r="L28" i="57" s="1"/>
  <c r="L22" i="57"/>
  <c r="L21" i="57" s="1"/>
  <c r="N37" i="57"/>
  <c r="T65" i="57"/>
  <c r="L64" i="63" s="1"/>
  <c r="G5" i="56"/>
  <c r="P6" i="56"/>
  <c r="M5" i="63" s="1"/>
  <c r="P24" i="56"/>
  <c r="M23" i="63" s="1"/>
  <c r="P44" i="56"/>
  <c r="M43" i="63" s="1"/>
  <c r="K47" i="56"/>
  <c r="K46" i="56" s="1"/>
  <c r="K12" i="56"/>
  <c r="K11" i="56" s="1"/>
  <c r="K9" i="56" s="1"/>
  <c r="K5" i="56" s="1"/>
  <c r="K41" i="56"/>
  <c r="K40" i="56" s="1"/>
  <c r="K37" i="56" s="1"/>
  <c r="Q39" i="64"/>
  <c r="I57" i="64"/>
  <c r="K126" i="64"/>
  <c r="AF11" i="32"/>
  <c r="S27" i="32"/>
  <c r="Q35" i="32"/>
  <c r="S74" i="32"/>
  <c r="O90" i="32"/>
  <c r="E116" i="32"/>
  <c r="Q91" i="64"/>
  <c r="I113" i="64"/>
  <c r="Q98" i="64"/>
  <c r="Q113" i="64" s="1"/>
  <c r="Q107" i="64"/>
  <c r="I90" i="32"/>
  <c r="T116" i="32"/>
  <c r="N24" i="61"/>
  <c r="N23" i="61" s="1"/>
  <c r="N21" i="61" s="1"/>
  <c r="N5" i="61" s="1"/>
  <c r="N50" i="61"/>
  <c r="N49" i="61" s="1"/>
  <c r="G6" i="57"/>
  <c r="S6" i="57"/>
  <c r="H21" i="57"/>
  <c r="G24" i="57"/>
  <c r="G23" i="57" s="1"/>
  <c r="G21" i="57" s="1"/>
  <c r="G25" i="57"/>
  <c r="Q25" i="57"/>
  <c r="Q23" i="57" s="1"/>
  <c r="Q22" i="57"/>
  <c r="Q15" i="57"/>
  <c r="Q32" i="57"/>
  <c r="N74" i="57"/>
  <c r="N33" i="57"/>
  <c r="N32" i="57" s="1"/>
  <c r="P35" i="56"/>
  <c r="M34" i="63" s="1"/>
  <c r="L12" i="56"/>
  <c r="L11" i="56" s="1"/>
  <c r="L9" i="56" s="1"/>
  <c r="L5" i="56" s="1"/>
  <c r="L47" i="56"/>
  <c r="L46" i="56" s="1"/>
  <c r="L37" i="56" s="1"/>
  <c r="Q81" i="64"/>
  <c r="G173" i="33"/>
  <c r="AI4" i="32"/>
  <c r="AH4" i="32"/>
  <c r="AH14" i="32" s="1"/>
  <c r="AG4" i="32"/>
  <c r="AC14" i="32"/>
  <c r="AE4" i="32"/>
  <c r="AF4" i="32"/>
  <c r="AF14" i="32" s="1"/>
  <c r="AL5" i="32"/>
  <c r="AK5" i="32"/>
  <c r="AI5" i="32"/>
  <c r="AH5" i="32"/>
  <c r="AG5" i="32"/>
  <c r="AF5" i="32"/>
  <c r="AM5" i="32" s="1"/>
  <c r="AO5" i="32" s="1"/>
  <c r="AI7" i="32"/>
  <c r="AL7" i="32"/>
  <c r="AK7" i="32"/>
  <c r="AG7" i="32"/>
  <c r="AF7" i="32"/>
  <c r="AM7" i="32" s="1"/>
  <c r="AO7" i="32" s="1"/>
  <c r="AM11" i="32"/>
  <c r="AO11" i="32" s="1"/>
  <c r="S23" i="32"/>
  <c r="AI28" i="32"/>
  <c r="AH28" i="32"/>
  <c r="AG28" i="32"/>
  <c r="AE28" i="32"/>
  <c r="AM28" i="32" s="1"/>
  <c r="AO28" i="32" s="1"/>
  <c r="AK28" i="32"/>
  <c r="AF28" i="32"/>
  <c r="AL28" i="32"/>
  <c r="S41" i="32"/>
  <c r="Q28" i="59"/>
  <c r="J27" i="63" s="1"/>
  <c r="O50" i="59"/>
  <c r="O49" i="59" s="1"/>
  <c r="Q49" i="59" s="1"/>
  <c r="J48" i="63" s="1"/>
  <c r="M5" i="56"/>
  <c r="P48" i="56"/>
  <c r="M47" i="63" s="1"/>
  <c r="AJ14" i="32"/>
  <c r="AK15" i="32"/>
  <c r="AL15" i="32"/>
  <c r="AI15" i="32"/>
  <c r="AI23" i="32" s="1"/>
  <c r="AG15" i="32"/>
  <c r="AG23" i="32" s="1"/>
  <c r="AH15" i="32"/>
  <c r="AF15" i="32"/>
  <c r="AJ70" i="32"/>
  <c r="AE75" i="32"/>
  <c r="AL75" i="32"/>
  <c r="AI75" i="32"/>
  <c r="AK75" i="32"/>
  <c r="AH75" i="32"/>
  <c r="AG75" i="32"/>
  <c r="AF75" i="32"/>
  <c r="AC90" i="32"/>
  <c r="AI79" i="32"/>
  <c r="AH79" i="32"/>
  <c r="AK79" i="32"/>
  <c r="AL79" i="32"/>
  <c r="AG79" i="32"/>
  <c r="AE79" i="32"/>
  <c r="AM79" i="32" s="1"/>
  <c r="AO79" i="32" s="1"/>
  <c r="AI95" i="32"/>
  <c r="AM91" i="32"/>
  <c r="F116" i="32"/>
  <c r="N27" i="61"/>
  <c r="N26" i="61" s="1"/>
  <c r="L21" i="59"/>
  <c r="O27" i="59"/>
  <c r="O26" i="59" s="1"/>
  <c r="P29" i="59"/>
  <c r="P28" i="59" s="1"/>
  <c r="P50" i="59"/>
  <c r="P49" i="59" s="1"/>
  <c r="P25" i="59"/>
  <c r="P23" i="59" s="1"/>
  <c r="P21" i="59" s="1"/>
  <c r="P5" i="59" s="1"/>
  <c r="E32" i="57"/>
  <c r="T33" i="57"/>
  <c r="L32" i="63" s="1"/>
  <c r="T44" i="57"/>
  <c r="L43" i="63" s="1"/>
  <c r="E20" i="57"/>
  <c r="T20" i="57" s="1"/>
  <c r="L19" i="63" s="1"/>
  <c r="T60" i="57"/>
  <c r="L59" i="63" s="1"/>
  <c r="E12" i="57"/>
  <c r="I87" i="64"/>
  <c r="Q75" i="64"/>
  <c r="O125" i="64"/>
  <c r="E35" i="31"/>
  <c r="C13" i="43"/>
  <c r="AM30" i="32"/>
  <c r="AO30" i="32" s="1"/>
  <c r="AK93" i="32"/>
  <c r="AG93" i="32"/>
  <c r="AG95" i="32" s="1"/>
  <c r="AF93" i="32"/>
  <c r="AE93" i="32"/>
  <c r="AH93" i="32"/>
  <c r="AL93" i="32"/>
  <c r="N6" i="59"/>
  <c r="O14" i="59"/>
  <c r="O13" i="59" s="1"/>
  <c r="P27" i="59"/>
  <c r="P26" i="59" s="1"/>
  <c r="Q33" i="59"/>
  <c r="J32" i="63" s="1"/>
  <c r="E32" i="58"/>
  <c r="N36" i="58"/>
  <c r="K35" i="63" s="1"/>
  <c r="E16" i="57"/>
  <c r="F32" i="57"/>
  <c r="T34" i="57"/>
  <c r="F20" i="57"/>
  <c r="F16" i="57" s="1"/>
  <c r="F5" i="57" s="1"/>
  <c r="F41" i="57"/>
  <c r="F40" i="57" s="1"/>
  <c r="S12" i="57"/>
  <c r="S11" i="57" s="1"/>
  <c r="S9" i="57" s="1"/>
  <c r="S19" i="57"/>
  <c r="S16" i="57" s="1"/>
  <c r="P29" i="56"/>
  <c r="M28" i="63" s="1"/>
  <c r="P45" i="56"/>
  <c r="M44" i="63" s="1"/>
  <c r="Q58" i="64"/>
  <c r="Q74" i="64" s="1"/>
  <c r="I74" i="64"/>
  <c r="M87" i="64"/>
  <c r="J126" i="64"/>
  <c r="E94" i="31"/>
  <c r="D183" i="33"/>
  <c r="I14" i="32"/>
  <c r="AL4" i="32"/>
  <c r="AE15" i="32"/>
  <c r="AM15" i="32" s="1"/>
  <c r="AM31" i="32"/>
  <c r="AO31" i="32" s="1"/>
  <c r="P70" i="32"/>
  <c r="AF79" i="32"/>
  <c r="O95" i="32"/>
  <c r="S91" i="32"/>
  <c r="S95" i="32" s="1"/>
  <c r="AK95" i="32"/>
  <c r="J13" i="72"/>
  <c r="J18" i="72" s="1"/>
  <c r="E16" i="59"/>
  <c r="Q16" i="59" s="1"/>
  <c r="J15" i="63" s="1"/>
  <c r="I14" i="57"/>
  <c r="I13" i="57" s="1"/>
  <c r="I5" i="57" s="1"/>
  <c r="I50" i="57"/>
  <c r="I49" i="57" s="1"/>
  <c r="H12" i="56"/>
  <c r="H11" i="56" s="1"/>
  <c r="H9" i="56" s="1"/>
  <c r="H5" i="56" s="1"/>
  <c r="I46" i="56"/>
  <c r="F47" i="56"/>
  <c r="F46" i="56" s="1"/>
  <c r="F41" i="56"/>
  <c r="F40" i="56" s="1"/>
  <c r="F37" i="56" s="1"/>
  <c r="Q34" i="64"/>
  <c r="Q45" i="64"/>
  <c r="O74" i="64"/>
  <c r="G33" i="33"/>
  <c r="G183" i="33" s="1"/>
  <c r="P14" i="32"/>
  <c r="S5" i="32"/>
  <c r="S11" i="32"/>
  <c r="I35" i="32"/>
  <c r="O70" i="32"/>
  <c r="S52" i="32"/>
  <c r="AG59" i="32"/>
  <c r="AF59" i="32"/>
  <c r="AL59" i="32"/>
  <c r="AI59" i="32"/>
  <c r="AH59" i="32"/>
  <c r="AE59" i="32"/>
  <c r="AM59" i="32" s="1"/>
  <c r="AO59" i="32" s="1"/>
  <c r="AM106" i="32"/>
  <c r="AO106" i="32" s="1"/>
  <c r="P51" i="56"/>
  <c r="M50" i="63" s="1"/>
  <c r="P53" i="56"/>
  <c r="M52" i="63" s="1"/>
  <c r="E14" i="31"/>
  <c r="E72" i="31"/>
  <c r="R14" i="32"/>
  <c r="AM10" i="32"/>
  <c r="AO10" i="32" s="1"/>
  <c r="O35" i="32"/>
  <c r="AK40" i="32"/>
  <c r="AF40" i="32"/>
  <c r="AG40" i="32"/>
  <c r="AE40" i="32"/>
  <c r="AL40" i="32"/>
  <c r="AI40" i="32"/>
  <c r="Q70" i="32"/>
  <c r="AL86" i="32"/>
  <c r="AF86" i="32"/>
  <c r="AI86" i="32"/>
  <c r="AH86" i="32"/>
  <c r="AG86" i="32"/>
  <c r="AE86" i="32"/>
  <c r="AK100" i="32"/>
  <c r="L116" i="32"/>
  <c r="S105" i="32"/>
  <c r="O115" i="32"/>
  <c r="Q40" i="59"/>
  <c r="J39" i="63" s="1"/>
  <c r="J41" i="58"/>
  <c r="J40" i="58" s="1"/>
  <c r="J47" i="58"/>
  <c r="J46" i="58" s="1"/>
  <c r="I41" i="57"/>
  <c r="I40" i="57" s="1"/>
  <c r="I37" i="57" s="1"/>
  <c r="P50" i="56"/>
  <c r="M49" i="63" s="1"/>
  <c r="I41" i="56"/>
  <c r="I40" i="56" s="1"/>
  <c r="I37" i="56" s="1"/>
  <c r="I19" i="56"/>
  <c r="I16" i="56" s="1"/>
  <c r="I12" i="56"/>
  <c r="I11" i="56" s="1"/>
  <c r="I9" i="56" s="1"/>
  <c r="I5" i="56" s="1"/>
  <c r="N113" i="64"/>
  <c r="S14" i="32"/>
  <c r="N23" i="32"/>
  <c r="AJ35" i="32"/>
  <c r="S32" i="32"/>
  <c r="S37" i="32"/>
  <c r="R70" i="32"/>
  <c r="AK59" i="32"/>
  <c r="AG65" i="32"/>
  <c r="AM65" i="32" s="1"/>
  <c r="AO65" i="32" s="1"/>
  <c r="AF65" i="32"/>
  <c r="AL65" i="32"/>
  <c r="AI65" i="32"/>
  <c r="AK65" i="32"/>
  <c r="J116" i="32"/>
  <c r="K41" i="58"/>
  <c r="K40" i="58" s="1"/>
  <c r="K37" i="58" s="1"/>
  <c r="F22" i="57"/>
  <c r="F21" i="57" s="1"/>
  <c r="J41" i="57"/>
  <c r="J40" i="57" s="1"/>
  <c r="J37" i="57" s="1"/>
  <c r="E49" i="56"/>
  <c r="P49" i="56" s="1"/>
  <c r="M48" i="63" s="1"/>
  <c r="Q26" i="64"/>
  <c r="Q41" i="64"/>
  <c r="Q53" i="64"/>
  <c r="M97" i="64"/>
  <c r="Q88" i="64"/>
  <c r="H126" i="64"/>
  <c r="AI30" i="32"/>
  <c r="AE30" i="32"/>
  <c r="AL30" i="32"/>
  <c r="AH30" i="32"/>
  <c r="AD35" i="32"/>
  <c r="AH40" i="32"/>
  <c r="AM46" i="32"/>
  <c r="AO46" i="32" s="1"/>
  <c r="AF50" i="32"/>
  <c r="AK50" i="32"/>
  <c r="AE50" i="32"/>
  <c r="AH50" i="32"/>
  <c r="AG50" i="32"/>
  <c r="AM50" i="32" s="1"/>
  <c r="AO50" i="32" s="1"/>
  <c r="K116" i="32"/>
  <c r="N70" i="32"/>
  <c r="AD115" i="32"/>
  <c r="E183" i="33"/>
  <c r="AI27" i="32"/>
  <c r="AE27" i="32"/>
  <c r="AM27" i="32" s="1"/>
  <c r="AO27" i="32" s="1"/>
  <c r="AL27" i="32"/>
  <c r="X51" i="32"/>
  <c r="AG39" i="32"/>
  <c r="AM39" i="32" s="1"/>
  <c r="AO39" i="32" s="1"/>
  <c r="AF39" i="32"/>
  <c r="AF51" i="32" s="1"/>
  <c r="AL39" i="32"/>
  <c r="AK39" i="32"/>
  <c r="AK51" i="32" s="1"/>
  <c r="AI39" i="32"/>
  <c r="AF44" i="32"/>
  <c r="AK44" i="32"/>
  <c r="AE44" i="32"/>
  <c r="AL44" i="32"/>
  <c r="AI44" i="32"/>
  <c r="AM44" i="32" s="1"/>
  <c r="AO44" i="32" s="1"/>
  <c r="AC51" i="32"/>
  <c r="S64" i="32"/>
  <c r="AK66" i="32"/>
  <c r="AG66" i="32"/>
  <c r="AF66" i="32"/>
  <c r="AE66" i="32"/>
  <c r="AL66" i="32"/>
  <c r="AI66" i="32"/>
  <c r="AL80" i="32"/>
  <c r="AF80" i="32"/>
  <c r="AK80" i="32"/>
  <c r="AM80" i="32" s="1"/>
  <c r="AO80" i="32" s="1"/>
  <c r="AI80" i="32"/>
  <c r="AE80" i="32"/>
  <c r="AG80" i="32"/>
  <c r="M116" i="32"/>
  <c r="D40" i="73"/>
  <c r="Q90" i="32"/>
  <c r="N95" i="32"/>
  <c r="AK108" i="32"/>
  <c r="AI108" i="32"/>
  <c r="AH108" i="32"/>
  <c r="AG108" i="32"/>
  <c r="AM112" i="32"/>
  <c r="AO112" i="32" s="1"/>
  <c r="G87" i="33"/>
  <c r="AE6" i="32"/>
  <c r="AG6" i="32"/>
  <c r="AF6" i="32"/>
  <c r="AE12" i="32"/>
  <c r="AM12" i="32" s="1"/>
  <c r="AO12" i="32" s="1"/>
  <c r="AK12" i="32"/>
  <c r="AK14" i="32" s="1"/>
  <c r="AH27" i="32"/>
  <c r="X90" i="32"/>
  <c r="AI76" i="32"/>
  <c r="AH76" i="32"/>
  <c r="AF76" i="32"/>
  <c r="AE76" i="32"/>
  <c r="AK76" i="32"/>
  <c r="AL77" i="32"/>
  <c r="AF77" i="32"/>
  <c r="AI77" i="32"/>
  <c r="AH77" i="32"/>
  <c r="AE77" i="32"/>
  <c r="AI82" i="32"/>
  <c r="AK82" i="32"/>
  <c r="AE82" i="32"/>
  <c r="AM86" i="32"/>
  <c r="AO86" i="32" s="1"/>
  <c r="AD95" i="32"/>
  <c r="AM105" i="32"/>
  <c r="AO105" i="32" s="1"/>
  <c r="AE108" i="32"/>
  <c r="AE115" i="32" s="1"/>
  <c r="D60" i="65"/>
  <c r="H40" i="73"/>
  <c r="F126" i="64"/>
  <c r="E55" i="31"/>
  <c r="AE9" i="32"/>
  <c r="AK9" i="32"/>
  <c r="AI9" i="32"/>
  <c r="AG9" i="32"/>
  <c r="AI33" i="32"/>
  <c r="AE33" i="32"/>
  <c r="AL33" i="32"/>
  <c r="AK33" i="32"/>
  <c r="AG33" i="32"/>
  <c r="AH51" i="32"/>
  <c r="AG62" i="32"/>
  <c r="AF62" i="32"/>
  <c r="AL62" i="32"/>
  <c r="AE62" i="32"/>
  <c r="AM62" i="32" s="1"/>
  <c r="AO62" i="32" s="1"/>
  <c r="AL71" i="32"/>
  <c r="AF71" i="32"/>
  <c r="AM71" i="32" s="1"/>
  <c r="AK71" i="32"/>
  <c r="AI71" i="32"/>
  <c r="AE71" i="32"/>
  <c r="AJ90" i="32"/>
  <c r="AD90" i="32"/>
  <c r="S96" i="32"/>
  <c r="S99" i="32"/>
  <c r="O100" i="32"/>
  <c r="P100" i="32"/>
  <c r="P116" i="32" s="1"/>
  <c r="AJ115" i="32"/>
  <c r="AJ116" i="32" s="1"/>
  <c r="AF108" i="32"/>
  <c r="V116" i="32"/>
  <c r="O47" i="56"/>
  <c r="O46" i="56" s="1"/>
  <c r="O41" i="56"/>
  <c r="O40" i="56" s="1"/>
  <c r="Q94" i="64"/>
  <c r="G126" i="64"/>
  <c r="Q14" i="32"/>
  <c r="AH6" i="32"/>
  <c r="AF12" i="32"/>
  <c r="AK27" i="32"/>
  <c r="S31" i="32"/>
  <c r="I51" i="32"/>
  <c r="AI37" i="32"/>
  <c r="AI51" i="32" s="1"/>
  <c r="AH37" i="32"/>
  <c r="AK37" i="32"/>
  <c r="AG37" i="32"/>
  <c r="AE37" i="32"/>
  <c r="AM37" i="32" s="1"/>
  <c r="AO37" i="32" s="1"/>
  <c r="AI46" i="32"/>
  <c r="AL46" i="32"/>
  <c r="AK63" i="32"/>
  <c r="AL63" i="32"/>
  <c r="AH63" i="32"/>
  <c r="AI63" i="32"/>
  <c r="AG63" i="32"/>
  <c r="AF63" i="32"/>
  <c r="AM63" i="32" s="1"/>
  <c r="AO63" i="32" s="1"/>
  <c r="AG76" i="32"/>
  <c r="AG77" i="32"/>
  <c r="AM77" i="32" s="1"/>
  <c r="AO77" i="32" s="1"/>
  <c r="AF82" i="32"/>
  <c r="AM82" i="32" s="1"/>
  <c r="AO82" i="32" s="1"/>
  <c r="E40" i="65"/>
  <c r="K10" i="73"/>
  <c r="K13" i="73" s="1"/>
  <c r="P55" i="56"/>
  <c r="M54" i="63" s="1"/>
  <c r="P57" i="56"/>
  <c r="M56" i="63" s="1"/>
  <c r="I97" i="64"/>
  <c r="Q92" i="64"/>
  <c r="E110" i="31"/>
  <c r="AI6" i="32"/>
  <c r="S8" i="32"/>
  <c r="AF9" i="32"/>
  <c r="AG12" i="32"/>
  <c r="X23" i="32"/>
  <c r="AG17" i="32"/>
  <c r="AI17" i="32"/>
  <c r="AH17" i="32"/>
  <c r="AF17" i="32"/>
  <c r="AF33" i="32"/>
  <c r="N51" i="32"/>
  <c r="AE42" i="32"/>
  <c r="AK42" i="32"/>
  <c r="AF42" i="32"/>
  <c r="AI42" i="32"/>
  <c r="AH42" i="32"/>
  <c r="AG53" i="32"/>
  <c r="AF53" i="32"/>
  <c r="AM53" i="32" s="1"/>
  <c r="AO53" i="32" s="1"/>
  <c r="AL53" i="32"/>
  <c r="S61" i="32"/>
  <c r="AG71" i="32"/>
  <c r="AM72" i="32"/>
  <c r="AO72" i="32" s="1"/>
  <c r="AG82" i="32"/>
  <c r="AE96" i="32"/>
  <c r="AC100" i="32"/>
  <c r="AI96" i="32"/>
  <c r="AH96" i="32"/>
  <c r="AH100" i="32" s="1"/>
  <c r="AL96" i="32"/>
  <c r="D116" i="32"/>
  <c r="AM103" i="32"/>
  <c r="AO103" i="32" s="1"/>
  <c r="S107" i="32"/>
  <c r="AL108" i="32"/>
  <c r="G116" i="32"/>
  <c r="F40" i="73"/>
  <c r="J20" i="73"/>
  <c r="J40" i="73" s="1"/>
  <c r="K14" i="73"/>
  <c r="I23" i="32"/>
  <c r="AF26" i="32"/>
  <c r="AE26" i="32"/>
  <c r="AM26" i="32" s="1"/>
  <c r="AO26" i="32" s="1"/>
  <c r="AC70" i="32"/>
  <c r="S53" i="32"/>
  <c r="S59" i="32"/>
  <c r="AK69" i="32"/>
  <c r="AL69" i="32"/>
  <c r="AG69" i="32"/>
  <c r="AM69" i="32" s="1"/>
  <c r="AO69" i="32" s="1"/>
  <c r="AE84" i="32"/>
  <c r="AM84" i="32" s="1"/>
  <c r="AO84" i="32" s="1"/>
  <c r="AL84" i="32"/>
  <c r="AK84" i="32"/>
  <c r="S89" i="32"/>
  <c r="AI97" i="32"/>
  <c r="AH97" i="32"/>
  <c r="AK97" i="32"/>
  <c r="AG101" i="32"/>
  <c r="AF101" i="32"/>
  <c r="AC115" i="32"/>
  <c r="AL101" i="32"/>
  <c r="AK101" i="32"/>
  <c r="AG113" i="32"/>
  <c r="AF113" i="32"/>
  <c r="AE113" i="32"/>
  <c r="AM113" i="32" s="1"/>
  <c r="AO113" i="32" s="1"/>
  <c r="AL113" i="32"/>
  <c r="AI113" i="32"/>
  <c r="AH113" i="32"/>
  <c r="U116" i="32"/>
  <c r="K15" i="73"/>
  <c r="AF29" i="32"/>
  <c r="AE29" i="32"/>
  <c r="AM29" i="32" s="1"/>
  <c r="AO29" i="32" s="1"/>
  <c r="AI88" i="32"/>
  <c r="AM88" i="32" s="1"/>
  <c r="AO88" i="32" s="1"/>
  <c r="AL88" i="32"/>
  <c r="AG107" i="32"/>
  <c r="AF107" i="32"/>
  <c r="AL107" i="32"/>
  <c r="AK107" i="32"/>
  <c r="E18" i="65"/>
  <c r="AM8" i="32"/>
  <c r="AO8" i="32" s="1"/>
  <c r="P23" i="32"/>
  <c r="AI24" i="32"/>
  <c r="AE24" i="32"/>
  <c r="AM34" i="32"/>
  <c r="AO34" i="32" s="1"/>
  <c r="AM55" i="32"/>
  <c r="AO55" i="32" s="1"/>
  <c r="S62" i="32"/>
  <c r="AI73" i="32"/>
  <c r="AH73" i="32"/>
  <c r="AH90" i="32" s="1"/>
  <c r="AL73" i="32"/>
  <c r="AK73" i="32"/>
  <c r="AE73" i="32"/>
  <c r="AM73" i="32" s="1"/>
  <c r="AO73" i="32" s="1"/>
  <c r="AE78" i="32"/>
  <c r="AM78" i="32" s="1"/>
  <c r="AO78" i="32" s="1"/>
  <c r="AI78" i="32"/>
  <c r="AH78" i="32"/>
  <c r="AF97" i="32"/>
  <c r="AF100" i="32" s="1"/>
  <c r="AL98" i="32"/>
  <c r="AF98" i="32"/>
  <c r="AM98" i="32" s="1"/>
  <c r="AO98" i="32" s="1"/>
  <c r="AK98" i="32"/>
  <c r="AI98" i="32"/>
  <c r="AE98" i="32"/>
  <c r="AG110" i="32"/>
  <c r="AF110" i="32"/>
  <c r="AE110" i="32"/>
  <c r="AM110" i="32" s="1"/>
  <c r="AO110" i="32" s="1"/>
  <c r="AL110" i="32"/>
  <c r="AK110" i="32"/>
  <c r="AK111" i="32"/>
  <c r="AI111" i="32"/>
  <c r="AF111" i="32"/>
  <c r="AE111" i="32"/>
  <c r="AK113" i="32"/>
  <c r="H116" i="32"/>
  <c r="Y116" i="32"/>
  <c r="E36" i="65"/>
  <c r="AG13" i="32"/>
  <c r="AM13" i="32" s="1"/>
  <c r="AO13" i="32" s="1"/>
  <c r="S25" i="32"/>
  <c r="S35" i="32" s="1"/>
  <c r="AI26" i="32"/>
  <c r="AG29" i="32"/>
  <c r="AG35" i="32" s="1"/>
  <c r="AG31" i="32"/>
  <c r="AF32" i="32"/>
  <c r="AE32" i="32"/>
  <c r="AM32" i="32" s="1"/>
  <c r="AO32" i="32" s="1"/>
  <c r="AE34" i="32"/>
  <c r="AE36" i="32"/>
  <c r="AL36" i="32"/>
  <c r="AE38" i="32"/>
  <c r="AM38" i="32" s="1"/>
  <c r="AO38" i="32" s="1"/>
  <c r="AE48" i="32"/>
  <c r="AK48" i="32"/>
  <c r="AF48" i="32"/>
  <c r="I70" i="32"/>
  <c r="AM61" i="32"/>
  <c r="AO61" i="32" s="1"/>
  <c r="AL74" i="32"/>
  <c r="AF74" i="32"/>
  <c r="AM74" i="32" s="1"/>
  <c r="AO74" i="32" s="1"/>
  <c r="AG74" i="32"/>
  <c r="AE74" i="32"/>
  <c r="S76" i="32"/>
  <c r="AE88" i="32"/>
  <c r="Q100" i="32"/>
  <c r="Q116" i="32" s="1"/>
  <c r="AG97" i="32"/>
  <c r="AM97" i="32" s="1"/>
  <c r="AO97" i="32" s="1"/>
  <c r="AI101" i="32"/>
  <c r="AK102" i="32"/>
  <c r="AI102" i="32"/>
  <c r="AH102" i="32"/>
  <c r="AH115" i="32" s="1"/>
  <c r="AG102" i="32"/>
  <c r="AM102" i="32" s="1"/>
  <c r="AO102" i="32" s="1"/>
  <c r="AE107" i="32"/>
  <c r="S109" i="32"/>
  <c r="AL41" i="32"/>
  <c r="AK43" i="32"/>
  <c r="AM43" i="32" s="1"/>
  <c r="AO43" i="32" s="1"/>
  <c r="AL45" i="32"/>
  <c r="AM45" i="32" s="1"/>
  <c r="AO45" i="32" s="1"/>
  <c r="AL47" i="32"/>
  <c r="AK49" i="32"/>
  <c r="AM49" i="32" s="1"/>
  <c r="AO49" i="32" s="1"/>
  <c r="X70" i="32"/>
  <c r="AL89" i="32"/>
  <c r="AF89" i="32"/>
  <c r="AM89" i="32" s="1"/>
  <c r="AO89" i="32" s="1"/>
  <c r="AD100" i="32"/>
  <c r="AG104" i="32"/>
  <c r="AF104" i="32"/>
  <c r="AM104" i="32" s="1"/>
  <c r="AO104" i="32" s="1"/>
  <c r="AL104" i="32"/>
  <c r="AA116" i="32"/>
  <c r="E60" i="65"/>
  <c r="G40" i="73"/>
  <c r="AG68" i="32"/>
  <c r="AF68" i="32"/>
  <c r="AL68" i="32"/>
  <c r="AL83" i="32"/>
  <c r="AF83" i="32"/>
  <c r="AI85" i="32"/>
  <c r="AH85" i="32"/>
  <c r="N90" i="32"/>
  <c r="AH87" i="32"/>
  <c r="AH89" i="32"/>
  <c r="AI104" i="32"/>
  <c r="AM41" i="32"/>
  <c r="AO41" i="32" s="1"/>
  <c r="S44" i="32"/>
  <c r="AM47" i="32"/>
  <c r="AO47" i="32" s="1"/>
  <c r="S50" i="32"/>
  <c r="AH54" i="32"/>
  <c r="AM54" i="32" s="1"/>
  <c r="AO54" i="32" s="1"/>
  <c r="AE68" i="32"/>
  <c r="S71" i="32"/>
  <c r="AF72" i="32"/>
  <c r="S80" i="32"/>
  <c r="AF81" i="32"/>
  <c r="AM81" i="32" s="1"/>
  <c r="AO81" i="32" s="1"/>
  <c r="AE83" i="32"/>
  <c r="AM83" i="32" s="1"/>
  <c r="AO83" i="32" s="1"/>
  <c r="AE85" i="32"/>
  <c r="AM85" i="32" s="1"/>
  <c r="AO85" i="32" s="1"/>
  <c r="AI87" i="32"/>
  <c r="AI89" i="32"/>
  <c r="S98" i="32"/>
  <c r="AF99" i="32"/>
  <c r="AM99" i="32" s="1"/>
  <c r="AO99" i="32" s="1"/>
  <c r="X115" i="32"/>
  <c r="X116" i="32" s="1"/>
  <c r="AM109" i="32"/>
  <c r="AO109" i="32" s="1"/>
  <c r="AK114" i="32"/>
  <c r="AI114" i="32"/>
  <c r="E59" i="65"/>
  <c r="AH52" i="32"/>
  <c r="AM52" i="32" s="1"/>
  <c r="E40" i="73"/>
  <c r="I20" i="73"/>
  <c r="K19" i="73"/>
  <c r="I9" i="73"/>
  <c r="I40" i="73" s="1"/>
  <c r="J22" i="71"/>
  <c r="J27" i="71" s="1"/>
  <c r="K5" i="73"/>
  <c r="K9" i="73" s="1"/>
  <c r="J90" i="70"/>
  <c r="J44" i="70"/>
  <c r="J68" i="70"/>
  <c r="L73" i="57" l="1"/>
  <c r="M5" i="61"/>
  <c r="P73" i="59"/>
  <c r="J73" i="57"/>
  <c r="J4" i="57"/>
  <c r="V5" i="61"/>
  <c r="AO71" i="32"/>
  <c r="F73" i="55"/>
  <c r="F4" i="55"/>
  <c r="L73" i="56"/>
  <c r="L4" i="56"/>
  <c r="G73" i="55"/>
  <c r="R4" i="61"/>
  <c r="R73" i="61"/>
  <c r="H73" i="54"/>
  <c r="H4" i="54"/>
  <c r="N34" i="63"/>
  <c r="P34" i="63" s="1"/>
  <c r="N4" i="61"/>
  <c r="N73" i="61"/>
  <c r="O73" i="61"/>
  <c r="L73" i="59"/>
  <c r="L4" i="59"/>
  <c r="F73" i="59"/>
  <c r="F4" i="59"/>
  <c r="F4" i="57"/>
  <c r="F73" i="57"/>
  <c r="W73" i="61"/>
  <c r="W4" i="61"/>
  <c r="AM23" i="32"/>
  <c r="AO15" i="32"/>
  <c r="AO23" i="32" s="1"/>
  <c r="I73" i="57"/>
  <c r="I4" i="57"/>
  <c r="P4" i="61"/>
  <c r="P73" i="61"/>
  <c r="O5" i="57"/>
  <c r="J32" i="55"/>
  <c r="F31" i="63" s="1"/>
  <c r="N31" i="63" s="1"/>
  <c r="P31" i="63" s="1"/>
  <c r="I4" i="56"/>
  <c r="I73" i="56"/>
  <c r="M5" i="57"/>
  <c r="AO52" i="32"/>
  <c r="O73" i="59"/>
  <c r="AM4" i="32"/>
  <c r="T73" i="61"/>
  <c r="AF35" i="32"/>
  <c r="Q21" i="59"/>
  <c r="J20" i="63" s="1"/>
  <c r="P4" i="57"/>
  <c r="P73" i="57"/>
  <c r="J19" i="55"/>
  <c r="F18" i="63" s="1"/>
  <c r="E16" i="55"/>
  <c r="J16" i="55" s="1"/>
  <c r="F15" i="63" s="1"/>
  <c r="N15" i="63" s="1"/>
  <c r="P15" i="63" s="1"/>
  <c r="E28" i="58"/>
  <c r="N28" i="58" s="1"/>
  <c r="K27" i="63" s="1"/>
  <c r="N29" i="58"/>
  <c r="K28" i="63" s="1"/>
  <c r="Y11" i="61"/>
  <c r="G10" i="63" s="1"/>
  <c r="Q50" i="59"/>
  <c r="J49" i="63" s="1"/>
  <c r="T19" i="57"/>
  <c r="L18" i="63" s="1"/>
  <c r="Y40" i="61"/>
  <c r="G39" i="63" s="1"/>
  <c r="Y42" i="61"/>
  <c r="G41" i="63" s="1"/>
  <c r="N41" i="63" s="1"/>
  <c r="P41" i="63" s="1"/>
  <c r="F37" i="61"/>
  <c r="F28" i="61"/>
  <c r="Y28" i="61" s="1"/>
  <c r="G27" i="63" s="1"/>
  <c r="Y29" i="61"/>
  <c r="G28" i="63" s="1"/>
  <c r="AE14" i="32"/>
  <c r="G4" i="56"/>
  <c r="G73" i="56"/>
  <c r="T42" i="57"/>
  <c r="L41" i="63" s="1"/>
  <c r="E37" i="57"/>
  <c r="N126" i="64"/>
  <c r="E46" i="55"/>
  <c r="J46" i="55" s="1"/>
  <c r="F45" i="63" s="1"/>
  <c r="J47" i="55"/>
  <c r="F46" i="63" s="1"/>
  <c r="Q24" i="59"/>
  <c r="J23" i="63" s="1"/>
  <c r="G73" i="59"/>
  <c r="G4" i="59"/>
  <c r="Y24" i="61"/>
  <c r="G23" i="63" s="1"/>
  <c r="N23" i="63" s="1"/>
  <c r="P23" i="63" s="1"/>
  <c r="F23" i="61"/>
  <c r="O37" i="56"/>
  <c r="O4" i="56" s="1"/>
  <c r="AG100" i="32"/>
  <c r="AM25" i="32"/>
  <c r="AO25" i="32" s="1"/>
  <c r="N32" i="58"/>
  <c r="K31" i="63" s="1"/>
  <c r="AL23" i="32"/>
  <c r="K23" i="57"/>
  <c r="T23" i="57" s="1"/>
  <c r="L22" i="63" s="1"/>
  <c r="I5" i="58"/>
  <c r="I4" i="58" s="1"/>
  <c r="H37" i="61"/>
  <c r="K21" i="61"/>
  <c r="G37" i="55"/>
  <c r="G4" i="55" s="1"/>
  <c r="H5" i="57"/>
  <c r="I126" i="64"/>
  <c r="N21" i="59"/>
  <c r="J12" i="55"/>
  <c r="F11" i="63" s="1"/>
  <c r="E11" i="55"/>
  <c r="J4" i="56"/>
  <c r="J73" i="56"/>
  <c r="N25" i="58"/>
  <c r="K24" i="63" s="1"/>
  <c r="E23" i="58"/>
  <c r="N23" i="58" s="1"/>
  <c r="K22" i="63" s="1"/>
  <c r="AF95" i="32"/>
  <c r="Y50" i="61"/>
  <c r="G49" i="63" s="1"/>
  <c r="F49" i="61"/>
  <c r="Y49" i="61" s="1"/>
  <c r="G48" i="63" s="1"/>
  <c r="N48" i="63" s="1"/>
  <c r="P48" i="63" s="1"/>
  <c r="O37" i="59"/>
  <c r="O4" i="59" s="1"/>
  <c r="G33" i="63"/>
  <c r="Y74" i="61"/>
  <c r="Q4" i="61"/>
  <c r="Q73" i="61"/>
  <c r="Q11" i="59"/>
  <c r="J10" i="63" s="1"/>
  <c r="K20" i="73"/>
  <c r="K40" i="73" s="1"/>
  <c r="AM96" i="32"/>
  <c r="AE100" i="32"/>
  <c r="AE90" i="32"/>
  <c r="AM108" i="32"/>
  <c r="AO108" i="32" s="1"/>
  <c r="H4" i="56"/>
  <c r="H73" i="56"/>
  <c r="AM92" i="32"/>
  <c r="AO92" i="32" s="1"/>
  <c r="AK23" i="32"/>
  <c r="AG14" i="32"/>
  <c r="Q21" i="57"/>
  <c r="Q5" i="57" s="1"/>
  <c r="Y41" i="61"/>
  <c r="G40" i="63" s="1"/>
  <c r="O37" i="61"/>
  <c r="O4" i="61" s="1"/>
  <c r="M37" i="61"/>
  <c r="I4" i="59"/>
  <c r="I73" i="59"/>
  <c r="F32" i="61"/>
  <c r="Y32" i="61" s="1"/>
  <c r="G31" i="63" s="1"/>
  <c r="Y35" i="61"/>
  <c r="G34" i="63" s="1"/>
  <c r="T50" i="57"/>
  <c r="L49" i="63" s="1"/>
  <c r="E49" i="57"/>
  <c r="T49" i="57" s="1"/>
  <c r="L48" i="63" s="1"/>
  <c r="V21" i="61"/>
  <c r="E46" i="58"/>
  <c r="N46" i="58" s="1"/>
  <c r="K45" i="63" s="1"/>
  <c r="N47" i="58"/>
  <c r="K46" i="63" s="1"/>
  <c r="N41" i="58"/>
  <c r="K40" i="63" s="1"/>
  <c r="AI115" i="32"/>
  <c r="AE35" i="32"/>
  <c r="AM24" i="32"/>
  <c r="AM42" i="32"/>
  <c r="AO42" i="32" s="1"/>
  <c r="AI90" i="32"/>
  <c r="AM33" i="32"/>
  <c r="AO33" i="32" s="1"/>
  <c r="AM76" i="32"/>
  <c r="AO76" i="32" s="1"/>
  <c r="N22" i="58"/>
  <c r="K21" i="63" s="1"/>
  <c r="E21" i="58"/>
  <c r="N21" i="58" s="1"/>
  <c r="K20" i="63" s="1"/>
  <c r="H21" i="61"/>
  <c r="H5" i="61" s="1"/>
  <c r="E13" i="57"/>
  <c r="T14" i="57"/>
  <c r="L13" i="63" s="1"/>
  <c r="Q46" i="59"/>
  <c r="J45" i="63" s="1"/>
  <c r="K4" i="73"/>
  <c r="X73" i="61"/>
  <c r="X4" i="61"/>
  <c r="E37" i="58"/>
  <c r="N40" i="58"/>
  <c r="K39" i="63" s="1"/>
  <c r="AI100" i="32"/>
  <c r="Q97" i="64"/>
  <c r="Q126" i="64" s="1"/>
  <c r="H37" i="57"/>
  <c r="AM6" i="32"/>
  <c r="AO6" i="32" s="1"/>
  <c r="AO91" i="32"/>
  <c r="AO95" i="32" s="1"/>
  <c r="N6" i="58"/>
  <c r="K5" i="63" s="1"/>
  <c r="Y27" i="61"/>
  <c r="G26" i="63" s="1"/>
  <c r="N26" i="63" s="1"/>
  <c r="P26" i="63" s="1"/>
  <c r="N13" i="57"/>
  <c r="N5" i="57" s="1"/>
  <c r="N13" i="59"/>
  <c r="Q13" i="59" s="1"/>
  <c r="J12" i="63" s="1"/>
  <c r="Q14" i="59"/>
  <c r="J13" i="63" s="1"/>
  <c r="I73" i="55"/>
  <c r="I4" i="55"/>
  <c r="N12" i="58"/>
  <c r="K11" i="63" s="1"/>
  <c r="E11" i="58"/>
  <c r="AI35" i="32"/>
  <c r="AK115" i="32"/>
  <c r="AK90" i="32"/>
  <c r="T32" i="57"/>
  <c r="L31" i="63" s="1"/>
  <c r="AI14" i="32"/>
  <c r="Q57" i="64"/>
  <c r="E122" i="31"/>
  <c r="K5" i="61"/>
  <c r="E11" i="56"/>
  <c r="P12" i="56"/>
  <c r="M11" i="63" s="1"/>
  <c r="Y19" i="61"/>
  <c r="G18" i="63" s="1"/>
  <c r="AL35" i="32"/>
  <c r="U21" i="61"/>
  <c r="U5" i="61" s="1"/>
  <c r="O21" i="57"/>
  <c r="N23" i="57"/>
  <c r="E49" i="58"/>
  <c r="N49" i="58" s="1"/>
  <c r="K48" i="63" s="1"/>
  <c r="N50" i="58"/>
  <c r="K49" i="63" s="1"/>
  <c r="H4" i="55"/>
  <c r="H73" i="55"/>
  <c r="Y9" i="61"/>
  <c r="G8" i="63" s="1"/>
  <c r="T27" i="57"/>
  <c r="L26" i="63" s="1"/>
  <c r="E26" i="57"/>
  <c r="T26" i="57" s="1"/>
  <c r="L25" i="63" s="1"/>
  <c r="Q47" i="59"/>
  <c r="J46" i="63" s="1"/>
  <c r="E37" i="55"/>
  <c r="J37" i="55" s="1"/>
  <c r="F36" i="63" s="1"/>
  <c r="J12" i="54"/>
  <c r="E11" i="63" s="1"/>
  <c r="T12" i="57"/>
  <c r="L11" i="63" s="1"/>
  <c r="E11" i="57"/>
  <c r="Q12" i="59"/>
  <c r="J11" i="63" s="1"/>
  <c r="E28" i="57"/>
  <c r="T28" i="57" s="1"/>
  <c r="L27" i="63" s="1"/>
  <c r="T29" i="57"/>
  <c r="L28" i="63" s="1"/>
  <c r="G73" i="54"/>
  <c r="E16" i="58"/>
  <c r="N19" i="58"/>
  <c r="K18" i="63" s="1"/>
  <c r="J11" i="54"/>
  <c r="E10" i="63" s="1"/>
  <c r="E9" i="54"/>
  <c r="AL115" i="32"/>
  <c r="Y16" i="61"/>
  <c r="G15" i="63" s="1"/>
  <c r="T24" i="57"/>
  <c r="L23" i="63" s="1"/>
  <c r="L4" i="61"/>
  <c r="L73" i="61"/>
  <c r="J19" i="54"/>
  <c r="E18" i="63" s="1"/>
  <c r="N18" i="63" s="1"/>
  <c r="P18" i="63" s="1"/>
  <c r="AM87" i="32"/>
  <c r="AO87" i="32" s="1"/>
  <c r="AL90" i="32"/>
  <c r="E40" i="56"/>
  <c r="P41" i="56"/>
  <c r="M40" i="63" s="1"/>
  <c r="N21" i="57"/>
  <c r="F37" i="58"/>
  <c r="AF115" i="32"/>
  <c r="AL14" i="32"/>
  <c r="T40" i="57"/>
  <c r="L39" i="63" s="1"/>
  <c r="F37" i="57"/>
  <c r="AM75" i="32"/>
  <c r="AO75" i="32" s="1"/>
  <c r="T41" i="57"/>
  <c r="L40" i="63" s="1"/>
  <c r="S5" i="57"/>
  <c r="N53" i="63"/>
  <c r="P53" i="63" s="1"/>
  <c r="Y12" i="61"/>
  <c r="G11" i="63" s="1"/>
  <c r="M37" i="57"/>
  <c r="K5" i="59"/>
  <c r="Y14" i="61"/>
  <c r="G13" i="63" s="1"/>
  <c r="J40" i="54"/>
  <c r="E39" i="63" s="1"/>
  <c r="E37" i="54"/>
  <c r="E37" i="59"/>
  <c r="J74" i="55"/>
  <c r="F33" i="63"/>
  <c r="N33" i="63" s="1"/>
  <c r="G16" i="58"/>
  <c r="G5" i="58" s="1"/>
  <c r="G4" i="58" s="1"/>
  <c r="P47" i="56"/>
  <c r="M46" i="63" s="1"/>
  <c r="T15" i="57"/>
  <c r="L14" i="63" s="1"/>
  <c r="Q41" i="59"/>
  <c r="J40" i="63" s="1"/>
  <c r="N49" i="63"/>
  <c r="P49" i="63" s="1"/>
  <c r="N44" i="63"/>
  <c r="P44" i="63" s="1"/>
  <c r="Q22" i="59"/>
  <c r="J21" i="63" s="1"/>
  <c r="Y25" i="61"/>
  <c r="G24" i="63" s="1"/>
  <c r="I73" i="54"/>
  <c r="I4" i="54"/>
  <c r="F4" i="58"/>
  <c r="F5" i="54"/>
  <c r="AG90" i="32"/>
  <c r="E73" i="61"/>
  <c r="M73" i="56"/>
  <c r="M4" i="56"/>
  <c r="J23" i="55"/>
  <c r="F22" i="63" s="1"/>
  <c r="E21" i="55"/>
  <c r="J21" i="55" s="1"/>
  <c r="F20" i="63" s="1"/>
  <c r="AL51" i="32"/>
  <c r="AG115" i="32"/>
  <c r="AG116" i="32" s="1"/>
  <c r="AF70" i="32"/>
  <c r="AD116" i="32"/>
  <c r="O126" i="64"/>
  <c r="T6" i="57"/>
  <c r="L5" i="63" s="1"/>
  <c r="G5" i="57"/>
  <c r="AE70" i="32"/>
  <c r="AE95" i="32"/>
  <c r="AE116" i="32" s="1"/>
  <c r="O37" i="57"/>
  <c r="S51" i="32"/>
  <c r="N28" i="63"/>
  <c r="P28" i="63" s="1"/>
  <c r="T46" i="57"/>
  <c r="L45" i="63" s="1"/>
  <c r="T22" i="57"/>
  <c r="L21" i="63" s="1"/>
  <c r="E21" i="57"/>
  <c r="N24" i="63"/>
  <c r="P24" i="63" s="1"/>
  <c r="J44" i="54"/>
  <c r="E43" i="63" s="1"/>
  <c r="N43" i="63" s="1"/>
  <c r="P43" i="63" s="1"/>
  <c r="F37" i="54"/>
  <c r="Q6" i="59"/>
  <c r="J5" i="63" s="1"/>
  <c r="AG51" i="32"/>
  <c r="AF90" i="32"/>
  <c r="P19" i="56"/>
  <c r="M18" i="63" s="1"/>
  <c r="E16" i="56"/>
  <c r="P16" i="56" s="1"/>
  <c r="M15" i="63" s="1"/>
  <c r="AC116" i="32"/>
  <c r="AE23" i="32"/>
  <c r="K73" i="56"/>
  <c r="K4" i="56"/>
  <c r="Q23" i="59"/>
  <c r="J22" i="63" s="1"/>
  <c r="P46" i="56"/>
  <c r="M45" i="63" s="1"/>
  <c r="N5" i="63"/>
  <c r="P5" i="63" s="1"/>
  <c r="N56" i="63"/>
  <c r="P56" i="63" s="1"/>
  <c r="S90" i="32"/>
  <c r="AE51" i="32"/>
  <c r="AM36" i="32"/>
  <c r="AG70" i="32"/>
  <c r="S100" i="32"/>
  <c r="S116" i="32" s="1"/>
  <c r="AM9" i="32"/>
  <c r="AO9" i="32" s="1"/>
  <c r="O116" i="32"/>
  <c r="T74" i="57"/>
  <c r="L33" i="63"/>
  <c r="AM93" i="32"/>
  <c r="AO93" i="32" s="1"/>
  <c r="Q87" i="64"/>
  <c r="AF23" i="32"/>
  <c r="Q29" i="59"/>
  <c r="J28" i="63" s="1"/>
  <c r="I4" i="61"/>
  <c r="L37" i="57"/>
  <c r="L4" i="57" s="1"/>
  <c r="Y46" i="61"/>
  <c r="G45" i="63" s="1"/>
  <c r="E37" i="61"/>
  <c r="M37" i="59"/>
  <c r="AM57" i="32"/>
  <c r="AO57" i="32" s="1"/>
  <c r="J73" i="61"/>
  <c r="J4" i="61"/>
  <c r="AH95" i="32"/>
  <c r="AH116" i="32" s="1"/>
  <c r="U23" i="61"/>
  <c r="N27" i="63"/>
  <c r="P27" i="63" s="1"/>
  <c r="T47" i="57"/>
  <c r="L46" i="63" s="1"/>
  <c r="R13" i="57"/>
  <c r="T25" i="57"/>
  <c r="L24" i="63" s="1"/>
  <c r="E5" i="59"/>
  <c r="E13" i="58"/>
  <c r="N13" i="58" s="1"/>
  <c r="K12" i="63" s="1"/>
  <c r="N12" i="63"/>
  <c r="P12" i="63" s="1"/>
  <c r="T16" i="57"/>
  <c r="L15" i="63" s="1"/>
  <c r="H73" i="59"/>
  <c r="H4" i="59"/>
  <c r="AH70" i="32"/>
  <c r="AM101" i="32"/>
  <c r="M126" i="64"/>
  <c r="N40" i="63"/>
  <c r="P40" i="63" s="1"/>
  <c r="J33" i="55"/>
  <c r="F32" i="63" s="1"/>
  <c r="N32" i="63" s="1"/>
  <c r="P32" i="63" s="1"/>
  <c r="H32" i="55"/>
  <c r="N13" i="63"/>
  <c r="P13" i="63" s="1"/>
  <c r="P13" i="56"/>
  <c r="M12" i="63" s="1"/>
  <c r="F5" i="56"/>
  <c r="J37" i="58"/>
  <c r="J4" i="58" s="1"/>
  <c r="AM68" i="32"/>
  <c r="AO68" i="32" s="1"/>
  <c r="AM107" i="32"/>
  <c r="AO107" i="32" s="1"/>
  <c r="AM111" i="32"/>
  <c r="AO111" i="32" s="1"/>
  <c r="AL100" i="32"/>
  <c r="AM66" i="32"/>
  <c r="AO66" i="32" s="1"/>
  <c r="AM40" i="32"/>
  <c r="AO40" i="32" s="1"/>
  <c r="S70" i="32"/>
  <c r="AH23" i="32"/>
  <c r="R116" i="32"/>
  <c r="J47" i="54"/>
  <c r="E46" i="63" s="1"/>
  <c r="N46" i="63" s="1"/>
  <c r="P46" i="63" s="1"/>
  <c r="G46" i="54"/>
  <c r="J46" i="54" s="1"/>
  <c r="E45" i="63" s="1"/>
  <c r="T37" i="61"/>
  <c r="T4" i="61" s="1"/>
  <c r="M5" i="59"/>
  <c r="Y33" i="61"/>
  <c r="G32" i="63" s="1"/>
  <c r="N54" i="63"/>
  <c r="P54" i="63" s="1"/>
  <c r="H23" i="61"/>
  <c r="M4" i="58"/>
  <c r="R23" i="57"/>
  <c r="R21" i="57" s="1"/>
  <c r="Y13" i="61"/>
  <c r="G12" i="63" s="1"/>
  <c r="N14" i="63"/>
  <c r="P14" i="63" s="1"/>
  <c r="Y47" i="61"/>
  <c r="G46" i="63" s="1"/>
  <c r="P37" i="59"/>
  <c r="P4" i="59" s="1"/>
  <c r="J126" i="70"/>
  <c r="Q73" i="57" l="1"/>
  <c r="Q4" i="57"/>
  <c r="H73" i="61"/>
  <c r="H4" i="61"/>
  <c r="U4" i="61"/>
  <c r="U73" i="61"/>
  <c r="S73" i="57"/>
  <c r="S4" i="57"/>
  <c r="E9" i="56"/>
  <c r="P11" i="56"/>
  <c r="M10" i="63" s="1"/>
  <c r="AO90" i="32"/>
  <c r="N45" i="63"/>
  <c r="P45" i="63" s="1"/>
  <c r="F73" i="56"/>
  <c r="F4" i="56"/>
  <c r="T21" i="57"/>
  <c r="L20" i="63" s="1"/>
  <c r="K73" i="61"/>
  <c r="K4" i="61"/>
  <c r="AM90" i="32"/>
  <c r="E4" i="59"/>
  <c r="Q5" i="59"/>
  <c r="E73" i="59"/>
  <c r="R5" i="57"/>
  <c r="AM51" i="32"/>
  <c r="AO36" i="32"/>
  <c r="AO51" i="32" s="1"/>
  <c r="J37" i="54"/>
  <c r="E36" i="63" s="1"/>
  <c r="K21" i="57"/>
  <c r="K5" i="57" s="1"/>
  <c r="AO4" i="32"/>
  <c r="AO14" i="32" s="1"/>
  <c r="AM14" i="32"/>
  <c r="F73" i="54"/>
  <c r="F4" i="54"/>
  <c r="N4" i="57"/>
  <c r="N73" i="57"/>
  <c r="T37" i="57"/>
  <c r="L36" i="63" s="1"/>
  <c r="E9" i="57"/>
  <c r="T11" i="57"/>
  <c r="L10" i="63" s="1"/>
  <c r="G37" i="54"/>
  <c r="G4" i="54" s="1"/>
  <c r="N39" i="63"/>
  <c r="P39" i="63" s="1"/>
  <c r="AF116" i="32"/>
  <c r="AL116" i="32"/>
  <c r="N11" i="63"/>
  <c r="P11" i="63" s="1"/>
  <c r="Y23" i="61"/>
  <c r="G22" i="63" s="1"/>
  <c r="N22" i="63" s="1"/>
  <c r="P22" i="63" s="1"/>
  <c r="F21" i="61"/>
  <c r="N37" i="58"/>
  <c r="K36" i="63" s="1"/>
  <c r="O73" i="57"/>
  <c r="O4" i="57"/>
  <c r="Q37" i="59"/>
  <c r="J36" i="63" s="1"/>
  <c r="AK116" i="32"/>
  <c r="H4" i="57"/>
  <c r="H73" i="57"/>
  <c r="N10" i="63"/>
  <c r="P10" i="63" s="1"/>
  <c r="E9" i="55"/>
  <c r="J11" i="55"/>
  <c r="F10" i="63" s="1"/>
  <c r="AO101" i="32"/>
  <c r="AO115" i="32" s="1"/>
  <c r="AM115" i="32"/>
  <c r="N5" i="59"/>
  <c r="N11" i="58"/>
  <c r="K10" i="63" s="1"/>
  <c r="E9" i="58"/>
  <c r="AM95" i="32"/>
  <c r="AI116" i="32"/>
  <c r="AM70" i="32"/>
  <c r="M4" i="61"/>
  <c r="M73" i="61"/>
  <c r="Y37" i="61"/>
  <c r="G36" i="63" s="1"/>
  <c r="N73" i="63"/>
  <c r="P33" i="63"/>
  <c r="G4" i="57"/>
  <c r="G73" i="57"/>
  <c r="E37" i="56"/>
  <c r="P37" i="56" s="1"/>
  <c r="M36" i="63" s="1"/>
  <c r="P40" i="56"/>
  <c r="M39" i="63" s="1"/>
  <c r="N16" i="58"/>
  <c r="K15" i="63" s="1"/>
  <c r="AO70" i="32"/>
  <c r="V4" i="61"/>
  <c r="V73" i="61"/>
  <c r="E5" i="54"/>
  <c r="J9" i="54"/>
  <c r="E8" i="63" s="1"/>
  <c r="AM35" i="32"/>
  <c r="AO24" i="32"/>
  <c r="AO35" i="32" s="1"/>
  <c r="K73" i="59"/>
  <c r="K4" i="59"/>
  <c r="M4" i="59"/>
  <c r="M73" i="59"/>
  <c r="E4" i="61"/>
  <c r="T13" i="57"/>
  <c r="L12" i="63" s="1"/>
  <c r="AO96" i="32"/>
  <c r="AO100" i="32" s="1"/>
  <c r="AM100" i="32"/>
  <c r="M73" i="57"/>
  <c r="M4" i="57"/>
  <c r="N9" i="58" l="1"/>
  <c r="K8" i="63" s="1"/>
  <c r="E5" i="58"/>
  <c r="Q73" i="59"/>
  <c r="J4" i="63"/>
  <c r="N4" i="59"/>
  <c r="Q4" i="59" s="1"/>
  <c r="J3" i="63" s="1"/>
  <c r="N73" i="59"/>
  <c r="AM116" i="32"/>
  <c r="F5" i="61"/>
  <c r="Y21" i="61"/>
  <c r="G20" i="63" s="1"/>
  <c r="N20" i="63" s="1"/>
  <c r="P20" i="63" s="1"/>
  <c r="P9" i="56"/>
  <c r="M8" i="63" s="1"/>
  <c r="E5" i="56"/>
  <c r="AO116" i="32"/>
  <c r="R73" i="57"/>
  <c r="R4" i="57"/>
  <c r="N8" i="63"/>
  <c r="P8" i="63" s="1"/>
  <c r="E4" i="54"/>
  <c r="J4" i="54" s="1"/>
  <c r="E3" i="63" s="1"/>
  <c r="J5" i="54"/>
  <c r="E73" i="54"/>
  <c r="K73" i="57"/>
  <c r="K4" i="57"/>
  <c r="T9" i="57"/>
  <c r="L8" i="63" s="1"/>
  <c r="E5" i="57"/>
  <c r="J9" i="55"/>
  <c r="F8" i="63" s="1"/>
  <c r="E5" i="55"/>
  <c r="N36" i="63"/>
  <c r="P36" i="63" s="1"/>
  <c r="E73" i="57" l="1"/>
  <c r="E4" i="57"/>
  <c r="T4" i="57" s="1"/>
  <c r="L3" i="63" s="1"/>
  <c r="T5" i="57"/>
  <c r="E4" i="58"/>
  <c r="N4" i="58" s="1"/>
  <c r="K3" i="63" s="1"/>
  <c r="N5" i="58"/>
  <c r="K4" i="63" s="1"/>
  <c r="E73" i="56"/>
  <c r="P5" i="56"/>
  <c r="E4" i="56"/>
  <c r="P4" i="56" s="1"/>
  <c r="M3" i="63" s="1"/>
  <c r="F73" i="61"/>
  <c r="F4" i="61"/>
  <c r="Y4" i="61" s="1"/>
  <c r="G3" i="63" s="1"/>
  <c r="Y5" i="61"/>
  <c r="J73" i="54"/>
  <c r="E4" i="63"/>
  <c r="J5" i="55"/>
  <c r="E73" i="55"/>
  <c r="E4" i="55"/>
  <c r="J4" i="55" s="1"/>
  <c r="F3" i="63" s="1"/>
  <c r="N3" i="63" s="1"/>
  <c r="P3" i="63" s="1"/>
  <c r="Y73" i="61" l="1"/>
  <c r="G4" i="63"/>
  <c r="J73" i="55"/>
  <c r="F4" i="63"/>
  <c r="P73" i="56"/>
  <c r="M4" i="63"/>
  <c r="T73" i="57"/>
  <c r="L4" i="63"/>
  <c r="N4" i="63"/>
  <c r="N72" i="63" l="1"/>
  <c r="P4" i="63"/>
</calcChain>
</file>

<file path=xl/comments1.xml><?xml version="1.0" encoding="utf-8"?>
<comments xmlns="http://schemas.openxmlformats.org/spreadsheetml/2006/main">
  <authors>
    <author>tc={005B002E-0085-478B-A163-008A006D0075}</author>
  </authors>
  <commentList>
    <comment ref="H11" authorId="0" shapeId="0">
      <text>
        <r>
          <rPr>
            <b/>
            <sz val="9"/>
            <rFont val="Tahoma"/>
            <family val="2"/>
          </rPr>
          <t>作者:</t>
        </r>
        <r>
          <rPr>
            <sz val="9"/>
            <rFont val="Tahoma"/>
            <family val="2"/>
          </rPr>
          <t>user:根据现有口径，2008.7-2012.8也应在补记范围内。</t>
        </r>
      </text>
    </comment>
  </commentList>
</comments>
</file>

<file path=xl/comments2.xml><?xml version="1.0" encoding="utf-8"?>
<comments xmlns="http://schemas.openxmlformats.org/spreadsheetml/2006/main">
  <authors>
    <author>钱兢</author>
  </authors>
  <commentList>
    <comment ref="A44" authorId="0" shapeId="0">
      <text>
        <r>
          <rPr>
            <b/>
            <sz val="9"/>
            <color indexed="81"/>
            <rFont val="宋体"/>
            <family val="3"/>
            <charset val="134"/>
          </rPr>
          <t xml:space="preserve">共2门，人车分离，1门5保，1门1保，另隔壁为七宝青少年活动中心，与明强小学相通，该中心1门5保。
</t>
        </r>
      </text>
    </comment>
    <comment ref="A45" authorId="0" shapeId="0">
      <text>
        <r>
          <rPr>
            <b/>
            <sz val="9"/>
            <color indexed="81"/>
            <rFont val="宋体"/>
            <family val="3"/>
            <charset val="134"/>
          </rPr>
          <t>其中一门为</t>
        </r>
        <r>
          <rPr>
            <b/>
            <sz val="9"/>
            <color indexed="81"/>
            <rFont val="Tahoma"/>
            <family val="2"/>
          </rPr>
          <t>7</t>
        </r>
        <r>
          <rPr>
            <b/>
            <sz val="9"/>
            <color indexed="81"/>
            <rFont val="宋体"/>
            <family val="3"/>
            <charset val="134"/>
          </rPr>
          <t>人，人车分离</t>
        </r>
      </text>
    </comment>
    <comment ref="A57" authorId="0" shapeId="0">
      <text>
        <r>
          <rPr>
            <b/>
            <sz val="9"/>
            <color indexed="81"/>
            <rFont val="宋体"/>
            <family val="3"/>
            <charset val="134"/>
          </rPr>
          <t>其中总园增开一门多派</t>
        </r>
        <r>
          <rPr>
            <b/>
            <sz val="9"/>
            <color indexed="81"/>
            <rFont val="Tahoma"/>
            <family val="2"/>
          </rPr>
          <t>2</t>
        </r>
        <r>
          <rPr>
            <b/>
            <sz val="9"/>
            <color indexed="81"/>
            <rFont val="宋体"/>
            <family val="3"/>
            <charset val="134"/>
          </rPr>
          <t>人，人车分离</t>
        </r>
      </text>
    </comment>
    <comment ref="A85" authorId="0" shapeId="0">
      <text>
        <r>
          <rPr>
            <b/>
            <sz val="9"/>
            <color indexed="81"/>
            <rFont val="宋体"/>
            <family val="3"/>
            <charset val="134"/>
          </rPr>
          <t>学校人数众多，增开</t>
        </r>
        <r>
          <rPr>
            <b/>
            <sz val="9"/>
            <color indexed="81"/>
            <rFont val="Tahoma"/>
            <family val="2"/>
          </rPr>
          <t>1</t>
        </r>
        <r>
          <rPr>
            <b/>
            <sz val="9"/>
            <color indexed="81"/>
            <rFont val="宋体"/>
            <family val="3"/>
            <charset val="134"/>
          </rPr>
          <t>门</t>
        </r>
        <r>
          <rPr>
            <b/>
            <sz val="9"/>
            <color indexed="81"/>
            <rFont val="Tahoma"/>
            <family val="2"/>
          </rPr>
          <t>2</t>
        </r>
        <r>
          <rPr>
            <b/>
            <sz val="9"/>
            <color indexed="81"/>
            <rFont val="宋体"/>
            <family val="3"/>
            <charset val="134"/>
          </rPr>
          <t>保</t>
        </r>
      </text>
    </comment>
  </commentList>
</comments>
</file>

<file path=xl/sharedStrings.xml><?xml version="1.0" encoding="utf-8"?>
<sst xmlns="http://schemas.openxmlformats.org/spreadsheetml/2006/main" count="8641" uniqueCount="2511">
  <si>
    <t>工资福利支出</t>
  </si>
  <si>
    <t>单位</t>
  </si>
  <si>
    <t>莘庄</t>
  </si>
  <si>
    <t>吴泾</t>
  </si>
  <si>
    <t>七宝</t>
  </si>
  <si>
    <t>浦江</t>
  </si>
  <si>
    <t>梅陇</t>
  </si>
  <si>
    <t>马桥</t>
  </si>
  <si>
    <t>华漕</t>
  </si>
  <si>
    <t>颛桥</t>
  </si>
  <si>
    <t>虹桥</t>
  </si>
  <si>
    <t>工业区</t>
  </si>
  <si>
    <t>序号</t>
  </si>
  <si>
    <t>项目名称</t>
  </si>
  <si>
    <t>功能分类</t>
  </si>
  <si>
    <t>口径</t>
  </si>
  <si>
    <t>社区学校</t>
    <phoneticPr fontId="2" type="noConversion"/>
  </si>
  <si>
    <t>合计</t>
  </si>
  <si>
    <t>备注</t>
  </si>
  <si>
    <t>1</t>
  </si>
  <si>
    <t>基本支出总预算数</t>
  </si>
  <si>
    <t>公式计算</t>
  </si>
  <si>
    <t>2</t>
  </si>
  <si>
    <t>3</t>
  </si>
  <si>
    <t>　　基本工资</t>
  </si>
  <si>
    <t>4</t>
  </si>
  <si>
    <t>　　　　1、岗位工资</t>
  </si>
  <si>
    <t>主款项</t>
  </si>
  <si>
    <t>根据人事口径按实编制</t>
  </si>
  <si>
    <t>5</t>
  </si>
  <si>
    <t>　　　　2、薪级工资</t>
  </si>
  <si>
    <t>6</t>
  </si>
  <si>
    <t>　　津贴补贴</t>
  </si>
  <si>
    <t>7</t>
  </si>
  <si>
    <t>　　　　1、各类津贴★▲</t>
  </si>
  <si>
    <t>8</t>
  </si>
  <si>
    <t>　　　　2、各类补贴</t>
  </si>
  <si>
    <t>9</t>
  </si>
  <si>
    <t>　　　　　　(1)上下班交通费补贴</t>
    <phoneticPr fontId="2" type="noConversion"/>
  </si>
  <si>
    <t>10</t>
  </si>
  <si>
    <t>　　其他社会保障缴费</t>
  </si>
  <si>
    <t>注：社保缴费基数应该相同</t>
  </si>
  <si>
    <t>11</t>
  </si>
  <si>
    <t>公式计算（请检查）</t>
  </si>
  <si>
    <t>12</t>
  </si>
  <si>
    <t>　　　　2、失业保险0.5%</t>
    <phoneticPr fontId="2" type="noConversion"/>
  </si>
  <si>
    <t>13</t>
  </si>
  <si>
    <t>　　绩效工资</t>
  </si>
  <si>
    <t>14</t>
  </si>
  <si>
    <t>　　　　1、绩效工资</t>
  </si>
  <si>
    <t>根据人保科数字编制</t>
    <phoneticPr fontId="2" type="noConversion"/>
  </si>
  <si>
    <t>15</t>
  </si>
  <si>
    <t>　　　　2、校长职级制</t>
  </si>
  <si>
    <t>根据校长职级制按实编制</t>
  </si>
  <si>
    <t>16</t>
  </si>
  <si>
    <t>　　　　3、工作餐补贴</t>
    <phoneticPr fontId="2" type="noConversion"/>
  </si>
  <si>
    <t>17</t>
  </si>
  <si>
    <t>　　　　4、课后服务(在编人员）</t>
    <phoneticPr fontId="2" type="noConversion"/>
  </si>
  <si>
    <t>18</t>
  </si>
  <si>
    <t xml:space="preserve">   城镇职工基本医疗保险缴费</t>
  </si>
  <si>
    <t>19</t>
  </si>
  <si>
    <t>事业单位医疗</t>
  </si>
  <si>
    <t>20</t>
  </si>
  <si>
    <r>
      <t xml:space="preserve">        2、其他医疗保险费4</t>
    </r>
    <r>
      <rPr>
        <sz val="9"/>
        <color indexed="8"/>
        <rFont val="宋体"/>
        <family val="3"/>
        <charset val="134"/>
      </rPr>
      <t>%</t>
    </r>
    <phoneticPr fontId="2" type="noConversion"/>
  </si>
  <si>
    <t>21</t>
  </si>
  <si>
    <t>22</t>
  </si>
  <si>
    <t>23</t>
  </si>
  <si>
    <t>　　事业单位基本养老保险缴费</t>
  </si>
  <si>
    <t>24</t>
  </si>
  <si>
    <t>　　　　1、基本养老保险16%</t>
    <phoneticPr fontId="2" type="noConversion"/>
  </si>
  <si>
    <t>养老保险</t>
  </si>
  <si>
    <t>25</t>
  </si>
  <si>
    <t>　　职业年金缴纳</t>
  </si>
  <si>
    <t>26</t>
  </si>
  <si>
    <t>　　　　1、职业年金8%</t>
  </si>
  <si>
    <t>职业年金</t>
  </si>
  <si>
    <t>27</t>
  </si>
  <si>
    <r>
      <t xml:space="preserve"> </t>
    </r>
    <r>
      <rPr>
        <sz val="9"/>
        <color indexed="8"/>
        <rFont val="宋体"/>
        <family val="3"/>
        <charset val="134"/>
      </rPr>
      <t xml:space="preserve">   </t>
    </r>
    <r>
      <rPr>
        <sz val="9"/>
        <color indexed="8"/>
        <rFont val="宋体"/>
        <family val="3"/>
        <charset val="134"/>
      </rPr>
      <t>公积金</t>
    </r>
    <r>
      <rPr>
        <sz val="9"/>
        <color indexed="8"/>
        <rFont val="宋体"/>
        <family val="3"/>
        <charset val="134"/>
      </rPr>
      <t>7%</t>
    </r>
    <phoneticPr fontId="2" type="noConversion"/>
  </si>
  <si>
    <t>公积金</t>
  </si>
  <si>
    <t>根据人事口径按实编制</t>
    <phoneticPr fontId="2" type="noConversion"/>
  </si>
  <si>
    <t>28</t>
  </si>
  <si>
    <t xml:space="preserve">    其他工资福利</t>
    <phoneticPr fontId="2" type="noConversion"/>
  </si>
  <si>
    <t>年初预算为0</t>
    <phoneticPr fontId="2" type="noConversion"/>
  </si>
  <si>
    <t>29</t>
  </si>
  <si>
    <t>对个人和家庭补助</t>
  </si>
  <si>
    <t>30</t>
  </si>
  <si>
    <t xml:space="preserve">    退休费</t>
    <phoneticPr fontId="2" type="noConversion"/>
  </si>
  <si>
    <t>离退休</t>
  </si>
  <si>
    <t>根据退休人员情况按实编制</t>
    <phoneticPr fontId="2" type="noConversion"/>
  </si>
  <si>
    <t>31</t>
  </si>
  <si>
    <t xml:space="preserve">        1、退休人员生活补贴</t>
    <phoneticPr fontId="2" type="noConversion"/>
  </si>
  <si>
    <t>32</t>
  </si>
  <si>
    <t>　　奖励金</t>
  </si>
  <si>
    <t>33</t>
  </si>
  <si>
    <t>　　　　1、独生子女奖励费▲</t>
  </si>
  <si>
    <t>34</t>
  </si>
  <si>
    <t>35</t>
  </si>
  <si>
    <t>36</t>
  </si>
  <si>
    <t>商品和服务支出和其他资本性支出</t>
  </si>
  <si>
    <t>37</t>
  </si>
  <si>
    <t>　　(一)公用定额</t>
  </si>
  <si>
    <t>学生人数*定额</t>
  </si>
  <si>
    <t>38</t>
  </si>
  <si>
    <t xml:space="preserve">       其中：培训费</t>
    <phoneticPr fontId="2" type="noConversion"/>
  </si>
  <si>
    <t>主款项</t>
    <phoneticPr fontId="2" type="noConversion"/>
  </si>
  <si>
    <t>生均定额5%</t>
    <phoneticPr fontId="2" type="noConversion"/>
  </si>
  <si>
    <t>39</t>
  </si>
  <si>
    <t>　　(二)培训费</t>
  </si>
  <si>
    <t>40</t>
  </si>
  <si>
    <t>　　　　1、进修、培训 400元/年教师</t>
  </si>
  <si>
    <t>教职工人数*400元（公式计算）</t>
  </si>
  <si>
    <t>41</t>
  </si>
  <si>
    <t>　　(三)维修(护)费</t>
  </si>
  <si>
    <t>42</t>
  </si>
  <si>
    <t>　　　　1、房屋维修费 15元/年平方米</t>
  </si>
  <si>
    <t>房屋面积*15元（公式计算）</t>
  </si>
  <si>
    <t>43</t>
  </si>
  <si>
    <t>　　(四)物业管理费</t>
  </si>
  <si>
    <t>44</t>
  </si>
  <si>
    <t>　　　　1、绿化维护费 8元/年平方米</t>
  </si>
  <si>
    <t>绿化面积*8元（公式计算）</t>
  </si>
  <si>
    <t>45</t>
  </si>
  <si>
    <t>　　(五)福利费</t>
    <phoneticPr fontId="2" type="noConversion"/>
  </si>
  <si>
    <t>46</t>
  </si>
  <si>
    <t>教职工人数*4320元（公式计算）</t>
  </si>
  <si>
    <t>47</t>
  </si>
  <si>
    <t>48</t>
  </si>
  <si>
    <t>　　(六)工会经费</t>
    <phoneticPr fontId="2" type="noConversion"/>
  </si>
  <si>
    <t>49</t>
  </si>
  <si>
    <t>　　　　1、工会经费2%</t>
  </si>
  <si>
    <t>50</t>
  </si>
  <si>
    <t>51</t>
  </si>
  <si>
    <t>　　　　1、教育系统，校/辆</t>
  </si>
  <si>
    <t>机关局有编制的车辆数*32000元/年（分园及分校预算在其他交通费中编制）</t>
  </si>
  <si>
    <t>52</t>
  </si>
  <si>
    <t>53</t>
  </si>
  <si>
    <t>54</t>
  </si>
  <si>
    <t>　　　　　　(1)活动费(活动费+活动费(托管))</t>
  </si>
  <si>
    <t>离退休人数*400元/年（公式计算）</t>
    <phoneticPr fontId="2" type="noConversion"/>
  </si>
  <si>
    <t>55</t>
  </si>
  <si>
    <t>没有，填0</t>
  </si>
  <si>
    <t>56</t>
  </si>
  <si>
    <t>57</t>
  </si>
  <si>
    <t>　　　　2、教育系统</t>
  </si>
  <si>
    <t>58</t>
  </si>
  <si>
    <t>学校基本情况：</t>
  </si>
  <si>
    <t>59</t>
  </si>
  <si>
    <t>1、教职工(人数)</t>
  </si>
  <si>
    <t>60</t>
  </si>
  <si>
    <t xml:space="preserve">       初中</t>
  </si>
  <si>
    <t>61</t>
  </si>
  <si>
    <t xml:space="preserve">       小学</t>
  </si>
  <si>
    <t>62</t>
  </si>
  <si>
    <t xml:space="preserve">       幼儿园</t>
  </si>
  <si>
    <t>63</t>
  </si>
  <si>
    <t xml:space="preserve">       其他</t>
  </si>
  <si>
    <t>64</t>
  </si>
  <si>
    <t>2、学生(人数)</t>
  </si>
  <si>
    <t>65</t>
  </si>
  <si>
    <t>66</t>
  </si>
  <si>
    <t>67</t>
  </si>
  <si>
    <t>68</t>
  </si>
  <si>
    <t>69</t>
  </si>
  <si>
    <t>4、教育单位房屋（面积）</t>
    <phoneticPr fontId="2" type="noConversion"/>
  </si>
  <si>
    <t>5、教育单位绿化（面积）</t>
    <phoneticPr fontId="2" type="noConversion"/>
  </si>
  <si>
    <t>上海市闵行区景东小学</t>
  </si>
  <si>
    <t>闵行区塘湾中心幼儿园</t>
  </si>
  <si>
    <t>上海市闵行区吴泾第三幼儿园</t>
  </si>
  <si>
    <t>华东师范大学闵行永德实验幼儿园</t>
  </si>
  <si>
    <t>上海市闵行区吴泾镇社区学校</t>
  </si>
  <si>
    <t>　　　　1、在职福利费</t>
    <phoneticPr fontId="2" type="noConversion"/>
  </si>
  <si>
    <t>离退休人数*4320元（公式计算）</t>
    <phoneticPr fontId="2" type="noConversion"/>
  </si>
  <si>
    <t>　　(七)公务用车运行维护费★</t>
    <phoneticPr fontId="2" type="noConversion"/>
  </si>
  <si>
    <t xml:space="preserve">
机关局无编制车辆的学校按32000元编制预算
机关局有编制的车辆，每分校增加10000元，每个分园增加5000元编制预算</t>
    <phoneticPr fontId="2" type="noConversion"/>
  </si>
  <si>
    <t>3、事业退休人员人数</t>
    <phoneticPr fontId="2" type="noConversion"/>
  </si>
  <si>
    <t>上海市闵行区马桥富国幼儿园</t>
    <phoneticPr fontId="2" type="noConversion"/>
  </si>
  <si>
    <t>颛桥中学</t>
  </si>
  <si>
    <t>北桥中学</t>
  </si>
  <si>
    <t>颛桥小学</t>
  </si>
  <si>
    <t>北桥小学</t>
  </si>
  <si>
    <t>田园外小</t>
  </si>
  <si>
    <t>田园二外小</t>
  </si>
  <si>
    <t>颛桥一幼</t>
  </si>
  <si>
    <t>颛桥镇幼</t>
  </si>
  <si>
    <t>君莲幼儿园</t>
  </si>
  <si>
    <t>上师大幼</t>
  </si>
  <si>
    <t>君莲学校</t>
  </si>
  <si>
    <t>社区学校</t>
  </si>
  <si>
    <t>上虹中学</t>
  </si>
  <si>
    <t>龙柏中学</t>
  </si>
  <si>
    <t>虹桥小学</t>
  </si>
  <si>
    <t>中心幼儿园</t>
  </si>
  <si>
    <t>虹鹿幼儿园</t>
  </si>
  <si>
    <t>龙柏一幼</t>
  </si>
  <si>
    <t>龙柏二幼</t>
  </si>
  <si>
    <t>　　　　　　(1)上下班交通费补贴</t>
  </si>
  <si>
    <t>　　　　2、失业保险0.5%</t>
  </si>
  <si>
    <t>根据人保科数字编制</t>
  </si>
  <si>
    <t>　　　　3、工作餐补贴</t>
  </si>
  <si>
    <t>　　　　4、课后服务(在编人员）</t>
  </si>
  <si>
    <r>
      <t xml:space="preserve">        2、其他医疗保险费4</t>
    </r>
    <r>
      <rPr>
        <sz val="9"/>
        <color indexed="8"/>
        <rFont val="宋体"/>
        <family val="3"/>
        <charset val="134"/>
      </rPr>
      <t>%</t>
    </r>
  </si>
  <si>
    <t>　　　　1、基本养老保险16%</t>
  </si>
  <si>
    <r>
      <t xml:space="preserve"> </t>
    </r>
    <r>
      <rPr>
        <sz val="9"/>
        <color indexed="8"/>
        <rFont val="宋体"/>
        <family val="3"/>
        <charset val="134"/>
      </rPr>
      <t xml:space="preserve">   </t>
    </r>
    <r>
      <rPr>
        <sz val="9"/>
        <color indexed="8"/>
        <rFont val="宋体"/>
        <family val="3"/>
        <charset val="134"/>
      </rPr>
      <t>公积金</t>
    </r>
    <r>
      <rPr>
        <sz val="9"/>
        <color indexed="8"/>
        <rFont val="宋体"/>
        <family val="3"/>
        <charset val="134"/>
      </rPr>
      <t>7%</t>
    </r>
  </si>
  <si>
    <t xml:space="preserve">    其他工资福利</t>
  </si>
  <si>
    <t>年初预算为0</t>
  </si>
  <si>
    <t xml:space="preserve">    退休费</t>
  </si>
  <si>
    <t>根据退休人员情况按实编制</t>
  </si>
  <si>
    <t xml:space="preserve">        1、退休人员生活补贴</t>
  </si>
  <si>
    <t xml:space="preserve">       其中：培训费</t>
  </si>
  <si>
    <t>生均定额5%</t>
  </si>
  <si>
    <t>　　(五)福利费</t>
  </si>
  <si>
    <t>　　　　1、在职福利费</t>
  </si>
  <si>
    <t>　　　　2、离退休福利费</t>
  </si>
  <si>
    <t>离退休人数*4320元（公式计算）</t>
  </si>
  <si>
    <t>　　(六)工会经费</t>
  </si>
  <si>
    <t>　　(七)公务用车运行维护费★</t>
  </si>
  <si>
    <t>离退休人数*400元/年（公式计算）</t>
  </si>
  <si>
    <t xml:space="preserve">
机关局无编制车辆的学校按32000元编制预算
机关局有编制的车辆，每分校增加10000元，每个分园增加5000元编制预算</t>
  </si>
  <si>
    <t>3、事业退休人员人数</t>
  </si>
  <si>
    <t>4、教育单位房屋（面积）</t>
  </si>
  <si>
    <t>5、教育单位绿化（面积）</t>
  </si>
  <si>
    <t>上海市龙柏中学</t>
  </si>
  <si>
    <t>闵行区虹桥中心小学</t>
  </si>
  <si>
    <t>闵行区龙柏第一小学</t>
  </si>
  <si>
    <t>上海市闵行区诸翟学校</t>
  </si>
  <si>
    <t>上海市闵行区华漕学校</t>
  </si>
  <si>
    <t>上海市罗阳中学</t>
  </si>
  <si>
    <t>上海市闵行区浦江第二中学</t>
  </si>
  <si>
    <t>上海市闵行区浦江第三中学</t>
  </si>
  <si>
    <t>上海市闵行区浦航实验中学</t>
  </si>
  <si>
    <t>上海世外教育附属浦江外国语学校</t>
  </si>
  <si>
    <t>上海市闵行区浦江第二小学</t>
  </si>
  <si>
    <t>上海市闵行区浦江第三小学</t>
  </si>
  <si>
    <t>上海戏剧学院闵行附属学校</t>
  </si>
  <si>
    <t>上海市闵行区浦汇小学</t>
  </si>
  <si>
    <t>上海师范大学附属中学闵行实验学校</t>
  </si>
  <si>
    <t>上海市航华中学</t>
  </si>
  <si>
    <t>上海市闵行区七宝第二中学</t>
  </si>
  <si>
    <t>上海市七宝实验中学</t>
  </si>
  <si>
    <t>上海市闵行区七宝第三中学</t>
  </si>
  <si>
    <t>闵行区航华第二小学</t>
  </si>
  <si>
    <t>闵行区七宝镇明强小学</t>
  </si>
  <si>
    <t>闵行区黎明小学</t>
  </si>
  <si>
    <t>上海市七宝实验小学</t>
  </si>
  <si>
    <t>上海市闵行区明星学校</t>
  </si>
  <si>
    <t>上海市闵行区颛桥中学</t>
  </si>
  <si>
    <t>上海市闵行区北桥中学</t>
  </si>
  <si>
    <t>上海市闵行区田园外国语中学</t>
  </si>
  <si>
    <t>上海市闵行区君莲学校</t>
  </si>
  <si>
    <t>上海市闵行区田园外语实验小学</t>
  </si>
  <si>
    <t>闵行区北桥中心小学</t>
  </si>
  <si>
    <t>上海市闵行区田园第二外语实验小学</t>
  </si>
  <si>
    <t>总计</t>
  </si>
  <si>
    <t>镇属</t>
    <phoneticPr fontId="1" type="noConversion"/>
  </si>
  <si>
    <t>莘庄 汇总</t>
  </si>
  <si>
    <t>吴泾 汇总</t>
  </si>
  <si>
    <t>七宝 汇总</t>
  </si>
  <si>
    <t>浦江 汇总</t>
  </si>
  <si>
    <t>梅陇 汇总</t>
  </si>
  <si>
    <t>马桥 汇总</t>
  </si>
  <si>
    <t>华漕 汇总</t>
  </si>
  <si>
    <t>颛桥 汇总</t>
  </si>
  <si>
    <t>虹桥 汇总</t>
  </si>
  <si>
    <t>闵行区七宝明强第二小学</t>
  </si>
  <si>
    <t>实验幼儿园</t>
  </si>
  <si>
    <t>上海市闵行区七宝文来学校</t>
  </si>
  <si>
    <t>上海交通大学附属闵行马桥实验学校</t>
  </si>
  <si>
    <t>合计</t>
    <phoneticPr fontId="1" type="noConversion"/>
  </si>
  <si>
    <t>人数</t>
    <phoneticPr fontId="1" type="noConversion"/>
  </si>
  <si>
    <t>金额（3元/人）</t>
    <phoneticPr fontId="1" type="noConversion"/>
  </si>
  <si>
    <t>2025年基本支出预算表</t>
  </si>
  <si>
    <t>康城幼儿园</t>
  </si>
  <si>
    <t>佳佳幼儿园</t>
    <phoneticPr fontId="2" type="noConversion"/>
  </si>
  <si>
    <t>社区学校</t>
    <phoneticPr fontId="2" type="noConversion"/>
  </si>
  <si>
    <t>明星学校</t>
    <phoneticPr fontId="2" type="noConversion"/>
  </si>
  <si>
    <t>　　　　1、工伤保险费0.5%(0.16%-1.52%)</t>
  </si>
  <si>
    <r>
      <t xml:space="preserve">        1、医疗保险费</t>
    </r>
    <r>
      <rPr>
        <sz val="9"/>
        <color indexed="8"/>
        <rFont val="宋体"/>
        <family val="3"/>
        <charset val="134"/>
      </rPr>
      <t>9%</t>
    </r>
  </si>
  <si>
    <r>
      <t xml:space="preserve">     (1)其他保险2%(统筹)：</t>
    </r>
    <r>
      <rPr>
        <sz val="9"/>
        <color indexed="10"/>
        <rFont val="宋体"/>
        <family val="3"/>
        <charset val="134"/>
      </rPr>
      <t>住院及大病补助</t>
    </r>
  </si>
  <si>
    <r>
      <t xml:space="preserve">     (2)其他保险2%(单位)：</t>
    </r>
    <r>
      <rPr>
        <sz val="9"/>
        <color indexed="10"/>
        <rFont val="宋体"/>
        <family val="3"/>
        <charset val="134"/>
      </rPr>
      <t>购买保险</t>
    </r>
  </si>
  <si>
    <t>　　(八)离退休公用支出</t>
    <phoneticPr fontId="2" type="noConversion"/>
  </si>
  <si>
    <t>　　　1、活动费(活动费+活动费(托管))</t>
    <phoneticPr fontId="2" type="noConversion"/>
  </si>
  <si>
    <t>　　(九)其他商品服务支出</t>
    <phoneticPr fontId="2" type="noConversion"/>
  </si>
  <si>
    <t>　　　　1、子女幼托费</t>
    <phoneticPr fontId="2" type="noConversion"/>
  </si>
  <si>
    <t>　　(十)其他交通费用</t>
    <phoneticPr fontId="2" type="noConversion"/>
  </si>
  <si>
    <t>　　　　1、教育系统</t>
    <phoneticPr fontId="2" type="noConversion"/>
  </si>
  <si>
    <t>填写2024年秋季在编教职工人数</t>
  </si>
  <si>
    <r>
      <t>填写202</t>
    </r>
    <r>
      <rPr>
        <sz val="9"/>
        <color indexed="8"/>
        <rFont val="宋体"/>
        <family val="3"/>
        <charset val="134"/>
      </rPr>
      <t>4年秋季学期学生人数，以招办人数为准</t>
    </r>
  </si>
  <si>
    <t>　　(八)离退休公用经费</t>
    <phoneticPr fontId="2" type="noConversion"/>
  </si>
  <si>
    <t>　　　  1、活动费(活动费+活动费(托管))</t>
    <phoneticPr fontId="2" type="noConversion"/>
  </si>
  <si>
    <t>七宝二中</t>
    <phoneticPr fontId="2" type="noConversion"/>
  </si>
  <si>
    <t>七宝实验中学</t>
    <phoneticPr fontId="2" type="noConversion"/>
  </si>
  <si>
    <t>航华中学</t>
    <phoneticPr fontId="2" type="noConversion"/>
  </si>
  <si>
    <t>七宝三中</t>
    <phoneticPr fontId="2" type="noConversion"/>
  </si>
  <si>
    <t>明强小学</t>
    <phoneticPr fontId="2" type="noConversion"/>
  </si>
  <si>
    <t>黎明小学</t>
    <phoneticPr fontId="2" type="noConversion"/>
  </si>
  <si>
    <t>七宝实小</t>
    <phoneticPr fontId="2" type="noConversion"/>
  </si>
  <si>
    <t>航华二小</t>
    <phoneticPr fontId="2" type="noConversion"/>
  </si>
  <si>
    <t>明强二小</t>
    <phoneticPr fontId="2" type="noConversion"/>
  </si>
  <si>
    <t>中心幼</t>
    <phoneticPr fontId="2" type="noConversion"/>
  </si>
  <si>
    <t>星辰</t>
    <phoneticPr fontId="2" type="noConversion"/>
  </si>
  <si>
    <t>春欣</t>
    <phoneticPr fontId="2" type="noConversion"/>
  </si>
  <si>
    <t>七实幼</t>
    <phoneticPr fontId="2" type="noConversion"/>
  </si>
  <si>
    <t>航华二幼</t>
    <phoneticPr fontId="2" type="noConversion"/>
  </si>
  <si>
    <t>七宝社区</t>
    <phoneticPr fontId="2" type="noConversion"/>
  </si>
  <si>
    <t>皇都</t>
    <phoneticPr fontId="2" type="noConversion"/>
  </si>
  <si>
    <t>文来</t>
    <phoneticPr fontId="2" type="noConversion"/>
  </si>
  <si>
    <t>明强幼</t>
    <phoneticPr fontId="2" type="noConversion"/>
  </si>
  <si>
    <t>七宝幼</t>
    <phoneticPr fontId="2" type="noConversion"/>
  </si>
  <si>
    <t>宝盛</t>
    <phoneticPr fontId="2" type="noConversion"/>
  </si>
  <si>
    <t>　　　　　　(1)上下班交通费补贴</t>
    <phoneticPr fontId="2" type="noConversion"/>
  </si>
  <si>
    <t>　　　　1、工伤保险费0.5%(0.16%-1.52%)</t>
    <phoneticPr fontId="2" type="noConversion"/>
  </si>
  <si>
    <t>　　　　2、失业保险0.5%</t>
    <phoneticPr fontId="2" type="noConversion"/>
  </si>
  <si>
    <t>根据人保科数字编制</t>
    <phoneticPr fontId="2" type="noConversion"/>
  </si>
  <si>
    <t>　　　　3、工作餐补贴</t>
    <phoneticPr fontId="2" type="noConversion"/>
  </si>
  <si>
    <t>　　　　4、课后服务(在编人员）</t>
    <phoneticPr fontId="2" type="noConversion"/>
  </si>
  <si>
    <r>
      <t xml:space="preserve">        1、医疗保险费</t>
    </r>
    <r>
      <rPr>
        <sz val="9"/>
        <color indexed="8"/>
        <rFont val="宋体"/>
        <family val="3"/>
        <charset val="134"/>
      </rPr>
      <t>9%</t>
    </r>
    <phoneticPr fontId="2" type="noConversion"/>
  </si>
  <si>
    <r>
      <t xml:space="preserve">        2、其他医疗保险费4</t>
    </r>
    <r>
      <rPr>
        <sz val="9"/>
        <color indexed="8"/>
        <rFont val="宋体"/>
        <family val="3"/>
        <charset val="134"/>
      </rPr>
      <t>%</t>
    </r>
    <phoneticPr fontId="2" type="noConversion"/>
  </si>
  <si>
    <r>
      <t xml:space="preserve">     (1)其他保险2%(统筹)：</t>
    </r>
    <r>
      <rPr>
        <sz val="9"/>
        <color indexed="10"/>
        <rFont val="宋体"/>
        <family val="3"/>
        <charset val="134"/>
      </rPr>
      <t>住院及大病补助</t>
    </r>
    <phoneticPr fontId="2" type="noConversion"/>
  </si>
  <si>
    <r>
      <t xml:space="preserve">     (2)其他保险2%(单位)：</t>
    </r>
    <r>
      <rPr>
        <sz val="9"/>
        <color indexed="10"/>
        <rFont val="宋体"/>
        <family val="3"/>
        <charset val="134"/>
      </rPr>
      <t>购买保险</t>
    </r>
    <phoneticPr fontId="2" type="noConversion"/>
  </si>
  <si>
    <t>　　　　1、基本养老保险16%</t>
    <phoneticPr fontId="2" type="noConversion"/>
  </si>
  <si>
    <r>
      <t xml:space="preserve"> </t>
    </r>
    <r>
      <rPr>
        <sz val="9"/>
        <color indexed="8"/>
        <rFont val="宋体"/>
        <family val="3"/>
        <charset val="134"/>
      </rPr>
      <t xml:space="preserve">   </t>
    </r>
    <r>
      <rPr>
        <sz val="9"/>
        <color indexed="8"/>
        <rFont val="宋体"/>
        <family val="3"/>
        <charset val="134"/>
      </rPr>
      <t>公积金</t>
    </r>
    <r>
      <rPr>
        <sz val="9"/>
        <color indexed="8"/>
        <rFont val="宋体"/>
        <family val="3"/>
        <charset val="134"/>
      </rPr>
      <t>7%</t>
    </r>
    <phoneticPr fontId="2" type="noConversion"/>
  </si>
  <si>
    <t>根据人事口径按实编制</t>
    <phoneticPr fontId="2" type="noConversion"/>
  </si>
  <si>
    <t xml:space="preserve">    其他工资福利</t>
    <phoneticPr fontId="2" type="noConversion"/>
  </si>
  <si>
    <t>年初预算为0</t>
    <phoneticPr fontId="2" type="noConversion"/>
  </si>
  <si>
    <t xml:space="preserve">    退休费</t>
    <phoneticPr fontId="2" type="noConversion"/>
  </si>
  <si>
    <t>根据退休人员情况按实编制</t>
    <phoneticPr fontId="2" type="noConversion"/>
  </si>
  <si>
    <t xml:space="preserve">        1、退休人员生活补贴</t>
    <phoneticPr fontId="2" type="noConversion"/>
  </si>
  <si>
    <t xml:space="preserve">       其中：培训费</t>
    <phoneticPr fontId="2" type="noConversion"/>
  </si>
  <si>
    <t>主款项</t>
    <phoneticPr fontId="2" type="noConversion"/>
  </si>
  <si>
    <t>生均定额5%</t>
    <phoneticPr fontId="2" type="noConversion"/>
  </si>
  <si>
    <t>　　(五)福利费</t>
    <phoneticPr fontId="2" type="noConversion"/>
  </si>
  <si>
    <t>　　　　1、在职福利费</t>
    <phoneticPr fontId="2" type="noConversion"/>
  </si>
  <si>
    <t>　　　　2、离退休福利费</t>
    <phoneticPr fontId="2" type="noConversion"/>
  </si>
  <si>
    <t>离退休人数*4320元（公式计算）</t>
    <phoneticPr fontId="2" type="noConversion"/>
  </si>
  <si>
    <t>　　(六)工会经费</t>
    <phoneticPr fontId="2" type="noConversion"/>
  </si>
  <si>
    <t>　　(七)公务用车运行维护费★</t>
    <phoneticPr fontId="2" type="noConversion"/>
  </si>
  <si>
    <t>离退休人数*400元/年（公式计算）</t>
    <phoneticPr fontId="2" type="noConversion"/>
  </si>
  <si>
    <t xml:space="preserve">
机关局无编制车辆的学校按32000元编制预算
机关局有编制的车辆，每分校增加10000元，每个分园增加5000元编制预算</t>
    <phoneticPr fontId="2" type="noConversion"/>
  </si>
  <si>
    <t>填写2024年秋季在编教职工人数</t>
    <phoneticPr fontId="2" type="noConversion"/>
  </si>
  <si>
    <r>
      <t>填写202</t>
    </r>
    <r>
      <rPr>
        <sz val="9"/>
        <color indexed="8"/>
        <rFont val="宋体"/>
        <family val="3"/>
        <charset val="134"/>
      </rPr>
      <t>4年秋季学期学生人数，以招办人数为准</t>
    </r>
    <phoneticPr fontId="2" type="noConversion"/>
  </si>
  <si>
    <t>3、事业退休人员人数</t>
    <phoneticPr fontId="2" type="noConversion"/>
  </si>
  <si>
    <t>4、教育单位房屋（面积）</t>
    <phoneticPr fontId="2" type="noConversion"/>
  </si>
  <si>
    <t>5、教育单位绿化（面积）</t>
    <phoneticPr fontId="2" type="noConversion"/>
  </si>
  <si>
    <t>　　　　　　(1)上下班交通费补贴</t>
    <phoneticPr fontId="2" type="noConversion"/>
  </si>
  <si>
    <t>　　　　1、工伤保险费0.5%(0.16%-1.52%)</t>
    <phoneticPr fontId="2" type="noConversion"/>
  </si>
  <si>
    <t>　　　　2、失业保险0.5%</t>
    <phoneticPr fontId="2" type="noConversion"/>
  </si>
  <si>
    <t>根据人保科数字编制</t>
    <phoneticPr fontId="2" type="noConversion"/>
  </si>
  <si>
    <t>　　　　3、工作餐补贴</t>
    <phoneticPr fontId="2" type="noConversion"/>
  </si>
  <si>
    <t>　　　　4、课后服务(在编人员）</t>
    <phoneticPr fontId="2" type="noConversion"/>
  </si>
  <si>
    <r>
      <t xml:space="preserve">        1、医疗保险费</t>
    </r>
    <r>
      <rPr>
        <sz val="9"/>
        <color indexed="8"/>
        <rFont val="宋体"/>
        <family val="3"/>
        <charset val="134"/>
      </rPr>
      <t>9%</t>
    </r>
    <phoneticPr fontId="2" type="noConversion"/>
  </si>
  <si>
    <r>
      <t xml:space="preserve">        2、其他医疗保险费4</t>
    </r>
    <r>
      <rPr>
        <sz val="9"/>
        <color indexed="8"/>
        <rFont val="宋体"/>
        <family val="3"/>
        <charset val="134"/>
      </rPr>
      <t>%</t>
    </r>
    <phoneticPr fontId="2" type="noConversion"/>
  </si>
  <si>
    <r>
      <t xml:space="preserve">     (1)其他保险2%(统筹)：</t>
    </r>
    <r>
      <rPr>
        <sz val="9"/>
        <color indexed="10"/>
        <rFont val="宋体"/>
        <family val="3"/>
        <charset val="134"/>
      </rPr>
      <t>住院及大病补助</t>
    </r>
    <phoneticPr fontId="2" type="noConversion"/>
  </si>
  <si>
    <r>
      <t xml:space="preserve">     (2)其他保险2%(单位)：</t>
    </r>
    <r>
      <rPr>
        <sz val="9"/>
        <color indexed="10"/>
        <rFont val="宋体"/>
        <family val="3"/>
        <charset val="134"/>
      </rPr>
      <t>购买保险</t>
    </r>
    <phoneticPr fontId="2" type="noConversion"/>
  </si>
  <si>
    <t>　　　　1、基本养老保险16%</t>
    <phoneticPr fontId="2" type="noConversion"/>
  </si>
  <si>
    <r>
      <t xml:space="preserve"> </t>
    </r>
    <r>
      <rPr>
        <sz val="9"/>
        <color indexed="8"/>
        <rFont val="宋体"/>
        <family val="3"/>
        <charset val="134"/>
      </rPr>
      <t xml:space="preserve">   </t>
    </r>
    <r>
      <rPr>
        <sz val="9"/>
        <color indexed="8"/>
        <rFont val="宋体"/>
        <family val="3"/>
        <charset val="134"/>
      </rPr>
      <t>公积金</t>
    </r>
    <r>
      <rPr>
        <sz val="9"/>
        <color indexed="8"/>
        <rFont val="宋体"/>
        <family val="3"/>
        <charset val="134"/>
      </rPr>
      <t>7%</t>
    </r>
    <phoneticPr fontId="2" type="noConversion"/>
  </si>
  <si>
    <t>根据人事口径按实编制</t>
    <phoneticPr fontId="2" type="noConversion"/>
  </si>
  <si>
    <t xml:space="preserve">    其他工资福利</t>
    <phoneticPr fontId="2" type="noConversion"/>
  </si>
  <si>
    <t>年初预算为0</t>
    <phoneticPr fontId="2" type="noConversion"/>
  </si>
  <si>
    <t xml:space="preserve">    退休费</t>
    <phoneticPr fontId="2" type="noConversion"/>
  </si>
  <si>
    <t>根据退休人员情况按实编制</t>
    <phoneticPr fontId="2" type="noConversion"/>
  </si>
  <si>
    <t xml:space="preserve">        1、退休人员生活补贴</t>
    <phoneticPr fontId="2" type="noConversion"/>
  </si>
  <si>
    <t xml:space="preserve">       其中：培训费</t>
    <phoneticPr fontId="2" type="noConversion"/>
  </si>
  <si>
    <t>主款项</t>
    <phoneticPr fontId="2" type="noConversion"/>
  </si>
  <si>
    <t>生均定额5%</t>
    <phoneticPr fontId="2" type="noConversion"/>
  </si>
  <si>
    <t>　　(五)福利费</t>
    <phoneticPr fontId="2" type="noConversion"/>
  </si>
  <si>
    <t>　　　　1、在职福利费</t>
    <phoneticPr fontId="2" type="noConversion"/>
  </si>
  <si>
    <t>　　　　2、离退休福利费</t>
    <phoneticPr fontId="2" type="noConversion"/>
  </si>
  <si>
    <t>离退休人数*4320元（公式计算）</t>
    <phoneticPr fontId="2" type="noConversion"/>
  </si>
  <si>
    <t>　　(六)工会经费</t>
    <phoneticPr fontId="2" type="noConversion"/>
  </si>
  <si>
    <t>　　(七)公务用车运行维护费★</t>
    <phoneticPr fontId="2" type="noConversion"/>
  </si>
  <si>
    <t>离退休人数*400元/年（公式计算）</t>
    <phoneticPr fontId="2" type="noConversion"/>
  </si>
  <si>
    <t>　　(九)其他商品服务支出</t>
    <phoneticPr fontId="2" type="noConversion"/>
  </si>
  <si>
    <t>　　　　1、子女幼托费</t>
    <phoneticPr fontId="2" type="noConversion"/>
  </si>
  <si>
    <t>　　(十)其他交通费用</t>
    <phoneticPr fontId="2" type="noConversion"/>
  </si>
  <si>
    <t xml:space="preserve">
机关局无编制车辆的学校按32000元编制预算
机关局有编制的车辆，每分校增加10000元，每个分园增加5000元编制预算</t>
    <phoneticPr fontId="2" type="noConversion"/>
  </si>
  <si>
    <t>填写2024年秋季在编教职工人数</t>
    <phoneticPr fontId="2" type="noConversion"/>
  </si>
  <si>
    <r>
      <t>填写202</t>
    </r>
    <r>
      <rPr>
        <sz val="9"/>
        <color indexed="8"/>
        <rFont val="宋体"/>
        <family val="3"/>
        <charset val="134"/>
      </rPr>
      <t>4年秋季学期学生人数，以招办人数为准</t>
    </r>
    <phoneticPr fontId="2" type="noConversion"/>
  </si>
  <si>
    <t>3、事业退休人员人数</t>
    <phoneticPr fontId="2" type="noConversion"/>
  </si>
  <si>
    <t>4、教育单位房屋（面积）</t>
    <phoneticPr fontId="2" type="noConversion"/>
  </si>
  <si>
    <t>5、教育单位绿化（面积）</t>
    <phoneticPr fontId="2" type="noConversion"/>
  </si>
  <si>
    <t>上海市七宝中学附属闵行金都实验中学</t>
    <phoneticPr fontId="2" type="noConversion"/>
  </si>
  <si>
    <t>上海中医药大学附属闵行蔷薇小学</t>
    <phoneticPr fontId="2" type="noConversion"/>
  </si>
  <si>
    <t>上海市闵行区梅陇金都幼儿园</t>
    <phoneticPr fontId="2" type="noConversion"/>
  </si>
  <si>
    <t>上海市闵行区马桥复旦万科实验中学</t>
    <phoneticPr fontId="2" type="noConversion"/>
  </si>
  <si>
    <t>上海市马桥强恕学校</t>
    <phoneticPr fontId="2" type="noConversion"/>
  </si>
  <si>
    <t>上海市闵行区马桥文来外国语小学</t>
    <phoneticPr fontId="2" type="noConversion"/>
  </si>
  <si>
    <t>上海市闵行区马桥实验幼儿园</t>
    <phoneticPr fontId="2" type="noConversion"/>
  </si>
  <si>
    <t>上海市闵行区马桥富卓幼儿园</t>
    <phoneticPr fontId="2" type="noConversion"/>
  </si>
  <si>
    <t>上海市闵行区马桥启英幼儿园</t>
    <phoneticPr fontId="2" type="noConversion"/>
  </si>
  <si>
    <t>上海市闵行区马桥富杰幼儿园</t>
    <phoneticPr fontId="2" type="noConversion"/>
  </si>
  <si>
    <t>上海市闵行区马桥元祥幼儿园</t>
    <phoneticPr fontId="2" type="noConversion"/>
  </si>
  <si>
    <t>闵行区马桥中心幼儿园</t>
    <phoneticPr fontId="2" type="noConversion"/>
  </si>
  <si>
    <t>马桥社区学校</t>
    <phoneticPr fontId="2" type="noConversion"/>
  </si>
  <si>
    <t>　　　　1、工伤保险费0.5%(0.16%-1.52%)</t>
    <phoneticPr fontId="2" type="noConversion"/>
  </si>
  <si>
    <r>
      <t xml:space="preserve">        1、医疗保险费</t>
    </r>
    <r>
      <rPr>
        <sz val="9"/>
        <color indexed="8"/>
        <rFont val="宋体"/>
        <family val="3"/>
        <charset val="134"/>
      </rPr>
      <t>9%</t>
    </r>
    <phoneticPr fontId="2" type="noConversion"/>
  </si>
  <si>
    <r>
      <t xml:space="preserve">     (1)其他保险2%(统筹)：</t>
    </r>
    <r>
      <rPr>
        <sz val="9"/>
        <color indexed="10"/>
        <rFont val="宋体"/>
        <family val="3"/>
        <charset val="134"/>
      </rPr>
      <t>住院及大病补助</t>
    </r>
    <phoneticPr fontId="2" type="noConversion"/>
  </si>
  <si>
    <r>
      <t xml:space="preserve">     (2)其他保险2%(单位)：</t>
    </r>
    <r>
      <rPr>
        <sz val="9"/>
        <color indexed="10"/>
        <rFont val="宋体"/>
        <family val="3"/>
        <charset val="134"/>
      </rPr>
      <t>购买保险</t>
    </r>
    <phoneticPr fontId="2" type="noConversion"/>
  </si>
  <si>
    <t>　　　　2、离退休福利费</t>
    <phoneticPr fontId="2" type="noConversion"/>
  </si>
  <si>
    <t>　　(八)离退休公用支出支出</t>
    <phoneticPr fontId="2" type="noConversion"/>
  </si>
  <si>
    <t>　　(九)其他商品服务支出</t>
    <phoneticPr fontId="2" type="noConversion"/>
  </si>
  <si>
    <t>　　　　1、子女幼托费</t>
    <phoneticPr fontId="2" type="noConversion"/>
  </si>
  <si>
    <t>　　(十)其他交通费用</t>
    <phoneticPr fontId="2" type="noConversion"/>
  </si>
  <si>
    <t>　　　　1、教育系统</t>
    <phoneticPr fontId="2" type="noConversion"/>
  </si>
  <si>
    <t>填写2024年秋季在编教职工人数</t>
    <phoneticPr fontId="2" type="noConversion"/>
  </si>
  <si>
    <r>
      <t>填写202</t>
    </r>
    <r>
      <rPr>
        <sz val="9"/>
        <color indexed="8"/>
        <rFont val="宋体"/>
        <family val="3"/>
        <charset val="134"/>
      </rPr>
      <t>4年秋季学期学生人数，以招办人数为准</t>
    </r>
    <phoneticPr fontId="2" type="noConversion"/>
  </si>
  <si>
    <t>华漕幼儿园</t>
    <phoneticPr fontId="2" type="noConversion"/>
  </si>
  <si>
    <t>季乐路幼儿园</t>
    <phoneticPr fontId="2" type="noConversion"/>
  </si>
  <si>
    <t>诸翟学校</t>
    <phoneticPr fontId="2" type="noConversion"/>
  </si>
  <si>
    <t>金色幼儿园</t>
    <phoneticPr fontId="2" type="noConversion"/>
  </si>
  <si>
    <t>纪王幼儿园</t>
    <phoneticPr fontId="2" type="noConversion"/>
  </si>
  <si>
    <t>华漕学校</t>
    <phoneticPr fontId="2" type="noConversion"/>
  </si>
  <si>
    <t>纪王学校</t>
    <phoneticPr fontId="2" type="noConversion"/>
  </si>
  <si>
    <t>诸翟幼儿园</t>
    <phoneticPr fontId="2" type="noConversion"/>
  </si>
  <si>
    <t>　　(八)离退休公用经费支出</t>
    <phoneticPr fontId="2" type="noConversion"/>
  </si>
  <si>
    <t>　　　  1、活动费(活动费+活动费(托管))</t>
    <phoneticPr fontId="2" type="noConversion"/>
  </si>
  <si>
    <t>2025年基本支出预算表（颛桥）</t>
  </si>
  <si>
    <t>颛桥镇二幼</t>
  </si>
  <si>
    <t>田园中学</t>
  </si>
  <si>
    <t>田园幼儿园</t>
  </si>
  <si>
    <t>根据社保口径按实编制</t>
  </si>
  <si>
    <r>
      <rPr>
        <sz val="9"/>
        <color indexed="8"/>
        <rFont val="宋体"/>
        <family val="3"/>
        <charset val="134"/>
      </rPr>
      <t xml:space="preserve">        1、医疗保险费</t>
    </r>
    <r>
      <rPr>
        <sz val="9"/>
        <color indexed="8"/>
        <rFont val="宋体"/>
        <family val="3"/>
        <charset val="134"/>
      </rPr>
      <t>9%</t>
    </r>
  </si>
  <si>
    <r>
      <rPr>
        <sz val="9"/>
        <color indexed="8"/>
        <rFont val="宋体"/>
        <family val="3"/>
        <charset val="134"/>
      </rPr>
      <t xml:space="preserve">        2、其他医疗保险费4</t>
    </r>
    <r>
      <rPr>
        <sz val="9"/>
        <color indexed="8"/>
        <rFont val="宋体"/>
        <family val="3"/>
        <charset val="134"/>
      </rPr>
      <t>%</t>
    </r>
  </si>
  <si>
    <r>
      <rPr>
        <sz val="9"/>
        <color indexed="8"/>
        <rFont val="宋体"/>
        <family val="3"/>
        <charset val="134"/>
      </rPr>
      <t xml:space="preserve">     (1)其他保险2%(统筹)：</t>
    </r>
    <r>
      <rPr>
        <sz val="9"/>
        <color indexed="10"/>
        <rFont val="宋体"/>
        <family val="3"/>
        <charset val="134"/>
      </rPr>
      <t>住院及大病补助</t>
    </r>
  </si>
  <si>
    <t>根据相关口径按实编制</t>
  </si>
  <si>
    <r>
      <rPr>
        <sz val="9"/>
        <color indexed="8"/>
        <rFont val="宋体"/>
        <family val="3"/>
        <charset val="134"/>
      </rPr>
      <t xml:space="preserve">     (2)其他保险2%(单位)：</t>
    </r>
    <r>
      <rPr>
        <sz val="9"/>
        <color indexed="10"/>
        <rFont val="宋体"/>
        <family val="3"/>
        <charset val="134"/>
      </rPr>
      <t>购买保险</t>
    </r>
  </si>
  <si>
    <r>
      <rPr>
        <sz val="9"/>
        <color indexed="8"/>
        <rFont val="宋体"/>
        <family val="3"/>
        <charset val="134"/>
      </rPr>
      <t xml:space="preserve"> </t>
    </r>
    <r>
      <rPr>
        <sz val="9"/>
        <color indexed="8"/>
        <rFont val="宋体"/>
        <family val="3"/>
        <charset val="134"/>
      </rPr>
      <t xml:space="preserve">   </t>
    </r>
    <r>
      <rPr>
        <sz val="9"/>
        <color indexed="8"/>
        <rFont val="宋体"/>
        <family val="3"/>
        <charset val="134"/>
      </rPr>
      <t>公积金</t>
    </r>
    <r>
      <rPr>
        <sz val="9"/>
        <color indexed="8"/>
        <rFont val="宋体"/>
        <family val="3"/>
        <charset val="134"/>
      </rPr>
      <t>7%</t>
    </r>
  </si>
  <si>
    <t>教职工人数*400元标准内按实填列</t>
  </si>
  <si>
    <t>房屋面积*15元标准内按实填列</t>
  </si>
  <si>
    <t>绿化面积*8元标准内按实填列</t>
  </si>
  <si>
    <t>教职工人数*4320元</t>
  </si>
  <si>
    <t>离退休人数*4320元</t>
  </si>
  <si>
    <t>根据工会口径按实编制</t>
  </si>
  <si>
    <t>机关局有编制的车辆数*32000元/年标准内填列（分园及分校预算在其他交通费中编制）</t>
  </si>
  <si>
    <t>　　(八)离退休公用支出</t>
  </si>
  <si>
    <t>　　　(1)活动费(活动费+活动费(托管))</t>
  </si>
  <si>
    <t>离退休人数*400元/年标准内按实填列</t>
  </si>
  <si>
    <t xml:space="preserve">   （九）其他商品和服务支出</t>
  </si>
  <si>
    <t>　　　　1、子女幼托费</t>
  </si>
  <si>
    <t>按人事口径实填列</t>
  </si>
  <si>
    <t>　　(十)其他交通费用</t>
  </si>
  <si>
    <t xml:space="preserve">
机关局无编制车辆的学校按32000元编制预算
机关局有编制的车辆，每分校增加10000元，每个分园增加5000元标准内填列</t>
  </si>
  <si>
    <t>填写2024年9月在编教职工人数</t>
  </si>
  <si>
    <t>填写2024年秋季学期学生人数，以招办人数为准</t>
  </si>
  <si>
    <t>4、事业退休人员人数</t>
  </si>
  <si>
    <t>5、教育单位房屋（面积）</t>
  </si>
  <si>
    <t>6、教育单位绿化（面积）</t>
  </si>
  <si>
    <t>华师大虹桥学校</t>
  </si>
  <si>
    <t>龙柏一小</t>
    <phoneticPr fontId="2" type="noConversion"/>
  </si>
  <si>
    <t>华师虹幼</t>
    <phoneticPr fontId="2" type="noConversion"/>
  </si>
  <si>
    <t>　 （八）离退休公用支出</t>
    <phoneticPr fontId="2" type="noConversion"/>
  </si>
  <si>
    <t>　　(九)其他商品和服务支出</t>
    <phoneticPr fontId="2" type="noConversion"/>
  </si>
  <si>
    <t>莘庄镇</t>
    <phoneticPr fontId="1" type="noConversion"/>
  </si>
  <si>
    <t>吴泾镇</t>
    <phoneticPr fontId="1" type="noConversion"/>
  </si>
  <si>
    <t>七宝镇</t>
    <phoneticPr fontId="1" type="noConversion"/>
  </si>
  <si>
    <t>浦江镇</t>
    <phoneticPr fontId="1" type="noConversion"/>
  </si>
  <si>
    <t>梅陇镇</t>
    <phoneticPr fontId="1" type="noConversion"/>
  </si>
  <si>
    <t>马桥镇</t>
    <phoneticPr fontId="1" type="noConversion"/>
  </si>
  <si>
    <t>华漕镇</t>
    <phoneticPr fontId="1" type="noConversion"/>
  </si>
  <si>
    <t>颛桥镇</t>
    <phoneticPr fontId="1" type="noConversion"/>
  </si>
  <si>
    <t>虹桥镇</t>
    <phoneticPr fontId="2" type="noConversion"/>
  </si>
  <si>
    <t>幼儿园</t>
    <phoneticPr fontId="1" type="noConversion"/>
  </si>
  <si>
    <t>其他</t>
    <phoneticPr fontId="1" type="noConversion"/>
  </si>
  <si>
    <t>九年制</t>
    <phoneticPr fontId="1" type="noConversion"/>
  </si>
  <si>
    <t>小学</t>
    <phoneticPr fontId="1" type="noConversion"/>
  </si>
  <si>
    <t>初中</t>
    <phoneticPr fontId="1" type="noConversion"/>
  </si>
  <si>
    <t>浦瑞幼儿园</t>
  </si>
  <si>
    <t>上海市七宝中学附属闵行金都实验中学</t>
  </si>
  <si>
    <t>上海市闵行区第三实验小学</t>
  </si>
  <si>
    <t>闵行区罗阳小学</t>
  </si>
  <si>
    <t>闵行区梅陇镇中心幼儿园</t>
  </si>
  <si>
    <t>闵行区曹行中心幼儿园</t>
  </si>
  <si>
    <t>闵行区马桥中心幼儿园</t>
  </si>
  <si>
    <t>学校名称</t>
    <phoneticPr fontId="2" type="noConversion"/>
  </si>
  <si>
    <t>办学类型</t>
    <phoneticPr fontId="2" type="noConversion"/>
  </si>
  <si>
    <t>所属街镇</t>
    <phoneticPr fontId="2" type="noConversion"/>
  </si>
  <si>
    <t>校区门数</t>
    <phoneticPr fontId="2" type="noConversion"/>
  </si>
  <si>
    <t>在岗人数</t>
    <phoneticPr fontId="2" type="noConversion"/>
  </si>
  <si>
    <t>值班单价</t>
    <phoneticPr fontId="2" type="noConversion"/>
  </si>
  <si>
    <t>值班金额</t>
    <phoneticPr fontId="2" type="noConversion"/>
  </si>
  <si>
    <t>所属大队</t>
    <phoneticPr fontId="2" type="noConversion"/>
  </si>
  <si>
    <t>备注</t>
    <phoneticPr fontId="2" type="noConversion"/>
  </si>
  <si>
    <t>幼儿园</t>
    <phoneticPr fontId="2" type="noConversion"/>
  </si>
  <si>
    <t>马桥镇</t>
    <phoneticPr fontId="2" type="noConversion"/>
  </si>
  <si>
    <t>七</t>
    <phoneticPr fontId="2" type="noConversion"/>
  </si>
  <si>
    <r>
      <rPr>
        <sz val="10"/>
        <rFont val="宋体"/>
        <family val="3"/>
        <charset val="134"/>
      </rPr>
      <t>上海市闵行区马桥元祥幼儿园</t>
    </r>
  </si>
  <si>
    <r>
      <rPr>
        <sz val="10"/>
        <rFont val="宋体"/>
        <family val="3"/>
        <charset val="134"/>
      </rPr>
      <t>上海市闵行区马桥实验幼儿园</t>
    </r>
  </si>
  <si>
    <r>
      <rPr>
        <sz val="10"/>
        <rFont val="宋体"/>
        <family val="3"/>
        <charset val="134"/>
      </rPr>
      <t>闵行区马桥启音幼儿园</t>
    </r>
  </si>
  <si>
    <t>三</t>
  </si>
  <si>
    <r>
      <rPr>
        <sz val="10"/>
        <rFont val="宋体"/>
        <family val="3"/>
        <charset val="134"/>
      </rPr>
      <t>虹桥中心幼儿园</t>
    </r>
    <phoneticPr fontId="2" type="noConversion"/>
  </si>
  <si>
    <r>
      <t>2024</t>
    </r>
    <r>
      <rPr>
        <sz val="10"/>
        <color indexed="8"/>
        <rFont val="宋体"/>
        <family val="3"/>
        <charset val="134"/>
      </rPr>
      <t>年</t>
    </r>
    <r>
      <rPr>
        <sz val="10"/>
        <color indexed="8"/>
        <rFont val="Arial"/>
        <family val="2"/>
      </rPr>
      <t>9</t>
    </r>
    <r>
      <rPr>
        <sz val="10"/>
        <color indexed="8"/>
        <rFont val="宋体"/>
        <family val="3"/>
        <charset val="134"/>
      </rPr>
      <t>月新开办</t>
    </r>
    <phoneticPr fontId="2" type="noConversion"/>
  </si>
  <si>
    <t>莘庄镇</t>
    <phoneticPr fontId="2" type="noConversion"/>
  </si>
  <si>
    <t>五</t>
    <phoneticPr fontId="2" type="noConversion"/>
  </si>
  <si>
    <t>四</t>
    <phoneticPr fontId="2" type="noConversion"/>
  </si>
  <si>
    <t>七宝镇</t>
    <phoneticPr fontId="2" type="noConversion"/>
  </si>
  <si>
    <t>二</t>
    <phoneticPr fontId="2" type="noConversion"/>
  </si>
  <si>
    <t>七宝中心幼儿园（叠彩）</t>
    <phoneticPr fontId="2" type="noConversion"/>
  </si>
  <si>
    <t>七宝中心幼儿园（佳宝）</t>
    <phoneticPr fontId="2" type="noConversion"/>
  </si>
  <si>
    <t>七宝中心幼儿园（莱茵）</t>
    <phoneticPr fontId="2" type="noConversion"/>
  </si>
  <si>
    <t>七宝中心幼儿园（万泰）</t>
    <phoneticPr fontId="2" type="noConversion"/>
  </si>
  <si>
    <t>七宝幼儿园</t>
    <phoneticPr fontId="2" type="noConversion"/>
  </si>
  <si>
    <r>
      <rPr>
        <sz val="10"/>
        <rFont val="宋体"/>
        <family val="3"/>
        <charset val="134"/>
      </rPr>
      <t>星辰幼儿园金太阳分园</t>
    </r>
    <phoneticPr fontId="2" type="noConversion"/>
  </si>
  <si>
    <t>三</t>
    <phoneticPr fontId="2" type="noConversion"/>
  </si>
  <si>
    <r>
      <rPr>
        <sz val="10"/>
        <rFont val="宋体"/>
        <family val="3"/>
        <charset val="134"/>
      </rPr>
      <t>星辰幼儿园</t>
    </r>
    <phoneticPr fontId="2" type="noConversion"/>
  </si>
  <si>
    <r>
      <rPr>
        <sz val="10"/>
        <rFont val="宋体"/>
        <family val="3"/>
        <charset val="134"/>
      </rPr>
      <t>春欣幼儿园</t>
    </r>
    <phoneticPr fontId="2" type="noConversion"/>
  </si>
  <si>
    <t>春欣幼儿园分园（城花新苑）</t>
    <phoneticPr fontId="2" type="noConversion"/>
  </si>
  <si>
    <r>
      <t>2021</t>
    </r>
    <r>
      <rPr>
        <sz val="10"/>
        <color indexed="8"/>
        <rFont val="宋体"/>
        <family val="3"/>
        <charset val="134"/>
      </rPr>
      <t>年新开办</t>
    </r>
    <r>
      <rPr>
        <sz val="10"/>
        <color indexed="8"/>
        <rFont val="Arial"/>
        <family val="2"/>
      </rPr>
      <t>,5+2</t>
    </r>
    <r>
      <rPr>
        <sz val="10"/>
        <color indexed="8"/>
        <rFont val="宋体"/>
        <family val="3"/>
        <charset val="134"/>
      </rPr>
      <t>，人车分离</t>
    </r>
    <phoneticPr fontId="2" type="noConversion"/>
  </si>
  <si>
    <r>
      <rPr>
        <sz val="10"/>
        <rFont val="宋体"/>
        <family val="3"/>
        <charset val="134"/>
      </rPr>
      <t>航华二幼</t>
    </r>
    <phoneticPr fontId="2" type="noConversion"/>
  </si>
  <si>
    <t>航华二幼（分园）</t>
    <phoneticPr fontId="2" type="noConversion"/>
  </si>
  <si>
    <r>
      <rPr>
        <sz val="10"/>
        <rFont val="宋体"/>
        <family val="3"/>
        <charset val="134"/>
      </rPr>
      <t>七宝实验幼儿园</t>
    </r>
    <phoneticPr fontId="2" type="noConversion"/>
  </si>
  <si>
    <t>上海市闵行区七宝皇都幼儿园</t>
    <phoneticPr fontId="2" type="noConversion"/>
  </si>
  <si>
    <t>2020年7月新增5人</t>
    <phoneticPr fontId="2" type="noConversion"/>
  </si>
  <si>
    <t>上海市闵行区七宝明强幼儿园</t>
    <phoneticPr fontId="2" type="noConversion"/>
  </si>
  <si>
    <t>2021年9月新开办</t>
    <phoneticPr fontId="2" type="noConversion"/>
  </si>
  <si>
    <t>上海市闵行区启英宝盛幼儿园</t>
    <phoneticPr fontId="2" type="noConversion"/>
  </si>
  <si>
    <t>2022年9月新开办</t>
    <phoneticPr fontId="2" type="noConversion"/>
  </si>
  <si>
    <t>华漕镇</t>
    <phoneticPr fontId="2" type="noConversion"/>
  </si>
  <si>
    <t>一</t>
    <phoneticPr fontId="2" type="noConversion"/>
  </si>
  <si>
    <t>一</t>
  </si>
  <si>
    <r>
      <t>2024</t>
    </r>
    <r>
      <rPr>
        <sz val="10"/>
        <color indexed="8"/>
        <rFont val="宋体"/>
        <family val="3"/>
        <charset val="134"/>
      </rPr>
      <t>年</t>
    </r>
    <r>
      <rPr>
        <sz val="10"/>
        <color indexed="8"/>
        <rFont val="Arial"/>
        <family val="2"/>
      </rPr>
      <t>9</t>
    </r>
    <r>
      <rPr>
        <sz val="10"/>
        <color indexed="8"/>
        <rFont val="宋体"/>
        <family val="3"/>
        <charset val="134"/>
      </rPr>
      <t>月新开办</t>
    </r>
  </si>
  <si>
    <t>颛桥一幼</t>
    <phoneticPr fontId="2" type="noConversion"/>
  </si>
  <si>
    <t>颛桥镇</t>
    <phoneticPr fontId="2" type="noConversion"/>
  </si>
  <si>
    <t>颛桥镇幼儿园（紫薇）</t>
    <phoneticPr fontId="2" type="noConversion"/>
  </si>
  <si>
    <t>六</t>
    <phoneticPr fontId="2" type="noConversion"/>
  </si>
  <si>
    <r>
      <t>2021</t>
    </r>
    <r>
      <rPr>
        <sz val="10"/>
        <color indexed="8"/>
        <rFont val="宋体"/>
        <family val="3"/>
        <charset val="134"/>
      </rPr>
      <t>年</t>
    </r>
    <r>
      <rPr>
        <sz val="10"/>
        <color indexed="8"/>
        <rFont val="Arial"/>
        <family val="2"/>
      </rPr>
      <t>9</t>
    </r>
    <r>
      <rPr>
        <sz val="10"/>
        <color indexed="8"/>
        <rFont val="宋体"/>
        <family val="3"/>
        <charset val="134"/>
      </rPr>
      <t>月新开办</t>
    </r>
    <phoneticPr fontId="2" type="noConversion"/>
  </si>
  <si>
    <t>梅陇镇中心幼儿园</t>
    <phoneticPr fontId="2" type="noConversion"/>
  </si>
  <si>
    <t>梅陇镇</t>
    <phoneticPr fontId="2" type="noConversion"/>
  </si>
  <si>
    <t>六</t>
  </si>
  <si>
    <r>
      <rPr>
        <sz val="10"/>
        <rFont val="宋体"/>
        <family val="3"/>
        <charset val="134"/>
      </rPr>
      <t>晶华坊幼儿园</t>
    </r>
  </si>
  <si>
    <t>闵行区梅陇永联幼儿园</t>
  </si>
  <si>
    <r>
      <rPr>
        <sz val="10"/>
        <rFont val="宋体"/>
        <family val="3"/>
        <charset val="134"/>
      </rPr>
      <t>浦江二幼</t>
    </r>
  </si>
  <si>
    <r>
      <rPr>
        <sz val="10"/>
        <rFont val="宋体"/>
        <family val="3"/>
        <charset val="134"/>
      </rPr>
      <t>浦江镇</t>
    </r>
    <phoneticPr fontId="2" type="noConversion"/>
  </si>
  <si>
    <t>十</t>
    <phoneticPr fontId="2" type="noConversion"/>
  </si>
  <si>
    <t>浦江二幼（金硕）</t>
    <phoneticPr fontId="2" type="noConversion"/>
  </si>
  <si>
    <r>
      <rPr>
        <sz val="10"/>
        <rFont val="宋体"/>
        <family val="3"/>
        <charset val="134"/>
      </rPr>
      <t>浦江三幼</t>
    </r>
  </si>
  <si>
    <t>浦江三幼（浦润）</t>
    <phoneticPr fontId="2" type="noConversion"/>
  </si>
  <si>
    <t>上海市闵行区浦瑞幼儿园</t>
    <phoneticPr fontId="2" type="noConversion"/>
  </si>
  <si>
    <t>上海市闵行区浦瑞幼儿园（万芳）</t>
    <phoneticPr fontId="2" type="noConversion"/>
  </si>
  <si>
    <t>上海市闵行区浦江宝邸幼儿园</t>
    <phoneticPr fontId="2" type="noConversion"/>
  </si>
  <si>
    <t>上海市闵行区浦江宝邸幼儿园（水语）</t>
    <phoneticPr fontId="2" type="noConversion"/>
  </si>
  <si>
    <r>
      <rPr>
        <sz val="10"/>
        <rFont val="宋体"/>
        <family val="3"/>
        <charset val="134"/>
      </rPr>
      <t>浦莲幼儿园</t>
    </r>
  </si>
  <si>
    <t>浦莲幼儿园（佳兴）</t>
    <phoneticPr fontId="2" type="noConversion"/>
  </si>
  <si>
    <r>
      <t>2018</t>
    </r>
    <r>
      <rPr>
        <sz val="10"/>
        <rFont val="宋体"/>
        <family val="3"/>
        <charset val="134"/>
      </rPr>
      <t>年</t>
    </r>
    <r>
      <rPr>
        <sz val="10"/>
        <rFont val="Arial"/>
        <family val="2"/>
      </rPr>
      <t>8</t>
    </r>
    <r>
      <rPr>
        <sz val="10"/>
        <rFont val="宋体"/>
        <family val="3"/>
        <charset val="134"/>
      </rPr>
      <t>月</t>
    </r>
    <r>
      <rPr>
        <sz val="10"/>
        <rFont val="Arial"/>
        <family val="2"/>
      </rPr>
      <t>1</t>
    </r>
    <r>
      <rPr>
        <sz val="10"/>
        <rFont val="宋体"/>
        <family val="3"/>
        <charset val="134"/>
      </rPr>
      <t>日派驻</t>
    </r>
    <phoneticPr fontId="2" type="noConversion"/>
  </si>
  <si>
    <t>上海市闵行区浦江瑞和城幼儿园</t>
  </si>
  <si>
    <t>上海市闵行区浦江瑞和城幼儿园鲁康分园</t>
    <phoneticPr fontId="2" type="noConversion"/>
  </si>
  <si>
    <t>浦江镇</t>
    <phoneticPr fontId="2" type="noConversion"/>
  </si>
  <si>
    <r>
      <rPr>
        <sz val="10"/>
        <rFont val="宋体"/>
        <family val="3"/>
        <charset val="134"/>
      </rPr>
      <t>浦航幼儿园</t>
    </r>
  </si>
  <si>
    <t>浦航幼儿园（中城）</t>
    <phoneticPr fontId="2" type="noConversion"/>
  </si>
  <si>
    <t>上海市闵行浦江闸航路幼儿园</t>
    <phoneticPr fontId="2" type="noConversion"/>
  </si>
  <si>
    <t>浦江社校</t>
    <phoneticPr fontId="45" type="noConversion"/>
  </si>
  <si>
    <t>其他</t>
    <phoneticPr fontId="2" type="noConversion"/>
  </si>
  <si>
    <t>不叠加护校</t>
    <phoneticPr fontId="2" type="noConversion"/>
  </si>
  <si>
    <t>塘湾中心幼儿园</t>
    <phoneticPr fontId="2" type="noConversion"/>
  </si>
  <si>
    <r>
      <rPr>
        <sz val="10"/>
        <rFont val="宋体"/>
        <family val="3"/>
        <charset val="134"/>
      </rPr>
      <t>吴泾镇</t>
    </r>
    <phoneticPr fontId="2" type="noConversion"/>
  </si>
  <si>
    <t>九</t>
    <phoneticPr fontId="2" type="noConversion"/>
  </si>
  <si>
    <r>
      <rPr>
        <sz val="10"/>
        <rFont val="宋体"/>
        <family val="3"/>
        <charset val="134"/>
      </rPr>
      <t>吴泾三幼</t>
    </r>
  </si>
  <si>
    <t>华东师范大学闵行永德实验幼儿园</t>
    <phoneticPr fontId="2" type="noConversion"/>
  </si>
  <si>
    <r>
      <t>2018</t>
    </r>
    <r>
      <rPr>
        <sz val="10"/>
        <rFont val="宋体"/>
        <family val="3"/>
        <charset val="134"/>
      </rPr>
      <t>年</t>
    </r>
    <r>
      <rPr>
        <sz val="10"/>
        <rFont val="Arial"/>
        <family val="2"/>
      </rPr>
      <t>7</t>
    </r>
    <r>
      <rPr>
        <sz val="10"/>
        <rFont val="宋体"/>
        <family val="3"/>
        <charset val="134"/>
      </rPr>
      <t>月</t>
    </r>
    <r>
      <rPr>
        <sz val="10"/>
        <rFont val="Arial"/>
        <family val="2"/>
      </rPr>
      <t>1</t>
    </r>
    <r>
      <rPr>
        <sz val="10"/>
        <rFont val="宋体"/>
        <family val="3"/>
        <charset val="134"/>
      </rPr>
      <t>日派驻</t>
    </r>
    <phoneticPr fontId="2" type="noConversion"/>
  </si>
  <si>
    <t>华东师范大学闵行永德实验幼儿园（尚德）</t>
    <phoneticPr fontId="2" type="noConversion"/>
  </si>
  <si>
    <r>
      <rPr>
        <sz val="10"/>
        <rFont val="宋体"/>
        <family val="3"/>
        <charset val="134"/>
      </rPr>
      <t>吴泾社区学校</t>
    </r>
  </si>
  <si>
    <r>
      <rPr>
        <sz val="10"/>
        <rFont val="宋体"/>
        <family val="3"/>
        <charset val="134"/>
      </rPr>
      <t>上海马桥强恕学校</t>
    </r>
  </si>
  <si>
    <t>九年一贯制</t>
    <phoneticPr fontId="2" type="noConversion"/>
  </si>
  <si>
    <r>
      <t>2022</t>
    </r>
    <r>
      <rPr>
        <sz val="10"/>
        <color indexed="8"/>
        <rFont val="宋体"/>
        <family val="3"/>
        <charset val="134"/>
      </rPr>
      <t>年</t>
    </r>
    <r>
      <rPr>
        <sz val="10"/>
        <color indexed="8"/>
        <rFont val="Arial"/>
        <family val="2"/>
      </rPr>
      <t>9</t>
    </r>
    <r>
      <rPr>
        <sz val="10"/>
        <color indexed="8"/>
        <rFont val="宋体"/>
        <family val="3"/>
        <charset val="134"/>
      </rPr>
      <t>月新增人车分离</t>
    </r>
    <r>
      <rPr>
        <sz val="10"/>
        <color indexed="8"/>
        <rFont val="Arial"/>
        <family val="2"/>
      </rPr>
      <t>2</t>
    </r>
    <r>
      <rPr>
        <sz val="10"/>
        <color indexed="8"/>
        <rFont val="宋体"/>
        <family val="3"/>
        <charset val="134"/>
      </rPr>
      <t>人</t>
    </r>
    <phoneticPr fontId="2" type="noConversion"/>
  </si>
  <si>
    <t>上海交通大学附属闵行马桥实验学校</t>
    <phoneticPr fontId="2" type="noConversion"/>
  </si>
  <si>
    <r>
      <t>2021</t>
    </r>
    <r>
      <rPr>
        <sz val="10"/>
        <color indexed="8"/>
        <rFont val="宋体"/>
        <family val="3"/>
        <charset val="134"/>
      </rPr>
      <t>年新增人车分离</t>
    </r>
    <r>
      <rPr>
        <sz val="10"/>
        <color indexed="8"/>
        <rFont val="Arial"/>
        <family val="2"/>
      </rPr>
      <t>2</t>
    </r>
    <r>
      <rPr>
        <sz val="10"/>
        <color indexed="8"/>
        <rFont val="宋体"/>
        <family val="3"/>
        <charset val="134"/>
      </rPr>
      <t>人</t>
    </r>
    <phoneticPr fontId="2" type="noConversion"/>
  </si>
  <si>
    <r>
      <rPr>
        <sz val="10"/>
        <rFont val="宋体"/>
        <family val="3"/>
        <charset val="134"/>
      </rPr>
      <t>闵行区马桥文来外国语小学</t>
    </r>
  </si>
  <si>
    <t>小学</t>
    <phoneticPr fontId="2" type="noConversion"/>
  </si>
  <si>
    <t>闵行区马桥文来外国语小学（西校）</t>
    <phoneticPr fontId="2" type="noConversion"/>
  </si>
  <si>
    <r>
      <rPr>
        <sz val="10"/>
        <rFont val="宋体"/>
        <family val="3"/>
        <charset val="134"/>
      </rPr>
      <t>马桥复旦实验中学</t>
    </r>
  </si>
  <si>
    <t>初中</t>
    <phoneticPr fontId="2" type="noConversion"/>
  </si>
  <si>
    <r>
      <rPr>
        <sz val="10"/>
        <rFont val="宋体"/>
        <family val="3"/>
        <charset val="134"/>
      </rPr>
      <t>上虹中学</t>
    </r>
    <phoneticPr fontId="2" type="noConversion"/>
  </si>
  <si>
    <r>
      <rPr>
        <sz val="10"/>
        <rFont val="宋体"/>
        <family val="3"/>
        <charset val="134"/>
      </rPr>
      <t>虹桥中心小学</t>
    </r>
    <phoneticPr fontId="2" type="noConversion"/>
  </si>
  <si>
    <t>华东师范大学附属闵行虹桥学校（原金汇实验学校）</t>
    <phoneticPr fontId="2" type="noConversion"/>
  </si>
  <si>
    <t>2020年6月新增1人，人车分离</t>
    <phoneticPr fontId="2" type="noConversion"/>
  </si>
  <si>
    <r>
      <rPr>
        <sz val="10"/>
        <rFont val="宋体"/>
        <family val="3"/>
        <charset val="134"/>
      </rPr>
      <t>龙柏中学</t>
    </r>
    <phoneticPr fontId="2" type="noConversion"/>
  </si>
  <si>
    <r>
      <rPr>
        <sz val="10"/>
        <rFont val="宋体"/>
        <family val="3"/>
        <charset val="134"/>
      </rPr>
      <t>龙柏小学</t>
    </r>
    <phoneticPr fontId="2" type="noConversion"/>
  </si>
  <si>
    <r>
      <rPr>
        <sz val="10"/>
        <rFont val="宋体"/>
        <family val="3"/>
        <charset val="134"/>
      </rPr>
      <t>七宝二中</t>
    </r>
    <phoneticPr fontId="2" type="noConversion"/>
  </si>
  <si>
    <r>
      <rPr>
        <sz val="10"/>
        <color indexed="8"/>
        <rFont val="宋体"/>
        <family val="3"/>
        <charset val="134"/>
      </rPr>
      <t>正门</t>
    </r>
    <r>
      <rPr>
        <sz val="10"/>
        <color indexed="8"/>
        <rFont val="Arial"/>
        <family val="2"/>
      </rPr>
      <t>5</t>
    </r>
    <r>
      <rPr>
        <sz val="10"/>
        <color indexed="8"/>
        <rFont val="宋体"/>
        <family val="3"/>
        <charset val="134"/>
      </rPr>
      <t>人、后门</t>
    </r>
    <r>
      <rPr>
        <sz val="10"/>
        <color indexed="8"/>
        <rFont val="Arial"/>
        <family val="2"/>
      </rPr>
      <t>5</t>
    </r>
    <r>
      <rPr>
        <sz val="10"/>
        <color indexed="8"/>
        <rFont val="宋体"/>
        <family val="3"/>
        <charset val="134"/>
      </rPr>
      <t>人</t>
    </r>
    <phoneticPr fontId="2" type="noConversion"/>
  </si>
  <si>
    <r>
      <rPr>
        <sz val="10"/>
        <rFont val="宋体"/>
        <family val="3"/>
        <charset val="134"/>
      </rPr>
      <t>七宝实验中学</t>
    </r>
    <phoneticPr fontId="2" type="noConversion"/>
  </si>
  <si>
    <r>
      <rPr>
        <sz val="10"/>
        <rFont val="宋体"/>
        <family val="3"/>
        <charset val="134"/>
      </rPr>
      <t>明强小学</t>
    </r>
    <phoneticPr fontId="2" type="noConversion"/>
  </si>
  <si>
    <r>
      <rPr>
        <sz val="10"/>
        <color indexed="8"/>
        <rFont val="宋体"/>
        <family val="3"/>
        <charset val="134"/>
      </rPr>
      <t>正门</t>
    </r>
    <r>
      <rPr>
        <sz val="10"/>
        <color indexed="8"/>
        <rFont val="Arial"/>
        <family val="2"/>
      </rPr>
      <t>6</t>
    </r>
    <r>
      <rPr>
        <sz val="10"/>
        <color indexed="8"/>
        <rFont val="宋体"/>
        <family val="3"/>
        <charset val="134"/>
      </rPr>
      <t>人、后门</t>
    </r>
    <r>
      <rPr>
        <sz val="10"/>
        <color indexed="8"/>
        <rFont val="Arial"/>
        <family val="2"/>
      </rPr>
      <t>5</t>
    </r>
    <r>
      <rPr>
        <sz val="10"/>
        <color indexed="8"/>
        <rFont val="宋体"/>
        <family val="3"/>
        <charset val="134"/>
      </rPr>
      <t>人</t>
    </r>
    <phoneticPr fontId="2" type="noConversion"/>
  </si>
  <si>
    <r>
      <rPr>
        <sz val="10"/>
        <rFont val="宋体"/>
        <family val="3"/>
        <charset val="134"/>
      </rPr>
      <t>明强小学（西校）</t>
    </r>
    <phoneticPr fontId="2" type="noConversion"/>
  </si>
  <si>
    <r>
      <rPr>
        <sz val="10"/>
        <color indexed="8"/>
        <rFont val="宋体"/>
        <family val="3"/>
        <charset val="134"/>
      </rPr>
      <t>正门</t>
    </r>
    <r>
      <rPr>
        <sz val="10"/>
        <color indexed="8"/>
        <rFont val="Arial"/>
        <family val="2"/>
      </rPr>
      <t>5</t>
    </r>
    <r>
      <rPr>
        <sz val="10"/>
        <color indexed="8"/>
        <rFont val="宋体"/>
        <family val="3"/>
        <charset val="134"/>
      </rPr>
      <t>人、边门</t>
    </r>
    <r>
      <rPr>
        <sz val="10"/>
        <color indexed="8"/>
        <rFont val="Arial"/>
        <family val="2"/>
      </rPr>
      <t>2</t>
    </r>
    <r>
      <rPr>
        <sz val="10"/>
        <color indexed="8"/>
        <rFont val="宋体"/>
        <family val="3"/>
        <charset val="134"/>
      </rPr>
      <t>人</t>
    </r>
    <phoneticPr fontId="2" type="noConversion"/>
  </si>
  <si>
    <t>明强小学（宝南路教学点）</t>
    <phoneticPr fontId="2" type="noConversion"/>
  </si>
  <si>
    <r>
      <t>2021</t>
    </r>
    <r>
      <rPr>
        <sz val="10"/>
        <color indexed="8"/>
        <rFont val="宋体"/>
        <family val="3"/>
        <charset val="134"/>
      </rPr>
      <t>年</t>
    </r>
    <r>
      <rPr>
        <sz val="10"/>
        <color indexed="8"/>
        <rFont val="Arial"/>
        <family val="2"/>
      </rPr>
      <t>9</t>
    </r>
    <r>
      <rPr>
        <sz val="10"/>
        <color indexed="8"/>
        <rFont val="宋体"/>
        <family val="3"/>
        <charset val="134"/>
      </rPr>
      <t>月起借用交大农学院作为临时教学点</t>
    </r>
    <phoneticPr fontId="2" type="noConversion"/>
  </si>
  <si>
    <r>
      <rPr>
        <sz val="10"/>
        <rFont val="宋体"/>
        <family val="3"/>
        <charset val="134"/>
      </rPr>
      <t>黎明小学</t>
    </r>
    <phoneticPr fontId="2" type="noConversion"/>
  </si>
  <si>
    <r>
      <rPr>
        <sz val="10"/>
        <rFont val="宋体"/>
        <family val="3"/>
        <charset val="134"/>
      </rPr>
      <t>七宝实验小学</t>
    </r>
    <phoneticPr fontId="2" type="noConversion"/>
  </si>
  <si>
    <r>
      <rPr>
        <sz val="10"/>
        <rFont val="宋体"/>
        <family val="3"/>
        <charset val="134"/>
      </rPr>
      <t>航华中学</t>
    </r>
    <phoneticPr fontId="2" type="noConversion"/>
  </si>
  <si>
    <r>
      <rPr>
        <sz val="10"/>
        <rFont val="宋体"/>
        <family val="3"/>
        <charset val="134"/>
      </rPr>
      <t>航华二中</t>
    </r>
    <phoneticPr fontId="2" type="noConversion"/>
  </si>
  <si>
    <r>
      <rPr>
        <sz val="10"/>
        <rFont val="宋体"/>
        <family val="3"/>
        <charset val="134"/>
      </rPr>
      <t>航华二小</t>
    </r>
    <phoneticPr fontId="2" type="noConversion"/>
  </si>
  <si>
    <r>
      <rPr>
        <sz val="10"/>
        <rFont val="宋体"/>
        <family val="3"/>
        <charset val="134"/>
      </rPr>
      <t>明强第二小学</t>
    </r>
    <phoneticPr fontId="2" type="noConversion"/>
  </si>
  <si>
    <r>
      <t>2021</t>
    </r>
    <r>
      <rPr>
        <sz val="10"/>
        <color indexed="8"/>
        <rFont val="宋体"/>
        <family val="3"/>
        <charset val="134"/>
      </rPr>
      <t>年</t>
    </r>
    <r>
      <rPr>
        <sz val="10"/>
        <color indexed="8"/>
        <rFont val="Arial"/>
        <family val="2"/>
      </rPr>
      <t>9</t>
    </r>
    <r>
      <rPr>
        <sz val="10"/>
        <color indexed="8"/>
        <rFont val="宋体"/>
        <family val="3"/>
        <charset val="134"/>
      </rPr>
      <t>月新增人车分离</t>
    </r>
    <r>
      <rPr>
        <sz val="10"/>
        <color indexed="8"/>
        <rFont val="Arial"/>
        <family val="2"/>
      </rPr>
      <t>2</t>
    </r>
    <r>
      <rPr>
        <sz val="10"/>
        <color indexed="8"/>
        <rFont val="宋体"/>
        <family val="3"/>
        <charset val="134"/>
      </rPr>
      <t>人</t>
    </r>
    <r>
      <rPr>
        <sz val="10"/>
        <color indexed="8"/>
        <rFont val="Arial"/>
        <family val="2"/>
      </rPr>
      <t>,2023</t>
    </r>
    <r>
      <rPr>
        <sz val="10"/>
        <color indexed="8"/>
        <rFont val="宋体"/>
        <family val="3"/>
        <charset val="134"/>
      </rPr>
      <t>年</t>
    </r>
    <r>
      <rPr>
        <sz val="10"/>
        <color indexed="8"/>
        <rFont val="Arial"/>
        <family val="2"/>
      </rPr>
      <t>9</t>
    </r>
    <r>
      <rPr>
        <sz val="10"/>
        <color indexed="8"/>
        <rFont val="宋体"/>
        <family val="3"/>
        <charset val="134"/>
      </rPr>
      <t>月起新增人行门出口</t>
    </r>
    <r>
      <rPr>
        <sz val="10"/>
        <color indexed="8"/>
        <rFont val="Arial"/>
        <family val="2"/>
      </rPr>
      <t>5</t>
    </r>
    <r>
      <rPr>
        <sz val="10"/>
        <color indexed="8"/>
        <rFont val="宋体"/>
        <family val="3"/>
        <charset val="134"/>
      </rPr>
      <t>人</t>
    </r>
    <phoneticPr fontId="2" type="noConversion"/>
  </si>
  <si>
    <t>七宝三中（农学院教学点）</t>
    <phoneticPr fontId="2" type="noConversion"/>
  </si>
  <si>
    <t>2023年7月起借用交大农学院校区新开教学点</t>
    <phoneticPr fontId="2" type="noConversion"/>
  </si>
  <si>
    <t>上海市七宝实验小学（大上海校区）</t>
    <phoneticPr fontId="2" type="noConversion"/>
  </si>
  <si>
    <t>人车分离增派一名保安</t>
    <phoneticPr fontId="2" type="noConversion"/>
  </si>
  <si>
    <r>
      <rPr>
        <sz val="10"/>
        <rFont val="宋体"/>
        <family val="3"/>
        <charset val="134"/>
      </rPr>
      <t>纪王学校</t>
    </r>
    <phoneticPr fontId="2" type="noConversion"/>
  </si>
  <si>
    <r>
      <rPr>
        <sz val="10"/>
        <color indexed="8"/>
        <rFont val="宋体"/>
        <family val="3"/>
        <charset val="134"/>
      </rPr>
      <t>初中部</t>
    </r>
    <r>
      <rPr>
        <sz val="10"/>
        <color indexed="8"/>
        <rFont val="Arial"/>
        <family val="2"/>
      </rPr>
      <t>5</t>
    </r>
    <r>
      <rPr>
        <sz val="10"/>
        <color indexed="8"/>
        <rFont val="宋体"/>
        <family val="3"/>
        <charset val="134"/>
      </rPr>
      <t>人、小学部</t>
    </r>
    <r>
      <rPr>
        <sz val="10"/>
        <color indexed="8"/>
        <rFont val="Arial"/>
        <family val="2"/>
      </rPr>
      <t>5</t>
    </r>
    <r>
      <rPr>
        <sz val="10"/>
        <color indexed="8"/>
        <rFont val="宋体"/>
        <family val="3"/>
        <charset val="134"/>
      </rPr>
      <t>人</t>
    </r>
    <phoneticPr fontId="2" type="noConversion"/>
  </si>
  <si>
    <r>
      <rPr>
        <sz val="10"/>
        <rFont val="宋体"/>
        <family val="3"/>
        <charset val="134"/>
      </rPr>
      <t>诸翟学校</t>
    </r>
    <phoneticPr fontId="2" type="noConversion"/>
  </si>
  <si>
    <r>
      <rPr>
        <sz val="10"/>
        <rFont val="宋体"/>
        <family val="3"/>
        <charset val="134"/>
      </rPr>
      <t>华漕学校</t>
    </r>
    <phoneticPr fontId="2" type="noConversion"/>
  </si>
  <si>
    <r>
      <rPr>
        <sz val="10"/>
        <rFont val="宋体"/>
        <family val="3"/>
        <charset val="134"/>
      </rPr>
      <t>北桥中学</t>
    </r>
    <phoneticPr fontId="2" type="noConversion"/>
  </si>
  <si>
    <r>
      <rPr>
        <sz val="10"/>
        <rFont val="宋体"/>
        <family val="3"/>
        <charset val="134"/>
      </rPr>
      <t>颛桥小学</t>
    </r>
    <phoneticPr fontId="2" type="noConversion"/>
  </si>
  <si>
    <t>田园外小金都校区</t>
    <phoneticPr fontId="2" type="noConversion"/>
  </si>
  <si>
    <t>上海市闵行区田园第二外语实验小学</t>
    <phoneticPr fontId="2" type="noConversion"/>
  </si>
  <si>
    <t>上海市闵行区田园外国语中学</t>
    <phoneticPr fontId="2" type="noConversion"/>
  </si>
  <si>
    <r>
      <rPr>
        <sz val="10"/>
        <rFont val="宋体"/>
        <family val="3"/>
        <charset val="134"/>
      </rPr>
      <t>罗阳中学</t>
    </r>
    <phoneticPr fontId="2" type="noConversion"/>
  </si>
  <si>
    <r>
      <rPr>
        <sz val="10"/>
        <rFont val="宋体"/>
        <family val="3"/>
        <charset val="134"/>
      </rPr>
      <t>罗阳小学</t>
    </r>
    <phoneticPr fontId="2" type="noConversion"/>
  </si>
  <si>
    <t>闵行区第三实验小学（原曹行小学）</t>
    <phoneticPr fontId="2" type="noConversion"/>
  </si>
  <si>
    <r>
      <t>2021</t>
    </r>
    <r>
      <rPr>
        <sz val="10"/>
        <color indexed="8"/>
        <rFont val="宋体"/>
        <family val="3"/>
        <charset val="134"/>
      </rPr>
      <t>年</t>
    </r>
    <r>
      <rPr>
        <sz val="10"/>
        <color indexed="8"/>
        <rFont val="Arial"/>
        <family val="2"/>
      </rPr>
      <t>9</t>
    </r>
    <r>
      <rPr>
        <sz val="10"/>
        <color indexed="8"/>
        <rFont val="宋体"/>
        <family val="3"/>
        <charset val="134"/>
      </rPr>
      <t>月新增人车分离</t>
    </r>
    <r>
      <rPr>
        <sz val="10"/>
        <color indexed="8"/>
        <rFont val="Arial"/>
        <family val="2"/>
      </rPr>
      <t>1</t>
    </r>
    <r>
      <rPr>
        <sz val="10"/>
        <color indexed="8"/>
        <rFont val="宋体"/>
        <family val="3"/>
        <charset val="134"/>
      </rPr>
      <t>人</t>
    </r>
    <phoneticPr fontId="2" type="noConversion"/>
  </si>
  <si>
    <t>上海中医药大学附属闵行蔷薇小学（晶城）</t>
    <phoneticPr fontId="2" type="noConversion"/>
  </si>
  <si>
    <r>
      <rPr>
        <sz val="10"/>
        <rFont val="宋体"/>
        <family val="3"/>
        <charset val="134"/>
      </rPr>
      <t>晶城中学</t>
    </r>
  </si>
  <si>
    <r>
      <t>2023</t>
    </r>
    <r>
      <rPr>
        <sz val="10"/>
        <color indexed="8"/>
        <rFont val="宋体"/>
        <family val="3"/>
        <charset val="134"/>
      </rPr>
      <t>年</t>
    </r>
    <r>
      <rPr>
        <sz val="10"/>
        <color indexed="8"/>
        <rFont val="Arial"/>
        <family val="2"/>
      </rPr>
      <t>9</t>
    </r>
    <r>
      <rPr>
        <sz val="10"/>
        <color indexed="8"/>
        <rFont val="宋体"/>
        <family val="3"/>
        <charset val="134"/>
      </rPr>
      <t>月新增人车分离</t>
    </r>
    <r>
      <rPr>
        <sz val="10"/>
        <color indexed="8"/>
        <rFont val="Arial"/>
        <family val="2"/>
      </rPr>
      <t>2</t>
    </r>
    <r>
      <rPr>
        <sz val="10"/>
        <color indexed="8"/>
        <rFont val="宋体"/>
        <family val="3"/>
        <charset val="134"/>
      </rPr>
      <t>人</t>
    </r>
    <phoneticPr fontId="2" type="noConversion"/>
  </si>
  <si>
    <r>
      <rPr>
        <sz val="10"/>
        <rFont val="宋体"/>
        <family val="3"/>
        <charset val="134"/>
      </rPr>
      <t>浦江二中</t>
    </r>
  </si>
  <si>
    <r>
      <rPr>
        <sz val="10"/>
        <rFont val="宋体"/>
        <family val="3"/>
        <charset val="134"/>
      </rPr>
      <t>浦江三中</t>
    </r>
  </si>
  <si>
    <r>
      <rPr>
        <sz val="10"/>
        <rFont val="宋体"/>
        <family val="3"/>
        <charset val="134"/>
      </rPr>
      <t>浦江二小</t>
    </r>
  </si>
  <si>
    <r>
      <t>2020</t>
    </r>
    <r>
      <rPr>
        <sz val="10"/>
        <color indexed="8"/>
        <rFont val="宋体"/>
        <family val="3"/>
        <charset val="134"/>
      </rPr>
      <t>年</t>
    </r>
    <r>
      <rPr>
        <sz val="10"/>
        <color indexed="8"/>
        <rFont val="Arial"/>
        <family val="2"/>
      </rPr>
      <t>9</t>
    </r>
    <r>
      <rPr>
        <sz val="10"/>
        <color indexed="8"/>
        <rFont val="宋体"/>
        <family val="3"/>
        <charset val="134"/>
      </rPr>
      <t>月</t>
    </r>
    <r>
      <rPr>
        <sz val="10"/>
        <color indexed="8"/>
        <rFont val="Arial"/>
        <family val="2"/>
      </rPr>
      <t>1</t>
    </r>
    <r>
      <rPr>
        <sz val="10"/>
        <color indexed="8"/>
        <rFont val="宋体"/>
        <family val="3"/>
        <charset val="134"/>
      </rPr>
      <t>日起新增</t>
    </r>
    <r>
      <rPr>
        <sz val="10"/>
        <color indexed="8"/>
        <rFont val="Arial"/>
        <family val="2"/>
      </rPr>
      <t>1</t>
    </r>
    <r>
      <rPr>
        <sz val="10"/>
        <color indexed="8"/>
        <rFont val="宋体"/>
        <family val="3"/>
        <charset val="134"/>
      </rPr>
      <t>人人车分离</t>
    </r>
    <phoneticPr fontId="2" type="noConversion"/>
  </si>
  <si>
    <r>
      <rPr>
        <sz val="10"/>
        <rFont val="宋体"/>
        <family val="3"/>
        <charset val="134"/>
      </rPr>
      <t>浦江三小</t>
    </r>
  </si>
  <si>
    <t>上海市闵行区浦航实验中学</t>
    <phoneticPr fontId="2" type="noConversion"/>
  </si>
  <si>
    <t>上海市闵行区浦航实验中学新增校区</t>
    <phoneticPr fontId="2" type="noConversion"/>
  </si>
  <si>
    <r>
      <rPr>
        <sz val="10"/>
        <rFont val="宋体"/>
        <family val="3"/>
        <charset val="134"/>
      </rPr>
      <t>浦汇小学</t>
    </r>
  </si>
  <si>
    <t>上海市闵行区福山实验学校</t>
    <phoneticPr fontId="2" type="noConversion"/>
  </si>
  <si>
    <t>上海世外教育附属浦江外国语学校</t>
    <phoneticPr fontId="2" type="noConversion"/>
  </si>
  <si>
    <r>
      <rPr>
        <sz val="10"/>
        <rFont val="宋体"/>
        <family val="3"/>
        <charset val="134"/>
      </rPr>
      <t>景东小学</t>
    </r>
  </si>
  <si>
    <t>马桥小学</t>
    <phoneticPr fontId="2" type="noConversion"/>
  </si>
  <si>
    <r>
      <rPr>
        <sz val="10"/>
        <color indexed="8"/>
        <rFont val="宋体"/>
        <family val="3"/>
        <charset val="134"/>
      </rPr>
      <t>华星小学</t>
    </r>
  </si>
  <si>
    <r>
      <rPr>
        <sz val="10"/>
        <color indexed="8"/>
        <rFont val="宋体"/>
        <family val="3"/>
        <charset val="134"/>
      </rPr>
      <t>银星小学</t>
    </r>
  </si>
  <si>
    <r>
      <rPr>
        <sz val="10"/>
        <rFont val="宋体"/>
        <family val="3"/>
        <charset val="134"/>
      </rPr>
      <t>文馨小学</t>
    </r>
  </si>
  <si>
    <r>
      <rPr>
        <sz val="10"/>
        <rFont val="宋体"/>
        <family val="3"/>
        <charset val="134"/>
      </rPr>
      <t>文汇小学</t>
    </r>
  </si>
  <si>
    <t>塘湾小学</t>
    <phoneticPr fontId="2" type="noConversion"/>
  </si>
  <si>
    <r>
      <rPr>
        <sz val="10"/>
        <rFont val="宋体"/>
        <family val="3"/>
        <charset val="134"/>
      </rPr>
      <t>华虹小学</t>
    </r>
  </si>
  <si>
    <r>
      <rPr>
        <sz val="10"/>
        <rFont val="宋体"/>
        <family val="3"/>
        <charset val="134"/>
      </rPr>
      <t>华博利星行（华漕）</t>
    </r>
  </si>
  <si>
    <r>
      <rPr>
        <sz val="10"/>
        <rFont val="宋体"/>
        <family val="3"/>
        <charset val="134"/>
      </rPr>
      <t>华博利星行（纪王）</t>
    </r>
  </si>
  <si>
    <t>镇属</t>
  </si>
  <si>
    <t>学校</t>
  </si>
  <si>
    <t>园部</t>
    <phoneticPr fontId="1" type="noConversion"/>
  </si>
  <si>
    <t>教育教辅后勤应配用工人数(2024人保提供）</t>
    <phoneticPr fontId="1" type="noConversion"/>
  </si>
  <si>
    <t>教育教辅后勤应配用工人数(正常额度+临时额度）</t>
  </si>
  <si>
    <t>现有辅助用工人数（2024年人保科提供）</t>
    <phoneticPr fontId="1" type="noConversion"/>
  </si>
  <si>
    <t>财政资金应配备人数</t>
  </si>
  <si>
    <t>专技岗位
应配人数</t>
  </si>
  <si>
    <t>管理岗位
应配人数</t>
  </si>
  <si>
    <t>技术岗位
应配人数</t>
  </si>
  <si>
    <t>勤杂岗位
应配人数</t>
  </si>
  <si>
    <t>工资
（1-12月）</t>
  </si>
  <si>
    <t>福利费
（1月-12月）</t>
  </si>
  <si>
    <t>伙食费
（1-12月）</t>
  </si>
  <si>
    <t>工会经费
（1-12月）</t>
  </si>
  <si>
    <t>考核
（1-12月）</t>
  </si>
  <si>
    <t>社保公积金</t>
    <phoneticPr fontId="1" type="noConversion"/>
  </si>
  <si>
    <t>闵行区龙柏第二幼儿园</t>
  </si>
  <si>
    <t>学前</t>
    <phoneticPr fontId="1" type="noConversion"/>
  </si>
  <si>
    <t>闵行区龙柏第一幼儿园</t>
  </si>
  <si>
    <t>闵行区虹鹿幼儿园</t>
  </si>
  <si>
    <t>闵行区虹桥中心幼儿园</t>
  </si>
  <si>
    <t>闵行区虹桥小学</t>
  </si>
  <si>
    <t>上海市闵行区上虹中学</t>
  </si>
  <si>
    <t>虹桥合计</t>
  </si>
  <si>
    <t>闵行区华漕镇金色幼儿园</t>
  </si>
  <si>
    <t>闵行区华漕镇中心幼儿园</t>
  </si>
  <si>
    <t>闵行区诸翟中心幼儿园</t>
  </si>
  <si>
    <t>闵行区华漕镇纪王幼儿园</t>
  </si>
  <si>
    <t>闵行区纪王学校</t>
  </si>
  <si>
    <t>季乐路幼儿园</t>
    <phoneticPr fontId="1" type="noConversion"/>
  </si>
  <si>
    <t>华漕合计</t>
  </si>
  <si>
    <t>闵行区马桥实验幼儿园</t>
  </si>
  <si>
    <t>闵行区马桥富杰幼儿园</t>
  </si>
  <si>
    <t>闵行区马桥启英幼儿园</t>
  </si>
  <si>
    <t>闵行区马桥元祥幼儿园</t>
  </si>
  <si>
    <t>闵行区马桥实验学校</t>
    <phoneticPr fontId="1" type="noConversion"/>
  </si>
  <si>
    <t>闵行区马桥文来外国语小学</t>
  </si>
  <si>
    <t>闵行区马桥强恕学校</t>
  </si>
  <si>
    <t>马桥复旦万科实验中学</t>
  </si>
  <si>
    <t>马桥富卓幼儿园</t>
  </si>
  <si>
    <t>马桥富国幼儿园</t>
  </si>
  <si>
    <t>马桥合计</t>
  </si>
  <si>
    <t>闵行区晶华坊幼儿园</t>
  </si>
  <si>
    <t>闵行区罗阳河畔幼儿园</t>
  </si>
  <si>
    <t>闵行区春申景城幼儿园</t>
  </si>
  <si>
    <t>闵行区蔷薇小学</t>
  </si>
  <si>
    <t>闵行区晶城中学</t>
  </si>
  <si>
    <t>梅陇金都幼儿园</t>
  </si>
  <si>
    <t>梅陇梅锦幼儿园</t>
  </si>
  <si>
    <t>梅陇合计</t>
  </si>
  <si>
    <t>闵行区浦江宝邸幼儿园</t>
  </si>
  <si>
    <t>闵行区浦莲幼儿园</t>
  </si>
  <si>
    <t>闵行区浦江镇第三幼儿园</t>
  </si>
  <si>
    <t>闵行区浦江镇第二幼儿园</t>
  </si>
  <si>
    <t>上戏附校</t>
    <phoneticPr fontId="1" type="noConversion"/>
  </si>
  <si>
    <t>闵行区浦汇小学</t>
  </si>
  <si>
    <t>闵行区浦江第三小学</t>
  </si>
  <si>
    <t>闵行区浦江第二小学</t>
  </si>
  <si>
    <t>闵行区浦江二中</t>
  </si>
  <si>
    <t>闵行区浦江三中</t>
  </si>
  <si>
    <t>闵行区浦航实验中学</t>
    <phoneticPr fontId="1" type="noConversion"/>
  </si>
  <si>
    <t>闵行区浦航幼儿园</t>
  </si>
  <si>
    <t>闵行区浦江瑞和城幼儿园</t>
  </si>
  <si>
    <t>闵行区浦江闸航路幼儿园</t>
  </si>
  <si>
    <t>世外浦江学校</t>
  </si>
  <si>
    <t>浦江合计</t>
  </si>
  <si>
    <t>闵行区春欣幼儿园</t>
  </si>
  <si>
    <t>闵行区七宝实验幼儿园</t>
  </si>
  <si>
    <t>闵行区星辰幼儿园</t>
  </si>
  <si>
    <t>闵行区七宝中心幼儿园</t>
  </si>
  <si>
    <t>闵行区航华二幼</t>
  </si>
  <si>
    <t>闵行区航华二小</t>
  </si>
  <si>
    <t>闵行区七宝第三中学</t>
  </si>
  <si>
    <t>闵行区七宝第二中学</t>
  </si>
  <si>
    <t>七宝皇都幼儿园</t>
  </si>
  <si>
    <t>七宝幼儿园</t>
  </si>
  <si>
    <t>七宝明强幼儿园</t>
  </si>
  <si>
    <t>七宝文来学校</t>
  </si>
  <si>
    <t>七宝合计</t>
  </si>
  <si>
    <t>华东师范大学闵行永德幼儿园</t>
  </si>
  <si>
    <t>闵行区吴泾第三幼儿园</t>
  </si>
  <si>
    <t>闵行区景东小学</t>
  </si>
  <si>
    <t>吴泾合计</t>
  </si>
  <si>
    <t>闵行区康城幼儿园</t>
  </si>
  <si>
    <t>闵行区佳佳中心幼儿园</t>
  </si>
  <si>
    <t>闵行区明星学校</t>
  </si>
  <si>
    <t>莘庄合计</t>
  </si>
  <si>
    <t>上海师范大学闵行实验幼儿园</t>
  </si>
  <si>
    <t>闵行区君莲幼儿园</t>
  </si>
  <si>
    <t>闵行区颛桥镇第一幼儿园</t>
  </si>
  <si>
    <t>闵行区颛桥镇幼儿园</t>
  </si>
  <si>
    <t>闵行区田园外语实验小学</t>
  </si>
  <si>
    <t>闵行区田园第二外语实验小学</t>
  </si>
  <si>
    <t>闵行区颛桥中心小学</t>
  </si>
  <si>
    <t>闵行区北桥中学</t>
  </si>
  <si>
    <t>闵行区颛桥中学</t>
  </si>
  <si>
    <t>闵行区君莲学校</t>
  </si>
  <si>
    <t>田园外国语中学</t>
  </si>
  <si>
    <t>田园都市幼儿园</t>
  </si>
  <si>
    <t>颛桥第二幼儿园</t>
  </si>
  <si>
    <t>颛桥合计</t>
  </si>
  <si>
    <t>管理费
（2025年全年）</t>
    <phoneticPr fontId="1" type="noConversion"/>
  </si>
  <si>
    <t>华东师范大学附属闵行虹桥学校</t>
  </si>
  <si>
    <t>2024年残疾人就业保障预算调整表</t>
    <phoneticPr fontId="1" type="noConversion"/>
  </si>
  <si>
    <t>镇属</t>
    <phoneticPr fontId="1" type="noConversion"/>
  </si>
  <si>
    <t>单位</t>
    <phoneticPr fontId="1" type="noConversion"/>
  </si>
  <si>
    <t>全年需求</t>
    <phoneticPr fontId="1" type="noConversion"/>
  </si>
  <si>
    <t>一次分配</t>
    <phoneticPr fontId="1" type="noConversion"/>
  </si>
  <si>
    <t>莘庄</t>
    <phoneticPr fontId="1" type="noConversion"/>
  </si>
  <si>
    <t>闵行区佳佳中心幼儿园</t>
    <phoneticPr fontId="2" type="noConversion"/>
  </si>
  <si>
    <t>上海市闵行区康城幼儿园</t>
    <phoneticPr fontId="2" type="noConversion"/>
  </si>
  <si>
    <t>上海市闵行区实验幼儿园</t>
    <phoneticPr fontId="2" type="noConversion"/>
  </si>
  <si>
    <t>上海市闵行区莘庄镇社区学校</t>
  </si>
  <si>
    <t>吴泾</t>
    <phoneticPr fontId="1" type="noConversion"/>
  </si>
  <si>
    <t>七宝</t>
    <phoneticPr fontId="1" type="noConversion"/>
  </si>
  <si>
    <t>上海市闵行区七宝明强第二小学</t>
  </si>
  <si>
    <t>闵行区七宝中心幼儿园</t>
    <phoneticPr fontId="2" type="noConversion"/>
  </si>
  <si>
    <t>上海市闵行区星辰幼儿园</t>
    <phoneticPr fontId="2" type="noConversion"/>
  </si>
  <si>
    <t>上海市闵行区春欣幼儿园</t>
    <phoneticPr fontId="2" type="noConversion"/>
  </si>
  <si>
    <t>上海市闵行区七宝实验幼儿园</t>
    <phoneticPr fontId="2" type="noConversion"/>
  </si>
  <si>
    <t>闵行区航华第二幼儿园</t>
    <phoneticPr fontId="2" type="noConversion"/>
  </si>
  <si>
    <t>上海市闵行区七宝皇都幼儿园</t>
    <phoneticPr fontId="2" type="noConversion"/>
  </si>
  <si>
    <t>上海市闵行区七宝明强幼儿园</t>
    <phoneticPr fontId="2" type="noConversion"/>
  </si>
  <si>
    <t>上海市闵行区七宝幼儿园</t>
    <phoneticPr fontId="2" type="noConversion"/>
  </si>
  <si>
    <t>上海市闵行区启英宝盛幼儿园</t>
    <phoneticPr fontId="2" type="noConversion"/>
  </si>
  <si>
    <t>上海市闵行区七宝镇社区学校</t>
  </si>
  <si>
    <t>浦江</t>
    <phoneticPr fontId="1" type="noConversion"/>
  </si>
  <si>
    <t>上海市福山实验学校</t>
  </si>
  <si>
    <t>上海市闵行区浦江镇第二幼儿园</t>
    <phoneticPr fontId="2" type="noConversion"/>
  </si>
  <si>
    <t>上海市闵行区浦江镇第三幼儿园</t>
    <phoneticPr fontId="2" type="noConversion"/>
  </si>
  <si>
    <t>上海市闵行区浦江宝邸幼儿园</t>
    <phoneticPr fontId="2" type="noConversion"/>
  </si>
  <si>
    <t>上海市闵行区浦江闸航路幼儿园</t>
    <phoneticPr fontId="2" type="noConversion"/>
  </si>
  <si>
    <t>上海市闵行区浦江瑞和城幼儿园</t>
    <phoneticPr fontId="2" type="noConversion"/>
  </si>
  <si>
    <t>上海市闵行区浦瑞幼儿园</t>
    <phoneticPr fontId="2" type="noConversion"/>
  </si>
  <si>
    <t>上海市闵行区浦航幼儿园</t>
    <phoneticPr fontId="2" type="noConversion"/>
  </si>
  <si>
    <t>上海市闵行区浦莲幼儿园</t>
    <phoneticPr fontId="2" type="noConversion"/>
  </si>
  <si>
    <t>上海市闵行区浦江镇社区学校</t>
  </si>
  <si>
    <t>梅陇</t>
    <phoneticPr fontId="1" type="noConversion"/>
  </si>
  <si>
    <t>华东理工大学附属闵行梅陇实验学校</t>
    <phoneticPr fontId="2" type="noConversion"/>
  </si>
  <si>
    <t>上海市罗阳中学</t>
    <phoneticPr fontId="2" type="noConversion"/>
  </si>
  <si>
    <t>上海市七宝中学附属闵行金都实验中学</t>
    <phoneticPr fontId="2" type="noConversion"/>
  </si>
  <si>
    <t>上海中医药大学附属闵行晶城中学</t>
    <phoneticPr fontId="2" type="noConversion"/>
  </si>
  <si>
    <t>上海市闵行区曹行小学</t>
    <phoneticPr fontId="2" type="noConversion"/>
  </si>
  <si>
    <t>闵行区罗阳小学</t>
    <phoneticPr fontId="2" type="noConversion"/>
  </si>
  <si>
    <t>上海中医药大学附属闵行蔷薇小学</t>
    <phoneticPr fontId="2" type="noConversion"/>
  </si>
  <si>
    <t>闵行区梅陇镇中心幼儿园</t>
    <phoneticPr fontId="2" type="noConversion"/>
  </si>
  <si>
    <t>闵行区曹行中心幼儿园</t>
    <phoneticPr fontId="2" type="noConversion"/>
  </si>
  <si>
    <t>上海市闵行区春申景城幼儿园</t>
    <phoneticPr fontId="2" type="noConversion"/>
  </si>
  <si>
    <t>上海市闵行区罗阳河畔幼儿园</t>
    <phoneticPr fontId="2" type="noConversion"/>
  </si>
  <si>
    <t>上海市闵行区晶华坊幼儿园</t>
    <phoneticPr fontId="2" type="noConversion"/>
  </si>
  <si>
    <t>上海市闵行区梅陇金都幼儿园</t>
    <phoneticPr fontId="2" type="noConversion"/>
  </si>
  <si>
    <t>上海市闵行区梅陇梅锦幼儿园</t>
    <phoneticPr fontId="2" type="noConversion"/>
  </si>
  <si>
    <t>上海市闵行区梅陇永联幼儿园</t>
    <phoneticPr fontId="2" type="noConversion"/>
  </si>
  <si>
    <t>上海市闵行区梅陇镇社区学校</t>
    <phoneticPr fontId="2" type="noConversion"/>
  </si>
  <si>
    <t>马桥</t>
    <phoneticPr fontId="1" type="noConversion"/>
  </si>
  <si>
    <t>上海市闵行区马桥镇社区学校</t>
  </si>
  <si>
    <t>上海交通大学附属闵行马桥实验学校</t>
    <phoneticPr fontId="2" type="noConversion"/>
  </si>
  <si>
    <t>上海市马桥强恕学校</t>
    <phoneticPr fontId="2" type="noConversion"/>
  </si>
  <si>
    <t>上海市闵行区马桥复旦万科实验中学</t>
    <phoneticPr fontId="2" type="noConversion"/>
  </si>
  <si>
    <t>上海市闵行区马桥文来外国语小学</t>
    <phoneticPr fontId="2" type="noConversion"/>
  </si>
  <si>
    <t>上海市闵行区马桥实验幼儿园</t>
    <phoneticPr fontId="2" type="noConversion"/>
  </si>
  <si>
    <t>上海市闵行区马桥元祥幼儿园</t>
    <phoneticPr fontId="2" type="noConversion"/>
  </si>
  <si>
    <t>上海市闵行区马桥启英幼儿园</t>
    <phoneticPr fontId="2" type="noConversion"/>
  </si>
  <si>
    <t>上海市闵行区马桥富杰幼儿园</t>
    <phoneticPr fontId="2" type="noConversion"/>
  </si>
  <si>
    <t>上海市闵行区马桥中心幼儿园</t>
    <phoneticPr fontId="2" type="noConversion"/>
  </si>
  <si>
    <t>上海市闵行区马桥富国幼儿园</t>
    <phoneticPr fontId="2" type="noConversion"/>
  </si>
  <si>
    <t>上海市闵行区马桥富卓幼儿园</t>
    <phoneticPr fontId="2" type="noConversion"/>
  </si>
  <si>
    <t>华漕</t>
    <phoneticPr fontId="1" type="noConversion"/>
  </si>
  <si>
    <t>上海市闵行区华漕学校</t>
    <phoneticPr fontId="1" type="noConversion"/>
  </si>
  <si>
    <t>上海市闵行区诸翟学校</t>
    <phoneticPr fontId="1" type="noConversion"/>
  </si>
  <si>
    <t>上海市闵行区纪王学校</t>
    <phoneticPr fontId="1" type="noConversion"/>
  </si>
  <si>
    <t>上海市闵行区华漕中心幼儿园</t>
    <phoneticPr fontId="1" type="noConversion"/>
  </si>
  <si>
    <t>上海市闵行区华诸翟中心幼儿园</t>
    <phoneticPr fontId="1" type="noConversion"/>
  </si>
  <si>
    <t>闵行区华漕镇纪王幼儿园</t>
    <phoneticPr fontId="1" type="noConversion"/>
  </si>
  <si>
    <t>上海市闵行区华漕镇金色幼儿园</t>
    <phoneticPr fontId="1" type="noConversion"/>
  </si>
  <si>
    <t>上海市闵行区华漕镇社区学校</t>
    <phoneticPr fontId="1" type="noConversion"/>
  </si>
  <si>
    <t>颛桥</t>
    <phoneticPr fontId="1" type="noConversion"/>
  </si>
  <si>
    <t>上海市闵行区颛桥中心小学</t>
  </si>
  <si>
    <t>上海市闵行区北桥中心小学</t>
  </si>
  <si>
    <t>上海市闵行区颛桥镇第一幼儿园</t>
    <phoneticPr fontId="2" type="noConversion"/>
  </si>
  <si>
    <t>上海市闵行区颛桥镇幼儿园</t>
    <phoneticPr fontId="2" type="noConversion"/>
  </si>
  <si>
    <t>上海市闵行区君莲幼儿园</t>
    <phoneticPr fontId="2" type="noConversion"/>
  </si>
  <si>
    <t>上海师范大学闵行实验幼儿园</t>
    <phoneticPr fontId="2" type="noConversion"/>
  </si>
  <si>
    <t>上海市闵行区颛桥镇社区学校</t>
  </si>
  <si>
    <t>上海市闵行区颛桥镇第二幼儿园</t>
    <phoneticPr fontId="2" type="noConversion"/>
  </si>
  <si>
    <t>上海市闵行区颛桥镇田园都市幼儿园</t>
    <phoneticPr fontId="2" type="noConversion"/>
  </si>
  <si>
    <t>虹桥</t>
    <phoneticPr fontId="1" type="noConversion"/>
  </si>
  <si>
    <t>华东师范大学附属闵行虹桥学校</t>
    <phoneticPr fontId="2" type="noConversion"/>
  </si>
  <si>
    <t>闵行区虹桥中心幼儿园</t>
    <phoneticPr fontId="2" type="noConversion"/>
  </si>
  <si>
    <t>上海市闵行区虹鹿幼儿园</t>
    <phoneticPr fontId="2" type="noConversion"/>
  </si>
  <si>
    <t>闵行区龙柏第一幼儿园</t>
    <phoneticPr fontId="2" type="noConversion"/>
  </si>
  <si>
    <t>闵行区龙柏第二幼儿园</t>
    <phoneticPr fontId="2" type="noConversion"/>
  </si>
  <si>
    <t>上海市闵行区虹桥镇社区学校</t>
  </si>
  <si>
    <t>2024年</t>
    <phoneticPr fontId="1" type="noConversion"/>
  </si>
  <si>
    <t>差异</t>
    <phoneticPr fontId="1" type="noConversion"/>
  </si>
  <si>
    <t>2025年基本支出预算表(莘庄）</t>
    <phoneticPr fontId="1" type="noConversion"/>
  </si>
  <si>
    <t>2025年基本支出预算表（吴泾）</t>
    <phoneticPr fontId="1" type="noConversion"/>
  </si>
  <si>
    <t>2025年基本支出预算表（七宝）</t>
    <phoneticPr fontId="2" type="noConversion"/>
  </si>
  <si>
    <t>2025年基本支出预算表（马桥）</t>
    <phoneticPr fontId="2" type="noConversion"/>
  </si>
  <si>
    <t>2025年基本支出预算表（华漕）</t>
    <phoneticPr fontId="2" type="noConversion"/>
  </si>
  <si>
    <t>2025年基本支出预算表（虹桥）</t>
    <phoneticPr fontId="2" type="noConversion"/>
  </si>
  <si>
    <t>2025年社区教育年初预算</t>
    <phoneticPr fontId="1" type="noConversion"/>
  </si>
  <si>
    <r>
      <rPr>
        <sz val="10"/>
        <rFont val="宋体"/>
        <family val="3"/>
        <charset val="134"/>
      </rPr>
      <t>七宝三中</t>
    </r>
    <phoneticPr fontId="2" type="noConversion"/>
  </si>
  <si>
    <r>
      <t>2023</t>
    </r>
    <r>
      <rPr>
        <sz val="10"/>
        <color indexed="8"/>
        <rFont val="宋体"/>
        <family val="3"/>
        <charset val="134"/>
      </rPr>
      <t>年</t>
    </r>
    <r>
      <rPr>
        <sz val="10"/>
        <color indexed="8"/>
        <rFont val="Arial"/>
        <family val="2"/>
      </rPr>
      <t>10</t>
    </r>
    <r>
      <rPr>
        <sz val="10"/>
        <color indexed="8"/>
        <rFont val="宋体"/>
        <family val="3"/>
        <charset val="134"/>
      </rPr>
      <t>月起新开北门增加</t>
    </r>
    <r>
      <rPr>
        <sz val="10"/>
        <color indexed="8"/>
        <rFont val="Arial"/>
        <family val="2"/>
      </rPr>
      <t>5</t>
    </r>
    <r>
      <rPr>
        <sz val="10"/>
        <color indexed="8"/>
        <rFont val="宋体"/>
        <family val="3"/>
        <charset val="134"/>
      </rPr>
      <t>人</t>
    </r>
    <phoneticPr fontId="2" type="noConversion"/>
  </si>
  <si>
    <r>
      <t>2018</t>
    </r>
    <r>
      <rPr>
        <sz val="10"/>
        <color indexed="8"/>
        <rFont val="宋体"/>
        <family val="3"/>
        <charset val="134"/>
      </rPr>
      <t>年</t>
    </r>
    <r>
      <rPr>
        <sz val="10"/>
        <color indexed="8"/>
        <rFont val="Arial"/>
        <family val="2"/>
      </rPr>
      <t>7</t>
    </r>
    <r>
      <rPr>
        <sz val="10"/>
        <color indexed="8"/>
        <rFont val="宋体"/>
        <family val="3"/>
        <charset val="134"/>
      </rPr>
      <t>月</t>
    </r>
    <r>
      <rPr>
        <sz val="10"/>
        <color indexed="8"/>
        <rFont val="Arial"/>
        <family val="2"/>
      </rPr>
      <t>1</t>
    </r>
    <r>
      <rPr>
        <sz val="10"/>
        <color indexed="8"/>
        <rFont val="宋体"/>
        <family val="3"/>
        <charset val="134"/>
      </rPr>
      <t>日派驻，</t>
    </r>
    <r>
      <rPr>
        <sz val="10"/>
        <color indexed="8"/>
        <rFont val="Arial"/>
        <family val="2"/>
      </rPr>
      <t>9</t>
    </r>
    <r>
      <rPr>
        <sz val="10"/>
        <color indexed="8"/>
        <rFont val="宋体"/>
        <family val="3"/>
        <charset val="134"/>
      </rPr>
      <t>月</t>
    </r>
    <r>
      <rPr>
        <sz val="10"/>
        <color indexed="8"/>
        <rFont val="Arial"/>
        <family val="2"/>
      </rPr>
      <t>1</t>
    </r>
    <r>
      <rPr>
        <sz val="10"/>
        <color indexed="8"/>
        <rFont val="宋体"/>
        <family val="3"/>
        <charset val="134"/>
      </rPr>
      <t>日增</t>
    </r>
    <r>
      <rPr>
        <sz val="10"/>
        <color indexed="8"/>
        <rFont val="Arial"/>
        <family val="2"/>
      </rPr>
      <t>1</t>
    </r>
    <r>
      <rPr>
        <sz val="10"/>
        <color indexed="8"/>
        <rFont val="宋体"/>
        <family val="3"/>
        <charset val="134"/>
      </rPr>
      <t>人（正门</t>
    </r>
    <r>
      <rPr>
        <sz val="10"/>
        <color indexed="8"/>
        <rFont val="Arial"/>
        <family val="2"/>
      </rPr>
      <t>5</t>
    </r>
    <r>
      <rPr>
        <sz val="10"/>
        <color indexed="8"/>
        <rFont val="宋体"/>
        <family val="3"/>
        <charset val="134"/>
      </rPr>
      <t>人、边门</t>
    </r>
    <r>
      <rPr>
        <sz val="10"/>
        <color indexed="8"/>
        <rFont val="Arial"/>
        <family val="2"/>
      </rPr>
      <t>1</t>
    </r>
    <r>
      <rPr>
        <sz val="10"/>
        <color indexed="8"/>
        <rFont val="宋体"/>
        <family val="3"/>
        <charset val="134"/>
      </rPr>
      <t>人）</t>
    </r>
    <phoneticPr fontId="2" type="noConversion"/>
  </si>
  <si>
    <r>
      <rPr>
        <sz val="10"/>
        <rFont val="宋体"/>
        <family val="3"/>
        <charset val="134"/>
      </rPr>
      <t>颛桥中学</t>
    </r>
    <phoneticPr fontId="2" type="noConversion"/>
  </si>
  <si>
    <r>
      <rPr>
        <sz val="10"/>
        <color indexed="8"/>
        <rFont val="宋体"/>
        <family val="3"/>
        <charset val="134"/>
      </rPr>
      <t>正门</t>
    </r>
    <r>
      <rPr>
        <sz val="10"/>
        <color indexed="8"/>
        <rFont val="Arial"/>
        <family val="2"/>
      </rPr>
      <t>5</t>
    </r>
    <r>
      <rPr>
        <sz val="10"/>
        <color indexed="8"/>
        <rFont val="宋体"/>
        <family val="3"/>
        <charset val="134"/>
      </rPr>
      <t>人、后门</t>
    </r>
    <r>
      <rPr>
        <sz val="10"/>
        <color indexed="8"/>
        <rFont val="Arial"/>
        <family val="2"/>
      </rPr>
      <t>4</t>
    </r>
    <r>
      <rPr>
        <sz val="10"/>
        <color indexed="8"/>
        <rFont val="宋体"/>
        <family val="3"/>
        <charset val="134"/>
      </rPr>
      <t>人</t>
    </r>
    <phoneticPr fontId="2" type="noConversion"/>
  </si>
  <si>
    <r>
      <rPr>
        <sz val="9"/>
        <color indexed="8"/>
        <rFont val="宋体"/>
        <family val="3"/>
        <charset val="134"/>
      </rPr>
      <t>禁毒馆新增</t>
    </r>
    <r>
      <rPr>
        <sz val="9"/>
        <color indexed="8"/>
        <rFont val="Arial"/>
        <family val="2"/>
      </rPr>
      <t>3</t>
    </r>
    <r>
      <rPr>
        <sz val="9"/>
        <color indexed="8"/>
        <rFont val="宋体"/>
        <family val="3"/>
        <charset val="134"/>
      </rPr>
      <t>人</t>
    </r>
    <phoneticPr fontId="2" type="noConversion"/>
  </si>
  <si>
    <r>
      <rPr>
        <sz val="10"/>
        <rFont val="宋体"/>
        <family val="3"/>
        <charset val="134"/>
      </rPr>
      <t>北桥中心小学</t>
    </r>
    <phoneticPr fontId="2" type="noConversion"/>
  </si>
  <si>
    <t>田园外小银都校区</t>
    <phoneticPr fontId="2" type="noConversion"/>
  </si>
  <si>
    <r>
      <rPr>
        <sz val="10"/>
        <rFont val="宋体"/>
        <family val="3"/>
        <charset val="134"/>
      </rPr>
      <t>君莲学校</t>
    </r>
    <phoneticPr fontId="2" type="noConversion"/>
  </si>
  <si>
    <t>考试中心搬离，小学部并入，一门5保安一门人车分离2保安</t>
    <phoneticPr fontId="2" type="noConversion"/>
  </si>
  <si>
    <t>2018年7月1日派驻</t>
    <phoneticPr fontId="2" type="noConversion"/>
  </si>
  <si>
    <t>华东理工大学附属闵行梅陇实验学校（中学）</t>
    <phoneticPr fontId="2" type="noConversion"/>
  </si>
  <si>
    <t>原曹行中学搬迁至新校舍并更名，另人车分离增加2人，合计7人</t>
    <phoneticPr fontId="2" type="noConversion"/>
  </si>
  <si>
    <t>华东理工大学附属闵行梅陇实验学校（小学）</t>
    <phoneticPr fontId="2" type="noConversion"/>
  </si>
  <si>
    <r>
      <t>2021</t>
    </r>
    <r>
      <rPr>
        <sz val="10"/>
        <color indexed="8"/>
        <rFont val="宋体"/>
        <family val="3"/>
        <charset val="134"/>
      </rPr>
      <t>年</t>
    </r>
    <r>
      <rPr>
        <sz val="10"/>
        <color indexed="8"/>
        <rFont val="Arial"/>
        <family val="2"/>
      </rPr>
      <t>9</t>
    </r>
    <r>
      <rPr>
        <sz val="10"/>
        <color indexed="8"/>
        <rFont val="宋体"/>
        <family val="3"/>
        <charset val="134"/>
      </rPr>
      <t>月新增</t>
    </r>
    <r>
      <rPr>
        <sz val="10"/>
        <color indexed="8"/>
        <rFont val="Arial"/>
        <family val="2"/>
      </rPr>
      <t>1</t>
    </r>
    <r>
      <rPr>
        <sz val="10"/>
        <color indexed="8"/>
        <rFont val="宋体"/>
        <family val="3"/>
        <charset val="134"/>
      </rPr>
      <t>人</t>
    </r>
    <phoneticPr fontId="2" type="noConversion"/>
  </si>
  <si>
    <t>浦江二小（浦涛路）</t>
    <phoneticPr fontId="2" type="noConversion"/>
  </si>
  <si>
    <t>原浦航小学</t>
    <phoneticPr fontId="2" type="noConversion"/>
  </si>
  <si>
    <r>
      <t>2024</t>
    </r>
    <r>
      <rPr>
        <sz val="10"/>
        <color indexed="8"/>
        <rFont val="宋体"/>
        <family val="3"/>
        <charset val="134"/>
      </rPr>
      <t>年</t>
    </r>
    <r>
      <rPr>
        <sz val="10"/>
        <color indexed="8"/>
        <rFont val="Arial"/>
        <family val="2"/>
      </rPr>
      <t>10</t>
    </r>
    <r>
      <rPr>
        <sz val="10"/>
        <color indexed="8"/>
        <rFont val="宋体"/>
        <family val="3"/>
        <charset val="134"/>
      </rPr>
      <t>月新增人车分离一人</t>
    </r>
    <phoneticPr fontId="2" type="noConversion"/>
  </si>
  <si>
    <r>
      <t>2020</t>
    </r>
    <r>
      <rPr>
        <sz val="9"/>
        <color indexed="8"/>
        <rFont val="宋体"/>
        <family val="3"/>
        <charset val="134"/>
      </rPr>
      <t>年</t>
    </r>
    <r>
      <rPr>
        <sz val="9"/>
        <color indexed="8"/>
        <rFont val="Arial"/>
        <family val="2"/>
      </rPr>
      <t>7</t>
    </r>
    <r>
      <rPr>
        <sz val="9"/>
        <color indexed="8"/>
        <rFont val="宋体"/>
        <family val="3"/>
        <charset val="134"/>
      </rPr>
      <t>月新增</t>
    </r>
    <r>
      <rPr>
        <sz val="9"/>
        <color indexed="8"/>
        <rFont val="Arial"/>
        <family val="2"/>
      </rPr>
      <t>6</t>
    </r>
    <r>
      <rPr>
        <sz val="9"/>
        <color indexed="8"/>
        <rFont val="宋体"/>
        <family val="3"/>
        <charset val="134"/>
      </rPr>
      <t>人，</t>
    </r>
    <r>
      <rPr>
        <sz val="9"/>
        <color indexed="8"/>
        <rFont val="Arial"/>
        <family val="2"/>
      </rPr>
      <t>2023</t>
    </r>
    <r>
      <rPr>
        <sz val="9"/>
        <color indexed="8"/>
        <rFont val="宋体"/>
        <family val="3"/>
        <charset val="134"/>
      </rPr>
      <t>年</t>
    </r>
    <r>
      <rPr>
        <sz val="9"/>
        <color indexed="8"/>
        <rFont val="Arial"/>
        <family val="2"/>
      </rPr>
      <t>5</t>
    </r>
    <r>
      <rPr>
        <sz val="9"/>
        <color indexed="8"/>
        <rFont val="宋体"/>
        <family val="3"/>
        <charset val="134"/>
      </rPr>
      <t>月起车行门再增加</t>
    </r>
    <r>
      <rPr>
        <sz val="9"/>
        <color indexed="8"/>
        <rFont val="Arial"/>
        <family val="2"/>
      </rPr>
      <t>1</t>
    </r>
    <r>
      <rPr>
        <sz val="9"/>
        <color indexed="8"/>
        <rFont val="宋体"/>
        <family val="3"/>
        <charset val="134"/>
      </rPr>
      <t>人，</t>
    </r>
    <r>
      <rPr>
        <sz val="9"/>
        <color indexed="8"/>
        <rFont val="Arial"/>
        <family val="2"/>
      </rPr>
      <t>2023</t>
    </r>
    <r>
      <rPr>
        <sz val="9"/>
        <color indexed="8"/>
        <rFont val="宋体"/>
        <family val="3"/>
        <charset val="134"/>
      </rPr>
      <t>年</t>
    </r>
    <r>
      <rPr>
        <sz val="9"/>
        <color indexed="8"/>
        <rFont val="Arial"/>
        <family val="2"/>
      </rPr>
      <t>9</t>
    </r>
    <r>
      <rPr>
        <sz val="9"/>
        <color indexed="8"/>
        <rFont val="宋体"/>
        <family val="3"/>
        <charset val="134"/>
      </rPr>
      <t>月起再增开人行门</t>
    </r>
    <r>
      <rPr>
        <sz val="9"/>
        <color indexed="8"/>
        <rFont val="Arial"/>
        <family val="2"/>
      </rPr>
      <t>5</t>
    </r>
    <r>
      <rPr>
        <sz val="9"/>
        <color indexed="8"/>
        <rFont val="宋体"/>
        <family val="3"/>
        <charset val="134"/>
      </rPr>
      <t>人</t>
    </r>
    <phoneticPr fontId="2" type="noConversion"/>
  </si>
  <si>
    <r>
      <t>2022</t>
    </r>
    <r>
      <rPr>
        <sz val="10"/>
        <color indexed="8"/>
        <rFont val="宋体"/>
        <family val="3"/>
        <charset val="134"/>
      </rPr>
      <t>年</t>
    </r>
    <r>
      <rPr>
        <sz val="10"/>
        <color indexed="8"/>
        <rFont val="Arial"/>
        <family val="2"/>
      </rPr>
      <t>9</t>
    </r>
    <r>
      <rPr>
        <sz val="10"/>
        <color indexed="8"/>
        <rFont val="宋体"/>
        <family val="3"/>
        <charset val="134"/>
      </rPr>
      <t>月新开办</t>
    </r>
    <phoneticPr fontId="2" type="noConversion"/>
  </si>
  <si>
    <t>闵行区马桥中心幼儿园</t>
    <phoneticPr fontId="2" type="noConversion"/>
  </si>
  <si>
    <t>幼儿园</t>
    <phoneticPr fontId="2" type="noConversion"/>
  </si>
  <si>
    <t>马桥镇</t>
    <phoneticPr fontId="2" type="noConversion"/>
  </si>
  <si>
    <t>七</t>
    <phoneticPr fontId="2" type="noConversion"/>
  </si>
  <si>
    <r>
      <rPr>
        <sz val="10"/>
        <rFont val="宋体"/>
        <family val="3"/>
        <charset val="134"/>
      </rPr>
      <t>闵行区马桥富杰幼儿园</t>
    </r>
    <r>
      <rPr>
        <sz val="10"/>
        <rFont val="Arial"/>
        <family val="2"/>
      </rPr>
      <t xml:space="preserve">              </t>
    </r>
    <phoneticPr fontId="2" type="noConversion"/>
  </si>
  <si>
    <r>
      <rPr>
        <sz val="10"/>
        <rFont val="宋体"/>
        <family val="3"/>
        <charset val="134"/>
      </rPr>
      <t>闵行区马桥富杰幼儿园银康分园</t>
    </r>
    <r>
      <rPr>
        <sz val="10"/>
        <rFont val="Arial"/>
        <family val="2"/>
      </rPr>
      <t xml:space="preserve">            </t>
    </r>
    <phoneticPr fontId="2" type="noConversion"/>
  </si>
  <si>
    <t>上海市闵行区马桥富卓幼儿园</t>
    <phoneticPr fontId="2" type="noConversion"/>
  </si>
  <si>
    <t>上海市闵行区马桥富国幼儿园</t>
    <phoneticPr fontId="2" type="noConversion"/>
  </si>
  <si>
    <r>
      <t>2020</t>
    </r>
    <r>
      <rPr>
        <sz val="10"/>
        <color indexed="8"/>
        <rFont val="宋体"/>
        <family val="3"/>
        <charset val="134"/>
      </rPr>
      <t>年</t>
    </r>
    <r>
      <rPr>
        <sz val="10"/>
        <color indexed="8"/>
        <rFont val="Arial"/>
        <family val="2"/>
      </rPr>
      <t>7</t>
    </r>
    <r>
      <rPr>
        <sz val="10"/>
        <color indexed="8"/>
        <rFont val="宋体"/>
        <family val="3"/>
        <charset val="134"/>
      </rPr>
      <t>月新增</t>
    </r>
    <r>
      <rPr>
        <sz val="10"/>
        <color indexed="8"/>
        <rFont val="Arial"/>
        <family val="2"/>
      </rPr>
      <t>5</t>
    </r>
    <r>
      <rPr>
        <sz val="10"/>
        <color indexed="8"/>
        <rFont val="宋体"/>
        <family val="3"/>
        <charset val="134"/>
      </rPr>
      <t>人</t>
    </r>
    <phoneticPr fontId="2" type="noConversion"/>
  </si>
  <si>
    <r>
      <rPr>
        <sz val="10"/>
        <rFont val="宋体"/>
        <family val="3"/>
        <charset val="134"/>
      </rPr>
      <t>虹鹿幼儿园</t>
    </r>
    <phoneticPr fontId="2" type="noConversion"/>
  </si>
  <si>
    <t>虹桥镇</t>
    <phoneticPr fontId="2" type="noConversion"/>
  </si>
  <si>
    <r>
      <rPr>
        <sz val="10"/>
        <rFont val="宋体"/>
        <family val="3"/>
        <charset val="134"/>
      </rPr>
      <t>虹鹿井亭分园</t>
    </r>
    <phoneticPr fontId="2" type="noConversion"/>
  </si>
  <si>
    <t>虹桥中心幼儿园古北分园</t>
    <phoneticPr fontId="2" type="noConversion"/>
  </si>
  <si>
    <r>
      <rPr>
        <sz val="10"/>
        <rFont val="宋体"/>
        <family val="3"/>
        <charset val="134"/>
      </rPr>
      <t>龙柏一幼</t>
    </r>
    <phoneticPr fontId="2" type="noConversion"/>
  </si>
  <si>
    <t>龙柏一幼分园</t>
    <phoneticPr fontId="2" type="noConversion"/>
  </si>
  <si>
    <r>
      <rPr>
        <sz val="10"/>
        <rFont val="宋体"/>
        <family val="3"/>
        <charset val="134"/>
      </rPr>
      <t>龙柏二幼</t>
    </r>
    <phoneticPr fontId="2" type="noConversion"/>
  </si>
  <si>
    <t>龙柏二幼分园</t>
    <phoneticPr fontId="2" type="noConversion"/>
  </si>
  <si>
    <t>华东师范大学附属闵行虹桥幼儿园</t>
    <phoneticPr fontId="2" type="noConversion"/>
  </si>
  <si>
    <r>
      <rPr>
        <sz val="10"/>
        <rFont val="宋体"/>
        <family val="3"/>
        <charset val="134"/>
      </rPr>
      <t>佳佳幼儿园</t>
    </r>
    <phoneticPr fontId="2" type="noConversion"/>
  </si>
  <si>
    <t>莘庄镇</t>
    <phoneticPr fontId="2" type="noConversion"/>
  </si>
  <si>
    <t>佳佳幼儿园（联东）</t>
    <phoneticPr fontId="2" type="noConversion"/>
  </si>
  <si>
    <t>四</t>
    <phoneticPr fontId="2" type="noConversion"/>
  </si>
  <si>
    <t>佳佳幼儿园（都市）</t>
    <phoneticPr fontId="2" type="noConversion"/>
  </si>
  <si>
    <r>
      <t>2021</t>
    </r>
    <r>
      <rPr>
        <sz val="10"/>
        <color indexed="8"/>
        <rFont val="宋体"/>
        <family val="3"/>
        <charset val="134"/>
      </rPr>
      <t>年新开办（民办维多利亚幼儿园搬迁，校舍用于佳佳都市园）</t>
    </r>
    <phoneticPr fontId="2" type="noConversion"/>
  </si>
  <si>
    <r>
      <rPr>
        <sz val="10"/>
        <rFont val="宋体"/>
        <family val="3"/>
        <charset val="134"/>
      </rPr>
      <t>康城幼儿园</t>
    </r>
    <phoneticPr fontId="2" type="noConversion"/>
  </si>
  <si>
    <t>康城幼儿园新梅分园</t>
    <phoneticPr fontId="2" type="noConversion"/>
  </si>
  <si>
    <t>原民办新梅幼儿园，2023年7月起由康城幼儿园接管</t>
    <phoneticPr fontId="2" type="noConversion"/>
  </si>
  <si>
    <t>上海市闵行区实验幼儿园</t>
    <phoneticPr fontId="2" type="noConversion"/>
  </si>
  <si>
    <r>
      <rPr>
        <sz val="10"/>
        <rFont val="宋体"/>
        <family val="3"/>
        <charset val="134"/>
      </rPr>
      <t>七宝中心幼儿园</t>
    </r>
    <phoneticPr fontId="2" type="noConversion"/>
  </si>
  <si>
    <t>七宝镇</t>
    <phoneticPr fontId="2" type="noConversion"/>
  </si>
  <si>
    <r>
      <rPr>
        <sz val="10"/>
        <rFont val="宋体"/>
        <family val="3"/>
        <charset val="134"/>
      </rPr>
      <t>诸翟中心幼儿园</t>
    </r>
    <phoneticPr fontId="2" type="noConversion"/>
  </si>
  <si>
    <t>华漕镇</t>
    <phoneticPr fontId="2" type="noConversion"/>
  </si>
  <si>
    <t>诸翟中心幼儿园（九韵）</t>
    <phoneticPr fontId="2" type="noConversion"/>
  </si>
  <si>
    <r>
      <rPr>
        <sz val="10"/>
        <rFont val="宋体"/>
        <family val="3"/>
        <charset val="134"/>
      </rPr>
      <t>纪王中心幼儿园</t>
    </r>
    <phoneticPr fontId="2" type="noConversion"/>
  </si>
  <si>
    <t>纪王中心幼儿园（银杏）</t>
    <phoneticPr fontId="2" type="noConversion"/>
  </si>
  <si>
    <r>
      <rPr>
        <sz val="10"/>
        <rFont val="宋体"/>
        <family val="3"/>
        <charset val="134"/>
      </rPr>
      <t>华漕幼儿园</t>
    </r>
    <phoneticPr fontId="2" type="noConversion"/>
  </si>
  <si>
    <t>一</t>
    <phoneticPr fontId="2" type="noConversion"/>
  </si>
  <si>
    <r>
      <rPr>
        <sz val="10"/>
        <rFont val="宋体"/>
        <family val="3"/>
        <charset val="134"/>
      </rPr>
      <t>华漕金色幼儿园</t>
    </r>
    <r>
      <rPr>
        <sz val="10"/>
        <rFont val="Arial"/>
        <family val="2"/>
      </rPr>
      <t xml:space="preserve"> </t>
    </r>
    <phoneticPr fontId="2" type="noConversion"/>
  </si>
  <si>
    <t>华漕金色幼儿园（申长）</t>
    <phoneticPr fontId="2" type="noConversion"/>
  </si>
  <si>
    <t>上海市闵行区华漕镇季乐路幼儿园</t>
    <phoneticPr fontId="2" type="noConversion"/>
  </si>
  <si>
    <t>颛桥镇</t>
    <phoneticPr fontId="2" type="noConversion"/>
  </si>
  <si>
    <t>1人用于人车分离</t>
    <phoneticPr fontId="2" type="noConversion"/>
  </si>
  <si>
    <t>颛桥一幼（银桥）</t>
    <phoneticPr fontId="2" type="noConversion"/>
  </si>
  <si>
    <t>民办银桥幼儿园转公办，作为颛桥第一幼儿园分园</t>
    <phoneticPr fontId="2" type="noConversion"/>
  </si>
  <si>
    <t>颛桥镇幼儿园</t>
    <phoneticPr fontId="2" type="noConversion"/>
  </si>
  <si>
    <t>颛桥镇幼儿园（新闵）</t>
    <phoneticPr fontId="2" type="noConversion"/>
  </si>
  <si>
    <t>颛桥镇幼儿园（繁盛）</t>
    <phoneticPr fontId="2" type="noConversion"/>
  </si>
  <si>
    <t>田园都市幼儿园</t>
    <phoneticPr fontId="2" type="noConversion"/>
  </si>
  <si>
    <t>原颛桥第一幼儿园田园分园</t>
    <phoneticPr fontId="2" type="noConversion"/>
  </si>
  <si>
    <t>田园都市幼儿园银三园</t>
    <phoneticPr fontId="2" type="noConversion"/>
  </si>
  <si>
    <t>原颛桥第一幼儿园银三分园</t>
    <phoneticPr fontId="2" type="noConversion"/>
  </si>
  <si>
    <r>
      <rPr>
        <sz val="10"/>
        <rFont val="宋体"/>
        <family val="3"/>
        <charset val="134"/>
      </rPr>
      <t>君莲幼儿园</t>
    </r>
    <phoneticPr fontId="2" type="noConversion"/>
  </si>
  <si>
    <t>六</t>
    <phoneticPr fontId="2" type="noConversion"/>
  </si>
  <si>
    <t>君莲幼儿园（春都）</t>
    <phoneticPr fontId="2" type="noConversion"/>
  </si>
  <si>
    <t>原春都分园</t>
    <phoneticPr fontId="2" type="noConversion"/>
  </si>
  <si>
    <t>上海师范大学闵行实验幼儿园</t>
    <phoneticPr fontId="2" type="noConversion"/>
  </si>
  <si>
    <t>上海师范大学闵行实验幼儿园翔泰分园</t>
    <phoneticPr fontId="2" type="noConversion"/>
  </si>
  <si>
    <t>上海市闵行区颛桥镇第二幼儿园</t>
    <phoneticPr fontId="2" type="noConversion"/>
  </si>
  <si>
    <r>
      <t>2021</t>
    </r>
    <r>
      <rPr>
        <sz val="10"/>
        <color indexed="8"/>
        <rFont val="宋体"/>
        <family val="3"/>
        <charset val="134"/>
      </rPr>
      <t>年</t>
    </r>
    <r>
      <rPr>
        <sz val="10"/>
        <color indexed="8"/>
        <rFont val="Arial"/>
        <family val="2"/>
      </rPr>
      <t>9</t>
    </r>
    <r>
      <rPr>
        <sz val="10"/>
        <color indexed="8"/>
        <rFont val="宋体"/>
        <family val="3"/>
        <charset val="134"/>
      </rPr>
      <t>月新开办</t>
    </r>
    <phoneticPr fontId="2" type="noConversion"/>
  </si>
  <si>
    <t>梅陇镇</t>
    <phoneticPr fontId="2" type="noConversion"/>
  </si>
  <si>
    <t>梅陇镇中心幼儿园（二村）</t>
    <phoneticPr fontId="2" type="noConversion"/>
  </si>
  <si>
    <r>
      <rPr>
        <sz val="10"/>
        <color indexed="8"/>
        <rFont val="宋体"/>
        <family val="3"/>
        <charset val="134"/>
      </rPr>
      <t>东门</t>
    </r>
    <r>
      <rPr>
        <sz val="10"/>
        <color indexed="8"/>
        <rFont val="Arial"/>
        <family val="2"/>
      </rPr>
      <t>5</t>
    </r>
    <r>
      <rPr>
        <sz val="10"/>
        <color indexed="8"/>
        <rFont val="宋体"/>
        <family val="3"/>
        <charset val="134"/>
      </rPr>
      <t>人、西门</t>
    </r>
    <r>
      <rPr>
        <sz val="10"/>
        <color indexed="8"/>
        <rFont val="Arial"/>
        <family val="2"/>
      </rPr>
      <t>5</t>
    </r>
    <r>
      <rPr>
        <sz val="10"/>
        <color indexed="8"/>
        <rFont val="宋体"/>
        <family val="3"/>
        <charset val="134"/>
      </rPr>
      <t>人</t>
    </r>
    <phoneticPr fontId="2" type="noConversion"/>
  </si>
  <si>
    <t>梅陇镇中心幼儿园（南方）</t>
    <phoneticPr fontId="2" type="noConversion"/>
  </si>
  <si>
    <r>
      <rPr>
        <sz val="10"/>
        <rFont val="宋体"/>
        <family val="3"/>
        <charset val="134"/>
      </rPr>
      <t>曹行中心幼儿园</t>
    </r>
    <r>
      <rPr>
        <sz val="10"/>
        <rFont val="Arial"/>
        <family val="2"/>
      </rPr>
      <t xml:space="preserve"> </t>
    </r>
    <phoneticPr fontId="2" type="noConversion"/>
  </si>
  <si>
    <t>曹行中心幼儿园蔷薇分园</t>
    <phoneticPr fontId="2" type="noConversion"/>
  </si>
  <si>
    <t>上海市闵行区梅陇金都幼儿园（银泰）</t>
    <phoneticPr fontId="2" type="noConversion"/>
  </si>
  <si>
    <t>上海市闵行区春申景城幼儿园</t>
    <phoneticPr fontId="2" type="noConversion"/>
  </si>
  <si>
    <t>上海市闵行区春申景城幼儿园（高兴）</t>
    <phoneticPr fontId="2" type="noConversion"/>
  </si>
  <si>
    <t>上海市闵行区春申景城幼儿园（春申）</t>
    <phoneticPr fontId="2" type="noConversion"/>
  </si>
  <si>
    <t>上海市闵行区春申景城幼儿园（春城）</t>
    <phoneticPr fontId="2" type="noConversion"/>
  </si>
  <si>
    <r>
      <rPr>
        <sz val="10"/>
        <color indexed="8"/>
        <rFont val="宋体"/>
        <family val="3"/>
        <charset val="134"/>
      </rPr>
      <t>原民办金拇指幼儿园，</t>
    </r>
    <r>
      <rPr>
        <sz val="10"/>
        <color indexed="8"/>
        <rFont val="Arial"/>
        <family val="2"/>
      </rPr>
      <t>2023</t>
    </r>
    <r>
      <rPr>
        <sz val="10"/>
        <color indexed="8"/>
        <rFont val="宋体"/>
        <family val="3"/>
        <charset val="134"/>
      </rPr>
      <t>年</t>
    </r>
    <r>
      <rPr>
        <sz val="10"/>
        <color indexed="8"/>
        <rFont val="Arial"/>
        <family val="2"/>
      </rPr>
      <t>7</t>
    </r>
    <r>
      <rPr>
        <sz val="10"/>
        <color indexed="8"/>
        <rFont val="宋体"/>
        <family val="3"/>
        <charset val="134"/>
      </rPr>
      <t>月起由春申景城幼儿园接管</t>
    </r>
    <phoneticPr fontId="2" type="noConversion"/>
  </si>
  <si>
    <r>
      <rPr>
        <sz val="10"/>
        <rFont val="宋体"/>
        <family val="3"/>
        <charset val="134"/>
      </rPr>
      <t>晶采坊幼儿园</t>
    </r>
    <phoneticPr fontId="2" type="noConversion"/>
  </si>
  <si>
    <r>
      <rPr>
        <sz val="10"/>
        <rFont val="宋体"/>
        <family val="3"/>
        <charset val="134"/>
      </rPr>
      <t>罗阳河畔幼儿园</t>
    </r>
    <phoneticPr fontId="2" type="noConversion"/>
  </si>
  <si>
    <t>罗阳河畔幼儿分园</t>
    <phoneticPr fontId="2" type="noConversion"/>
  </si>
  <si>
    <t>上海市闵行区梅陇梅锦幼儿园</t>
    <phoneticPr fontId="2" type="noConversion"/>
  </si>
  <si>
    <t>2022年9月新开办</t>
    <phoneticPr fontId="2" type="noConversion"/>
  </si>
  <si>
    <r>
      <rPr>
        <sz val="10"/>
        <color indexed="8"/>
        <rFont val="宋体"/>
        <family val="3"/>
        <charset val="134"/>
      </rPr>
      <t>马桥镇</t>
    </r>
    <phoneticPr fontId="2" type="noConversion"/>
  </si>
  <si>
    <t>农民工小学</t>
    <phoneticPr fontId="1" type="noConversion"/>
  </si>
  <si>
    <r>
      <rPr>
        <sz val="10"/>
        <color indexed="8"/>
        <rFont val="宋体"/>
        <family val="3"/>
        <charset val="134"/>
      </rPr>
      <t>颛桥镇</t>
    </r>
    <phoneticPr fontId="2" type="noConversion"/>
  </si>
  <si>
    <r>
      <rPr>
        <sz val="10"/>
        <color indexed="8"/>
        <rFont val="宋体"/>
        <family val="3"/>
        <charset val="134"/>
      </rPr>
      <t>梅陇镇</t>
    </r>
    <phoneticPr fontId="2" type="noConversion"/>
  </si>
  <si>
    <r>
      <t xml:space="preserve"> </t>
    </r>
    <r>
      <rPr>
        <sz val="10"/>
        <color indexed="8"/>
        <rFont val="宋体"/>
        <family val="3"/>
        <charset val="134"/>
      </rPr>
      <t>梅陇镇</t>
    </r>
    <phoneticPr fontId="2" type="noConversion"/>
  </si>
  <si>
    <r>
      <rPr>
        <sz val="10"/>
        <rFont val="宋体"/>
        <family val="3"/>
        <charset val="134"/>
      </rPr>
      <t>梅陇镇</t>
    </r>
    <phoneticPr fontId="2" type="noConversion"/>
  </si>
  <si>
    <t>弘梅小学（曹行校区）</t>
    <phoneticPr fontId="2" type="noConversion"/>
  </si>
  <si>
    <t>弘梅二小（朱行校区)</t>
    <phoneticPr fontId="2" type="noConversion"/>
  </si>
  <si>
    <t>弘梅二小（陇西校区）</t>
    <phoneticPr fontId="2" type="noConversion"/>
  </si>
  <si>
    <r>
      <rPr>
        <sz val="10"/>
        <rFont val="宋体"/>
        <family val="3"/>
        <charset val="134"/>
      </rPr>
      <t>浦江镇</t>
    </r>
    <phoneticPr fontId="2" type="noConversion"/>
  </si>
  <si>
    <r>
      <rPr>
        <sz val="10"/>
        <rFont val="宋体"/>
        <family val="3"/>
        <charset val="134"/>
      </rPr>
      <t>吴泾镇</t>
    </r>
    <phoneticPr fontId="2" type="noConversion"/>
  </si>
  <si>
    <t>吴泾镇</t>
    <phoneticPr fontId="2" type="noConversion"/>
  </si>
  <si>
    <t>塘湾小学（剑川路校区）</t>
    <phoneticPr fontId="2" type="noConversion"/>
  </si>
  <si>
    <r>
      <rPr>
        <sz val="10"/>
        <rFont val="宋体"/>
        <family val="3"/>
        <charset val="134"/>
      </rPr>
      <t>虹桥镇</t>
    </r>
    <phoneticPr fontId="2" type="noConversion"/>
  </si>
  <si>
    <r>
      <rPr>
        <sz val="10"/>
        <rFont val="宋体"/>
        <family val="3"/>
        <charset val="134"/>
      </rPr>
      <t>华漕镇</t>
    </r>
    <phoneticPr fontId="2" type="noConversion"/>
  </si>
  <si>
    <t>马桥镇 汇总</t>
  </si>
  <si>
    <t>虹桥镇 汇总</t>
  </si>
  <si>
    <t>莘庄镇 汇总</t>
  </si>
  <si>
    <t>七宝镇 汇总</t>
  </si>
  <si>
    <t>华漕镇 汇总</t>
  </si>
  <si>
    <t>颛桥镇 汇总</t>
  </si>
  <si>
    <t>梅陇镇 汇总</t>
  </si>
  <si>
    <t>浦江镇 汇总</t>
  </si>
  <si>
    <t>吴泾镇 汇总</t>
  </si>
  <si>
    <t>2025年镇级保安经费预算表</t>
    <phoneticPr fontId="1" type="noConversion"/>
  </si>
  <si>
    <t>学段</t>
    <phoneticPr fontId="1" type="noConversion"/>
  </si>
  <si>
    <t>幼儿园</t>
    <phoneticPr fontId="1" type="noConversion"/>
  </si>
  <si>
    <t>成人</t>
    <phoneticPr fontId="1" type="noConversion"/>
  </si>
  <si>
    <t>一贯制</t>
    <phoneticPr fontId="1" type="noConversion"/>
  </si>
  <si>
    <t>小学</t>
    <phoneticPr fontId="1" type="noConversion"/>
  </si>
  <si>
    <t>幼儿园</t>
    <phoneticPr fontId="1" type="noConversion"/>
  </si>
  <si>
    <t>初中</t>
    <phoneticPr fontId="1" type="noConversion"/>
  </si>
  <si>
    <t>初中</t>
    <phoneticPr fontId="1" type="noConversion"/>
  </si>
  <si>
    <t>小学</t>
    <phoneticPr fontId="1" type="noConversion"/>
  </si>
  <si>
    <t>成人</t>
    <phoneticPr fontId="1" type="noConversion"/>
  </si>
  <si>
    <t>2025年镇管单位补充公用经费预算表(年初预算）</t>
    <phoneticPr fontId="1" type="noConversion"/>
  </si>
  <si>
    <t>因故额外增加临时额度（2024人保提供）</t>
    <phoneticPr fontId="1" type="noConversion"/>
  </si>
  <si>
    <t>2025年金额（年初预算：按中位数测算，学校实际执行按人事部门规定标准执行，严禁超标准发放）</t>
    <phoneticPr fontId="1" type="noConversion"/>
  </si>
  <si>
    <t>课后延时</t>
    <phoneticPr fontId="1" type="noConversion"/>
  </si>
  <si>
    <t>奖金</t>
    <phoneticPr fontId="1" type="noConversion"/>
  </si>
  <si>
    <t>掌勺津贴</t>
    <phoneticPr fontId="1" type="noConversion"/>
  </si>
  <si>
    <t>小计</t>
    <phoneticPr fontId="1" type="noConversion"/>
  </si>
  <si>
    <t>一贯制</t>
    <phoneticPr fontId="1" type="noConversion"/>
  </si>
  <si>
    <t>华师虹桥幼儿园</t>
    <phoneticPr fontId="1" type="noConversion"/>
  </si>
  <si>
    <t>闵行区梅陇实验学校</t>
    <phoneticPr fontId="1" type="noConversion"/>
  </si>
  <si>
    <t>梅陇永联幼儿园</t>
    <phoneticPr fontId="1" type="noConversion"/>
  </si>
  <si>
    <t>福山实验学校</t>
    <phoneticPr fontId="1" type="noConversion"/>
  </si>
  <si>
    <t>上师大附中</t>
    <phoneticPr fontId="1" type="noConversion"/>
  </si>
  <si>
    <t>七宝启英宝盛幼儿园</t>
    <phoneticPr fontId="1" type="noConversion"/>
  </si>
  <si>
    <r>
      <t>2024年</t>
    </r>
    <r>
      <rPr>
        <sz val="16"/>
        <rFont val="宋体"/>
        <family val="3"/>
        <charset val="134"/>
        <scheme val="minor"/>
      </rPr>
      <t>在编人员绩效（含课后延时）清算</t>
    </r>
    <phoneticPr fontId="1" type="noConversion"/>
  </si>
  <si>
    <t>单 位</t>
  </si>
  <si>
    <t>属性2</t>
  </si>
  <si>
    <t>学段</t>
  </si>
  <si>
    <t>2024年核定金额</t>
    <phoneticPr fontId="1" type="noConversion"/>
  </si>
  <si>
    <t>2024年分配金额</t>
    <phoneticPr fontId="1" type="noConversion"/>
  </si>
  <si>
    <t>2025年清算金额</t>
    <phoneticPr fontId="1" type="noConversion"/>
  </si>
  <si>
    <t>合计（常规）</t>
    <phoneticPr fontId="1" type="noConversion"/>
  </si>
  <si>
    <t>其中：校长绩效工资项目</t>
    <phoneticPr fontId="1" type="noConversion"/>
  </si>
  <si>
    <t>总绩效</t>
  </si>
  <si>
    <t>课后延时</t>
  </si>
  <si>
    <t>义务</t>
  </si>
  <si>
    <t>九年一贯</t>
  </si>
  <si>
    <t>非义务</t>
  </si>
  <si>
    <t>社校</t>
  </si>
  <si>
    <t>幼儿园</t>
  </si>
  <si>
    <t>上海市闵行区康城幼儿园</t>
  </si>
  <si>
    <t>上海市闵行区实验幼儿园</t>
  </si>
  <si>
    <t>莘庄小计</t>
    <phoneticPr fontId="1" type="noConversion"/>
  </si>
  <si>
    <t>小学</t>
  </si>
  <si>
    <t>华东师范大学闵行永德实验小学</t>
  </si>
  <si>
    <t>吴泾小计</t>
    <phoneticPr fontId="1" type="noConversion"/>
  </si>
  <si>
    <t>初中</t>
  </si>
  <si>
    <t>闵行区航华第二幼儿园</t>
  </si>
  <si>
    <t>上海市闵行区星辰幼儿园</t>
  </si>
  <si>
    <t>上海市闵行区春欣幼儿园</t>
  </si>
  <si>
    <t>上海市闵行区七宝实验幼儿园</t>
  </si>
  <si>
    <t>上海市闵行区七宝皇都幼儿园</t>
  </si>
  <si>
    <t>上海市闵行区七宝明强幼儿园</t>
  </si>
  <si>
    <t>上海市闵行区七宝幼儿园</t>
  </si>
  <si>
    <t>上海市闵行区启英宝盛幼儿园</t>
  </si>
  <si>
    <t>七宝小计</t>
    <phoneticPr fontId="1" type="noConversion"/>
  </si>
  <si>
    <t>上海市闵行区福山实验学校</t>
  </si>
  <si>
    <t>上海市闵行区浦江镇第二幼儿园</t>
  </si>
  <si>
    <t>上海市闵行区浦江宝邸幼儿园</t>
  </si>
  <si>
    <t>上海市闵行区浦莲幼儿园</t>
  </si>
  <si>
    <t>上海市闵行区浦航幼儿园</t>
  </si>
  <si>
    <t>上海市闵行区浦江闸航路幼儿园</t>
  </si>
  <si>
    <t>上海市闵行区浦瑞幼儿园</t>
  </si>
  <si>
    <t>浦江小计</t>
    <phoneticPr fontId="1" type="noConversion"/>
  </si>
  <si>
    <t>华东理工大学附属闵行梅陇实验学校</t>
  </si>
  <si>
    <t>上海中医药大学附属闵行晶城中学</t>
  </si>
  <si>
    <t>上海中医药大学附属闵行蔷薇小学</t>
  </si>
  <si>
    <t>上海市闵行区梅陇镇社区学校</t>
  </si>
  <si>
    <t>上海市闵行区春申景城幼儿园</t>
  </si>
  <si>
    <t>上海市闵行区罗阳河畔幼儿园</t>
  </si>
  <si>
    <t>上海市闵行区晶华坊幼儿园</t>
  </si>
  <si>
    <t>上海市闵行区梅陇金都幼儿园</t>
  </si>
  <si>
    <t>上海市闵行区梅陇梅锦幼儿园</t>
  </si>
  <si>
    <t>上海市闵行区梅陇永联幼儿园</t>
  </si>
  <si>
    <t>梅陇小计</t>
    <phoneticPr fontId="1" type="noConversion"/>
  </si>
  <si>
    <t>上海市闵行区马桥复旦万科实验中学</t>
  </si>
  <si>
    <t>上海市马桥强恕学校</t>
  </si>
  <si>
    <t>上海市闵行区马桥文来外国语小学</t>
  </si>
  <si>
    <t>上海市闵行区马桥元祥幼儿园</t>
  </si>
  <si>
    <t>上海市闵行区马桥实验幼儿园</t>
  </si>
  <si>
    <t>上海市闵行区马桥富杰幼儿园</t>
  </si>
  <si>
    <t>上海市闵行区马桥启英幼儿园</t>
  </si>
  <si>
    <t>上海市闵行区马桥富卓幼儿园</t>
  </si>
  <si>
    <t>上海市闵行区马桥富国幼儿园</t>
  </si>
  <si>
    <t>马桥小计</t>
    <phoneticPr fontId="1" type="noConversion"/>
  </si>
  <si>
    <t>上海市闵行区纪王学校</t>
  </si>
  <si>
    <t>上海市闵行区华漕镇社区学校</t>
  </si>
  <si>
    <t>上海市闵行区华漕镇季乐路幼儿园</t>
  </si>
  <si>
    <t>上海市闵行区诸翟中心幼儿园</t>
  </si>
  <si>
    <t>上海市闵行区华漕镇金色幼儿园</t>
  </si>
  <si>
    <t>华漕小计</t>
    <phoneticPr fontId="1" type="noConversion"/>
  </si>
  <si>
    <t>上海市闵行区颛桥镇幼儿园</t>
  </si>
  <si>
    <t>上海市闵行区颛桥镇第一幼儿园</t>
  </si>
  <si>
    <t>上海市闵行区君莲幼儿园</t>
  </si>
  <si>
    <t>上海市闵行区颛桥镇田园都市幼儿园</t>
  </si>
  <si>
    <t>上海市闵行区颛桥镇第二幼儿园</t>
  </si>
  <si>
    <t>颛桥小计</t>
    <phoneticPr fontId="1" type="noConversion"/>
  </si>
  <si>
    <t>华东师范大学附属闵行虹桥学校</t>
    <phoneticPr fontId="2" type="noConversion"/>
  </si>
  <si>
    <t>华东师范大学附属闵行虹桥幼儿园</t>
    <phoneticPr fontId="2" type="noConversion"/>
  </si>
  <si>
    <t>上海市闵行区虹鹿幼儿园</t>
  </si>
  <si>
    <t>示范幼儿园</t>
  </si>
  <si>
    <t>虹桥小计</t>
    <phoneticPr fontId="1" type="noConversion"/>
  </si>
  <si>
    <t>镇级合计</t>
    <phoneticPr fontId="1" type="noConversion"/>
  </si>
  <si>
    <t>课后延时（1-12月）</t>
    <phoneticPr fontId="1" type="noConversion"/>
  </si>
  <si>
    <t>2024年镇管学校制度外用工清算核定表（补充公用经费清算不含储备老师）</t>
    <phoneticPr fontId="45" type="noConversion"/>
  </si>
  <si>
    <t>镇属</t>
    <phoneticPr fontId="45" type="noConversion"/>
  </si>
  <si>
    <t>学校名称</t>
  </si>
  <si>
    <t>课后延时</t>
    <phoneticPr fontId="1" type="noConversion"/>
  </si>
  <si>
    <t>2024年已下达课后延时金额</t>
    <phoneticPr fontId="1" type="noConversion"/>
  </si>
  <si>
    <t>清算课后延时金额</t>
    <phoneticPr fontId="1" type="noConversion"/>
  </si>
  <si>
    <t>莘庄</t>
    <phoneticPr fontId="45" type="noConversion"/>
  </si>
  <si>
    <t>吴泾</t>
    <phoneticPr fontId="45" type="noConversion"/>
  </si>
  <si>
    <t>七宝</t>
    <phoneticPr fontId="45" type="noConversion"/>
  </si>
  <si>
    <t>浦江</t>
    <phoneticPr fontId="45" type="noConversion"/>
  </si>
  <si>
    <t>梅陇</t>
    <phoneticPr fontId="45" type="noConversion"/>
  </si>
  <si>
    <t>上海市闵行区曹行小学</t>
  </si>
  <si>
    <t>马桥</t>
    <phoneticPr fontId="45" type="noConversion"/>
  </si>
  <si>
    <t>华漕</t>
    <phoneticPr fontId="45" type="noConversion"/>
  </si>
  <si>
    <t>颛桥</t>
    <phoneticPr fontId="45" type="noConversion"/>
  </si>
  <si>
    <t>虹桥</t>
    <phoneticPr fontId="45" type="noConversion"/>
  </si>
  <si>
    <t>闵行区颛桥中心小学</t>
    <phoneticPr fontId="1" type="noConversion"/>
  </si>
  <si>
    <t>闵行区职业年金补记人员汇总表（事业单位人员）</t>
    <phoneticPr fontId="2" type="noConversion"/>
  </si>
  <si>
    <t>事业单位名称</t>
  </si>
  <si>
    <t>镇属</t>
    <phoneticPr fontId="2" type="noConversion"/>
  </si>
  <si>
    <t>姓名</t>
  </si>
  <si>
    <t>身份证号码</t>
  </si>
  <si>
    <t>社保转出年月</t>
  </si>
  <si>
    <t>是否已完成年金补记缴费</t>
  </si>
  <si>
    <t>补记期限</t>
  </si>
  <si>
    <t>补记总月数
（*年*个月）</t>
  </si>
  <si>
    <t>补记金额</t>
  </si>
  <si>
    <t>吴泾</t>
    <phoneticPr fontId="2" type="noConversion"/>
  </si>
  <si>
    <t>徐佳</t>
  </si>
  <si>
    <t>310112198311232141</t>
  </si>
  <si>
    <t>否</t>
  </si>
  <si>
    <t>2012年8月-2014年9月</t>
  </si>
  <si>
    <t>2年2个月</t>
  </si>
  <si>
    <t>吴泾小计</t>
    <phoneticPr fontId="1" type="noConversion"/>
  </si>
  <si>
    <t>莘庄</t>
    <phoneticPr fontId="2" type="noConversion"/>
  </si>
  <si>
    <t>王琛妍</t>
  </si>
  <si>
    <t>31010819791007246X</t>
  </si>
  <si>
    <t>2000年7月-2014年9月</t>
  </si>
  <si>
    <t>14年2个月</t>
  </si>
  <si>
    <t>陈佳敏</t>
  </si>
  <si>
    <t>310112198309285666</t>
  </si>
  <si>
    <t>2005年6月-2014年9月</t>
  </si>
  <si>
    <t>9年3个月</t>
  </si>
  <si>
    <t>莘庄小计</t>
    <phoneticPr fontId="1" type="noConversion"/>
  </si>
  <si>
    <t>七宝</t>
    <phoneticPr fontId="2" type="noConversion"/>
  </si>
  <si>
    <t>金琴琳</t>
  </si>
  <si>
    <t>31022119730507042X</t>
  </si>
  <si>
    <t>2003年2月-2014年9月</t>
  </si>
  <si>
    <t>11年6个月</t>
  </si>
  <si>
    <t>张耘</t>
  </si>
  <si>
    <t>310102197211210028</t>
  </si>
  <si>
    <t>1991年7月-2014年9月</t>
  </si>
  <si>
    <t>23年3个月</t>
  </si>
  <si>
    <t>七宝小计</t>
    <phoneticPr fontId="1" type="noConversion"/>
  </si>
  <si>
    <t>浦江</t>
    <phoneticPr fontId="2" type="noConversion"/>
  </si>
  <si>
    <t>陆玉婷</t>
  </si>
  <si>
    <t>310112198611294926</t>
  </si>
  <si>
    <t>2012年9月-2014年9月</t>
  </si>
  <si>
    <t>2年1个月</t>
  </si>
  <si>
    <t>杜彩芸</t>
  </si>
  <si>
    <t>310112198612134625</t>
  </si>
  <si>
    <t>2008年7月-2014年9月</t>
  </si>
  <si>
    <t>6年3个月</t>
  </si>
  <si>
    <t>浦江小计</t>
    <phoneticPr fontId="1" type="noConversion"/>
  </si>
  <si>
    <t>梅陇</t>
    <phoneticPr fontId="2" type="noConversion"/>
  </si>
  <si>
    <t>罗纤纤</t>
  </si>
  <si>
    <t>340403199001270628</t>
  </si>
  <si>
    <t>2013年7月-2014年9月</t>
  </si>
  <si>
    <t>1年3个月</t>
  </si>
  <si>
    <t>上海市闵行区晶采坊幼儿园</t>
  </si>
  <si>
    <t>翁林璟</t>
  </si>
  <si>
    <t>310112198701213026</t>
  </si>
  <si>
    <t>2013年8月-2014年9月</t>
  </si>
  <si>
    <t>1年2个月</t>
  </si>
  <si>
    <t>俞晶卉</t>
  </si>
  <si>
    <t>310229199112030026</t>
  </si>
  <si>
    <t>2014年7月-2014年9月</t>
  </si>
  <si>
    <t>3个月</t>
  </si>
  <si>
    <t>傅肖琳</t>
  </si>
  <si>
    <t>310106199102180821</t>
  </si>
  <si>
    <t>陆璐婧</t>
  </si>
  <si>
    <t>310110198511235141</t>
  </si>
  <si>
    <t>祁嫔</t>
  </si>
  <si>
    <t>310112197912302120</t>
  </si>
  <si>
    <t>1998年7月-2014年9月</t>
  </si>
  <si>
    <t>16年3个月</t>
  </si>
  <si>
    <t>刘静</t>
  </si>
  <si>
    <t>31011219811123242X</t>
  </si>
  <si>
    <t>2004年8月-2014年9月</t>
  </si>
  <si>
    <t>10年2个月</t>
  </si>
  <si>
    <t>丁晓玲</t>
  </si>
  <si>
    <t>31011219810930392X</t>
  </si>
  <si>
    <t>2005年8月-2014年9月</t>
  </si>
  <si>
    <t>9年2个月</t>
  </si>
  <si>
    <t>王艳琴</t>
  </si>
  <si>
    <t>14042319770504082X</t>
  </si>
  <si>
    <t>刘嘉瑾</t>
  </si>
  <si>
    <t>310109198811252044</t>
  </si>
  <si>
    <t>2012年7月-2014年9月</t>
  </si>
  <si>
    <t>2年3个月</t>
  </si>
  <si>
    <t>汤小云</t>
  </si>
  <si>
    <t>310221197511153226</t>
  </si>
  <si>
    <t>2003年8月-2014年9月</t>
  </si>
  <si>
    <t>11年2个月</t>
  </si>
  <si>
    <t>张洁</t>
  </si>
  <si>
    <t>310112199112032723</t>
  </si>
  <si>
    <t>杨柳青</t>
  </si>
  <si>
    <t>310112198711040026</t>
  </si>
  <si>
    <t>25个月
（2年1个月）</t>
  </si>
  <si>
    <t>梅陇小计</t>
    <phoneticPr fontId="1" type="noConversion"/>
  </si>
  <si>
    <t>马桥</t>
    <phoneticPr fontId="2" type="noConversion"/>
  </si>
  <si>
    <t>韩伊</t>
  </si>
  <si>
    <t>310112197505010024</t>
  </si>
  <si>
    <t>2022年10月</t>
  </si>
  <si>
    <t>1993年7月-2014年9月</t>
  </si>
  <si>
    <t>21年3个月</t>
  </si>
  <si>
    <t>浦叶</t>
  </si>
  <si>
    <t>31011219811121212X</t>
  </si>
  <si>
    <t>2022年7月</t>
  </si>
  <si>
    <t>叶旖</t>
  </si>
  <si>
    <t>310112199107030328</t>
  </si>
  <si>
    <t>沈莉萍</t>
  </si>
  <si>
    <t>310224197506274727</t>
  </si>
  <si>
    <t>21年2个月</t>
  </si>
  <si>
    <t>马桥小计</t>
    <phoneticPr fontId="1" type="noConversion"/>
  </si>
  <si>
    <t>华漕</t>
    <phoneticPr fontId="2" type="noConversion"/>
  </si>
  <si>
    <t>顾序文</t>
  </si>
  <si>
    <t>310115198202175028</t>
  </si>
  <si>
    <t>曹汐然</t>
  </si>
  <si>
    <t>310112199105310625</t>
  </si>
  <si>
    <t>　2年3个月</t>
  </si>
  <si>
    <t>华漕小计</t>
    <phoneticPr fontId="1" type="noConversion"/>
  </si>
  <si>
    <t>虹桥</t>
    <phoneticPr fontId="2" type="noConversion"/>
  </si>
  <si>
    <t>叶宇蓓</t>
  </si>
  <si>
    <t>310108197607212423</t>
  </si>
  <si>
    <t>1994年7月-2014年9月</t>
  </si>
  <si>
    <t>20年2个月</t>
  </si>
  <si>
    <t>顾莹莹</t>
  </si>
  <si>
    <t>310105198704090021</t>
  </si>
  <si>
    <t>周君</t>
  </si>
  <si>
    <t>310103198308317041</t>
  </si>
  <si>
    <t>孙旻贤</t>
  </si>
  <si>
    <t>310105197805142826</t>
  </si>
  <si>
    <t>1998年7月-2005年12月
2009年8月-2014年9月</t>
  </si>
  <si>
    <t>12年8个月</t>
  </si>
  <si>
    <t>张燕</t>
  </si>
  <si>
    <t>310225198903101265</t>
  </si>
  <si>
    <t>2010年7月-2014年9月</t>
  </si>
  <si>
    <t>51个月（4年3个月）</t>
  </si>
  <si>
    <t>徐梦奇</t>
  </si>
  <si>
    <t>310105198812013621</t>
  </si>
  <si>
    <t>2011年7月-2014年9月</t>
  </si>
  <si>
    <t>39个月（3年3个月）</t>
  </si>
  <si>
    <t>王瑾</t>
  </si>
  <si>
    <t>210304197405180242</t>
  </si>
  <si>
    <t>122个月（10年2个月）</t>
  </si>
  <si>
    <t>其他单位已交不实</t>
    <phoneticPr fontId="1" type="noConversion"/>
  </si>
  <si>
    <t>徐燕婷</t>
  </si>
  <si>
    <t>310108198004162484</t>
  </si>
  <si>
    <t>171（14年3个月）</t>
  </si>
  <si>
    <t>钱莉</t>
  </si>
  <si>
    <t>310113198012145327</t>
  </si>
  <si>
    <t>110(9年2个月)</t>
  </si>
  <si>
    <t>贾文仪</t>
  </si>
  <si>
    <t>310105198812050027</t>
  </si>
  <si>
    <t>51(4年3个月)</t>
  </si>
  <si>
    <t>陈燕</t>
  </si>
  <si>
    <t>310112199006081521</t>
  </si>
  <si>
    <t>39(3年3个月)</t>
  </si>
  <si>
    <t>虹桥小计</t>
    <phoneticPr fontId="1" type="noConversion"/>
  </si>
  <si>
    <t>颛桥</t>
    <phoneticPr fontId="2" type="noConversion"/>
  </si>
  <si>
    <t>王昱程</t>
  </si>
  <si>
    <t>310105199107280000</t>
  </si>
  <si>
    <t>颛桥小计</t>
    <phoneticPr fontId="2" type="noConversion"/>
  </si>
  <si>
    <t>总计</t>
    <phoneticPr fontId="2" type="noConversion"/>
  </si>
  <si>
    <r>
      <rPr>
        <sz val="11"/>
        <rFont val="宋体"/>
        <family val="3"/>
        <charset val="134"/>
      </rPr>
      <t>学校名称</t>
    </r>
    <phoneticPr fontId="2" type="noConversion"/>
  </si>
  <si>
    <t>总量</t>
  </si>
  <si>
    <t>其中校长职级</t>
  </si>
  <si>
    <t>上海市闵行区七宝皇都幼儿园</t>
    <phoneticPr fontId="1" type="noConversion"/>
  </si>
  <si>
    <t>七宝</t>
    <phoneticPr fontId="1" type="noConversion"/>
  </si>
  <si>
    <t>华漕</t>
    <phoneticPr fontId="1" type="noConversion"/>
  </si>
  <si>
    <t>2024年绩效增量</t>
    <phoneticPr fontId="1" type="noConversion"/>
  </si>
  <si>
    <t>公/民办</t>
    <phoneticPr fontId="1" type="noConversion"/>
  </si>
  <si>
    <t>项目内容</t>
  </si>
  <si>
    <t>项目明细</t>
  </si>
  <si>
    <t>数量</t>
  </si>
  <si>
    <t>单价</t>
  </si>
  <si>
    <t>金额</t>
  </si>
  <si>
    <t>公办</t>
    <phoneticPr fontId="1" type="noConversion"/>
  </si>
  <si>
    <t>所属街镇</t>
  </si>
  <si>
    <t>审核金额</t>
  </si>
  <si>
    <t>闵行区虹桥镇教育委员会</t>
  </si>
  <si>
    <t>学区化集团化建设</t>
  </si>
  <si>
    <t>学区化办学建设</t>
  </si>
  <si>
    <t>各学段针对学区建设发展开展的项目、活动等</t>
  </si>
  <si>
    <t>义务教育新课程新教材建设标准专项经费</t>
  </si>
  <si>
    <t>实验设备、文化环境、专家费、评估费、培训费等</t>
  </si>
  <si>
    <t>闵行区华漕镇教育委员会</t>
  </si>
  <si>
    <t>闵行区马桥镇教育委员会</t>
  </si>
  <si>
    <t>闵行区梅陇镇教育委员会</t>
  </si>
  <si>
    <t>构建以传承中医药国学传统文化为特色的镇本课程</t>
  </si>
  <si>
    <t>艺术、体育、人文、科技四大类课程设置</t>
  </si>
  <si>
    <t>学前"德教双馨"骨干教师培优项目</t>
  </si>
  <si>
    <t>闵行区浦江镇教育委员会</t>
  </si>
  <si>
    <t>紧密型学区建设教育专项-初中教育联盟</t>
  </si>
  <si>
    <t>初中教育联盟</t>
  </si>
  <si>
    <t>紧密型学区建设教育专项-浦江戏剧教育园区</t>
  </si>
  <si>
    <t>浦江戏剧教育园区</t>
  </si>
  <si>
    <t>紧密型学区建设教育专项-小学教育联盟</t>
  </si>
  <si>
    <t>小学教育联盟</t>
  </si>
  <si>
    <t>紧密型学区建设教育专项-学前教育联盟</t>
  </si>
  <si>
    <t>学前教育联盟</t>
  </si>
  <si>
    <t>特色项目培育校</t>
  </si>
  <si>
    <t>闵行区优质特色培育校</t>
  </si>
  <si>
    <t>课程领导力项目</t>
  </si>
  <si>
    <t>闵行区七宝镇教育委员会</t>
  </si>
  <si>
    <t>初中联合休</t>
  </si>
  <si>
    <t>小学联合体</t>
  </si>
  <si>
    <t xml:space="preserve">学前联合体 </t>
  </si>
  <si>
    <t>闵行区莘庄镇教育委员会</t>
  </si>
  <si>
    <t>多元课程进校园</t>
  </si>
  <si>
    <t>讲课指导费、课程编制费、方案设计费、材料费、设计费、指导、活动组织、活动素材等</t>
  </si>
  <si>
    <t>太极文化进校园</t>
  </si>
  <si>
    <t>课时费、服装器材费、教材培训费、辅导课时费等</t>
  </si>
  <si>
    <t xml:space="preserve">整本书阅读的教学实践研究和教师培训 </t>
  </si>
  <si>
    <t>专家指导、校本教材、活动展示、宣传、撰写区域课程教材、区域课程教材定制费等</t>
  </si>
  <si>
    <t>莘芽童声合唱团</t>
  </si>
  <si>
    <t>专家费、音乐制作、训练器材、演出服、后勤、办公耗材、教材与创作等</t>
  </si>
  <si>
    <t>莘芽行进乐团</t>
  </si>
  <si>
    <t>专家指导费、购买训练设施、乐谱、乐器、乐器配件、维修费等</t>
  </si>
  <si>
    <t>莘庄镇小学教育联盟2024年深度推进均衡发展</t>
  </si>
  <si>
    <t>课程编制、开发与实施，课程资料与材料、课程辅导、课时费、指导劳务费、器材使用（租用）、宣传制作、背景喷绘、证书、活动用品等</t>
  </si>
  <si>
    <t>闵行区吴泾镇教育委员会</t>
  </si>
  <si>
    <t>教师发展项目</t>
  </si>
  <si>
    <t>教师选拔、培养、交流及成果交流展示等相关工作</t>
  </si>
  <si>
    <t>区域教育发展引领</t>
  </si>
  <si>
    <t>区域高质量发展规划、调研、交流互访、合作、展示等相关工作</t>
  </si>
  <si>
    <t>中小幼教育教学提升及优质辐射项目</t>
  </si>
  <si>
    <t>学校教育教学提升项目培育、辐射及交流展示等相关工作</t>
  </si>
  <si>
    <t>中小幼办学特色培育及辐射项目</t>
  </si>
  <si>
    <t>学校办学特色项目培育、辐射及交流展示等相关工作</t>
  </si>
  <si>
    <t>闵行区颛桥镇教育委员会</t>
  </si>
  <si>
    <t>2025年镇级单位预算表（普教二科第二批）</t>
    <phoneticPr fontId="1" type="noConversion"/>
  </si>
  <si>
    <r>
      <t>2024年</t>
    </r>
    <r>
      <rPr>
        <b/>
        <u/>
        <sz val="16"/>
        <rFont val="宋体"/>
        <family val="3"/>
        <charset val="134"/>
      </rPr>
      <t xml:space="preserve"> 上海中医药大学附属闵行晶城中学屋顶 </t>
    </r>
    <r>
      <rPr>
        <b/>
        <sz val="16"/>
        <rFont val="宋体"/>
        <family val="3"/>
        <charset val="134"/>
      </rPr>
      <t>应急校舍维修项目估算表</t>
    </r>
  </si>
  <si>
    <t>学校全称</t>
  </si>
  <si>
    <t>地址</t>
  </si>
  <si>
    <t>维修类型</t>
  </si>
  <si>
    <t>建筑物名称</t>
  </si>
  <si>
    <t>校舍修缮内容</t>
  </si>
  <si>
    <t>工程量</t>
  </si>
  <si>
    <t>单价（元）</t>
  </si>
  <si>
    <t>合价（元）</t>
  </si>
  <si>
    <t>闵行区梅陇镇朱行路16号</t>
  </si>
  <si>
    <t>校舍修缮</t>
  </si>
  <si>
    <t>教学楼、综合楼</t>
  </si>
  <si>
    <t>铲除原屋面防水卷材（砂浆基层损坏处修补）</t>
  </si>
  <si>
    <t>平方米</t>
  </si>
  <si>
    <t>铲除原屋面防水卷材（砂浆基层损坏处修补）+垃圾外运</t>
  </si>
  <si>
    <t>拆除沥青瓦</t>
  </si>
  <si>
    <t>铲除原屋面沥青瓦+垃圾外运</t>
  </si>
  <si>
    <t>聚合物水泥防水涂料</t>
  </si>
  <si>
    <t>裂缝环氧注浆补漏+部分2mm厚聚合物水泥防水涂料</t>
  </si>
  <si>
    <t>新做屋面防水卷材</t>
  </si>
  <si>
    <t>冷底子油+3厚SBS改性沥青防水卷材</t>
  </si>
  <si>
    <t>体育馆字牌墙及字</t>
  </si>
  <si>
    <t>钢骨架整修（起螺丝、部分除锈、局部防锈漆等）</t>
  </si>
  <si>
    <t>钢结构整修、防锈漆</t>
  </si>
  <si>
    <t>干挂3mm冲孔铝板</t>
  </si>
  <si>
    <t>钢管双排外脚手架</t>
  </si>
  <si>
    <t>20米以下钢管外脚手架</t>
  </si>
  <si>
    <t>台风后应急拆除及隐患排除</t>
  </si>
  <si>
    <t>项</t>
  </si>
  <si>
    <t>...</t>
  </si>
  <si>
    <t>（一）建安费合计</t>
  </si>
  <si>
    <t>上述合计</t>
  </si>
  <si>
    <t>（二）工程建设其他费</t>
  </si>
  <si>
    <t>200万以下按 建安费*10%
200万以上按建安费*12%</t>
  </si>
  <si>
    <t>空气检测费（如有）</t>
  </si>
  <si>
    <t>GB50325;GB/T18883 暂估900元/点</t>
  </si>
  <si>
    <t>场地检测费（如有）</t>
  </si>
  <si>
    <t>硅pu 30000元/塑胶跑道30000元/EPDM活动场地 30000元 /丙烯酸场地 30000元/人工草皮20000元/成品悬浮地板 10000元</t>
  </si>
  <si>
    <t>房屋检测费（如有）</t>
  </si>
  <si>
    <t>建安费大于100万元，校舍在2000年以前的校舍 16-20元/m2*建筑面积</t>
  </si>
  <si>
    <t>总投资（一）+（二）</t>
  </si>
  <si>
    <r>
      <t>2024年</t>
    </r>
    <r>
      <rPr>
        <b/>
        <u/>
        <sz val="16"/>
        <rFont val="宋体"/>
        <family val="3"/>
        <charset val="134"/>
      </rPr>
      <t xml:space="preserve"> 上海市闵行区北桥中学 </t>
    </r>
    <r>
      <rPr>
        <b/>
        <sz val="16"/>
        <rFont val="宋体"/>
        <family val="3"/>
        <charset val="134"/>
      </rPr>
      <t>应急校舍维修项目估算表</t>
    </r>
  </si>
  <si>
    <t>沪闵路1785号</t>
  </si>
  <si>
    <t>局部围墙倒塌修复</t>
  </si>
  <si>
    <t>拆除受损老围墙</t>
  </si>
  <si>
    <t>m2</t>
  </si>
  <si>
    <t>围墙挖土</t>
  </si>
  <si>
    <t>基础浇筑混凝土</t>
  </si>
  <si>
    <t>包括一台泵车、人工</t>
  </si>
  <si>
    <t>新砌围墙</t>
  </si>
  <si>
    <t>包括粉刷</t>
  </si>
  <si>
    <t>垃圾清运</t>
  </si>
  <si>
    <t>局部电子围栏损坏维修</t>
  </si>
  <si>
    <t>双防区张力控制杆</t>
  </si>
  <si>
    <t>台</t>
  </si>
  <si>
    <t>火德/一机六线制双防区</t>
  </si>
  <si>
    <t>张力控制杆底座</t>
  </si>
  <si>
    <t>套</t>
  </si>
  <si>
    <t>火德/铝合金型材</t>
  </si>
  <si>
    <t>受力杆</t>
  </si>
  <si>
    <t>根</t>
  </si>
  <si>
    <t>火德/铝质型材（4毫米厚）</t>
  </si>
  <si>
    <t>受力杆底座</t>
  </si>
  <si>
    <t>片</t>
  </si>
  <si>
    <t>火德/铝质型材</t>
  </si>
  <si>
    <t>中间杆</t>
  </si>
  <si>
    <t>火德/铝质型材（2毫米）</t>
  </si>
  <si>
    <t>中间杆底座</t>
  </si>
  <si>
    <t>火德/铝质底座</t>
  </si>
  <si>
    <t>受力不锈钢丝</t>
  </si>
  <si>
    <t>米</t>
  </si>
  <si>
    <t>火德/304不锈钢丝</t>
  </si>
  <si>
    <t>拉力弹簧</t>
  </si>
  <si>
    <t>只</t>
  </si>
  <si>
    <t>火德/不锈钢</t>
  </si>
  <si>
    <t>收紧器</t>
  </si>
  <si>
    <t>警示牌</t>
  </si>
  <si>
    <t>张</t>
  </si>
  <si>
    <t>火德/黄底红字</t>
  </si>
  <si>
    <t>铝夹头</t>
  </si>
  <si>
    <t>个</t>
  </si>
  <si>
    <t>火德/铝质</t>
  </si>
  <si>
    <t>安装附件</t>
  </si>
  <si>
    <t>批</t>
  </si>
  <si>
    <t>铁膨胀，不锈钢杆等</t>
  </si>
  <si>
    <t>施工费</t>
  </si>
  <si>
    <t>原倒伏杆线拆除/重新架设</t>
  </si>
  <si>
    <t>2024年镇级校舍维修尾款清算（第二次清算）</t>
    <phoneticPr fontId="45" type="noConversion"/>
  </si>
  <si>
    <t>已执行
金额费用</t>
    <phoneticPr fontId="45" type="noConversion"/>
  </si>
  <si>
    <t>华博小学</t>
  </si>
  <si>
    <t>2024年华博小学暑期修缮项目</t>
  </si>
  <si>
    <t>2024年上虹中学暑期校舍维修项目</t>
  </si>
  <si>
    <t>龙柏第一幼儿园分园</t>
  </si>
  <si>
    <t>2024年龙柏第一幼儿园分园暑期校舍维修项目</t>
  </si>
  <si>
    <t>龙柏第二幼儿园分园</t>
  </si>
  <si>
    <t>2024年龙柏第二幼儿园分园暑期校舍维修项目</t>
  </si>
  <si>
    <t>华虹小学</t>
  </si>
  <si>
    <t>2024年华虹小学暑期校舍维修项目</t>
  </si>
  <si>
    <t>上海市闵行区春申景城幼儿园（春城分园）</t>
  </si>
  <si>
    <t>春申景城幼儿园春申分园校舍维修</t>
  </si>
  <si>
    <t>上海闵行区民办弘梅小学</t>
  </si>
  <si>
    <t>民办弘梅小学校舍维修</t>
  </si>
  <si>
    <t>上海闵行区曹行小学</t>
  </si>
  <si>
    <t>曹行小学校舍维修</t>
  </si>
  <si>
    <t>2024年上海市航华中学校舍维修工程</t>
  </si>
  <si>
    <t>上海市闵行区黎明小学</t>
  </si>
  <si>
    <t>2024年上海市闵行区黎明小学校舍维修工程</t>
  </si>
  <si>
    <t>2024年七宝明强第二小学校舍维修工程</t>
  </si>
  <si>
    <t>闵行区七宝实验中学</t>
  </si>
  <si>
    <t>2024年七宝实验中学校舍维修工程</t>
  </si>
  <si>
    <t>闵行区七宝幼儿园</t>
  </si>
  <si>
    <t>2024年七宝幼儿园场地维修工程</t>
  </si>
  <si>
    <t>闵行区星辰幼儿园（金太阳分园）</t>
  </si>
  <si>
    <t>2024年星辰幼儿园（金太阳分园）校舍维修工程</t>
  </si>
  <si>
    <t>景东小学</t>
  </si>
  <si>
    <t>2024年吴泾镇镇管学校校舍修缮项目</t>
  </si>
  <si>
    <t>永德实验小学</t>
  </si>
  <si>
    <t>浦莲幼儿园、浦航幼儿园、宝邸幼儿园、宝邸水语园修缮项目</t>
  </si>
  <si>
    <t>上海市闵行区浦江宝邸幼儿园（水语园）</t>
  </si>
  <si>
    <t>浦航实验中学（北校区）</t>
  </si>
  <si>
    <t>浦航实验北校区修缮项目</t>
  </si>
  <si>
    <t>04-02(新开办幼儿园）</t>
  </si>
  <si>
    <t>04-02瑞和城幼儿园分园修缮项目</t>
  </si>
  <si>
    <t>上海市闵行区君莲学校(小学部）</t>
  </si>
  <si>
    <t>2024年君莲学校两校区维修工程</t>
  </si>
  <si>
    <t>上海市闵行区君莲学校(中学部）</t>
  </si>
  <si>
    <t>2024年北桥中学专项维修工程</t>
  </si>
  <si>
    <t>上海市闵行区君莲幼儿园（总园）</t>
  </si>
  <si>
    <t>2024年君莲幼儿园两校区维修工程</t>
  </si>
  <si>
    <t>上海市闵行区君莲幼儿园（春都分园）</t>
  </si>
  <si>
    <t>上海师范大学闵行实验幼儿园（复地园）</t>
  </si>
  <si>
    <t>2024年上师闵幼专项维修工程</t>
  </si>
  <si>
    <t>上海市闵行区田园外语实验小学（金都校区）</t>
  </si>
  <si>
    <t>2024年田园小学两校区维修工程</t>
  </si>
  <si>
    <t>2024年田园二外小校舍维修项目</t>
  </si>
  <si>
    <r>
      <rPr>
        <b/>
        <sz val="10"/>
        <rFont val="宋体"/>
        <family val="3"/>
        <charset val="134"/>
      </rPr>
      <t>办学类型</t>
    </r>
  </si>
  <si>
    <t>分类</t>
  </si>
  <si>
    <r>
      <rPr>
        <b/>
        <sz val="10"/>
        <rFont val="宋体"/>
        <family val="3"/>
        <charset val="134"/>
      </rPr>
      <t>学校名称</t>
    </r>
  </si>
  <si>
    <r>
      <rPr>
        <b/>
        <sz val="10"/>
        <rFont val="宋体"/>
        <family val="3"/>
        <charset val="134"/>
      </rPr>
      <t>项目名称</t>
    </r>
  </si>
  <si>
    <r>
      <rPr>
        <b/>
        <sz val="10"/>
        <rFont val="宋体"/>
        <family val="3"/>
        <charset val="134"/>
      </rPr>
      <t>项目内容</t>
    </r>
  </si>
  <si>
    <r>
      <rPr>
        <b/>
        <sz val="10"/>
        <rFont val="宋体"/>
        <family val="3"/>
        <charset val="134"/>
      </rPr>
      <t>项目明细</t>
    </r>
  </si>
  <si>
    <r>
      <rPr>
        <b/>
        <sz val="10"/>
        <rFont val="宋体"/>
        <family val="3"/>
        <charset val="134"/>
      </rPr>
      <t>规格型号或数量单位</t>
    </r>
  </si>
  <si>
    <r>
      <rPr>
        <b/>
        <sz val="10"/>
        <rFont val="宋体"/>
        <family val="3"/>
        <charset val="134"/>
      </rPr>
      <t>备注</t>
    </r>
  </si>
  <si>
    <t>华漕镇</t>
  </si>
  <si>
    <t>虹桥镇</t>
  </si>
  <si>
    <t>七宝镇</t>
  </si>
  <si>
    <t>梅陇镇</t>
  </si>
  <si>
    <t>颛桥镇</t>
  </si>
  <si>
    <t>吴泾镇</t>
  </si>
  <si>
    <t>浦江镇</t>
  </si>
  <si>
    <t>归属</t>
  </si>
  <si>
    <t>虹桥镇</t>
    <phoneticPr fontId="45" type="noConversion"/>
  </si>
  <si>
    <t>幼儿园</t>
    <phoneticPr fontId="1" type="noConversion"/>
  </si>
  <si>
    <t>新开办</t>
    <phoneticPr fontId="45" type="noConversion"/>
  </si>
  <si>
    <t>龙柏一幼</t>
    <phoneticPr fontId="1" type="noConversion"/>
  </si>
  <si>
    <t>龙柏一幼（雨林分园）</t>
    <phoneticPr fontId="1" type="noConversion"/>
  </si>
  <si>
    <t>批</t>
    <phoneticPr fontId="45" type="noConversion"/>
  </si>
  <si>
    <t>需细化</t>
    <phoneticPr fontId="45" type="noConversion"/>
  </si>
  <si>
    <t>设备购置与更新</t>
    <phoneticPr fontId="45" type="noConversion"/>
  </si>
  <si>
    <t>闵行区龙柏第二幼儿园</t>
    <phoneticPr fontId="1" type="noConversion"/>
  </si>
  <si>
    <t>设备购置与更新</t>
    <phoneticPr fontId="1" type="noConversion"/>
  </si>
  <si>
    <t>厨房设备更新</t>
    <phoneticPr fontId="1" type="noConversion"/>
  </si>
  <si>
    <t>虹桥镇</t>
    <phoneticPr fontId="2" type="noConversion"/>
  </si>
  <si>
    <t>小学</t>
    <phoneticPr fontId="1" type="noConversion"/>
  </si>
  <si>
    <t>为民办实事项目</t>
    <phoneticPr fontId="45" type="noConversion"/>
  </si>
  <si>
    <t>上海市闵行区虹桥中心小学</t>
    <phoneticPr fontId="1" type="noConversion"/>
  </si>
  <si>
    <t>华虹（教学点）普通教室空调购置</t>
    <phoneticPr fontId="1" type="noConversion"/>
  </si>
  <si>
    <t>空调设备购置</t>
    <phoneticPr fontId="1" type="noConversion"/>
  </si>
  <si>
    <t>普通教室空调购置3匹</t>
    <phoneticPr fontId="1" type="noConversion"/>
  </si>
  <si>
    <t>台</t>
    <phoneticPr fontId="45" type="noConversion"/>
  </si>
  <si>
    <t>九年一贯</t>
    <phoneticPr fontId="1" type="noConversion"/>
  </si>
  <si>
    <t>华东师范大学附属闵行虹桥学校</t>
    <phoneticPr fontId="1" type="noConversion"/>
  </si>
  <si>
    <t>便携式计算机更新</t>
    <phoneticPr fontId="1" type="noConversion"/>
  </si>
  <si>
    <t>教师便携式计算机更新</t>
    <phoneticPr fontId="1" type="noConversion"/>
  </si>
  <si>
    <t>虹桥镇</t>
    <phoneticPr fontId="1" type="noConversion"/>
  </si>
  <si>
    <t>设备添置更新</t>
    <phoneticPr fontId="1" type="noConversion"/>
  </si>
  <si>
    <t>家具设备更新</t>
    <phoneticPr fontId="1" type="noConversion"/>
  </si>
  <si>
    <t>学生餐桌更新（一桌六椅）</t>
    <phoneticPr fontId="1" type="noConversion"/>
  </si>
  <si>
    <t>套</t>
    <phoneticPr fontId="45" type="noConversion"/>
  </si>
  <si>
    <t>教师餐桌更新（一桌四椅）</t>
    <phoneticPr fontId="1" type="noConversion"/>
  </si>
  <si>
    <t>06-02地块幼儿园</t>
    <phoneticPr fontId="1" type="noConversion"/>
  </si>
  <si>
    <t>新开办学校（预估）</t>
    <phoneticPr fontId="1" type="noConversion"/>
  </si>
  <si>
    <t>华漕镇06-02地块幼儿园新建工程</t>
    <phoneticPr fontId="1" type="noConversion"/>
  </si>
  <si>
    <t>华漕镇06-02地块幼儿园新建工程（预估）</t>
    <phoneticPr fontId="1" type="noConversion"/>
  </si>
  <si>
    <t>华漕镇</t>
    <phoneticPr fontId="45" type="noConversion"/>
  </si>
  <si>
    <t>上海市闵行区华漕学校</t>
    <phoneticPr fontId="1" type="noConversion"/>
  </si>
  <si>
    <t>华博（北沈教学点）普通教室空调购置</t>
    <phoneticPr fontId="1" type="noConversion"/>
  </si>
  <si>
    <t>华博（纪王托管点）普通教室空调购置</t>
    <phoneticPr fontId="1" type="noConversion"/>
  </si>
  <si>
    <t>公务车更新</t>
    <phoneticPr fontId="45" type="noConversion"/>
  </si>
  <si>
    <t>闵行区诸翟学校</t>
    <phoneticPr fontId="1" type="noConversion"/>
  </si>
  <si>
    <t>公务车更新</t>
    <phoneticPr fontId="1" type="noConversion"/>
  </si>
  <si>
    <t>小型轿车</t>
    <phoneticPr fontId="1" type="noConversion"/>
  </si>
  <si>
    <t>辆</t>
    <phoneticPr fontId="45" type="noConversion"/>
  </si>
  <si>
    <t>其中1000上牌杂费</t>
    <phoneticPr fontId="45" type="noConversion"/>
  </si>
  <si>
    <t>华漕镇</t>
    <phoneticPr fontId="45" type="noConversion"/>
  </si>
  <si>
    <t>九年一贯</t>
    <phoneticPr fontId="1" type="noConversion"/>
  </si>
  <si>
    <t>闵行区华漕学校</t>
    <phoneticPr fontId="1" type="noConversion"/>
  </si>
  <si>
    <t>中型普客</t>
    <phoneticPr fontId="1" type="noConversion"/>
  </si>
  <si>
    <t>设备购置与更新</t>
    <phoneticPr fontId="45" type="noConversion"/>
  </si>
  <si>
    <t>上海市闵行区华漕学校</t>
    <phoneticPr fontId="1" type="noConversion"/>
  </si>
  <si>
    <t>设备购置与更新</t>
    <phoneticPr fontId="1" type="noConversion"/>
  </si>
  <si>
    <t>教室灯光改造</t>
    <phoneticPr fontId="1" type="noConversion"/>
  </si>
  <si>
    <t>普通教室灯光改造华漕学校（北沈路教学点）</t>
    <phoneticPr fontId="1" type="noConversion"/>
  </si>
  <si>
    <t>批</t>
    <phoneticPr fontId="45" type="noConversion"/>
  </si>
  <si>
    <t>马桥镇</t>
    <phoneticPr fontId="2" type="noConversion"/>
  </si>
  <si>
    <t>为民办实事项目</t>
    <phoneticPr fontId="45" type="noConversion"/>
  </si>
  <si>
    <t>上海市马桥强恕学校</t>
    <phoneticPr fontId="1" type="noConversion"/>
  </si>
  <si>
    <t>马桥（托管点）普通教室空调购置</t>
    <phoneticPr fontId="1" type="noConversion"/>
  </si>
  <si>
    <t>空调设备购置</t>
    <phoneticPr fontId="1" type="noConversion"/>
  </si>
  <si>
    <t>普通教室空调购置2匹</t>
    <phoneticPr fontId="1" type="noConversion"/>
  </si>
  <si>
    <t>台</t>
    <phoneticPr fontId="45" type="noConversion"/>
  </si>
  <si>
    <t>马桥镇</t>
    <phoneticPr fontId="1" type="noConversion"/>
  </si>
  <si>
    <t>理化实验室设施设备建设</t>
    <phoneticPr fontId="45" type="noConversion"/>
  </si>
  <si>
    <t>上海交通大学附属闵行马桥实验学校</t>
    <phoneticPr fontId="1" type="noConversion"/>
  </si>
  <si>
    <t>理化实验室设施设备建设</t>
    <phoneticPr fontId="1" type="noConversion"/>
  </si>
  <si>
    <t>马桥镇</t>
    <phoneticPr fontId="45" type="noConversion"/>
  </si>
  <si>
    <t>初中</t>
    <phoneticPr fontId="1" type="noConversion"/>
  </si>
  <si>
    <t>上海市闵行区马桥复旦万科实验中学</t>
    <phoneticPr fontId="1" type="noConversion"/>
  </si>
  <si>
    <t>设备购置与更新</t>
    <phoneticPr fontId="1" type="noConversion"/>
  </si>
  <si>
    <t>校园数字广播设备更新</t>
    <phoneticPr fontId="1" type="noConversion"/>
  </si>
  <si>
    <t>批</t>
    <phoneticPr fontId="45" type="noConversion"/>
  </si>
  <si>
    <t>马桥镇</t>
    <phoneticPr fontId="45" type="noConversion"/>
  </si>
  <si>
    <t>初中</t>
    <phoneticPr fontId="1" type="noConversion"/>
  </si>
  <si>
    <t>设备购置与更新</t>
    <phoneticPr fontId="45" type="noConversion"/>
  </si>
  <si>
    <t>厨房设备更新</t>
    <phoneticPr fontId="1" type="noConversion"/>
  </si>
  <si>
    <t>LED显示屏更新</t>
    <phoneticPr fontId="1" type="noConversion"/>
  </si>
  <si>
    <t>校门P4LED屏更新12平</t>
    <phoneticPr fontId="1" type="noConversion"/>
  </si>
  <si>
    <t>块</t>
    <phoneticPr fontId="45" type="noConversion"/>
  </si>
  <si>
    <t>梅陇镇</t>
    <phoneticPr fontId="45" type="noConversion"/>
  </si>
  <si>
    <t>小学</t>
    <phoneticPr fontId="1" type="noConversion"/>
  </si>
  <si>
    <t>为民办实事项目</t>
    <phoneticPr fontId="45" type="noConversion"/>
  </si>
  <si>
    <t>上海中医药大学附属闵行蔷薇小学</t>
    <phoneticPr fontId="1" type="noConversion"/>
  </si>
  <si>
    <t>弘梅（托管点）普通教室空调购置</t>
    <phoneticPr fontId="1" type="noConversion"/>
  </si>
  <si>
    <t>空调设备购置</t>
    <phoneticPr fontId="1" type="noConversion"/>
  </si>
  <si>
    <t>普通教室空调购置3匹吸顶</t>
    <phoneticPr fontId="1" type="noConversion"/>
  </si>
  <si>
    <t>台</t>
    <phoneticPr fontId="45" type="noConversion"/>
  </si>
  <si>
    <t>梅陇镇</t>
    <phoneticPr fontId="2" type="noConversion"/>
  </si>
  <si>
    <t>九年一贯</t>
    <phoneticPr fontId="1" type="noConversion"/>
  </si>
  <si>
    <t>华东理工大学附属闵行梅陇实验学校</t>
    <phoneticPr fontId="1" type="noConversion"/>
  </si>
  <si>
    <t>便携式计算机更新</t>
    <phoneticPr fontId="1" type="noConversion"/>
  </si>
  <si>
    <t>教师便携式计算机更新</t>
    <phoneticPr fontId="1" type="noConversion"/>
  </si>
  <si>
    <t>公务车更新</t>
    <phoneticPr fontId="45" type="noConversion"/>
  </si>
  <si>
    <t>上海市罗阳中学</t>
    <phoneticPr fontId="1" type="noConversion"/>
  </si>
  <si>
    <t>公务车更新</t>
    <phoneticPr fontId="1" type="noConversion"/>
  </si>
  <si>
    <t>小型轿车</t>
    <phoneticPr fontId="1" type="noConversion"/>
  </si>
  <si>
    <t>辆</t>
    <phoneticPr fontId="45" type="noConversion"/>
  </si>
  <si>
    <t>其中1000上牌杂费</t>
    <phoneticPr fontId="45" type="noConversion"/>
  </si>
  <si>
    <t>上海中医药大学附属闵行晶城中学</t>
    <phoneticPr fontId="1" type="noConversion"/>
  </si>
  <si>
    <t>校园数字广播更新</t>
    <phoneticPr fontId="1" type="noConversion"/>
  </si>
  <si>
    <t>梅陇镇</t>
    <phoneticPr fontId="45" type="noConversion"/>
  </si>
  <si>
    <t>校园电子围栏更新</t>
    <phoneticPr fontId="1" type="noConversion"/>
  </si>
  <si>
    <t>幼儿园</t>
    <phoneticPr fontId="1" type="noConversion"/>
  </si>
  <si>
    <t>闵行区浦江镇第二幼儿园</t>
    <phoneticPr fontId="1" type="noConversion"/>
  </si>
  <si>
    <t>厨房设备更新</t>
    <phoneticPr fontId="1" type="noConversion"/>
  </si>
  <si>
    <t>厨房排风设备更新</t>
    <phoneticPr fontId="1" type="noConversion"/>
  </si>
  <si>
    <t>上海市闵行区浦江宝邸幼儿园</t>
    <phoneticPr fontId="1" type="noConversion"/>
  </si>
  <si>
    <t>餐梯更新</t>
    <phoneticPr fontId="1" type="noConversion"/>
  </si>
  <si>
    <t>厨房餐梯更新</t>
    <phoneticPr fontId="1" type="noConversion"/>
  </si>
  <si>
    <t>上海市闵行区浦莲幼儿园</t>
    <phoneticPr fontId="1" type="noConversion"/>
  </si>
  <si>
    <t>排风设备更新</t>
    <phoneticPr fontId="1" type="noConversion"/>
  </si>
  <si>
    <t>小学</t>
    <phoneticPr fontId="1" type="noConversion"/>
  </si>
  <si>
    <t>上海市闵行区浦汇小学</t>
    <phoneticPr fontId="1" type="noConversion"/>
  </si>
  <si>
    <t>文馨（教学点）普通教室空调购置</t>
    <phoneticPr fontId="1" type="noConversion"/>
  </si>
  <si>
    <t>普通教室空调购置5匹</t>
    <phoneticPr fontId="1" type="noConversion"/>
  </si>
  <si>
    <t>上海市闵行区福山实验学校</t>
    <phoneticPr fontId="1" type="noConversion"/>
  </si>
  <si>
    <t>浦江镇</t>
    <phoneticPr fontId="1" type="noConversion"/>
  </si>
  <si>
    <t>上海世外教育附属浦江外国语学校</t>
    <phoneticPr fontId="1" type="noConversion"/>
  </si>
  <si>
    <t>LED屏购置</t>
    <phoneticPr fontId="1" type="noConversion"/>
  </si>
  <si>
    <t>操场P4LED屏购置32平方</t>
    <phoneticPr fontId="1" type="noConversion"/>
  </si>
  <si>
    <t>浦江镇</t>
    <phoneticPr fontId="45" type="noConversion"/>
  </si>
  <si>
    <t>闵行区浦江第三中学</t>
    <phoneticPr fontId="1" type="noConversion"/>
  </si>
  <si>
    <t>上海师范大学附属中学闵行实验学校</t>
    <phoneticPr fontId="1" type="noConversion"/>
  </si>
  <si>
    <t>塔吊实验室建设</t>
    <phoneticPr fontId="1" type="noConversion"/>
  </si>
  <si>
    <t>物理塔吊实验室（含家具、多媒体交互设备）设备购置</t>
  </si>
  <si>
    <t>教学仪器购置</t>
    <phoneticPr fontId="1" type="noConversion"/>
  </si>
  <si>
    <t>物理实验室仪器购置</t>
    <phoneticPr fontId="1" type="noConversion"/>
  </si>
  <si>
    <t>专用教室空调设备购置3匹</t>
    <phoneticPr fontId="1" type="noConversion"/>
  </si>
  <si>
    <t>上海市闵行区浦江第二中学</t>
    <phoneticPr fontId="1" type="noConversion"/>
  </si>
  <si>
    <t>体育馆空调设备购置5匹</t>
    <phoneticPr fontId="1" type="noConversion"/>
  </si>
  <si>
    <t>家具设备更新</t>
    <phoneticPr fontId="1" type="noConversion"/>
  </si>
  <si>
    <t>学生书包柜更新</t>
    <phoneticPr fontId="1" type="noConversion"/>
  </si>
  <si>
    <t>套</t>
    <phoneticPr fontId="45" type="noConversion"/>
  </si>
  <si>
    <t>七宝镇</t>
    <phoneticPr fontId="45" type="noConversion"/>
  </si>
  <si>
    <t>新开办（民转公）</t>
    <phoneticPr fontId="45" type="noConversion"/>
  </si>
  <si>
    <t>启英宝盛</t>
    <phoneticPr fontId="1" type="noConversion"/>
  </si>
  <si>
    <t>启英宝盛（茂盛园）</t>
    <phoneticPr fontId="1" type="noConversion"/>
  </si>
  <si>
    <t>闵行区黎明小学</t>
    <phoneticPr fontId="1" type="noConversion"/>
  </si>
  <si>
    <t>上海市闵行区七宝文来学校</t>
    <phoneticPr fontId="1" type="noConversion"/>
  </si>
  <si>
    <t>七宝镇</t>
    <phoneticPr fontId="2" type="noConversion"/>
  </si>
  <si>
    <t>空调设备购置3匹</t>
    <phoneticPr fontId="1" type="noConversion"/>
  </si>
  <si>
    <t>闵行区七宝第二中学</t>
    <phoneticPr fontId="1" type="noConversion"/>
  </si>
  <si>
    <t>上海市七宝实验中学</t>
    <phoneticPr fontId="1" type="noConversion"/>
  </si>
  <si>
    <t>录播设备购置</t>
    <phoneticPr fontId="1" type="noConversion"/>
  </si>
  <si>
    <t>音响设备购置</t>
    <phoneticPr fontId="1" type="noConversion"/>
  </si>
  <si>
    <t>体育馆音响设备购置</t>
    <phoneticPr fontId="1" type="noConversion"/>
  </si>
  <si>
    <t>上海市航华中学</t>
    <phoneticPr fontId="1" type="noConversion"/>
  </si>
  <si>
    <t>音响系统购置</t>
    <phoneticPr fontId="1" type="noConversion"/>
  </si>
  <si>
    <t>体育馆音响系统购置</t>
    <phoneticPr fontId="1" type="noConversion"/>
  </si>
  <si>
    <t>交互式多媒体设备更新</t>
    <phoneticPr fontId="1" type="noConversion"/>
  </si>
  <si>
    <t>80寸及以上交互式智慧黑板更新</t>
    <phoneticPr fontId="1" type="noConversion"/>
  </si>
  <si>
    <t>七宝镇</t>
    <phoneticPr fontId="45" type="noConversion"/>
  </si>
  <si>
    <t>上海市航华中学</t>
    <phoneticPr fontId="1" type="noConversion"/>
  </si>
  <si>
    <t>七宝镇</t>
    <phoneticPr fontId="1" type="noConversion"/>
  </si>
  <si>
    <t>搬迁项目</t>
    <phoneticPr fontId="45" type="noConversion"/>
  </si>
  <si>
    <t>上海市闵行区七宝第二中学北校区</t>
    <phoneticPr fontId="1" type="noConversion"/>
  </si>
  <si>
    <t>搬迁设备添置</t>
    <phoneticPr fontId="1" type="noConversion"/>
  </si>
  <si>
    <t>暂缓</t>
    <phoneticPr fontId="1" type="noConversion"/>
  </si>
  <si>
    <t>莘庄镇</t>
    <phoneticPr fontId="45" type="noConversion"/>
  </si>
  <si>
    <t>幼儿园</t>
    <phoneticPr fontId="1" type="noConversion"/>
  </si>
  <si>
    <t>新开办（民转公）</t>
    <phoneticPr fontId="45" type="noConversion"/>
  </si>
  <si>
    <t>实验幼儿园</t>
    <phoneticPr fontId="1" type="noConversion"/>
  </si>
  <si>
    <t>实验幼儿园（群英园）</t>
    <phoneticPr fontId="1" type="noConversion"/>
  </si>
  <si>
    <t>需细化</t>
    <phoneticPr fontId="45" type="noConversion"/>
  </si>
  <si>
    <t>华东师范大学闵行永德实验幼儿园</t>
    <phoneticPr fontId="1" type="noConversion"/>
  </si>
  <si>
    <t>吴泾镇</t>
    <phoneticPr fontId="2" type="noConversion"/>
  </si>
  <si>
    <t>上海市闵行区景东小学</t>
    <phoneticPr fontId="1" type="noConversion"/>
  </si>
  <si>
    <t>塘湾（托管点）普通教室空调购置</t>
    <phoneticPr fontId="1" type="noConversion"/>
  </si>
  <si>
    <t>吴泾镇</t>
    <phoneticPr fontId="1" type="noConversion"/>
  </si>
  <si>
    <t>搬迁项目</t>
    <phoneticPr fontId="45" type="noConversion"/>
  </si>
  <si>
    <t>塘湾教学点搬迁设备添置</t>
    <phoneticPr fontId="1" type="noConversion"/>
  </si>
  <si>
    <t>厨房设备添置</t>
    <phoneticPr fontId="1" type="noConversion"/>
  </si>
  <si>
    <t>上海市闵行区颛桥镇幼儿园</t>
    <phoneticPr fontId="1" type="noConversion"/>
  </si>
  <si>
    <t>上海师范大学闵行实验幼儿园</t>
    <phoneticPr fontId="1" type="noConversion"/>
  </si>
  <si>
    <t>颛桥镇</t>
    <phoneticPr fontId="45" type="noConversion"/>
  </si>
  <si>
    <t>闵行区颛桥中心小学</t>
    <phoneticPr fontId="1" type="noConversion"/>
  </si>
  <si>
    <t>华星（托管点）普通教室空调购置</t>
    <phoneticPr fontId="1" type="noConversion"/>
  </si>
  <si>
    <t>普通教室空调购置3匹</t>
    <phoneticPr fontId="1" type="noConversion"/>
  </si>
  <si>
    <t>颛桥镇</t>
    <phoneticPr fontId="2" type="noConversion"/>
  </si>
  <si>
    <t>闵行区北桥中心小学</t>
    <phoneticPr fontId="1" type="noConversion"/>
  </si>
  <si>
    <t>银星（托管点）普通教室空调购置</t>
    <phoneticPr fontId="1" type="noConversion"/>
  </si>
  <si>
    <t>闵行区田园外语实验小学</t>
    <phoneticPr fontId="1" type="noConversion"/>
  </si>
  <si>
    <t>上海市闵行区君莲学校</t>
    <phoneticPr fontId="1" type="noConversion"/>
  </si>
  <si>
    <t>厨房设备购置</t>
    <phoneticPr fontId="1" type="noConversion"/>
  </si>
  <si>
    <t>教室空调设备购置3匹</t>
    <phoneticPr fontId="1" type="noConversion"/>
  </si>
  <si>
    <t>上海市闵行区君莲学校</t>
    <phoneticPr fontId="1" type="noConversion"/>
  </si>
  <si>
    <t>教室、餐厅空调设备购置5匹吸顶</t>
    <phoneticPr fontId="1" type="noConversion"/>
  </si>
  <si>
    <t>家具设备购置</t>
    <phoneticPr fontId="1" type="noConversion"/>
  </si>
  <si>
    <t>教学家具设备购置</t>
    <phoneticPr fontId="1" type="noConversion"/>
  </si>
  <si>
    <t>学生计算机更新</t>
    <phoneticPr fontId="1" type="noConversion"/>
  </si>
  <si>
    <t>便携式计算机更新</t>
    <phoneticPr fontId="1" type="noConversion"/>
  </si>
  <si>
    <t>教师便携式计算机更新</t>
    <phoneticPr fontId="1" type="noConversion"/>
  </si>
  <si>
    <t>交互式多媒体设备更新</t>
    <phoneticPr fontId="1" type="noConversion"/>
  </si>
  <si>
    <t>80寸及以上交互式智慧黑板更新</t>
    <phoneticPr fontId="1" type="noConversion"/>
  </si>
  <si>
    <t>块</t>
    <phoneticPr fontId="45" type="noConversion"/>
  </si>
  <si>
    <t>直录播系统购置</t>
    <phoneticPr fontId="1" type="noConversion"/>
  </si>
  <si>
    <t>教学器材设备购置</t>
    <phoneticPr fontId="1" type="noConversion"/>
  </si>
  <si>
    <t>体育器材设备购置</t>
    <phoneticPr fontId="1" type="noConversion"/>
  </si>
  <si>
    <t>校园网络建设</t>
    <phoneticPr fontId="1" type="noConversion"/>
  </si>
  <si>
    <t>校园网络建设（含网络设备、无线覆盖、综合布线）</t>
    <phoneticPr fontId="1" type="noConversion"/>
  </si>
  <si>
    <t>设备拆装调试费</t>
    <phoneticPr fontId="1" type="noConversion"/>
  </si>
  <si>
    <t>上海市闵行区北桥中学</t>
    <phoneticPr fontId="1" type="noConversion"/>
  </si>
  <si>
    <t>上海市闵行区田园外国语中学</t>
    <phoneticPr fontId="1" type="noConversion"/>
  </si>
  <si>
    <t>搬迁君莲校区添置设备</t>
    <phoneticPr fontId="1" type="noConversion"/>
  </si>
  <si>
    <t>附细化表，教育局统一采购</t>
    <phoneticPr fontId="45" type="noConversion"/>
  </si>
  <si>
    <t>附细化表，教育局统一采购</t>
    <phoneticPr fontId="45" type="noConversion"/>
  </si>
  <si>
    <t>2025年抚恤金(1-3月）</t>
    <phoneticPr fontId="45" type="noConversion"/>
  </si>
  <si>
    <t>镇属</t>
    <phoneticPr fontId="1" type="noConversion"/>
  </si>
  <si>
    <t>金额</t>
    <phoneticPr fontId="1" type="noConversion"/>
  </si>
  <si>
    <t>莘庄</t>
    <phoneticPr fontId="1" type="noConversion"/>
  </si>
  <si>
    <t>华漕</t>
    <phoneticPr fontId="1" type="noConversion"/>
  </si>
  <si>
    <t>马桥</t>
    <phoneticPr fontId="1" type="noConversion"/>
  </si>
  <si>
    <t>梅陇</t>
    <phoneticPr fontId="1" type="noConversion"/>
  </si>
  <si>
    <t>七宝</t>
    <phoneticPr fontId="1" type="noConversion"/>
  </si>
  <si>
    <t>颛桥</t>
    <phoneticPr fontId="1" type="noConversion"/>
  </si>
  <si>
    <t>上海市闵行区浦江第二小学</t>
    <phoneticPr fontId="1" type="noConversion"/>
  </si>
  <si>
    <t>浦江</t>
    <phoneticPr fontId="1" type="noConversion"/>
  </si>
  <si>
    <t>上海市闵行区浦江第三小学</t>
    <phoneticPr fontId="1" type="noConversion"/>
  </si>
  <si>
    <t>闵行区浦江镇第三幼儿园</t>
    <phoneticPr fontId="1" type="noConversion"/>
  </si>
  <si>
    <t>上海市闵行区浦江第三中学</t>
    <phoneticPr fontId="1" type="noConversion"/>
  </si>
  <si>
    <t>镇属</t>
    <phoneticPr fontId="45" type="noConversion"/>
  </si>
  <si>
    <r>
      <t xml:space="preserve">总投资
</t>
    </r>
    <r>
      <rPr>
        <b/>
        <sz val="10"/>
        <rFont val="宋体"/>
        <family val="3"/>
        <charset val="134"/>
      </rPr>
      <t>（财政批复）</t>
    </r>
    <phoneticPr fontId="45" type="noConversion"/>
  </si>
  <si>
    <r>
      <t xml:space="preserve">建安费
</t>
    </r>
    <r>
      <rPr>
        <b/>
        <sz val="10"/>
        <rFont val="宋体"/>
        <family val="3"/>
        <charset val="134"/>
      </rPr>
      <t>（财政批复）</t>
    </r>
    <phoneticPr fontId="45" type="noConversion"/>
  </si>
  <si>
    <t>施工合同价</t>
    <phoneticPr fontId="45" type="noConversion"/>
  </si>
  <si>
    <t>工程审定价</t>
    <phoneticPr fontId="45" type="noConversion"/>
  </si>
  <si>
    <t>二类费用</t>
    <phoneticPr fontId="45" type="noConversion"/>
  </si>
  <si>
    <t>应执行
金额费用</t>
    <phoneticPr fontId="45" type="noConversion"/>
  </si>
  <si>
    <t>尾款清算
金额费用</t>
    <phoneticPr fontId="45" type="noConversion"/>
  </si>
  <si>
    <t>虹桥</t>
    <phoneticPr fontId="45" type="noConversion"/>
  </si>
  <si>
    <t>浦江</t>
    <phoneticPr fontId="45" type="noConversion"/>
  </si>
  <si>
    <r>
      <rPr>
        <b/>
        <sz val="18"/>
        <rFont val="宋体"/>
        <family val="1"/>
        <charset val="134"/>
      </rPr>
      <t>（镇管）</t>
    </r>
    <r>
      <rPr>
        <b/>
        <sz val="18"/>
        <rFont val="Times New Roman"/>
        <family val="1"/>
      </rPr>
      <t>2025</t>
    </r>
    <r>
      <rPr>
        <b/>
        <sz val="18"/>
        <rFont val="宋体"/>
        <family val="3"/>
        <charset val="134"/>
      </rPr>
      <t>年闵行区教育设备专项预算申报汇总表</t>
    </r>
    <phoneticPr fontId="45" type="noConversion"/>
  </si>
  <si>
    <t>附细化表，除家具外教育局统一采购</t>
    <phoneticPr fontId="45" type="noConversion"/>
  </si>
  <si>
    <t>审定金额(元)</t>
  </si>
  <si>
    <t>教学楼</t>
  </si>
  <si>
    <t>1F护墙板更换（含拆除及新做）</t>
  </si>
  <si>
    <t>㎡</t>
  </si>
  <si>
    <t>1F木地板更换（含拆除）</t>
  </si>
  <si>
    <t>1F地面30厚水泥砂浆粉刷找平层</t>
  </si>
  <si>
    <t>点</t>
  </si>
  <si>
    <t>校舍维修</t>
  </si>
  <si>
    <t>建筑外墙涂料整体修缮（含脚手架）</t>
  </si>
  <si>
    <t>空调架</t>
  </si>
  <si>
    <t>厕所维修(含拆除、水电、洁具、装饰等）</t>
  </si>
  <si>
    <t>场地</t>
  </si>
  <si>
    <t>原塑胶场地拆除及修补、新做细沥青基层</t>
  </si>
  <si>
    <t>新做15厚EPDM塑胶（含划线）</t>
  </si>
  <si>
    <t>原窨井及局部侧石抬高</t>
  </si>
  <si>
    <t>塑胶场地</t>
  </si>
  <si>
    <t>厨房天花改造、灯具排气扇</t>
  </si>
  <si>
    <t>原外墙涂料、马赛克铲除至基层，及水泥砂浆基层找平</t>
  </si>
  <si>
    <t>建筑外墙涂料整体修缮</t>
  </si>
  <si>
    <t>空调配电</t>
  </si>
  <si>
    <t>1#2#3#楼</t>
  </si>
  <si>
    <t>空调总配电箱</t>
  </si>
  <si>
    <t>空调配电箱</t>
  </si>
  <si>
    <t>单相空调插座</t>
  </si>
  <si>
    <t>三相空调插座箱</t>
  </si>
  <si>
    <t>300*100桥架</t>
  </si>
  <si>
    <t>m</t>
  </si>
  <si>
    <t>WDZB-YJV-4*70+E35</t>
  </si>
  <si>
    <t>WDZB-YJV-4*50+E25</t>
  </si>
  <si>
    <t>WDZB-YJV-5*6</t>
  </si>
  <si>
    <t>WDZB-YJV-3*6</t>
  </si>
  <si>
    <t>JDG40</t>
  </si>
  <si>
    <t>室外部分</t>
  </si>
  <si>
    <t>SC150</t>
  </si>
  <si>
    <t>WDZB-YJV-4*240+E120</t>
  </si>
  <si>
    <t>WDZB-YJV-4*95+E50</t>
  </si>
  <si>
    <t>WDZBN-YJY-4*150+1*70</t>
  </si>
  <si>
    <t>电缆井</t>
  </si>
  <si>
    <t>土方开挖及回填</t>
  </si>
  <si>
    <t>道路地面拆除后修复</t>
  </si>
  <si>
    <t>变电房部分</t>
  </si>
  <si>
    <t>变压器800KVA</t>
  </si>
  <si>
    <t>高压开关柜</t>
  </si>
  <si>
    <t>低压开关柜</t>
  </si>
  <si>
    <t>2#电源进线柜AA1</t>
  </si>
  <si>
    <t>配电箱AA2</t>
  </si>
  <si>
    <t>WDZBN-YJY-4*120+E70</t>
  </si>
  <si>
    <t>灯具</t>
  </si>
  <si>
    <t>三相插座箱</t>
  </si>
  <si>
    <t>双联二三级插座</t>
  </si>
  <si>
    <t>三联单控开关</t>
  </si>
  <si>
    <t>室内电缆沟、墙面、地面老旧重新施工、粉刷</t>
  </si>
  <si>
    <t>接地系统</t>
  </si>
  <si>
    <t>老旧设备拆除、垃圾外运</t>
  </si>
  <si>
    <t>系统调试</t>
  </si>
  <si>
    <t>二类费</t>
  </si>
  <si>
    <t>建安费*12%</t>
  </si>
  <si>
    <t>工程建设检测配套费</t>
  </si>
  <si>
    <t>多回路进线费用</t>
  </si>
  <si>
    <t>（二）工程建设其他费合计</t>
  </si>
  <si>
    <t>二</t>
  </si>
  <si>
    <t>卫生间整体改造</t>
  </si>
  <si>
    <t>樘</t>
  </si>
  <si>
    <t>给排水工程</t>
  </si>
  <si>
    <t>电气工程</t>
  </si>
  <si>
    <t>小学部教学楼</t>
  </si>
  <si>
    <t>外墙涂料（铲除原涂料层，在马赛克墙面上刷界面剂，双组份腻子，真石漆涂料，脚手架）</t>
  </si>
  <si>
    <t>中学部教学楼</t>
  </si>
  <si>
    <t>食堂</t>
  </si>
  <si>
    <t>门卫</t>
  </si>
  <si>
    <t>外墙涂料（铲除原涂料层，在马赛克墙面上刷界面剂，双组份腻子，真石漆涂料，无脚手架）</t>
  </si>
  <si>
    <t>围墙</t>
  </si>
  <si>
    <t>外墙涂料（铲除原涂料层，局部水泥砂浆找平，防水外墙涂料）</t>
  </si>
  <si>
    <t>篮球场 排球场</t>
  </si>
  <si>
    <t>8mm彩色弹性硅PU（含铲除、划线）、30厚细粒式沥青砼（AC-05I型）</t>
  </si>
  <si>
    <t>500*500*60成品钢筋混凝土雨水沟盖板</t>
  </si>
  <si>
    <t>硅PU</t>
  </si>
  <si>
    <t>新建大门</t>
  </si>
  <si>
    <t>安装2m高铝合金电动平移门（门净宽6m）</t>
  </si>
  <si>
    <t>新建围墙</t>
  </si>
  <si>
    <t>新建混凝土柱丙烯酸弹性外墙涂料饰面镂空铝合金围墙</t>
  </si>
  <si>
    <t>新建室外道路</t>
  </si>
  <si>
    <t>新建道路基础，铺设40厚AC-05细沥青+40厚AC-20中沥青混凝土，含划线</t>
  </si>
  <si>
    <t>新建绿化</t>
  </si>
  <si>
    <t>西侧道路两侧改绿化</t>
  </si>
  <si>
    <t>新建格栅检测井</t>
  </si>
  <si>
    <t>道路</t>
  </si>
  <si>
    <t>增加3个雨水井接入雨水系统</t>
  </si>
  <si>
    <t>围墙及局部外墙</t>
  </si>
  <si>
    <t>现有围墙更新弹性腻子及丙烯酸弹性外墙涂料饰面层、局部粉刷20厚DP20水泥砂浆找平层</t>
  </si>
  <si>
    <t>西侧教学楼外墙更换断热铝合金真空玻璃窗</t>
  </si>
  <si>
    <t>外墙涂料（原有外墙打磨 界面剂处理、外立面整体防水处理、外墙更新为丙烯酸弹性外墙涂料）</t>
  </si>
  <si>
    <t>屋面聚氨酯防水涂膜，屋顶铺设两层高分子防水卷材</t>
  </si>
  <si>
    <t>外墙涂料（铲除原外墙涂料至保温层，1.5厚高聚物改性沥青防水涂料，腻子+网格布，喷涂外墙涂料）</t>
  </si>
  <si>
    <t>井亭分园大楼北楼</t>
  </si>
  <si>
    <t>平屋面维修（铲除屋面防水层，轻集料找坡、APP防水卷材、1.5厚防水涂料二道）</t>
  </si>
  <si>
    <t>内墙涂料</t>
  </si>
  <si>
    <t>外墙涂料（含铲、界面剂、腻子、网格布、涂料、脚手架）、局部彩绘</t>
  </si>
  <si>
    <t>室内局部浸水内墙涂料更新</t>
  </si>
  <si>
    <t>外墙涂料（含铲、界面剂、腻子、网格布、涂料、脚手架）</t>
  </si>
  <si>
    <t>原140KVA低压更换为630KVA高压，新增变压器设备及用户站土建改造、后出现工程等</t>
  </si>
  <si>
    <t>变电所</t>
  </si>
  <si>
    <t>原有建筑物按照变电所进行改造</t>
  </si>
  <si>
    <t>630KVA高压电力系统</t>
  </si>
  <si>
    <t>后出线电缆</t>
  </si>
  <si>
    <t>室外电缆井</t>
  </si>
  <si>
    <t>座</t>
  </si>
  <si>
    <t>新增空调专用金属线槽</t>
  </si>
  <si>
    <t>配电箱</t>
  </si>
  <si>
    <t>防雷接地装置</t>
  </si>
  <si>
    <t>开挖、敷设管及修复费用</t>
  </si>
  <si>
    <t>供电局多回路容量</t>
  </si>
  <si>
    <t>KVA</t>
  </si>
  <si>
    <t>原水泵房泵更换</t>
  </si>
  <si>
    <t>室外消防管道更换（含地面开挖及回填）</t>
  </si>
  <si>
    <t>室内消火栓、配件和管道损坏处修缮</t>
  </si>
  <si>
    <t>原塑胶场地拆除及修补</t>
  </si>
  <si>
    <t>新做15厚EPDM塑胶</t>
  </si>
  <si>
    <t>EPDM场地</t>
  </si>
  <si>
    <t>局部内墙涂料铲除至结构层</t>
  </si>
  <si>
    <t>新做20厚HF二氧化硅保温材料、抹面砂浆</t>
  </si>
  <si>
    <t>新做内墙腻子（内嵌网格布）及内墙涂料</t>
  </si>
  <si>
    <t>活动室木地板修缮</t>
  </si>
  <si>
    <t>塑胶跑道及半圆处塑胶地面铲除</t>
  </si>
  <si>
    <t>新做13厚塑胶跑道（含划线）</t>
  </si>
  <si>
    <t>人造草足球场铲除及基础修补</t>
  </si>
  <si>
    <t>人造草足球场改造</t>
  </si>
  <si>
    <t>塑胶跑道+人工草</t>
  </si>
  <si>
    <t>篮球场（含PU铲除、基础修补、垃圾外运、新做8厚硅PU面层、划线）</t>
  </si>
  <si>
    <t>原沥青路面损坏铲除并修补、新做40厚细沥青路面</t>
  </si>
  <si>
    <t>雨污水管道更换（含开挖及回填）</t>
  </si>
  <si>
    <t>原围墙拆除及新做围墙（含柱子及基础）</t>
  </si>
  <si>
    <t>篮球场</t>
  </si>
  <si>
    <t>人行入口改造</t>
  </si>
  <si>
    <t>入口拓宽（含新做铁门及立柱）、沥青路面（含下挖；混凝土基础）、防腐木座椅、新做混凝土侧平石、局部绿化修复</t>
  </si>
  <si>
    <t>屋面伸缩缝防水改造</t>
  </si>
  <si>
    <t>外墙整体改造（含脚手架、铲除、防水层及新做外墙涂料、窗户打胶）</t>
  </si>
  <si>
    <t>厨房整体改造</t>
  </si>
  <si>
    <t>篮球场PU铲除及基层修补</t>
  </si>
  <si>
    <t>新做8厚硅PU含划线</t>
  </si>
  <si>
    <t>体育馆</t>
  </si>
  <si>
    <t>一层击剑馆修缮（含墙面吸音板、文焕造型、铝方通吊顶、实木运动地板、灯具、强电等）</t>
  </si>
  <si>
    <t>二层体育馆修缮（含墙面吸音板、文焕造型、顶面、实木运动地板、灯具、强电等）</t>
  </si>
  <si>
    <t>一层二层厕所改造（含铲除，装饰、水电、洁具等）</t>
  </si>
  <si>
    <t>校舍维修工程</t>
  </si>
  <si>
    <t>学校建筑外墙面</t>
  </si>
  <si>
    <t>拆除建筑外立面EPS线条、造型</t>
  </si>
  <si>
    <t>设备房外墙面真石漆</t>
  </si>
  <si>
    <t>文体中心外墙面真石漆</t>
  </si>
  <si>
    <t>普通教室楼外墙面真石漆</t>
  </si>
  <si>
    <t>综合楼外墙面真石漆</t>
  </si>
  <si>
    <t>专用教室楼外墙面真石漆</t>
  </si>
  <si>
    <t>风雨连廊a、b外墙面真石漆</t>
  </si>
  <si>
    <t>门卫室外墙面真石漆</t>
  </si>
  <si>
    <t>闵行区曹行中心幼儿园（春申）</t>
  </si>
  <si>
    <t>2-3F卫生间整体改造（含土建、水电、洁具）6间</t>
  </si>
  <si>
    <t>四</t>
  </si>
  <si>
    <t>闵行区航华第二幼儿园（总园）</t>
  </si>
  <si>
    <t>幼儿厕所整体改造</t>
  </si>
  <si>
    <t>新做细沥青基层</t>
  </si>
  <si>
    <t>闵行区航华第二幼儿园（分园）</t>
  </si>
  <si>
    <t>原塑胶场地铲除、含清理找平</t>
  </si>
  <si>
    <t>彩铝窗打胶</t>
  </si>
  <si>
    <t>原外墙涂料、内部马赛克铲除至基层，新做20厚水泥砂浆基层</t>
  </si>
  <si>
    <t>新做外墙涂料</t>
  </si>
  <si>
    <t>航华中学</t>
  </si>
  <si>
    <t>阶梯教室</t>
  </si>
  <si>
    <t>轻钢龙骨石膏板铝方通造型吊顶</t>
  </si>
  <si>
    <t>拆除原吊顶</t>
  </si>
  <si>
    <t xml:space="preserve">拆除拆除舞台、原阶梯台阶、实木地板及龙骨；
</t>
  </si>
  <si>
    <t>新做钢结构地面抬高，含25厚毛地板两层</t>
  </si>
  <si>
    <t>新做15mm厚实木复合地板及成品踢脚线。</t>
  </si>
  <si>
    <t>拆除原有吸音板，新做陶铝吸音板（含龙骨）</t>
  </si>
  <si>
    <t>入口台阶</t>
  </si>
  <si>
    <t>双开门</t>
  </si>
  <si>
    <t>强、弱电气改造</t>
  </si>
  <si>
    <t>屋顶防水、绿化铲除 至结构层 新做防水及保温</t>
  </si>
  <si>
    <t>七宝明强小学（西校）</t>
  </si>
  <si>
    <t>男女厕所整体改造</t>
  </si>
  <si>
    <t>塑胶场地拆除</t>
  </si>
  <si>
    <t>新做13厚塑胶跑道</t>
  </si>
  <si>
    <t>外墙涂料空鼓处铲除至结构层</t>
  </si>
  <si>
    <t>新做外墙涂料（含20厚水泥砂浆基层）</t>
  </si>
  <si>
    <t>闵行区七宝中心幼儿园（万泰园）</t>
  </si>
  <si>
    <t>教室门窗</t>
  </si>
  <si>
    <t>成套木门</t>
  </si>
  <si>
    <t>外墙涂料</t>
  </si>
  <si>
    <t>屋面工程</t>
  </si>
  <si>
    <t>屋面卷材防水、保温</t>
  </si>
  <si>
    <t>铁艺围墙</t>
  </si>
  <si>
    <t>铁艺围墙刷漆</t>
  </si>
  <si>
    <t>15厚EPDM活动场地</t>
  </si>
  <si>
    <t>铲除现有塑胶场地</t>
  </si>
  <si>
    <t>基础修复（含树截根处理）</t>
  </si>
  <si>
    <t>新做15厚EPDM塑胶活动场地</t>
  </si>
  <si>
    <t>车次</t>
  </si>
  <si>
    <t>围墙涂料</t>
  </si>
  <si>
    <t>工程建设其他费</t>
  </si>
  <si>
    <t>空气检测</t>
  </si>
  <si>
    <t>塑胶场地检测</t>
  </si>
  <si>
    <t>外墙弹性涂料</t>
  </si>
  <si>
    <t>女儿墙改造</t>
  </si>
  <si>
    <t>原有女儿墙的拆除，新做400高混凝土女儿墙，砌筑女儿墙1100高，混凝土压顶；</t>
  </si>
  <si>
    <t>内墙面涂料</t>
  </si>
  <si>
    <t>上海市闵行区七宝镇明强小学（东校区）</t>
  </si>
  <si>
    <t>8mm硅PU篮球场地</t>
  </si>
  <si>
    <t>现有硅PU场地面层拆除及基层修补</t>
  </si>
  <si>
    <t>8厚硅PU(含划线）</t>
  </si>
  <si>
    <t>13厚塑胶跑道</t>
  </si>
  <si>
    <t>铲除现有塑胶跑道，基层修补平整</t>
  </si>
  <si>
    <t>细沥青基层</t>
  </si>
  <si>
    <t>明沟抬升</t>
  </si>
  <si>
    <t>场地检测</t>
  </si>
  <si>
    <t>篮球场地+人造草坪+塑胶场地</t>
  </si>
  <si>
    <t>天然草坪
更换人造草坪</t>
  </si>
  <si>
    <t xml:space="preserve">运动场天然草皮改为5cm人工草皮
</t>
  </si>
  <si>
    <t>卫生间（8间）</t>
  </si>
  <si>
    <t>整体改造（墙顶地、水电、洁具等）</t>
  </si>
  <si>
    <t>空气检测费</t>
  </si>
  <si>
    <t>场地检测费</t>
  </si>
  <si>
    <t>人工草</t>
  </si>
  <si>
    <t>七宝实验小学（大上海校区）</t>
  </si>
  <si>
    <t>运动场天然草坪改为5cm人工草坪</t>
  </si>
  <si>
    <t>人造草坪</t>
  </si>
  <si>
    <t>电气修缮</t>
  </si>
  <si>
    <t>高压配电柜及变压器</t>
  </si>
  <si>
    <t>配电箱更换</t>
  </si>
  <si>
    <t>装饰修复</t>
  </si>
  <si>
    <t>设计费</t>
  </si>
  <si>
    <t>工程监理费</t>
  </si>
  <si>
    <t>招标代理费（含工程量清单编制）</t>
  </si>
  <si>
    <t>审价费</t>
  </si>
  <si>
    <t>总配电箱更换</t>
  </si>
  <si>
    <t>室内电力电缆敷设</t>
  </si>
  <si>
    <t>开关插座局部维修</t>
  </si>
  <si>
    <t>可研评审费</t>
  </si>
  <si>
    <t>工程监理费（含审价费/投资监理费）</t>
  </si>
  <si>
    <t>五</t>
  </si>
  <si>
    <t>莘庄镇</t>
  </si>
  <si>
    <t>闵行区康城幼儿园（新梅分园）</t>
  </si>
  <si>
    <t>幼儿卫生间整体维修（8）</t>
  </si>
  <si>
    <t>m²</t>
  </si>
  <si>
    <t>足球场</t>
  </si>
  <si>
    <t>天然草皮改人工草皮</t>
  </si>
  <si>
    <t>卫生间</t>
  </si>
  <si>
    <t>卫生间改造（4间）</t>
  </si>
  <si>
    <t>EPDM塑胶场地</t>
  </si>
  <si>
    <t>原塑胶面层铲除及外运</t>
  </si>
  <si>
    <t>基础损坏处修补及40厚细沥青基层</t>
  </si>
  <si>
    <t>面层新做15厚塑胶</t>
  </si>
  <si>
    <t>屋面</t>
  </si>
  <si>
    <t>原屋面防水、保温、找坡、混凝土保护层铲除至结构层</t>
  </si>
  <si>
    <t>新做找坡、保温、防水、混凝土保护层</t>
  </si>
  <si>
    <t>教室木门</t>
  </si>
  <si>
    <t>1200*2700mm双开门</t>
  </si>
  <si>
    <t>墙面修复</t>
  </si>
  <si>
    <t>水泥砂浆及内墙涂料修补</t>
  </si>
  <si>
    <t>卫生间整体改造（24）</t>
  </si>
  <si>
    <t>南大楼房屋检测</t>
  </si>
  <si>
    <t>上海市闵行区颛桥镇第一幼儿园银桥分园</t>
  </si>
  <si>
    <t>面层15厚EPDM塑胶</t>
  </si>
  <si>
    <t>铲除原有塑胶面层及细沥青基础局部修补</t>
  </si>
  <si>
    <t>上海市闵行区颛桥镇幼儿园繁盛分园</t>
  </si>
  <si>
    <t>幼儿厕所</t>
  </si>
  <si>
    <t>幼儿（4）及成人卫生间改造(2间）</t>
  </si>
  <si>
    <t>幼儿卫生间（8间）</t>
  </si>
  <si>
    <t>整体改造</t>
  </si>
  <si>
    <t>电气增容改造</t>
  </si>
  <si>
    <t>低压配电柜</t>
  </si>
  <si>
    <t>活动室电气改造</t>
  </si>
  <si>
    <t>绿化修复</t>
  </si>
  <si>
    <t>沥青路面修复</t>
  </si>
  <si>
    <t>广场砖修复</t>
  </si>
  <si>
    <t>阻燃金属线槽</t>
  </si>
  <si>
    <t>篮球场硅PU拆除及基础修补</t>
  </si>
  <si>
    <t>新做硅PU场地含划线</t>
  </si>
  <si>
    <t>配电房</t>
  </si>
  <si>
    <t>高压二路进电扩容</t>
  </si>
  <si>
    <t>篮球场地</t>
  </si>
  <si>
    <t>上海师范大学闵行实验幼儿园翔泰分园</t>
  </si>
  <si>
    <t>教室门更换</t>
  </si>
  <si>
    <t>单门</t>
  </si>
  <si>
    <t>双门</t>
  </si>
  <si>
    <t>单、双门拆除及墙面修复</t>
  </si>
  <si>
    <t>走廊（二层）</t>
  </si>
  <si>
    <t>顶面：拆除原有吊顶，基层修补新做乳胶漆</t>
  </si>
  <si>
    <t>电气线路含灯具</t>
  </si>
  <si>
    <t>二层北区卫生间、备餐间、洗消间</t>
  </si>
  <si>
    <t>拆除原扣板顶面，新做轻钢龙骨铝扣板</t>
  </si>
  <si>
    <t>电气改造</t>
  </si>
  <si>
    <t>二层北区活动室、储藏室</t>
  </si>
  <si>
    <t>顶面：拆除矿棉板，基层修补新做乳胶漆</t>
  </si>
  <si>
    <t>墙面：铲除原有涂料，新做乳胶漆。</t>
  </si>
  <si>
    <t>教学楼屋面</t>
  </si>
  <si>
    <t>原屋面防水保温层铲除</t>
  </si>
  <si>
    <t>屋面防水保温翻新</t>
  </si>
  <si>
    <t>整体修缮</t>
  </si>
  <si>
    <t>运动木地板拆除</t>
  </si>
  <si>
    <t>新做水泥基防水层</t>
  </si>
  <si>
    <t>新铺运动木地板含龙骨</t>
  </si>
  <si>
    <t>育莲楼（一号教学楼）</t>
  </si>
  <si>
    <t>教室隔墙拆除和新建</t>
  </si>
  <si>
    <t>教室门、局部窗换新</t>
  </si>
  <si>
    <t>40扇</t>
  </si>
  <si>
    <t>16m2窗</t>
  </si>
  <si>
    <t>教室墙面1.2高冰火板墙裙+上部涂料刷新，墙面新增磁吸板</t>
  </si>
  <si>
    <t>教室顶面新做矿棉板+灯光、风扇</t>
  </si>
  <si>
    <t>教室地面新铺实木复合地板+讲台台阶</t>
  </si>
  <si>
    <t>办公室墙面涂料刷新</t>
  </si>
  <si>
    <t>三~四层外走廊内墙面做1.2m高瓷砖墙裙</t>
  </si>
  <si>
    <t>外走廊内侧墙面涂料刷新</t>
  </si>
  <si>
    <t>南北方向连廊墙面涂料刷新</t>
  </si>
  <si>
    <t>楼梯间墙面涂料刷新</t>
  </si>
  <si>
    <t>楼梯间顶面涂料刷新</t>
  </si>
  <si>
    <t>楼梯间踏步PVC卷材更换成防滑地砖</t>
  </si>
  <si>
    <t>楼梯间屋面防水维修</t>
  </si>
  <si>
    <t>首层卫生间顶面重做铝扣板吊顶，洁具更新。</t>
  </si>
  <si>
    <t>二、三层卫生间地面重铺防滑地砖，顶面重做铝扣板吊顶，女厕增加厕位数，洁具更新</t>
  </si>
  <si>
    <t>四层卫生间整体修缮</t>
  </si>
  <si>
    <t>电梯井漏水维修</t>
  </si>
  <si>
    <t>弱电预留排管</t>
  </si>
  <si>
    <t>爱莲楼（二号教学楼）</t>
  </si>
  <si>
    <t>教室门换新</t>
  </si>
  <si>
    <t>50扇</t>
  </si>
  <si>
    <t>教室瓷砖墙裙修缮</t>
  </si>
  <si>
    <t>教室墙面涂料刷新</t>
  </si>
  <si>
    <t>办公室地面更换实木复合地板</t>
  </si>
  <si>
    <t>楼梯间地砖修缮</t>
  </si>
  <si>
    <t>楼梯间不锈钢栏杆更换</t>
  </si>
  <si>
    <t>楼梯间及大屋面防水维修</t>
  </si>
  <si>
    <t>一~五层卫生间整体修缮</t>
  </si>
  <si>
    <t>弘莲楼（综合实验楼）</t>
  </si>
  <si>
    <t>原房间改造成教师办公室，墙面涂料刷新</t>
  </si>
  <si>
    <t>原房间改造成教师办公室，顶面涂料刷新</t>
  </si>
  <si>
    <t>原房间改造成小学信息教室，墙面1.2高冰火板墙裙+上部涂料刷新</t>
  </si>
  <si>
    <t>原房间改造成小学信息教室，地面新做防静电地板</t>
  </si>
  <si>
    <t>原房间改造成小学信息教室，顶面涂料刷新</t>
  </si>
  <si>
    <t>首层、五层卫生间整体修缮</t>
  </si>
  <si>
    <t>二~四层卫生间洁具更新</t>
  </si>
  <si>
    <t>楼梯间地砖全部更换</t>
  </si>
  <si>
    <t>大屋面女儿墙新做600高不锈钢防护栏杆（兼避雷带）</t>
  </si>
  <si>
    <t>骏莲楼（食堂体育楼）</t>
  </si>
  <si>
    <t>一层食堂门窗换新</t>
  </si>
  <si>
    <t>5扇</t>
  </si>
  <si>
    <t>6扇</t>
  </si>
  <si>
    <t>1.95m2窗</t>
  </si>
  <si>
    <t>教师餐厅局部地面重铺防滑地砖</t>
  </si>
  <si>
    <t>卫生间整体修缮</t>
  </si>
  <si>
    <t>后厨布局调整，隔墙拆除与新建</t>
  </si>
  <si>
    <t>后厨墙面瓷砖换新</t>
  </si>
  <si>
    <t>后厨顶面新做铝扣板吊顶</t>
  </si>
  <si>
    <t>后厨地面新铺灰钢砖，排水沟换新</t>
  </si>
  <si>
    <t>90m</t>
  </si>
  <si>
    <t>空调新风系统</t>
  </si>
  <si>
    <t>燃气预留排管</t>
  </si>
  <si>
    <t>门卫室墙体拆除（含外运）</t>
  </si>
  <si>
    <t>门卫室外墙涂料刷新</t>
  </si>
  <si>
    <t>门卫室门窗换新</t>
  </si>
  <si>
    <t>门卫室内墙面涂料刷新</t>
  </si>
  <si>
    <t>设备间新铺防静电地板</t>
  </si>
  <si>
    <t>电气改造（含室外电缆敷设）</t>
  </si>
  <si>
    <t>室外工程</t>
  </si>
  <si>
    <t>主干道新做沥青道路，出入口沥青地面翻新，停车位局部沥青道路整新</t>
  </si>
  <si>
    <t>室外活动场地改造</t>
  </si>
  <si>
    <t>室外篮球场、羽毛球场地硅PU面层翻新</t>
  </si>
  <si>
    <t>新增6辆充电车位</t>
  </si>
  <si>
    <t>点位</t>
  </si>
  <si>
    <t>七</t>
  </si>
  <si>
    <t>马桥镇</t>
  </si>
  <si>
    <t>操场边上塑胶场地</t>
  </si>
  <si>
    <t>原塑胶跑道面层铲除及垃圾外运</t>
  </si>
  <si>
    <t>40厚AC-05细沥青青</t>
  </si>
  <si>
    <t>13厚EPDM跑道</t>
  </si>
  <si>
    <t>15厚EPDM跑道</t>
  </si>
  <si>
    <t>原塑胶跑道面层拆除及垃圾外运</t>
  </si>
  <si>
    <t>8厚硅PU篮球场地并划线</t>
  </si>
  <si>
    <t>塑胶跑道+篮球场</t>
  </si>
  <si>
    <t>教学楼地下室车库</t>
  </si>
  <si>
    <t>地下室防火门更换</t>
  </si>
  <si>
    <t>单门11</t>
  </si>
  <si>
    <t>双门2</t>
  </si>
  <si>
    <t>粉刷修缮</t>
  </si>
  <si>
    <t>线路更换修缮</t>
  </si>
  <si>
    <t>更换节能照明灯具</t>
  </si>
  <si>
    <t>更换风管</t>
  </si>
  <si>
    <t>坡道维修</t>
  </si>
  <si>
    <t>顶板粉刷及涂料修复</t>
  </si>
  <si>
    <t>排球场室外场地</t>
  </si>
  <si>
    <t>原硅PU面层拆除及垃圾外运</t>
  </si>
  <si>
    <t>8厚硅PU篮球场地
并划线</t>
  </si>
  <si>
    <t>排球场</t>
  </si>
  <si>
    <t>民办马桥小学</t>
  </si>
  <si>
    <t>教学楼屋顶</t>
  </si>
  <si>
    <t>原屋面防水、保温、
找坡铲除至结构层</t>
  </si>
  <si>
    <t>室外场地跑道</t>
  </si>
  <si>
    <t>马桥强恕学校</t>
  </si>
  <si>
    <t>八</t>
  </si>
  <si>
    <t>足球场维修</t>
  </si>
  <si>
    <t>原天然草坪铲除含新做基础</t>
  </si>
  <si>
    <t>人工草皮</t>
  </si>
  <si>
    <t>领操台改造</t>
  </si>
  <si>
    <t>塑胶场地+人工草</t>
  </si>
  <si>
    <t>低压设备增容</t>
  </si>
  <si>
    <t>配电间</t>
  </si>
  <si>
    <t>配电间室内改造</t>
  </si>
  <si>
    <t>平方</t>
  </si>
  <si>
    <t>安装调试</t>
  </si>
  <si>
    <t>厨房排线、配电</t>
  </si>
  <si>
    <t>厨房</t>
  </si>
  <si>
    <t>食堂维修</t>
  </si>
  <si>
    <t>教学楼、门房、垃圾房\活动室屋面</t>
  </si>
  <si>
    <t>屋面修缮</t>
  </si>
  <si>
    <t>九</t>
  </si>
  <si>
    <t>一号、五号楼卫生间改造（拆除原有地砖、墙砖、矿棉板吊顶，新做防滑地砖及防水，墙面玻化砖及防水，铝扣板吊顶，原座便器、小便器更换，灯具更换，水电管线重排）</t>
  </si>
  <si>
    <t>二号、三号、四号楼卫生间改造（拆除原有地砖、墙砖、矿棉板吊顶，新做防滑地砖及防水，墙面玻化砖及防水，铝扣板吊顶，原大便槽更新为大便蹲坑，小便槽更换为小便器，灯具更换，水电管线重排）</t>
  </si>
  <si>
    <t>阻燃PVC地板更换</t>
  </si>
  <si>
    <t>上人屋面维修（铲除防水，重做轻集料找坡、20厚防水层、60厚聚苯乙烯保温板、APP防水卷材、2厚防水涂料、40厚钢砼混凝土）</t>
  </si>
  <si>
    <t>外墙涂料（拆除基层，12厚粉刷，25厚聚苯乙烯保温板，防水涂料一道，水性涂料，脚手架）</t>
  </si>
  <si>
    <t>上海市闵行区浦航幼儿园（中城园）</t>
  </si>
  <si>
    <t>木门</t>
  </si>
  <si>
    <t>70樘</t>
  </si>
  <si>
    <t>屋面伸缩缝</t>
  </si>
  <si>
    <t>卫生间改造（损坏墙砖、地砖修复、防水、五个座便器、三个小便斗，扶手、隔板）</t>
  </si>
  <si>
    <t>上海市闵行区浦江镇第二幼儿园（金硕园）</t>
  </si>
  <si>
    <t>卫生间改造（损坏墙砖、地砖修复、防水、六个座便器、三个小便斗，扶手、隔板）</t>
  </si>
  <si>
    <t>室外场地</t>
  </si>
  <si>
    <t>场地15厚EPDM面层（铲除原面层、包括35%40厚沥青层）</t>
  </si>
  <si>
    <t>上海市闵行区浦江瑞和城幼儿园（鲁康园）</t>
  </si>
  <si>
    <t>局部修缮</t>
  </si>
  <si>
    <t>二楼走廊护墙板</t>
  </si>
  <si>
    <t>二楼教室餐厅地板改PVC</t>
  </si>
  <si>
    <t>楼梯扶手</t>
  </si>
  <si>
    <t>更换600*600红地砖</t>
  </si>
  <si>
    <t>地面防水涂料</t>
  </si>
  <si>
    <t>重做排水沟</t>
  </si>
  <si>
    <t>更换排水管</t>
  </si>
  <si>
    <t>低压电扩容</t>
  </si>
  <si>
    <t>低压电扩容（一台进线计量柜、一台电容柜、二台出线柜、YJY-5*35后出线电缆45米）</t>
  </si>
  <si>
    <t>上海市闵行区浦莲幼儿园（佳兴园）</t>
  </si>
  <si>
    <t>更换600*600红缸砖</t>
  </si>
  <si>
    <t>厕所维修</t>
  </si>
  <si>
    <t>屋面维修</t>
  </si>
  <si>
    <t>塑胶跑道</t>
  </si>
  <si>
    <t>足球场人工草</t>
  </si>
  <si>
    <t>足球场天然草</t>
  </si>
  <si>
    <t>篮排球场+塑胶跑道+人工草</t>
  </si>
  <si>
    <t>坡屋面维修（铲除屋面瓦片、防水层、顺水条、挂瓦条、合成树脂瓦）</t>
  </si>
  <si>
    <t>坡屋面维修四周搭设脚手架</t>
  </si>
  <si>
    <t>平屋面维修（铲除屋面保护层及防水层，修补找平后APP防水卷材、2厚防水涂料、浅色涂料保护层）</t>
  </si>
  <si>
    <t>连廊平屋面维修（铲除屋面保护层及防水层、修补找平后APP防水卷材、2厚防水涂料、浅色涂料保护层）</t>
  </si>
  <si>
    <t>屋面变形缝</t>
  </si>
  <si>
    <t>本次下达</t>
    <phoneticPr fontId="1" type="noConversion"/>
  </si>
  <si>
    <t>总计</t>
    <phoneticPr fontId="1" type="noConversion"/>
  </si>
  <si>
    <t>2025年度镇管学校校舍维修项目审核明细表</t>
    <phoneticPr fontId="1" type="noConversion"/>
  </si>
  <si>
    <t>空调设备购置5匹</t>
    <phoneticPr fontId="1" type="noConversion"/>
  </si>
  <si>
    <t>活动室原来无空调</t>
    <phoneticPr fontId="1" type="noConversion"/>
  </si>
  <si>
    <t>需细化</t>
    <phoneticPr fontId="1" type="noConversion"/>
  </si>
  <si>
    <r>
      <t>闵行区幼儿园装备标准（新开</t>
    </r>
    <r>
      <rPr>
        <b/>
        <sz val="14"/>
        <rFont val="Times New Roman"/>
        <family val="1"/>
      </rPr>
      <t>3</t>
    </r>
    <r>
      <rPr>
        <b/>
        <sz val="14"/>
        <rFont val="宋体"/>
        <family val="3"/>
        <charset val="134"/>
      </rPr>
      <t>班）</t>
    </r>
    <phoneticPr fontId="2" type="noConversion"/>
  </si>
  <si>
    <r>
      <rPr>
        <b/>
        <sz val="10"/>
        <rFont val="宋体"/>
        <family val="3"/>
        <charset val="134"/>
      </rPr>
      <t>序号</t>
    </r>
  </si>
  <si>
    <r>
      <rPr>
        <b/>
        <sz val="10"/>
        <rFont val="宋体"/>
        <family val="3"/>
        <charset val="134"/>
      </rPr>
      <t>设备名称</t>
    </r>
  </si>
  <si>
    <r>
      <rPr>
        <b/>
        <sz val="10"/>
        <rFont val="宋体"/>
        <family val="3"/>
        <charset val="134"/>
      </rPr>
      <t>单位</t>
    </r>
  </si>
  <si>
    <r>
      <rPr>
        <b/>
        <sz val="10"/>
        <rFont val="宋体"/>
        <family val="3"/>
        <charset val="134"/>
      </rPr>
      <t>规格型号</t>
    </r>
  </si>
  <si>
    <r>
      <rPr>
        <b/>
        <sz val="10"/>
        <rFont val="宋体"/>
        <family val="3"/>
        <charset val="134"/>
      </rPr>
      <t>参考单价</t>
    </r>
  </si>
  <si>
    <r>
      <t>3</t>
    </r>
    <r>
      <rPr>
        <b/>
        <sz val="10"/>
        <rFont val="宋体"/>
        <family val="3"/>
        <charset val="134"/>
      </rPr>
      <t>班规模</t>
    </r>
    <phoneticPr fontId="2" type="noConversion"/>
  </si>
  <si>
    <r>
      <rPr>
        <b/>
        <sz val="10"/>
        <rFont val="宋体"/>
        <family val="3"/>
        <charset val="134"/>
      </rPr>
      <t>数量</t>
    </r>
  </si>
  <si>
    <r>
      <rPr>
        <b/>
        <sz val="10"/>
        <rFont val="宋体"/>
        <family val="3"/>
        <charset val="134"/>
      </rPr>
      <t>金额</t>
    </r>
  </si>
  <si>
    <r>
      <rPr>
        <b/>
        <sz val="10"/>
        <rFont val="宋体"/>
        <family val="3"/>
        <charset val="134"/>
      </rPr>
      <t>一</t>
    </r>
  </si>
  <si>
    <r>
      <rPr>
        <b/>
        <sz val="10"/>
        <rFont val="宋体"/>
        <family val="3"/>
        <charset val="134"/>
      </rPr>
      <t>户外（内）活动场地</t>
    </r>
  </si>
  <si>
    <t>参照《上海市幼儿园装备指南》（试行）配备</t>
  </si>
  <si>
    <r>
      <rPr>
        <sz val="10"/>
        <rFont val="宋体"/>
        <family val="3"/>
        <charset val="134"/>
      </rPr>
      <t>二</t>
    </r>
  </si>
  <si>
    <r>
      <rPr>
        <b/>
        <sz val="10"/>
        <rFont val="宋体"/>
        <family val="3"/>
        <charset val="134"/>
      </rPr>
      <t>活动及辅助用房</t>
    </r>
  </si>
  <si>
    <t>A</t>
  </si>
  <si>
    <r>
      <rPr>
        <b/>
        <sz val="10"/>
        <rFont val="宋体"/>
        <family val="3"/>
        <charset val="134"/>
      </rPr>
      <t>幼（托）儿用房</t>
    </r>
  </si>
  <si>
    <t>a</t>
  </si>
  <si>
    <r>
      <rPr>
        <b/>
        <sz val="10"/>
        <rFont val="宋体"/>
        <family val="3"/>
        <charset val="134"/>
      </rPr>
      <t>幼（托）儿活动室（含餐厅）</t>
    </r>
  </si>
  <si>
    <r>
      <rPr>
        <sz val="10"/>
        <rFont val="Times New Roman"/>
        <family val="1"/>
      </rPr>
      <t>65</t>
    </r>
    <r>
      <rPr>
        <sz val="10"/>
        <rFont val="宋体"/>
        <family val="3"/>
        <charset val="134"/>
      </rPr>
      <t>寸交互式触控一体机</t>
    </r>
  </si>
  <si>
    <r>
      <rPr>
        <sz val="10"/>
        <rFont val="宋体"/>
        <family val="3"/>
        <charset val="134"/>
      </rPr>
      <t>台</t>
    </r>
  </si>
  <si>
    <r>
      <rPr>
        <sz val="10"/>
        <rFont val="宋体"/>
        <family val="3"/>
        <charset val="134"/>
      </rPr>
      <t>含视频展台、电脑等</t>
    </r>
  </si>
  <si>
    <r>
      <rPr>
        <sz val="10"/>
        <rFont val="宋体"/>
        <family val="3"/>
        <charset val="134"/>
      </rPr>
      <t>教玩具设备</t>
    </r>
  </si>
  <si>
    <r>
      <rPr>
        <sz val="10"/>
        <rFont val="宋体"/>
        <family val="3"/>
        <charset val="134"/>
      </rPr>
      <t>套</t>
    </r>
  </si>
  <si>
    <r>
      <rPr>
        <sz val="10"/>
        <rFont val="宋体"/>
        <family val="3"/>
        <charset val="134"/>
      </rPr>
      <t>含桌面玩具、角色游戏、益智玩具等</t>
    </r>
  </si>
  <si>
    <r>
      <rPr>
        <sz val="10"/>
        <rFont val="宋体"/>
        <family val="3"/>
        <charset val="134"/>
      </rPr>
      <t>幼儿活动室空调</t>
    </r>
  </si>
  <si>
    <r>
      <rPr>
        <sz val="10"/>
        <rFont val="Times New Roman"/>
        <family val="1"/>
      </rPr>
      <t>5</t>
    </r>
    <r>
      <rPr>
        <sz val="10"/>
        <rFont val="宋体"/>
        <family val="3"/>
        <charset val="134"/>
      </rPr>
      <t>匹</t>
    </r>
  </si>
  <si>
    <r>
      <rPr>
        <sz val="10"/>
        <rFont val="宋体"/>
        <family val="3"/>
        <charset val="134"/>
      </rPr>
      <t>功率可根据房间面积确定</t>
    </r>
  </si>
  <si>
    <r>
      <rPr>
        <b/>
        <sz val="10"/>
        <rFont val="宋体"/>
        <family val="3"/>
        <charset val="134"/>
      </rPr>
      <t>小</t>
    </r>
    <r>
      <rPr>
        <b/>
        <sz val="10"/>
        <rFont val="Times New Roman"/>
        <family val="1"/>
      </rPr>
      <t xml:space="preserve">    </t>
    </r>
    <r>
      <rPr>
        <b/>
        <sz val="10"/>
        <rFont val="宋体"/>
        <family val="3"/>
        <charset val="134"/>
      </rPr>
      <t>计</t>
    </r>
  </si>
  <si>
    <t>b</t>
  </si>
  <si>
    <r>
      <rPr>
        <b/>
        <sz val="10"/>
        <rFont val="宋体"/>
        <family val="3"/>
        <charset val="134"/>
      </rPr>
      <t>幼（托）儿卧室</t>
    </r>
  </si>
  <si>
    <t>c</t>
  </si>
  <si>
    <r>
      <rPr>
        <b/>
        <sz val="10"/>
        <rFont val="宋体"/>
        <family val="3"/>
        <charset val="134"/>
      </rPr>
      <t>幼（托）儿盥洗室</t>
    </r>
  </si>
  <si>
    <r>
      <rPr>
        <sz val="10"/>
        <rFont val="宋体"/>
        <family val="3"/>
        <charset val="134"/>
      </rPr>
      <t>热水器</t>
    </r>
  </si>
  <si>
    <r>
      <rPr>
        <sz val="10"/>
        <rFont val="宋体"/>
        <family val="3"/>
        <charset val="134"/>
      </rPr>
      <t>只</t>
    </r>
  </si>
  <si>
    <r>
      <rPr>
        <sz val="10"/>
        <rFont val="宋体"/>
        <family val="3"/>
        <charset val="134"/>
      </rPr>
      <t>电热式，带限温装置</t>
    </r>
  </si>
  <si>
    <r>
      <rPr>
        <sz val="10"/>
        <rFont val="宋体"/>
        <family val="3"/>
        <charset val="134"/>
      </rPr>
      <t>有条件可选用太阳能热水</t>
    </r>
  </si>
  <si>
    <t>d</t>
  </si>
  <si>
    <r>
      <rPr>
        <b/>
        <sz val="10"/>
        <rFont val="宋体"/>
        <family val="3"/>
        <charset val="134"/>
      </rPr>
      <t>幼（托）儿衣帽储藏室</t>
    </r>
  </si>
  <si>
    <t>e</t>
  </si>
  <si>
    <r>
      <rPr>
        <b/>
        <sz val="10"/>
        <rFont val="宋体"/>
        <family val="3"/>
        <charset val="134"/>
      </rPr>
      <t>洗消间</t>
    </r>
  </si>
  <si>
    <r>
      <rPr>
        <sz val="10"/>
        <rFont val="宋体"/>
        <family val="3"/>
        <charset val="134"/>
      </rPr>
      <t>每园不少于</t>
    </r>
    <r>
      <rPr>
        <sz val="10"/>
        <rFont val="Times New Roman"/>
        <family val="1"/>
      </rPr>
      <t>2</t>
    </r>
    <r>
      <rPr>
        <sz val="10"/>
        <rFont val="宋体"/>
        <family val="3"/>
        <charset val="134"/>
      </rPr>
      <t>间（含传染病消毒）</t>
    </r>
  </si>
  <si>
    <r>
      <rPr>
        <sz val="10"/>
        <rFont val="宋体"/>
        <family val="3"/>
        <charset val="134"/>
      </rPr>
      <t>消毒电蒸箱</t>
    </r>
  </si>
  <si>
    <r>
      <rPr>
        <sz val="10"/>
        <rFont val="宋体"/>
        <family val="3"/>
        <charset val="134"/>
      </rPr>
      <t>带集气罩</t>
    </r>
  </si>
  <si>
    <r>
      <rPr>
        <sz val="10"/>
        <rFont val="宋体"/>
        <family val="3"/>
        <charset val="134"/>
      </rPr>
      <t>按楼层安排。其中</t>
    </r>
    <r>
      <rPr>
        <sz val="10"/>
        <rFont val="Times New Roman"/>
        <family val="1"/>
      </rPr>
      <t>1</t>
    </r>
    <r>
      <rPr>
        <sz val="10"/>
        <rFont val="宋体"/>
        <family val="3"/>
        <charset val="134"/>
      </rPr>
      <t>台为传染病专用消毒间使用。</t>
    </r>
  </si>
  <si>
    <t>B</t>
  </si>
  <si>
    <r>
      <rPr>
        <b/>
        <sz val="10"/>
        <rFont val="宋体"/>
        <family val="3"/>
        <charset val="134"/>
      </rPr>
      <t>多功能活动室</t>
    </r>
  </si>
  <si>
    <r>
      <rPr>
        <sz val="10"/>
        <rFont val="宋体"/>
        <family val="3"/>
        <charset val="134"/>
      </rPr>
      <t>兼幼儿音乐表演室</t>
    </r>
  </si>
  <si>
    <t>多功能厅LED显示屏设备</t>
  </si>
  <si>
    <r>
      <rPr>
        <sz val="10"/>
        <rFont val="宋体"/>
        <family val="3"/>
        <charset val="134"/>
      </rPr>
      <t>批</t>
    </r>
  </si>
  <si>
    <r>
      <rPr>
        <sz val="10"/>
        <rFont val="宋体"/>
        <family val="3"/>
        <charset val="134"/>
      </rPr>
      <t>多功能活动室空调</t>
    </r>
  </si>
  <si>
    <t>C</t>
  </si>
  <si>
    <r>
      <rPr>
        <b/>
        <sz val="10"/>
        <rFont val="宋体"/>
        <family val="3"/>
        <charset val="134"/>
      </rPr>
      <t>幼儿活动专用室</t>
    </r>
  </si>
  <si>
    <r>
      <rPr>
        <sz val="10"/>
        <rFont val="宋体"/>
        <family val="3"/>
        <charset val="134"/>
      </rPr>
      <t>幼儿专用活动室教玩具设备</t>
    </r>
  </si>
  <si>
    <r>
      <rPr>
        <sz val="10"/>
        <rFont val="宋体"/>
        <family val="3"/>
        <charset val="134"/>
      </rPr>
      <t>阅读室、科探室、美术室、结构游戏室、益智室、角色游戏</t>
    </r>
  </si>
  <si>
    <r>
      <rPr>
        <sz val="10"/>
        <rFont val="宋体"/>
        <family val="3"/>
        <charset val="134"/>
      </rPr>
      <t>各幼儿园自定、《上海市幼儿园专用活动室建设要求》（征求意见稿）</t>
    </r>
  </si>
  <si>
    <r>
      <rPr>
        <sz val="10"/>
        <rFont val="宋体"/>
        <family val="3"/>
        <charset val="134"/>
      </rPr>
      <t>幼儿专用活动室空调</t>
    </r>
  </si>
  <si>
    <r>
      <rPr>
        <b/>
        <sz val="10"/>
        <rFont val="宋体"/>
        <family val="3"/>
        <charset val="134"/>
      </rPr>
      <t>三</t>
    </r>
  </si>
  <si>
    <r>
      <rPr>
        <b/>
        <sz val="10"/>
        <rFont val="宋体"/>
        <family val="3"/>
        <charset val="134"/>
      </rPr>
      <t>办公及辅助用房</t>
    </r>
  </si>
  <si>
    <r>
      <rPr>
        <b/>
        <sz val="10"/>
        <rFont val="宋体"/>
        <family val="3"/>
        <charset val="134"/>
      </rPr>
      <t>行政及教师办公室</t>
    </r>
  </si>
  <si>
    <r>
      <rPr>
        <b/>
        <sz val="10"/>
        <rFont val="宋体"/>
        <family val="3"/>
        <charset val="134"/>
      </rPr>
      <t>园长（书记）室</t>
    </r>
  </si>
  <si>
    <r>
      <rPr>
        <sz val="10"/>
        <rFont val="宋体"/>
        <family val="3"/>
        <charset val="134"/>
      </rPr>
      <t>空调</t>
    </r>
  </si>
  <si>
    <t>教师办公室</t>
  </si>
  <si>
    <r>
      <rPr>
        <sz val="10"/>
        <rFont val="宋体"/>
        <family val="3"/>
        <charset val="134"/>
      </rPr>
      <t>每</t>
    </r>
    <r>
      <rPr>
        <sz val="10"/>
        <rFont val="Times New Roman"/>
        <family val="1"/>
      </rPr>
      <t>4</t>
    </r>
    <r>
      <rPr>
        <sz val="10"/>
        <rFont val="宋体"/>
        <family val="3"/>
        <charset val="134"/>
      </rPr>
      <t>人配一台</t>
    </r>
  </si>
  <si>
    <r>
      <rPr>
        <b/>
        <sz val="10"/>
        <rFont val="宋体"/>
        <family val="3"/>
        <charset val="134"/>
      </rPr>
      <t>财务室</t>
    </r>
  </si>
  <si>
    <r>
      <rPr>
        <b/>
        <sz val="10"/>
        <rFont val="宋体"/>
        <family val="3"/>
        <charset val="134"/>
      </rPr>
      <t>档案室</t>
    </r>
  </si>
  <si>
    <t>园务、总务办公室及辅助用房</t>
  </si>
  <si>
    <r>
      <rPr>
        <b/>
        <sz val="10"/>
        <rFont val="宋体"/>
        <family val="3"/>
        <charset val="134"/>
      </rPr>
      <t>会议兼接待室</t>
    </r>
  </si>
  <si>
    <r>
      <rPr>
        <b/>
        <sz val="10"/>
        <rFont val="宋体"/>
        <family val="3"/>
        <charset val="134"/>
      </rPr>
      <t>图书资料兼教研室</t>
    </r>
  </si>
  <si>
    <t>D</t>
  </si>
  <si>
    <r>
      <rPr>
        <b/>
        <sz val="10"/>
        <rFont val="宋体"/>
        <family val="3"/>
        <charset val="134"/>
      </rPr>
      <t>玩教具制作兼陈列室</t>
    </r>
  </si>
  <si>
    <t>E</t>
  </si>
  <si>
    <r>
      <rPr>
        <b/>
        <sz val="10"/>
        <rFont val="宋体"/>
        <family val="3"/>
        <charset val="134"/>
      </rPr>
      <t>总务仓库</t>
    </r>
  </si>
  <si>
    <t>F</t>
  </si>
  <si>
    <r>
      <rPr>
        <b/>
        <sz val="10"/>
        <rFont val="宋体"/>
        <family val="3"/>
        <charset val="134"/>
      </rPr>
      <t>晨检兼接送</t>
    </r>
  </si>
  <si>
    <r>
      <rPr>
        <sz val="10"/>
        <rFont val="宋体"/>
        <family val="3"/>
        <charset val="134"/>
      </rPr>
      <t>智能化晨检设备</t>
    </r>
  </si>
  <si>
    <r>
      <rPr>
        <sz val="10"/>
        <rFont val="宋体"/>
        <family val="3"/>
        <charset val="134"/>
      </rPr>
      <t>电脑版</t>
    </r>
  </si>
  <si>
    <t>G</t>
  </si>
  <si>
    <r>
      <rPr>
        <b/>
        <sz val="10"/>
        <rFont val="宋体"/>
        <family val="3"/>
        <charset val="134"/>
      </rPr>
      <t>保健室及观察室</t>
    </r>
  </si>
  <si>
    <r>
      <rPr>
        <sz val="10"/>
        <rFont val="宋体"/>
        <family val="3"/>
        <charset val="134"/>
      </rPr>
      <t>常用医疗器械</t>
    </r>
  </si>
  <si>
    <r>
      <rPr>
        <sz val="10"/>
        <rFont val="宋体"/>
        <family val="3"/>
        <charset val="134"/>
      </rPr>
      <t>沪教委体</t>
    </r>
    <r>
      <rPr>
        <sz val="10"/>
        <rFont val="Times New Roman"/>
        <family val="1"/>
      </rPr>
      <t>[2011]22</t>
    </r>
    <r>
      <rPr>
        <sz val="10"/>
        <rFont val="宋体"/>
        <family val="3"/>
        <charset val="134"/>
      </rPr>
      <t>号</t>
    </r>
  </si>
  <si>
    <t>H</t>
  </si>
  <si>
    <r>
      <rPr>
        <b/>
        <sz val="10"/>
        <rFont val="宋体"/>
        <family val="3"/>
        <charset val="134"/>
      </rPr>
      <t>网络控制室</t>
    </r>
  </si>
  <si>
    <r>
      <rPr>
        <sz val="10"/>
        <rFont val="宋体"/>
        <family val="3"/>
        <charset val="134"/>
      </rPr>
      <t>校园网络设备</t>
    </r>
  </si>
  <si>
    <t>含线缆、机柜、电话、服务器、交换器、防火墙、教学软件、桥架等</t>
  </si>
  <si>
    <t>I</t>
  </si>
  <si>
    <r>
      <rPr>
        <b/>
        <sz val="10"/>
        <rFont val="宋体"/>
        <family val="3"/>
        <charset val="134"/>
      </rPr>
      <t>广播控制中心</t>
    </r>
  </si>
  <si>
    <r>
      <rPr>
        <sz val="10"/>
        <rFont val="宋体"/>
        <family val="3"/>
        <charset val="134"/>
      </rPr>
      <t>校园智能广播设备</t>
    </r>
  </si>
  <si>
    <t>J</t>
  </si>
  <si>
    <r>
      <rPr>
        <b/>
        <sz val="10"/>
        <rFont val="宋体"/>
        <family val="3"/>
        <charset val="134"/>
      </rPr>
      <t>活动器械储藏室</t>
    </r>
  </si>
  <si>
    <t>K</t>
  </si>
  <si>
    <r>
      <rPr>
        <b/>
        <sz val="10"/>
        <rFont val="宋体"/>
        <family val="3"/>
        <charset val="134"/>
      </rPr>
      <t>保育员休息室</t>
    </r>
  </si>
  <si>
    <t>L</t>
  </si>
  <si>
    <r>
      <rPr>
        <b/>
        <sz val="10"/>
        <rFont val="宋体"/>
        <family val="3"/>
        <charset val="134"/>
      </rPr>
      <t>门卫值班室</t>
    </r>
  </si>
  <si>
    <r>
      <rPr>
        <sz val="10"/>
        <rFont val="宋体"/>
        <family val="3"/>
        <charset val="134"/>
      </rPr>
      <t>访客系统</t>
    </r>
  </si>
  <si>
    <t>功率可根据房间面积确定</t>
  </si>
  <si>
    <r>
      <rPr>
        <b/>
        <sz val="10"/>
        <rFont val="宋体"/>
        <family val="3"/>
        <charset val="134"/>
      </rPr>
      <t>四</t>
    </r>
  </si>
  <si>
    <r>
      <rPr>
        <b/>
        <sz val="10"/>
        <rFont val="宋体"/>
        <family val="3"/>
        <charset val="134"/>
      </rPr>
      <t>生活用房</t>
    </r>
  </si>
  <si>
    <r>
      <rPr>
        <sz val="10"/>
        <rFont val="宋体"/>
        <family val="3"/>
        <charset val="134"/>
      </rPr>
      <t>厨房设备</t>
    </r>
  </si>
  <si>
    <r>
      <rPr>
        <sz val="10"/>
        <rFont val="宋体"/>
        <family val="3"/>
        <charset val="134"/>
      </rPr>
      <t>包括通风系统、烘焙设备等</t>
    </r>
  </si>
  <si>
    <t>备餐间，功率可根据房间面积确定</t>
  </si>
  <si>
    <r>
      <rPr>
        <sz val="10"/>
        <rFont val="宋体"/>
        <family val="3"/>
        <charset val="134"/>
      </rPr>
      <t>油烟净化设备</t>
    </r>
  </si>
  <si>
    <r>
      <rPr>
        <sz val="10"/>
        <rFont val="宋体"/>
        <family val="3"/>
        <charset val="134"/>
      </rPr>
      <t>煤气排管费</t>
    </r>
  </si>
  <si>
    <r>
      <rPr>
        <b/>
        <sz val="10"/>
        <rFont val="宋体"/>
        <family val="3"/>
        <charset val="134"/>
      </rPr>
      <t>五</t>
    </r>
  </si>
  <si>
    <r>
      <rPr>
        <b/>
        <sz val="10"/>
        <rFont val="宋体"/>
        <family val="3"/>
        <charset val="134"/>
      </rPr>
      <t>基础弱电及其它设备</t>
    </r>
  </si>
  <si>
    <t>校园安防系统设备</t>
  </si>
  <si>
    <t>包括周界及入侵报警、紧急报警装置、校园安防、机柜等</t>
  </si>
  <si>
    <t>教育城域网接入</t>
  </si>
  <si>
    <r>
      <rPr>
        <sz val="10"/>
        <rFont val="宋体"/>
        <family val="3"/>
        <charset val="134"/>
      </rPr>
      <t>城域网</t>
    </r>
    <r>
      <rPr>
        <sz val="10"/>
        <rFont val="Times New Roman"/>
        <family val="1"/>
      </rPr>
      <t>(</t>
    </r>
    <r>
      <rPr>
        <sz val="10"/>
        <rFont val="宋体"/>
        <family val="3"/>
        <charset val="134"/>
      </rPr>
      <t>外网六蕊、千兆</t>
    </r>
    <r>
      <rPr>
        <sz val="10"/>
        <rFont val="Times New Roman"/>
        <family val="1"/>
      </rPr>
      <t>)</t>
    </r>
  </si>
  <si>
    <r>
      <rPr>
        <sz val="10"/>
        <rFont val="宋体"/>
        <family val="3"/>
        <charset val="134"/>
      </rPr>
      <t>校园多媒体信息发布系统</t>
    </r>
  </si>
  <si>
    <r>
      <rPr>
        <sz val="10"/>
        <rFont val="宋体"/>
        <family val="3"/>
        <charset val="134"/>
      </rPr>
      <t>块</t>
    </r>
  </si>
  <si>
    <r>
      <rPr>
        <sz val="10"/>
        <rFont val="宋体"/>
        <family val="3"/>
        <charset val="134"/>
      </rPr>
      <t>室外</t>
    </r>
    <r>
      <rPr>
        <sz val="10"/>
        <rFont val="Times New Roman"/>
        <family val="1"/>
      </rPr>
      <t>LED</t>
    </r>
    <r>
      <rPr>
        <sz val="10"/>
        <rFont val="宋体"/>
        <family val="3"/>
        <charset val="134"/>
      </rPr>
      <t>显示屏（校门口）</t>
    </r>
  </si>
  <si>
    <r>
      <rPr>
        <b/>
        <sz val="10"/>
        <rFont val="宋体"/>
        <family val="3"/>
        <charset val="134"/>
      </rPr>
      <t>合</t>
    </r>
    <r>
      <rPr>
        <b/>
        <sz val="10"/>
        <rFont val="Times New Roman"/>
        <family val="1"/>
      </rPr>
      <t xml:space="preserve">    </t>
    </r>
    <r>
      <rPr>
        <b/>
        <sz val="10"/>
        <rFont val="宋体"/>
        <family val="3"/>
        <charset val="134"/>
      </rPr>
      <t>计</t>
    </r>
  </si>
  <si>
    <t>启英宝盛幼（茂盛园）（新开3班）</t>
    <phoneticPr fontId="2" type="noConversion"/>
  </si>
  <si>
    <r>
      <rPr>
        <sz val="10"/>
        <rFont val="宋体"/>
        <family val="3"/>
        <charset val="134"/>
      </rPr>
      <t>户外中大型运动组合器械</t>
    </r>
  </si>
  <si>
    <r>
      <rPr>
        <sz val="10"/>
        <rFont val="宋体"/>
        <family val="3"/>
        <charset val="134"/>
      </rPr>
      <t>洗衣机</t>
    </r>
  </si>
  <si>
    <r>
      <rPr>
        <sz val="10"/>
        <rFont val="宋体"/>
        <family val="3"/>
        <charset val="134"/>
      </rPr>
      <t>按班级安排</t>
    </r>
  </si>
  <si>
    <t>多功能厅86寸交互式一体屏</t>
  </si>
  <si>
    <r>
      <rPr>
        <sz val="10"/>
        <rFont val="宋体"/>
        <family val="3"/>
        <charset val="134"/>
      </rPr>
      <t>多功能活动室桌椅</t>
    </r>
  </si>
  <si>
    <r>
      <rPr>
        <sz val="10"/>
        <rFont val="宋体"/>
        <family val="3"/>
        <charset val="134"/>
      </rPr>
      <t>含幼儿和成人桌椅</t>
    </r>
  </si>
  <si>
    <r>
      <rPr>
        <sz val="10"/>
        <rFont val="宋体"/>
        <family val="3"/>
        <charset val="134"/>
      </rPr>
      <t>音乐戏剧玩具</t>
    </r>
  </si>
  <si>
    <r>
      <rPr>
        <sz val="10"/>
        <rFont val="宋体"/>
        <family val="3"/>
        <charset val="134"/>
      </rPr>
      <t>含舞台布景与表演道具、打击乐器、木偶、表演服装等</t>
    </r>
  </si>
  <si>
    <t>幼儿专用活动室教玩具设备</t>
  </si>
  <si>
    <t>阅读室、美术室、结构游戏室</t>
  </si>
  <si>
    <t>各幼儿园自定、《上海市幼儿园专用活动室建设要求》（征求意见稿）</t>
  </si>
  <si>
    <r>
      <rPr>
        <sz val="10"/>
        <rFont val="宋体"/>
        <family val="3"/>
        <charset val="134"/>
      </rPr>
      <t>速印一体机</t>
    </r>
  </si>
  <si>
    <r>
      <rPr>
        <sz val="10"/>
        <rFont val="Times New Roman"/>
        <family val="1"/>
      </rPr>
      <t>3</t>
    </r>
    <r>
      <rPr>
        <sz val="10"/>
        <rFont val="宋体"/>
        <family val="3"/>
        <charset val="134"/>
      </rPr>
      <t>匹</t>
    </r>
  </si>
  <si>
    <r>
      <rPr>
        <sz val="10"/>
        <rFont val="Times New Roman"/>
        <family val="1"/>
      </rPr>
      <t>75</t>
    </r>
    <r>
      <rPr>
        <sz val="10"/>
        <rFont val="宋体"/>
        <family val="3"/>
        <charset val="134"/>
      </rPr>
      <t>寸交互式智能一体机</t>
    </r>
  </si>
  <si>
    <r>
      <rPr>
        <sz val="10"/>
        <rFont val="宋体"/>
        <family val="3"/>
        <charset val="134"/>
      </rPr>
      <t>含电脑、移动支架等</t>
    </r>
  </si>
  <si>
    <r>
      <rPr>
        <sz val="10"/>
        <rFont val="宋体"/>
        <family val="3"/>
        <charset val="134"/>
      </rPr>
      <t>含线缆、机柜、电话、服务器、交换器、防火墙、教学软件、桥架等</t>
    </r>
  </si>
  <si>
    <r>
      <rPr>
        <sz val="10"/>
        <rFont val="宋体"/>
        <family val="3"/>
        <charset val="134"/>
      </rPr>
      <t>油水分离设备</t>
    </r>
  </si>
  <si>
    <t>煤气排管费</t>
  </si>
  <si>
    <t>包括周界及入侵报警等</t>
  </si>
  <si>
    <r>
      <rPr>
        <b/>
        <sz val="14"/>
        <rFont val="宋体"/>
        <family val="3"/>
        <charset val="134"/>
      </rPr>
      <t>实验幼儿园（群英园）（新开</t>
    </r>
    <r>
      <rPr>
        <b/>
        <sz val="14"/>
        <rFont val="Times New Roman"/>
        <family val="1"/>
      </rPr>
      <t>9</t>
    </r>
    <r>
      <rPr>
        <b/>
        <sz val="14"/>
        <rFont val="宋体"/>
        <family val="3"/>
        <charset val="134"/>
      </rPr>
      <t>班）</t>
    </r>
  </si>
  <si>
    <r>
      <rPr>
        <b/>
        <sz val="10"/>
        <rFont val="Times New Roman"/>
        <family val="1"/>
      </rPr>
      <t>9</t>
    </r>
    <r>
      <rPr>
        <b/>
        <sz val="10"/>
        <rFont val="宋体"/>
        <family val="3"/>
        <charset val="134"/>
      </rPr>
      <t>班规模</t>
    </r>
  </si>
  <si>
    <r>
      <rPr>
        <sz val="10"/>
        <rFont val="宋体"/>
        <family val="3"/>
        <charset val="134"/>
      </rPr>
      <t>户外小型单项运动器械</t>
    </r>
  </si>
  <si>
    <r>
      <rPr>
        <sz val="10"/>
        <rFont val="宋体"/>
        <family val="3"/>
        <charset val="134"/>
      </rPr>
      <t>钢琴</t>
    </r>
  </si>
  <si>
    <r>
      <rPr>
        <sz val="10"/>
        <rFont val="宋体"/>
        <family val="3"/>
        <charset val="134"/>
      </rPr>
      <t>架</t>
    </r>
  </si>
  <si>
    <r>
      <rPr>
        <sz val="10"/>
        <rFont val="宋体"/>
        <family val="3"/>
        <charset val="134"/>
      </rPr>
      <t>含琴凳、琴套、</t>
    </r>
  </si>
  <si>
    <t>托小班专用活动室设备</t>
  </si>
  <si>
    <r>
      <rPr>
        <sz val="10"/>
        <rFont val="宋体"/>
        <family val="3"/>
        <charset val="134"/>
      </rPr>
      <t>幼儿卧室空调</t>
    </r>
  </si>
  <si>
    <r>
      <rPr>
        <sz val="10"/>
        <rFont val="宋体"/>
        <family val="3"/>
        <charset val="134"/>
      </rPr>
      <t>班级9、门厅</t>
    </r>
    <r>
      <rPr>
        <sz val="10"/>
        <rFont val="Times New Roman"/>
        <family val="1"/>
      </rPr>
      <t>1</t>
    </r>
    <r>
      <rPr>
        <sz val="10"/>
        <rFont val="宋体"/>
        <family val="3"/>
        <charset val="134"/>
      </rPr>
      <t>、厨房</t>
    </r>
    <r>
      <rPr>
        <sz val="10"/>
        <rFont val="Times New Roman"/>
        <family val="1"/>
      </rPr>
      <t>2</t>
    </r>
    <r>
      <rPr>
        <sz val="10"/>
        <rFont val="宋体"/>
        <family val="3"/>
        <charset val="134"/>
      </rPr>
      <t>、洗消间</t>
    </r>
    <r>
      <rPr>
        <sz val="10"/>
        <rFont val="Times New Roman"/>
        <family val="1"/>
      </rPr>
      <t>3</t>
    </r>
  </si>
  <si>
    <t>橱柜</t>
  </si>
  <si>
    <r>
      <rPr>
        <sz val="10"/>
        <rFont val="宋体"/>
        <family val="3"/>
        <charset val="134"/>
      </rPr>
      <t>含已消毒、未消毒</t>
    </r>
  </si>
  <si>
    <r>
      <rPr>
        <sz val="10"/>
        <rFont val="宋体"/>
        <family val="3"/>
        <charset val="134"/>
      </rPr>
      <t>工作台</t>
    </r>
  </si>
  <si>
    <r>
      <rPr>
        <sz val="10"/>
        <rFont val="宋体"/>
        <family val="3"/>
        <charset val="134"/>
      </rPr>
      <t>张</t>
    </r>
  </si>
  <si>
    <r>
      <rPr>
        <sz val="10"/>
        <rFont val="宋体"/>
        <family val="3"/>
        <charset val="134"/>
      </rPr>
      <t>按楼层安排</t>
    </r>
  </si>
  <si>
    <t>计算机</t>
  </si>
  <si>
    <r>
      <rPr>
        <sz val="10"/>
        <rFont val="宋体"/>
        <family val="3"/>
        <charset val="134"/>
      </rPr>
      <t>台式或便携式计算机</t>
    </r>
  </si>
  <si>
    <t>3匹</t>
  </si>
  <si>
    <r>
      <rPr>
        <sz val="10"/>
        <rFont val="宋体"/>
        <family val="3"/>
        <charset val="134"/>
      </rPr>
      <t>台式一体机</t>
    </r>
  </si>
  <si>
    <r>
      <rPr>
        <sz val="10"/>
        <rFont val="宋体"/>
        <family val="3"/>
        <charset val="134"/>
      </rPr>
      <t>多功能一体机</t>
    </r>
  </si>
  <si>
    <r>
      <rPr>
        <sz val="10"/>
        <rFont val="宋体"/>
        <family val="3"/>
        <charset val="134"/>
      </rPr>
      <t>复印机</t>
    </r>
  </si>
  <si>
    <r>
      <rPr>
        <sz val="10"/>
        <rFont val="宋体"/>
        <family val="3"/>
        <charset val="134"/>
      </rPr>
      <t>数码照相机</t>
    </r>
  </si>
  <si>
    <r>
      <rPr>
        <sz val="10"/>
        <rFont val="宋体"/>
        <family val="3"/>
        <charset val="134"/>
      </rPr>
      <t>单反含镜头</t>
    </r>
  </si>
  <si>
    <r>
      <rPr>
        <sz val="10"/>
        <rFont val="宋体"/>
        <family val="3"/>
        <charset val="134"/>
      </rPr>
      <t>高清摄像机</t>
    </r>
  </si>
  <si>
    <r>
      <rPr>
        <sz val="10"/>
        <rFont val="Times New Roman"/>
        <family val="1"/>
      </rPr>
      <t>86</t>
    </r>
    <r>
      <rPr>
        <sz val="10"/>
        <rFont val="宋体"/>
        <family val="3"/>
        <charset val="134"/>
      </rPr>
      <t>寸交互式智能一体机</t>
    </r>
  </si>
  <si>
    <r>
      <rPr>
        <sz val="10"/>
        <rFont val="宋体"/>
        <family val="3"/>
        <charset val="134"/>
      </rPr>
      <t>餐梯</t>
    </r>
  </si>
  <si>
    <t>燃气报警装置</t>
  </si>
  <si>
    <t>包括周界及入侵报警、紧急报警装置等</t>
  </si>
  <si>
    <t>2025年闵行区教育系统专项设备预算申报表</t>
  </si>
  <si>
    <r>
      <t>单位名称（盖章）:                                                                                               现有班级数 ：29</t>
    </r>
    <r>
      <rPr>
        <sz val="10"/>
        <rFont val="等线"/>
        <family val="3"/>
        <charset val="134"/>
      </rPr>
      <t xml:space="preserve">                                            现有学生数：</t>
    </r>
    <r>
      <rPr>
        <sz val="10"/>
        <rFont val="等线"/>
        <family val="3"/>
        <charset val="134"/>
      </rPr>
      <t>1287</t>
    </r>
    <r>
      <rPr>
        <sz val="10"/>
        <rFont val="等线"/>
        <family val="3"/>
        <charset val="134"/>
      </rPr>
      <t xml:space="preserve">                      </t>
    </r>
    <r>
      <rPr>
        <sz val="10"/>
        <rFont val="等线"/>
        <family val="3"/>
        <charset val="134"/>
      </rPr>
      <t xml:space="preserve">   </t>
    </r>
    <r>
      <rPr>
        <sz val="10"/>
        <rFont val="等线"/>
        <family val="3"/>
        <charset val="134"/>
      </rPr>
      <t xml:space="preserve"> 现有任课教师数：</t>
    </r>
    <r>
      <rPr>
        <sz val="10"/>
        <rFont val="等线"/>
        <family val="3"/>
        <charset val="134"/>
      </rPr>
      <t>83</t>
    </r>
  </si>
  <si>
    <t>单位名称</t>
  </si>
  <si>
    <t>规格型号</t>
  </si>
  <si>
    <t>调整单价</t>
  </si>
  <si>
    <t>调整数量</t>
  </si>
  <si>
    <t>调整金额</t>
  </si>
  <si>
    <t>同样设备原有数量</t>
  </si>
  <si>
    <t>新添置设备数量</t>
  </si>
  <si>
    <t>教室设备</t>
  </si>
  <si>
    <t>课桌椅</t>
  </si>
  <si>
    <t>学生课桌椅</t>
  </si>
  <si>
    <t>4间扩班设备不安排，调整为450套</t>
  </si>
  <si>
    <t>多媒体讲台</t>
  </si>
  <si>
    <t>讲台</t>
  </si>
  <si>
    <t>4间扩班设备不安排，调整为12台</t>
  </si>
  <si>
    <t>实验室设备</t>
  </si>
  <si>
    <t>演示讲台</t>
  </si>
  <si>
    <t>演示台</t>
  </si>
  <si>
    <t>仪器橱</t>
  </si>
  <si>
    <t>仪器柜</t>
  </si>
  <si>
    <t>准备台</t>
  </si>
  <si>
    <t>实验室防爆柜</t>
  </si>
  <si>
    <t>防爆柜</t>
  </si>
  <si>
    <t>剧场设备</t>
  </si>
  <si>
    <t>剧场椅子</t>
  </si>
  <si>
    <t>剧场椅</t>
  </si>
  <si>
    <t>办公设备</t>
  </si>
  <si>
    <t>办公文件柜</t>
  </si>
  <si>
    <t>文件柜</t>
  </si>
  <si>
    <t>教师文件柜学校调剂</t>
  </si>
  <si>
    <t>电脑设备</t>
  </si>
  <si>
    <t>学生电脑</t>
  </si>
  <si>
    <t>不间断电源</t>
  </si>
  <si>
    <t>饮水设备</t>
  </si>
  <si>
    <t>饮水机</t>
  </si>
  <si>
    <t>直饮水机</t>
  </si>
  <si>
    <t>教师饮水机</t>
  </si>
  <si>
    <t>教师饮用水学校调剂</t>
  </si>
  <si>
    <t>广播设备</t>
  </si>
  <si>
    <t>校园广播设备</t>
  </si>
  <si>
    <t>价格调整</t>
  </si>
  <si>
    <t>网络设备</t>
  </si>
  <si>
    <t>网络分端口设备</t>
  </si>
  <si>
    <t>监控与转播</t>
  </si>
  <si>
    <t>监控与转播设备</t>
  </si>
  <si>
    <t>咨询安全办</t>
  </si>
  <si>
    <t>设备搬迁</t>
  </si>
  <si>
    <t>设备搬运费用</t>
  </si>
  <si>
    <t>设备搬运费</t>
  </si>
  <si>
    <r>
      <t xml:space="preserve">领导签名：                                                                          制表人：  </t>
    </r>
    <r>
      <rPr>
        <sz val="10"/>
        <rFont val="等线"/>
        <family val="3"/>
        <charset val="134"/>
      </rPr>
      <t>张庆</t>
    </r>
    <r>
      <rPr>
        <sz val="10"/>
        <rFont val="等线"/>
        <family val="3"/>
        <charset val="134"/>
      </rPr>
      <t xml:space="preserve">                                                     联系电话：</t>
    </r>
    <r>
      <rPr>
        <sz val="10"/>
        <rFont val="等线"/>
        <family val="3"/>
        <charset val="134"/>
      </rPr>
      <t>13817139394</t>
    </r>
    <r>
      <rPr>
        <sz val="10"/>
        <rFont val="等线"/>
        <family val="3"/>
        <charset val="134"/>
      </rPr>
      <t xml:space="preserve">                                         制表日期：</t>
    </r>
    <r>
      <rPr>
        <sz val="10"/>
        <rFont val="等线"/>
        <family val="3"/>
        <charset val="134"/>
      </rPr>
      <t>2025.3</t>
    </r>
  </si>
  <si>
    <t>闵行区华漕镇中心幼儿园</t>
    <phoneticPr fontId="1" type="noConversion"/>
  </si>
  <si>
    <t>上海市闵行区纪王学校</t>
    <phoneticPr fontId="1" type="noConversion"/>
  </si>
  <si>
    <t>华漕镇金色幼儿园（北沈园）</t>
    <phoneticPr fontId="1" type="noConversion"/>
  </si>
  <si>
    <t>闵行区诸翟中心幼儿园</t>
    <phoneticPr fontId="1" type="noConversion"/>
  </si>
  <si>
    <t>华东师范大学附属闵行虹桥学校</t>
    <phoneticPr fontId="1" type="noConversion"/>
  </si>
  <si>
    <t>闵行区虹桥中心小学</t>
    <phoneticPr fontId="1" type="noConversion"/>
  </si>
  <si>
    <t>上海市闵行区龙柏第一小学</t>
    <phoneticPr fontId="1" type="noConversion"/>
  </si>
  <si>
    <t>闵行区虹桥中心幼儿园古北分园</t>
    <phoneticPr fontId="1" type="noConversion"/>
  </si>
  <si>
    <t>上海市闵行区虹鹿幼儿园（井亭分园）</t>
    <phoneticPr fontId="1" type="noConversion"/>
  </si>
  <si>
    <t>闵行区龙柏第二幼儿园（分园）</t>
    <phoneticPr fontId="1" type="noConversion"/>
  </si>
  <si>
    <t>华虹小学</t>
    <phoneticPr fontId="1" type="noConversion"/>
  </si>
  <si>
    <t>上海市闵行区春申景城幼儿园</t>
    <phoneticPr fontId="1" type="noConversion"/>
  </si>
  <si>
    <t>上海市闵行区罗阳河畔幼儿园</t>
    <phoneticPr fontId="1" type="noConversion"/>
  </si>
  <si>
    <t>上海市闵行区晶华坊幼儿园</t>
    <phoneticPr fontId="1" type="noConversion"/>
  </si>
  <si>
    <t>上海中医药大学附属蔷薇小学（晶城校区）</t>
    <phoneticPr fontId="1" type="noConversion"/>
  </si>
  <si>
    <t>上海中医药大学附属闵行蔷薇小学（蔷薇校区）</t>
    <phoneticPr fontId="1" type="noConversion"/>
  </si>
  <si>
    <t>闵行区罗阳小学</t>
    <phoneticPr fontId="1" type="noConversion"/>
  </si>
  <si>
    <t>闵行区第三实验小学（闵行区曹行小学）</t>
    <phoneticPr fontId="1" type="noConversion"/>
  </si>
  <si>
    <t>华理梅陇实验学校（罗秀校区）</t>
    <phoneticPr fontId="1" type="noConversion"/>
  </si>
  <si>
    <t>华理梅陇实验学校（藤花校区）</t>
    <phoneticPr fontId="1" type="noConversion"/>
  </si>
  <si>
    <t>上海中医药大学附属闵行晶城中学</t>
    <phoneticPr fontId="1" type="noConversion"/>
  </si>
  <si>
    <t>一贯制</t>
    <phoneticPr fontId="1" type="noConversion"/>
  </si>
  <si>
    <t>小学</t>
    <phoneticPr fontId="1" type="noConversion"/>
  </si>
  <si>
    <t>义务教育精准化教学</t>
  </si>
  <si>
    <t>公办</t>
    <phoneticPr fontId="1" type="noConversion"/>
  </si>
  <si>
    <t>初中</t>
    <phoneticPr fontId="1" type="noConversion"/>
  </si>
  <si>
    <t>吴泾</t>
    <phoneticPr fontId="1" type="noConversion"/>
  </si>
  <si>
    <t>公办</t>
    <phoneticPr fontId="1" type="noConversion"/>
  </si>
  <si>
    <t>初中</t>
    <phoneticPr fontId="1" type="noConversion"/>
  </si>
  <si>
    <t>公办</t>
    <phoneticPr fontId="1" type="noConversion"/>
  </si>
  <si>
    <t>小学</t>
    <phoneticPr fontId="1" type="noConversion"/>
  </si>
  <si>
    <t>一贯制</t>
    <phoneticPr fontId="1" type="noConversion"/>
  </si>
  <si>
    <t>2025年保安经费追加预算（镇级单位）</t>
    <phoneticPr fontId="1" type="noConversion"/>
  </si>
  <si>
    <r>
      <rPr>
        <b/>
        <sz val="10"/>
        <rFont val="微软雅黑"/>
        <family val="2"/>
        <charset val="134"/>
      </rPr>
      <t>学校名称</t>
    </r>
    <phoneticPr fontId="1" type="noConversion"/>
  </si>
  <si>
    <r>
      <rPr>
        <b/>
        <sz val="10"/>
        <rFont val="微软雅黑"/>
        <family val="2"/>
        <charset val="134"/>
      </rPr>
      <t>学校办别</t>
    </r>
  </si>
  <si>
    <r>
      <rPr>
        <b/>
        <sz val="10"/>
        <rFont val="微软雅黑"/>
        <family val="2"/>
        <charset val="134"/>
      </rPr>
      <t>办学类型</t>
    </r>
  </si>
  <si>
    <r>
      <rPr>
        <b/>
        <sz val="10"/>
        <rFont val="微软雅黑"/>
        <family val="2"/>
        <charset val="134"/>
      </rPr>
      <t>所在街镇</t>
    </r>
  </si>
  <si>
    <t>人数</t>
    <phoneticPr fontId="1" type="noConversion"/>
  </si>
  <si>
    <t>原因</t>
    <phoneticPr fontId="1" type="noConversion"/>
  </si>
  <si>
    <r>
      <rPr>
        <b/>
        <sz val="10"/>
        <rFont val="微软雅黑"/>
        <family val="2"/>
        <charset val="134"/>
      </rPr>
      <t>单价</t>
    </r>
    <phoneticPr fontId="1" type="noConversion"/>
  </si>
  <si>
    <r>
      <rPr>
        <b/>
        <sz val="10"/>
        <color theme="1"/>
        <rFont val="微软雅黑"/>
        <family val="2"/>
        <charset val="134"/>
      </rPr>
      <t>金额</t>
    </r>
    <phoneticPr fontId="1" type="noConversion"/>
  </si>
  <si>
    <r>
      <rPr>
        <sz val="10"/>
        <rFont val="宋体"/>
        <family val="3"/>
        <charset val="134"/>
      </rPr>
      <t>闵行区龙柏第一小学</t>
    </r>
  </si>
  <si>
    <t>公办</t>
    <phoneticPr fontId="1" type="noConversion"/>
  </si>
  <si>
    <r>
      <rPr>
        <sz val="10"/>
        <rFont val="宋体"/>
        <family val="3"/>
        <charset val="134"/>
      </rPr>
      <t>小学</t>
    </r>
  </si>
  <si>
    <r>
      <rPr>
        <sz val="10"/>
        <rFont val="宋体"/>
        <family val="3"/>
        <charset val="134"/>
      </rPr>
      <t>虹桥镇</t>
    </r>
  </si>
  <si>
    <r>
      <rPr>
        <sz val="10"/>
        <color rgb="FF000000"/>
        <rFont val="宋体"/>
        <family val="3"/>
        <charset val="134"/>
      </rPr>
      <t>人车分离</t>
    </r>
    <phoneticPr fontId="1" type="noConversion"/>
  </si>
  <si>
    <r>
      <rPr>
        <sz val="10"/>
        <color theme="1"/>
        <rFont val="宋体"/>
        <family val="3"/>
        <charset val="134"/>
      </rPr>
      <t>上海市闵行区上虹中学</t>
    </r>
    <phoneticPr fontId="1" type="noConversion"/>
  </si>
  <si>
    <r>
      <rPr>
        <sz val="10"/>
        <color theme="1"/>
        <rFont val="宋体"/>
        <family val="3"/>
        <charset val="134"/>
      </rPr>
      <t>初中</t>
    </r>
    <phoneticPr fontId="1" type="noConversion"/>
  </si>
  <si>
    <r>
      <rPr>
        <sz val="10"/>
        <color theme="1"/>
        <rFont val="宋体"/>
        <family val="3"/>
        <charset val="134"/>
      </rPr>
      <t>虹桥镇</t>
    </r>
    <phoneticPr fontId="1" type="noConversion"/>
  </si>
  <si>
    <r>
      <rPr>
        <sz val="10"/>
        <color theme="1"/>
        <rFont val="宋体"/>
        <family val="3"/>
        <charset val="134"/>
      </rPr>
      <t>龙柏第一幼儿园雨林分园</t>
    </r>
    <phoneticPr fontId="1" type="noConversion"/>
  </si>
  <si>
    <r>
      <rPr>
        <sz val="10"/>
        <color theme="1"/>
        <rFont val="宋体"/>
        <family val="3"/>
        <charset val="134"/>
      </rPr>
      <t>幼儿园</t>
    </r>
    <phoneticPr fontId="1" type="noConversion"/>
  </si>
  <si>
    <r>
      <rPr>
        <sz val="10"/>
        <color theme="1"/>
        <rFont val="宋体"/>
        <family val="3"/>
        <charset val="134"/>
      </rPr>
      <t>新开办</t>
    </r>
    <phoneticPr fontId="1" type="noConversion"/>
  </si>
  <si>
    <r>
      <rPr>
        <sz val="10"/>
        <color theme="1"/>
        <rFont val="宋体"/>
        <family val="3"/>
        <charset val="134"/>
      </rPr>
      <t>华漕镇季乐路幼儿园芳乐分园</t>
    </r>
    <phoneticPr fontId="1" type="noConversion"/>
  </si>
  <si>
    <t>公办</t>
    <phoneticPr fontId="1" type="noConversion"/>
  </si>
  <si>
    <r>
      <rPr>
        <sz val="10"/>
        <color theme="1"/>
        <rFont val="宋体"/>
        <family val="3"/>
        <charset val="134"/>
      </rPr>
      <t>华漕镇</t>
    </r>
    <phoneticPr fontId="1" type="noConversion"/>
  </si>
  <si>
    <r>
      <rPr>
        <sz val="10"/>
        <rFont val="宋体"/>
        <family val="3"/>
        <charset val="134"/>
      </rPr>
      <t>华东理工大学附属闵行梅陇实验学校镇西校区</t>
    </r>
  </si>
  <si>
    <r>
      <rPr>
        <sz val="10"/>
        <rFont val="宋体"/>
        <family val="3"/>
        <charset val="134"/>
      </rPr>
      <t>九年一贯制</t>
    </r>
  </si>
  <si>
    <r>
      <rPr>
        <sz val="10"/>
        <rFont val="宋体"/>
        <family val="3"/>
        <charset val="134"/>
      </rPr>
      <t>梅陇镇</t>
    </r>
  </si>
  <si>
    <r>
      <rPr>
        <sz val="10"/>
        <color theme="1"/>
        <rFont val="宋体"/>
        <family val="3"/>
        <charset val="134"/>
      </rPr>
      <t>上海中医药大学附属闵行晶城中学</t>
    </r>
    <phoneticPr fontId="1" type="noConversion"/>
  </si>
  <si>
    <r>
      <rPr>
        <sz val="10"/>
        <color theme="1"/>
        <rFont val="宋体"/>
        <family val="3"/>
        <charset val="134"/>
      </rPr>
      <t>梅陇镇</t>
    </r>
    <phoneticPr fontId="1" type="noConversion"/>
  </si>
  <si>
    <r>
      <rPr>
        <sz val="10"/>
        <rFont val="宋体"/>
        <family val="3"/>
        <charset val="134"/>
      </rPr>
      <t>上海闵行区民办弘梅小学</t>
    </r>
  </si>
  <si>
    <r>
      <rPr>
        <sz val="10"/>
        <rFont val="宋体"/>
        <family val="3"/>
        <charset val="134"/>
      </rPr>
      <t>民办</t>
    </r>
  </si>
  <si>
    <r>
      <rPr>
        <sz val="10"/>
        <rFont val="宋体"/>
        <family val="3"/>
        <charset val="134"/>
      </rPr>
      <t>上海市闵行区浦江第二小学</t>
    </r>
  </si>
  <si>
    <r>
      <rPr>
        <sz val="10"/>
        <rFont val="宋体"/>
        <family val="3"/>
        <charset val="134"/>
      </rPr>
      <t>浦江镇</t>
    </r>
  </si>
  <si>
    <r>
      <rPr>
        <sz val="10"/>
        <rFont val="宋体"/>
        <family val="3"/>
        <charset val="134"/>
      </rPr>
      <t>上海市闵行区浦汇小学</t>
    </r>
  </si>
  <si>
    <r>
      <rPr>
        <sz val="10"/>
        <color theme="1"/>
        <rFont val="宋体"/>
        <family val="3"/>
        <charset val="134"/>
      </rPr>
      <t>上海市闵行区浦江第三小学</t>
    </r>
    <phoneticPr fontId="1" type="noConversion"/>
  </si>
  <si>
    <r>
      <rPr>
        <sz val="10"/>
        <color theme="1"/>
        <rFont val="宋体"/>
        <family val="3"/>
        <charset val="134"/>
      </rPr>
      <t>小学</t>
    </r>
    <phoneticPr fontId="1" type="noConversion"/>
  </si>
  <si>
    <r>
      <rPr>
        <sz val="10"/>
        <color theme="1"/>
        <rFont val="宋体"/>
        <family val="3"/>
        <charset val="134"/>
      </rPr>
      <t>浦江镇</t>
    </r>
    <phoneticPr fontId="1" type="noConversion"/>
  </si>
  <si>
    <r>
      <rPr>
        <sz val="10"/>
        <color theme="1"/>
        <rFont val="宋体"/>
        <family val="3"/>
        <charset val="134"/>
      </rPr>
      <t>上海市闵行区浦航实验中学</t>
    </r>
    <phoneticPr fontId="1" type="noConversion"/>
  </si>
  <si>
    <r>
      <rPr>
        <sz val="10"/>
        <color theme="1"/>
        <rFont val="宋体"/>
        <family val="3"/>
        <charset val="134"/>
      </rPr>
      <t>上海市闵行区浦江第二中学</t>
    </r>
    <phoneticPr fontId="1" type="noConversion"/>
  </si>
  <si>
    <r>
      <rPr>
        <sz val="10"/>
        <color theme="1"/>
        <rFont val="宋体"/>
        <family val="3"/>
        <charset val="134"/>
      </rPr>
      <t>上海市闵行区浦江第二小学（浦涛路校区）</t>
    </r>
    <phoneticPr fontId="1" type="noConversion"/>
  </si>
  <si>
    <r>
      <rPr>
        <sz val="10"/>
        <rFont val="宋体"/>
        <family val="3"/>
        <charset val="134"/>
      </rPr>
      <t>上海闵行区浦江文馨学校</t>
    </r>
  </si>
  <si>
    <r>
      <rPr>
        <sz val="10"/>
        <color theme="1"/>
        <rFont val="宋体"/>
        <family val="3"/>
        <charset val="134"/>
      </rPr>
      <t>启英宝盛幼儿园茂盛分园</t>
    </r>
    <phoneticPr fontId="1" type="noConversion"/>
  </si>
  <si>
    <r>
      <rPr>
        <sz val="10"/>
        <color theme="1"/>
        <rFont val="宋体"/>
        <family val="3"/>
        <charset val="134"/>
      </rPr>
      <t>七宝镇</t>
    </r>
    <phoneticPr fontId="1" type="noConversion"/>
  </si>
  <si>
    <r>
      <rPr>
        <sz val="10"/>
        <color theme="1"/>
        <rFont val="宋体"/>
        <family val="3"/>
        <charset val="134"/>
      </rPr>
      <t>民转公</t>
    </r>
    <phoneticPr fontId="1" type="noConversion"/>
  </si>
  <si>
    <r>
      <rPr>
        <sz val="10"/>
        <color theme="1"/>
        <rFont val="宋体"/>
        <family val="3"/>
        <charset val="134"/>
      </rPr>
      <t>七宝二中新增教学点</t>
    </r>
    <phoneticPr fontId="1" type="noConversion"/>
  </si>
  <si>
    <r>
      <rPr>
        <sz val="10"/>
        <color theme="1"/>
        <rFont val="宋体"/>
        <family val="3"/>
        <charset val="134"/>
      </rPr>
      <t>闵行区实验幼儿园群英分园</t>
    </r>
    <phoneticPr fontId="1" type="noConversion"/>
  </si>
  <si>
    <r>
      <rPr>
        <sz val="10"/>
        <color theme="1"/>
        <rFont val="宋体"/>
        <family val="3"/>
        <charset val="134"/>
      </rPr>
      <t>莘庄镇</t>
    </r>
    <phoneticPr fontId="1" type="noConversion"/>
  </si>
  <si>
    <r>
      <rPr>
        <sz val="10"/>
        <rFont val="宋体"/>
        <family val="3"/>
        <charset val="134"/>
      </rPr>
      <t>上海市闵行区田园外语实验小学</t>
    </r>
  </si>
  <si>
    <r>
      <rPr>
        <sz val="10"/>
        <rFont val="宋体"/>
        <family val="3"/>
        <charset val="134"/>
      </rPr>
      <t>颛桥镇</t>
    </r>
  </si>
  <si>
    <r>
      <rPr>
        <sz val="10"/>
        <rFont val="宋体"/>
        <family val="3"/>
        <charset val="134"/>
      </rPr>
      <t>上海市闵行区田园外语实验小学金都校区</t>
    </r>
  </si>
  <si>
    <r>
      <rPr>
        <sz val="10"/>
        <rFont val="宋体"/>
        <family val="3"/>
        <charset val="134"/>
      </rPr>
      <t>闵行区颛桥中心小学</t>
    </r>
  </si>
  <si>
    <r>
      <rPr>
        <sz val="10"/>
        <rFont val="宋体"/>
        <family val="3"/>
        <charset val="134"/>
      </rPr>
      <t>上海市闵行区田园外国语中学</t>
    </r>
  </si>
  <si>
    <r>
      <rPr>
        <sz val="10"/>
        <rFont val="宋体"/>
        <family val="3"/>
        <charset val="134"/>
      </rPr>
      <t>初级中学</t>
    </r>
  </si>
  <si>
    <r>
      <rPr>
        <sz val="10"/>
        <color theme="1"/>
        <rFont val="宋体"/>
        <family val="3"/>
        <charset val="134"/>
      </rPr>
      <t>颛桥镇幼儿园莘闵分园</t>
    </r>
    <phoneticPr fontId="1" type="noConversion"/>
  </si>
  <si>
    <r>
      <rPr>
        <sz val="10"/>
        <color theme="1"/>
        <rFont val="宋体"/>
        <family val="3"/>
        <charset val="134"/>
      </rPr>
      <t>颛桥镇</t>
    </r>
    <phoneticPr fontId="1" type="noConversion"/>
  </si>
  <si>
    <r>
      <rPr>
        <sz val="10"/>
        <color theme="1"/>
        <rFont val="宋体"/>
        <family val="3"/>
        <charset val="134"/>
      </rPr>
      <t>关闭</t>
    </r>
    <phoneticPr fontId="1" type="noConversion"/>
  </si>
  <si>
    <t>待细化</t>
    <phoneticPr fontId="45" type="noConversion"/>
  </si>
  <si>
    <t>细化</t>
    <phoneticPr fontId="1" type="noConversion"/>
  </si>
  <si>
    <t>不开</t>
    <phoneticPr fontId="1" type="noConversion"/>
  </si>
  <si>
    <t>项目明细</t>
    <phoneticPr fontId="1" type="noConversion"/>
  </si>
  <si>
    <t>校长队伍建设类项目</t>
  </si>
  <si>
    <t>校长培训基地工作经费</t>
    <phoneticPr fontId="1" type="noConversion"/>
  </si>
  <si>
    <t>田园外语实验小学</t>
  </si>
  <si>
    <t>田园初中</t>
    <phoneticPr fontId="1" type="noConversion"/>
  </si>
  <si>
    <t>办学类型</t>
  </si>
  <si>
    <t>型号规格</t>
  </si>
  <si>
    <t>金额(元)</t>
  </si>
  <si>
    <t>家具设备</t>
  </si>
  <si>
    <t>幼儿桌椅</t>
  </si>
  <si>
    <t>幼儿餐桌椅</t>
  </si>
  <si>
    <t>2025年镇管扩班设备</t>
  </si>
  <si>
    <t>幼儿床</t>
  </si>
  <si>
    <t>幼儿衣帽橱</t>
  </si>
  <si>
    <t>玩具柜</t>
  </si>
  <si>
    <t>教师办公桌椅</t>
  </si>
  <si>
    <t>桌面玩具</t>
  </si>
  <si>
    <t>教师计算机</t>
  </si>
  <si>
    <t>空调设备</t>
  </si>
  <si>
    <t>交互式多媒体设备</t>
  </si>
  <si>
    <t>热水器</t>
  </si>
  <si>
    <t>学生储物柜</t>
  </si>
  <si>
    <t>教室展示板</t>
  </si>
  <si>
    <t>教师办公橱</t>
  </si>
  <si>
    <t>推拉式书写板</t>
  </si>
  <si>
    <t>80寸及以上交互式智能电子白板</t>
  </si>
  <si>
    <t>投影设备</t>
  </si>
  <si>
    <t>短焦激光投影仪</t>
  </si>
  <si>
    <t>教师便携式计算机</t>
  </si>
  <si>
    <t>86寸及以上交互式智慧黑板</t>
  </si>
  <si>
    <t>九年一贯制</t>
  </si>
  <si>
    <t>普通教室3匹空调</t>
  </si>
  <si>
    <t>上海市闵行区田园第二外国语实验小学</t>
  </si>
  <si>
    <t>单价（元）</t>
    <phoneticPr fontId="1" type="noConversion"/>
  </si>
  <si>
    <t>2025年镇管单位专项预算（培训专项）</t>
    <phoneticPr fontId="1" type="noConversion"/>
  </si>
  <si>
    <t>金额（元）</t>
    <phoneticPr fontId="1" type="noConversion"/>
  </si>
  <si>
    <t>党员人数</t>
  </si>
  <si>
    <t>申请金额（元）</t>
  </si>
  <si>
    <t>镇属</t>
    <phoneticPr fontId="1" type="noConversion"/>
  </si>
  <si>
    <t>2025年镇级单位党建经费明细表</t>
    <phoneticPr fontId="1" type="noConversion"/>
  </si>
  <si>
    <t>颛桥</t>
    <phoneticPr fontId="1" type="noConversion"/>
  </si>
  <si>
    <t>2025年镇级学校扩班设备预算明细表</t>
    <phoneticPr fontId="1" type="noConversion"/>
  </si>
  <si>
    <t>幼儿园</t>
    <phoneticPr fontId="45" type="noConversion"/>
  </si>
  <si>
    <t>2025年镇管扩班设备</t>
    <phoneticPr fontId="45" type="noConversion"/>
  </si>
  <si>
    <t>幼儿园</t>
    <phoneticPr fontId="45" type="noConversion"/>
  </si>
  <si>
    <t>幼儿园</t>
    <phoneticPr fontId="45" type="noConversion"/>
  </si>
  <si>
    <t>教具设备</t>
    <phoneticPr fontId="45" type="noConversion"/>
  </si>
  <si>
    <t>电器设备</t>
    <phoneticPr fontId="45" type="noConversion"/>
  </si>
  <si>
    <t>幼儿园</t>
    <phoneticPr fontId="45" type="noConversion"/>
  </si>
  <si>
    <t>2025年镇管扩班设备</t>
    <phoneticPr fontId="45" type="noConversion"/>
  </si>
  <si>
    <t>家具设备</t>
    <phoneticPr fontId="45" type="noConversion"/>
  </si>
  <si>
    <t>80寸及以上交互式智能电子白板</t>
    <phoneticPr fontId="45" type="noConversion"/>
  </si>
  <si>
    <t>颛桥镇</t>
    <phoneticPr fontId="45" type="noConversion"/>
  </si>
  <si>
    <t>扩1托班，扩2小班，扩1大班，缩4混班</t>
    <phoneticPr fontId="45" type="noConversion"/>
  </si>
  <si>
    <t>颛桥镇</t>
    <phoneticPr fontId="45" type="noConversion"/>
  </si>
  <si>
    <t>颛桥镇</t>
    <phoneticPr fontId="45" type="noConversion"/>
  </si>
  <si>
    <t>颛桥镇</t>
    <phoneticPr fontId="45" type="noConversion"/>
  </si>
  <si>
    <t>新校舍扩6个班，今年加去年共缩3个班，考虑现缩班设备利旧情况，进行设备调整</t>
    <phoneticPr fontId="45" type="noConversion"/>
  </si>
  <si>
    <t>教师窗帘</t>
    <phoneticPr fontId="45" type="noConversion"/>
  </si>
  <si>
    <t>走廊窗帘</t>
    <phoneticPr fontId="45" type="noConversion"/>
  </si>
  <si>
    <t>走廊窗纱</t>
    <phoneticPr fontId="45" type="noConversion"/>
  </si>
  <si>
    <t>单位：元</t>
    <phoneticPr fontId="1" type="noConversion"/>
  </si>
  <si>
    <t>序号</t>
    <phoneticPr fontId="2" type="noConversion"/>
  </si>
  <si>
    <t>项目</t>
    <phoneticPr fontId="2" type="noConversion"/>
  </si>
  <si>
    <t>三次分配</t>
    <phoneticPr fontId="1" type="noConversion"/>
  </si>
  <si>
    <t>设备更新与购置</t>
    <phoneticPr fontId="1" type="noConversion"/>
  </si>
  <si>
    <t>党建经费</t>
    <phoneticPr fontId="1" type="noConversion"/>
  </si>
  <si>
    <t>合计</t>
    <phoneticPr fontId="2" type="noConversion"/>
  </si>
  <si>
    <t>颛桥镇：</t>
    <phoneticPr fontId="2" type="noConversion"/>
  </si>
  <si>
    <t>培训专项</t>
    <phoneticPr fontId="1" type="noConversion"/>
  </si>
  <si>
    <t>2025年教育统筹经费第三次分配明细表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</si>
</sst>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41" formatCode="_ * #,##0_ ;_ * \-#,##0_ ;_ * &quot;-&quot;_ ;_ @_ "/>
    <numFmt numFmtId="43" formatCode="_ * #,##0.00_ ;_ * \-#,##0.00_ ;_ * &quot;-&quot;??_ ;_ @_ "/>
    <numFmt numFmtId="176" formatCode="0.00_ "/>
    <numFmt numFmtId="177" formatCode="0.000_ "/>
    <numFmt numFmtId="178" formatCode="0.00_ ;\-0.00;;"/>
    <numFmt numFmtId="179" formatCode="0.00_);[Red]\(0.00\)"/>
    <numFmt numFmtId="180" formatCode="0_ "/>
    <numFmt numFmtId="181" formatCode="[$-F800]dddd\,\ mmmm\ dd\,\ yyyy"/>
    <numFmt numFmtId="182" formatCode="_ \¥* #,##0.00_ ;_ \¥* \-#,##0.00_ ;_ \¥* &quot;-&quot;??_ ;_ @_ "/>
    <numFmt numFmtId="183" formatCode="yyyy&quot;年&quot;m&quot;月&quot;;@"/>
    <numFmt numFmtId="184" formatCode="#,##0.00_ "/>
    <numFmt numFmtId="185" formatCode="0_);[Red]\(0\)"/>
    <numFmt numFmtId="186" formatCode="_-* #,##0_-;\-* #,##0_-;_-* &quot;-&quot;_-;_-@_-"/>
  </numFmts>
  <fonts count="160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0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2"/>
      <name val="宋体"/>
      <family val="3"/>
      <charset val="134"/>
    </font>
    <font>
      <sz val="12"/>
      <name val="宋体"/>
      <family val="3"/>
      <charset val="134"/>
    </font>
    <font>
      <sz val="10"/>
      <color indexed="8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0"/>
      <name val="宋体"/>
      <family val="3"/>
      <charset val="134"/>
    </font>
    <font>
      <sz val="12"/>
      <name val="Times New Roman"/>
      <family val="1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3"/>
      <color indexed="56"/>
      <name val="宋体"/>
      <family val="3"/>
      <charset val="134"/>
    </font>
    <font>
      <sz val="11"/>
      <color indexed="60"/>
      <name val="宋体"/>
      <family val="3"/>
      <charset val="134"/>
    </font>
    <font>
      <i/>
      <sz val="11"/>
      <color indexed="23"/>
      <name val="宋体"/>
      <family val="3"/>
      <charset val="134"/>
    </font>
    <font>
      <b/>
      <sz val="11"/>
      <color indexed="9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62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20"/>
      <name val="宋体"/>
      <family val="3"/>
      <charset val="134"/>
    </font>
    <font>
      <b/>
      <sz val="11"/>
      <color indexed="52"/>
      <name val="宋体"/>
      <family val="3"/>
      <charset val="134"/>
    </font>
    <font>
      <sz val="11"/>
      <color indexed="52"/>
      <name val="宋体"/>
      <family val="3"/>
      <charset val="134"/>
    </font>
    <font>
      <sz val="12"/>
      <color indexed="17"/>
      <name val="宋体"/>
      <family val="3"/>
      <charset val="134"/>
    </font>
    <font>
      <sz val="12"/>
      <color indexed="14"/>
      <name val="宋体"/>
      <family val="3"/>
      <charset val="134"/>
    </font>
    <font>
      <sz val="12"/>
      <color indexed="8"/>
      <name val="宋体"/>
      <family val="3"/>
      <charset val="134"/>
    </font>
    <font>
      <sz val="10"/>
      <name val="Arial"/>
      <family val="2"/>
    </font>
    <font>
      <sz val="11"/>
      <color indexed="14"/>
      <name val="宋体"/>
      <family val="3"/>
      <charset val="134"/>
    </font>
    <font>
      <u/>
      <sz val="14.4"/>
      <color indexed="12"/>
      <name val="宋体"/>
      <family val="3"/>
      <charset val="134"/>
    </font>
    <font>
      <sz val="11"/>
      <color indexed="8"/>
      <name val="等线"/>
      <family val="3"/>
      <charset val="134"/>
    </font>
    <font>
      <sz val="11"/>
      <color theme="1"/>
      <name val="等线"/>
      <family val="3"/>
      <charset val="134"/>
    </font>
    <font>
      <sz val="11"/>
      <color rgb="FF006100"/>
      <name val="宋体"/>
      <family val="3"/>
      <charset val="134"/>
      <scheme val="minor"/>
    </font>
    <font>
      <b/>
      <sz val="20"/>
      <color indexed="8"/>
      <name val="宋体"/>
      <family val="3"/>
      <charset val="134"/>
    </font>
    <font>
      <b/>
      <sz val="20"/>
      <name val="宋体"/>
      <family val="3"/>
      <charset val="134"/>
    </font>
    <font>
      <b/>
      <sz val="9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sz val="9"/>
      <color indexed="12"/>
      <name val="宋体"/>
      <family val="3"/>
      <charset val="134"/>
    </font>
    <font>
      <sz val="16"/>
      <color theme="1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  <font>
      <b/>
      <sz val="9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indexed="8"/>
      <name val="Arial"/>
      <family val="2"/>
    </font>
    <font>
      <sz val="11"/>
      <color theme="1"/>
      <name val="宋体"/>
      <family val="2"/>
      <charset val="134"/>
      <scheme val="minor"/>
    </font>
    <font>
      <sz val="9"/>
      <color theme="1"/>
      <name val="宋体"/>
      <family val="2"/>
      <charset val="134"/>
      <scheme val="minor"/>
    </font>
    <font>
      <b/>
      <sz val="16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9"/>
      <color indexed="10"/>
      <name val="宋体"/>
      <family val="3"/>
      <charset val="134"/>
    </font>
    <font>
      <b/>
      <sz val="9"/>
      <color rgb="FFFF0000"/>
      <name val="宋体"/>
      <family val="3"/>
      <charset val="134"/>
    </font>
    <font>
      <b/>
      <sz val="14"/>
      <color indexed="8"/>
      <name val="微软雅黑"/>
      <family val="2"/>
      <charset val="134"/>
    </font>
    <font>
      <b/>
      <sz val="10"/>
      <color indexed="8"/>
      <name val="微软雅黑"/>
      <family val="2"/>
      <charset val="134"/>
    </font>
    <font>
      <b/>
      <sz val="10"/>
      <name val="微软雅黑"/>
      <family val="2"/>
      <charset val="134"/>
    </font>
    <font>
      <sz val="10"/>
      <color indexed="8"/>
      <name val="Arial"/>
      <family val="2"/>
    </font>
    <font>
      <b/>
      <sz val="10"/>
      <name val="宋体"/>
      <family val="3"/>
      <charset val="134"/>
    </font>
    <font>
      <b/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8"/>
      <name val="宋体"/>
      <family val="3"/>
      <charset val="134"/>
    </font>
    <font>
      <b/>
      <sz val="9"/>
      <color indexed="81"/>
      <name val="宋体"/>
      <family val="3"/>
      <charset val="134"/>
    </font>
    <font>
      <b/>
      <sz val="9"/>
      <color indexed="81"/>
      <name val="Tahoma"/>
      <family val="2"/>
    </font>
    <font>
      <sz val="9"/>
      <color indexed="8"/>
      <name val="Arial"/>
      <family val="2"/>
    </font>
    <font>
      <sz val="14"/>
      <name val="宋体"/>
      <family val="2"/>
      <charset val="134"/>
    </font>
    <font>
      <sz val="10"/>
      <color theme="1"/>
      <name val="宋体"/>
      <family val="3"/>
      <charset val="134"/>
    </font>
    <font>
      <sz val="9"/>
      <color rgb="FFFF0000"/>
      <name val="宋体"/>
      <family val="2"/>
      <charset val="134"/>
    </font>
    <font>
      <sz val="9"/>
      <color rgb="FFFF0000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b/>
      <sz val="16"/>
      <color indexed="8"/>
      <name val="宋体"/>
      <family val="3"/>
      <charset val="134"/>
    </font>
    <font>
      <b/>
      <sz val="16"/>
      <name val="宋体"/>
      <family val="3"/>
      <charset val="134"/>
    </font>
    <font>
      <sz val="16"/>
      <name val="宋体"/>
      <family val="3"/>
      <charset val="134"/>
    </font>
    <font>
      <b/>
      <sz val="9"/>
      <name val="宋体"/>
      <family val="3"/>
      <charset val="134"/>
    </font>
    <font>
      <sz val="9"/>
      <color rgb="FFFF0000"/>
      <name val="宋体"/>
      <family val="3"/>
      <charset val="134"/>
    </font>
    <font>
      <sz val="16"/>
      <name val="宋体"/>
      <family val="2"/>
      <charset val="134"/>
      <scheme val="minor"/>
    </font>
    <font>
      <sz val="16"/>
      <name val="宋体"/>
      <family val="3"/>
      <charset val="134"/>
      <scheme val="minor"/>
    </font>
    <font>
      <sz val="9"/>
      <name val="黑体"/>
      <family val="3"/>
      <charset val="134"/>
    </font>
    <font>
      <sz val="9"/>
      <name val="宋体"/>
      <family val="2"/>
      <charset val="134"/>
    </font>
    <font>
      <sz val="14"/>
      <color indexed="8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9"/>
      <color theme="1"/>
      <name val="宋体"/>
      <family val="3"/>
      <charset val="134"/>
    </font>
    <font>
      <b/>
      <sz val="9"/>
      <color theme="1"/>
      <name val="宋体"/>
      <family val="2"/>
      <charset val="134"/>
      <scheme val="minor"/>
    </font>
    <font>
      <sz val="9"/>
      <color theme="1"/>
      <name val="SimSun"/>
      <charset val="134"/>
    </font>
    <font>
      <b/>
      <sz val="14"/>
      <color theme="1"/>
      <name val="宋体"/>
      <family val="3"/>
      <charset val="134"/>
    </font>
    <font>
      <b/>
      <sz val="12"/>
      <name val="仿宋"/>
      <family val="3"/>
      <charset val="134"/>
    </font>
    <font>
      <sz val="12"/>
      <color theme="1"/>
      <name val="仿宋"/>
      <family val="3"/>
      <charset val="134"/>
    </font>
    <font>
      <sz val="11"/>
      <name val="仿宋"/>
      <family val="3"/>
      <charset val="134"/>
    </font>
    <font>
      <sz val="12"/>
      <color indexed="64"/>
      <name val="仿宋"/>
      <family val="3"/>
      <charset val="134"/>
    </font>
    <font>
      <sz val="12"/>
      <color rgb="FF7030A0"/>
      <name val="仿宋"/>
      <family val="3"/>
      <charset val="134"/>
    </font>
    <font>
      <sz val="11"/>
      <color theme="1"/>
      <name val="仿宋"/>
      <family val="3"/>
      <charset val="134"/>
    </font>
    <font>
      <sz val="12"/>
      <name val="仿宋"/>
      <family val="3"/>
      <charset val="134"/>
    </font>
    <font>
      <sz val="12"/>
      <color theme="1"/>
      <name val="宋体"/>
      <family val="3"/>
      <charset val="134"/>
    </font>
    <font>
      <b/>
      <sz val="9"/>
      <name val="Tahoma"/>
      <family val="2"/>
    </font>
    <font>
      <sz val="9"/>
      <name val="Tahoma"/>
      <family val="2"/>
    </font>
    <font>
      <sz val="11"/>
      <name val="Times New Roman"/>
      <family val="1"/>
    </font>
    <font>
      <sz val="11"/>
      <name val="宋体"/>
      <family val="3"/>
      <charset val="134"/>
    </font>
    <font>
      <sz val="14"/>
      <color theme="1"/>
      <name val="宋体"/>
      <family val="2"/>
      <charset val="134"/>
      <scheme val="minor"/>
    </font>
    <font>
      <b/>
      <sz val="18"/>
      <name val="宋体"/>
      <family val="3"/>
      <charset val="134"/>
    </font>
    <font>
      <sz val="12"/>
      <name val="Arial"/>
      <family val="2"/>
    </font>
    <font>
      <sz val="9"/>
      <color rgb="FF00B050"/>
      <name val="宋体"/>
      <family val="3"/>
      <charset val="134"/>
    </font>
    <font>
      <sz val="10"/>
      <color rgb="FF00B050"/>
      <name val="宋体"/>
      <family val="3"/>
      <charset val="134"/>
    </font>
    <font>
      <sz val="10"/>
      <color rgb="FFFF0000"/>
      <name val="宋体"/>
      <family val="3"/>
      <charset val="134"/>
    </font>
    <font>
      <sz val="10"/>
      <color rgb="FFFF0000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b/>
      <u/>
      <sz val="16"/>
      <name val="宋体"/>
      <family val="3"/>
      <charset val="134"/>
    </font>
    <font>
      <sz val="10"/>
      <name val="仿宋"/>
      <family val="3"/>
      <charset val="134"/>
    </font>
    <font>
      <sz val="10"/>
      <color theme="1"/>
      <name val="仿宋"/>
      <family val="3"/>
      <charset val="134"/>
    </font>
    <font>
      <sz val="10"/>
      <color rgb="FF000000"/>
      <name val="宋体"/>
      <family val="3"/>
      <charset val="134"/>
    </font>
    <font>
      <b/>
      <sz val="10"/>
      <color rgb="FF000000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sz val="12"/>
      <color indexed="8"/>
      <name val="Times New Roman"/>
      <family val="1"/>
    </font>
    <font>
      <sz val="10"/>
      <color theme="1"/>
      <name val="宋体"/>
      <family val="3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20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1"/>
      <color rgb="FF000000"/>
      <name val="宋体"/>
      <family val="3"/>
      <charset val="134"/>
    </font>
    <font>
      <b/>
      <sz val="10"/>
      <color theme="1"/>
      <name val="宋体"/>
      <family val="3"/>
      <charset val="134"/>
      <scheme val="minor"/>
    </font>
    <font>
      <sz val="10"/>
      <color rgb="FF000000"/>
      <name val="宋体"/>
      <family val="3"/>
      <charset val="134"/>
      <scheme val="minor"/>
    </font>
    <font>
      <sz val="10"/>
      <color rgb="FF000000"/>
      <name val="SimSun"/>
      <charset val="134"/>
    </font>
    <font>
      <b/>
      <sz val="18"/>
      <name val="Times New Roman"/>
      <family val="1"/>
      <charset val="134"/>
    </font>
    <font>
      <b/>
      <sz val="18"/>
      <name val="宋体"/>
      <family val="1"/>
      <charset val="134"/>
    </font>
    <font>
      <b/>
      <sz val="18"/>
      <name val="Times New Roman"/>
      <family val="1"/>
    </font>
    <font>
      <sz val="18"/>
      <color theme="1"/>
      <name val="宋体"/>
      <family val="2"/>
      <charset val="134"/>
      <scheme val="minor"/>
    </font>
    <font>
      <sz val="9"/>
      <name val="Arial"/>
      <family val="2"/>
    </font>
    <font>
      <b/>
      <sz val="10"/>
      <color theme="1"/>
      <name val="宋体"/>
      <family val="3"/>
      <charset val="134"/>
    </font>
    <font>
      <sz val="8"/>
      <color theme="1"/>
      <name val="宋体"/>
      <family val="3"/>
      <charset val="134"/>
    </font>
    <font>
      <b/>
      <sz val="10"/>
      <name val="宋体"/>
      <family val="3"/>
      <charset val="134"/>
      <scheme val="minor"/>
    </font>
    <font>
      <b/>
      <sz val="12"/>
      <name val="宋体"/>
      <family val="3"/>
      <charset val="134"/>
      <scheme val="minor"/>
    </font>
    <font>
      <b/>
      <sz val="10"/>
      <color rgb="FF000000"/>
      <name val="宋体"/>
      <family val="3"/>
      <charset val="134"/>
      <scheme val="minor"/>
    </font>
    <font>
      <b/>
      <sz val="14"/>
      <name val="宋体"/>
      <family val="3"/>
      <charset val="134"/>
    </font>
    <font>
      <b/>
      <sz val="14"/>
      <name val="Times New Roman"/>
      <family val="1"/>
    </font>
    <font>
      <b/>
      <sz val="12"/>
      <name val="Times New Roman"/>
      <family val="1"/>
    </font>
    <font>
      <sz val="10"/>
      <name val="Helv"/>
      <family val="2"/>
    </font>
    <font>
      <b/>
      <sz val="14"/>
      <color rgb="FF000000"/>
      <name val="宋体"/>
      <family val="3"/>
      <charset val="134"/>
      <scheme val="minor"/>
    </font>
    <font>
      <b/>
      <sz val="14"/>
      <color indexed="8"/>
      <name val="宋体"/>
      <family val="3"/>
      <charset val="134"/>
      <scheme val="minor"/>
    </font>
    <font>
      <sz val="10"/>
      <name val="等线"/>
      <family val="3"/>
      <charset val="134"/>
    </font>
    <font>
      <b/>
      <sz val="10"/>
      <color indexed="8"/>
      <name val="宋体"/>
      <family val="3"/>
      <charset val="134"/>
      <scheme val="minor"/>
    </font>
    <font>
      <sz val="10"/>
      <name val="方正书宋_GBK"/>
      <family val="3"/>
      <charset val="134"/>
    </font>
    <font>
      <sz val="12"/>
      <name val="宋体"/>
      <family val="3"/>
      <charset val="134"/>
      <scheme val="minor"/>
    </font>
    <font>
      <sz val="10.5"/>
      <color theme="3" tint="0.59999389629810485"/>
      <name val="仿宋_GB2312"/>
      <family val="3"/>
      <charset val="134"/>
    </font>
    <font>
      <sz val="9"/>
      <color theme="3" tint="0.59999389629810485"/>
      <name val="宋体"/>
      <family val="3"/>
      <charset val="134"/>
    </font>
    <font>
      <sz val="10"/>
      <color theme="3" tint="0.59999389629810485"/>
      <name val="宋体"/>
      <family val="3"/>
      <charset val="134"/>
    </font>
    <font>
      <sz val="9"/>
      <color rgb="FF00B050"/>
      <name val="宋体"/>
      <family val="3"/>
      <charset val="134"/>
      <scheme val="minor"/>
    </font>
    <font>
      <sz val="9"/>
      <color theme="3" tint="0.59999389629810485"/>
      <name val="宋体"/>
      <family val="3"/>
      <charset val="134"/>
      <scheme val="minor"/>
    </font>
    <font>
      <sz val="16"/>
      <color theme="1"/>
      <name val="宋体"/>
      <family val="2"/>
      <charset val="134"/>
      <scheme val="minor"/>
    </font>
    <font>
      <b/>
      <sz val="10"/>
      <color theme="1"/>
      <name val="Arial"/>
      <family val="2"/>
    </font>
    <font>
      <b/>
      <sz val="10"/>
      <color theme="1"/>
      <name val="微软雅黑"/>
      <family val="2"/>
      <charset val="134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10"/>
      <color indexed="8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12"/>
      <name val="楷体_GB2312"/>
      <charset val="134"/>
    </font>
    <font>
      <b/>
      <sz val="14"/>
      <color indexed="8"/>
      <name val="宋体"/>
      <family val="3"/>
      <charset val="134"/>
    </font>
    <font>
      <b/>
      <sz val="18"/>
      <color theme="1"/>
      <name val="宋体"/>
      <family val="3"/>
      <charset val="134"/>
      <scheme val="minor"/>
    </font>
    <font>
      <b/>
      <sz val="10"/>
      <name val="仿宋"/>
      <family val="3"/>
      <charset val="134"/>
    </font>
    <font>
      <b/>
      <sz val="16"/>
      <name val="宋体"/>
      <family val="3"/>
      <charset val="134"/>
      <scheme val="major"/>
    </font>
    <font>
      <sz val="14"/>
      <name val="仿宋"/>
      <family val="3"/>
      <charset val="134"/>
    </font>
    <font>
      <sz val="14"/>
      <color theme="1"/>
      <name val="仿宋"/>
      <family val="3"/>
      <charset val="134"/>
    </font>
  </fonts>
  <fills count="3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/>
      <diagonal/>
    </border>
    <border>
      <left style="thin">
        <color rgb="FF000000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auto="1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0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indexed="8"/>
      </top>
      <bottom style="thin">
        <color auto="1"/>
      </bottom>
      <diagonal/>
    </border>
    <border>
      <left style="thin">
        <color auto="1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023">
    <xf numFmtId="0" fontId="0" fillId="0" borderId="0">
      <alignment vertical="center"/>
    </xf>
    <xf numFmtId="0" fontId="4" fillId="0" borderId="0"/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2" fillId="3" borderId="0">
      <alignment vertical="center"/>
    </xf>
    <xf numFmtId="0" fontId="12" fillId="3" borderId="0">
      <alignment vertical="center"/>
    </xf>
    <xf numFmtId="0" fontId="12" fillId="3" borderId="0">
      <alignment vertical="center"/>
    </xf>
    <xf numFmtId="0" fontId="5" fillId="3" borderId="0">
      <alignment vertical="center"/>
    </xf>
    <xf numFmtId="0" fontId="5" fillId="3" borderId="0">
      <alignment vertical="center"/>
    </xf>
    <xf numFmtId="0" fontId="12" fillId="3" borderId="0">
      <alignment vertical="center"/>
    </xf>
    <xf numFmtId="0" fontId="5" fillId="3" borderId="0">
      <alignment vertical="center"/>
    </xf>
    <xf numFmtId="0" fontId="5" fillId="3" borderId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2" fillId="4" borderId="0">
      <alignment vertical="center"/>
    </xf>
    <xf numFmtId="0" fontId="12" fillId="4" borderId="0">
      <alignment vertical="center"/>
    </xf>
    <xf numFmtId="0" fontId="12" fillId="4" borderId="0">
      <alignment vertical="center"/>
    </xf>
    <xf numFmtId="0" fontId="5" fillId="4" borderId="0">
      <alignment vertical="center"/>
    </xf>
    <xf numFmtId="0" fontId="5" fillId="4" borderId="0">
      <alignment vertical="center"/>
    </xf>
    <xf numFmtId="0" fontId="12" fillId="4" borderId="0">
      <alignment vertical="center"/>
    </xf>
    <xf numFmtId="0" fontId="5" fillId="4" borderId="0">
      <alignment vertical="center"/>
    </xf>
    <xf numFmtId="0" fontId="5" fillId="4" borderId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2" fillId="5" borderId="0">
      <alignment vertical="center"/>
    </xf>
    <xf numFmtId="0" fontId="12" fillId="5" borderId="0">
      <alignment vertical="center"/>
    </xf>
    <xf numFmtId="0" fontId="12" fillId="5" borderId="0">
      <alignment vertical="center"/>
    </xf>
    <xf numFmtId="0" fontId="5" fillId="5" borderId="0">
      <alignment vertical="center"/>
    </xf>
    <xf numFmtId="0" fontId="5" fillId="5" borderId="0">
      <alignment vertical="center"/>
    </xf>
    <xf numFmtId="0" fontId="12" fillId="5" borderId="0">
      <alignment vertical="center"/>
    </xf>
    <xf numFmtId="0" fontId="5" fillId="5" borderId="0">
      <alignment vertical="center"/>
    </xf>
    <xf numFmtId="0" fontId="5" fillId="5" borderId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2" fillId="6" borderId="0">
      <alignment vertical="center"/>
    </xf>
    <xf numFmtId="0" fontId="12" fillId="6" borderId="0">
      <alignment vertical="center"/>
    </xf>
    <xf numFmtId="0" fontId="12" fillId="6" borderId="0">
      <alignment vertical="center"/>
    </xf>
    <xf numFmtId="0" fontId="5" fillId="6" borderId="0">
      <alignment vertical="center"/>
    </xf>
    <xf numFmtId="0" fontId="5" fillId="6" borderId="0">
      <alignment vertical="center"/>
    </xf>
    <xf numFmtId="0" fontId="12" fillId="6" borderId="0">
      <alignment vertical="center"/>
    </xf>
    <xf numFmtId="0" fontId="5" fillId="6" borderId="0">
      <alignment vertical="center"/>
    </xf>
    <xf numFmtId="0" fontId="5" fillId="6" borderId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2" fillId="7" borderId="0">
      <alignment vertical="center"/>
    </xf>
    <xf numFmtId="0" fontId="12" fillId="7" borderId="0">
      <alignment vertical="center"/>
    </xf>
    <xf numFmtId="0" fontId="12" fillId="7" borderId="0">
      <alignment vertical="center"/>
    </xf>
    <xf numFmtId="0" fontId="5" fillId="7" borderId="0">
      <alignment vertical="center"/>
    </xf>
    <xf numFmtId="0" fontId="5" fillId="7" borderId="0">
      <alignment vertical="center"/>
    </xf>
    <xf numFmtId="0" fontId="12" fillId="7" borderId="0">
      <alignment vertical="center"/>
    </xf>
    <xf numFmtId="0" fontId="5" fillId="7" borderId="0">
      <alignment vertical="center"/>
    </xf>
    <xf numFmtId="0" fontId="5" fillId="7" borderId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2" fillId="8" borderId="0">
      <alignment vertical="center"/>
    </xf>
    <xf numFmtId="0" fontId="12" fillId="8" borderId="0">
      <alignment vertical="center"/>
    </xf>
    <xf numFmtId="0" fontId="12" fillId="8" borderId="0">
      <alignment vertical="center"/>
    </xf>
    <xf numFmtId="0" fontId="5" fillId="8" borderId="0">
      <alignment vertical="center"/>
    </xf>
    <xf numFmtId="0" fontId="5" fillId="8" borderId="0">
      <alignment vertical="center"/>
    </xf>
    <xf numFmtId="0" fontId="12" fillId="8" borderId="0">
      <alignment vertical="center"/>
    </xf>
    <xf numFmtId="0" fontId="5" fillId="8" borderId="0">
      <alignment vertical="center"/>
    </xf>
    <xf numFmtId="0" fontId="5" fillId="8" borderId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2" fillId="9" borderId="0">
      <alignment vertical="center"/>
    </xf>
    <xf numFmtId="0" fontId="12" fillId="9" borderId="0">
      <alignment vertical="center"/>
    </xf>
    <xf numFmtId="0" fontId="12" fillId="9" borderId="0">
      <alignment vertical="center"/>
    </xf>
    <xf numFmtId="0" fontId="5" fillId="9" borderId="0">
      <alignment vertical="center"/>
    </xf>
    <xf numFmtId="0" fontId="5" fillId="9" borderId="0">
      <alignment vertical="center"/>
    </xf>
    <xf numFmtId="0" fontId="12" fillId="9" borderId="0">
      <alignment vertical="center"/>
    </xf>
    <xf numFmtId="0" fontId="5" fillId="9" borderId="0">
      <alignment vertical="center"/>
    </xf>
    <xf numFmtId="0" fontId="5" fillId="9" borderId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2" fillId="10" borderId="0">
      <alignment vertical="center"/>
    </xf>
    <xf numFmtId="0" fontId="12" fillId="10" borderId="0">
      <alignment vertical="center"/>
    </xf>
    <xf numFmtId="0" fontId="12" fillId="10" borderId="0">
      <alignment vertical="center"/>
    </xf>
    <xf numFmtId="0" fontId="5" fillId="10" borderId="0">
      <alignment vertical="center"/>
    </xf>
    <xf numFmtId="0" fontId="5" fillId="10" borderId="0">
      <alignment vertical="center"/>
    </xf>
    <xf numFmtId="0" fontId="12" fillId="10" borderId="0">
      <alignment vertical="center"/>
    </xf>
    <xf numFmtId="0" fontId="5" fillId="10" borderId="0">
      <alignment vertical="center"/>
    </xf>
    <xf numFmtId="0" fontId="5" fillId="10" borderId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2" fillId="11" borderId="0">
      <alignment vertical="center"/>
    </xf>
    <xf numFmtId="0" fontId="12" fillId="11" borderId="0">
      <alignment vertical="center"/>
    </xf>
    <xf numFmtId="0" fontId="12" fillId="11" borderId="0">
      <alignment vertical="center"/>
    </xf>
    <xf numFmtId="0" fontId="5" fillId="11" borderId="0">
      <alignment vertical="center"/>
    </xf>
    <xf numFmtId="0" fontId="5" fillId="11" borderId="0">
      <alignment vertical="center"/>
    </xf>
    <xf numFmtId="0" fontId="12" fillId="11" borderId="0">
      <alignment vertical="center"/>
    </xf>
    <xf numFmtId="0" fontId="5" fillId="11" borderId="0">
      <alignment vertical="center"/>
    </xf>
    <xf numFmtId="0" fontId="5" fillId="11" borderId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2" fillId="6" borderId="0">
      <alignment vertical="center"/>
    </xf>
    <xf numFmtId="0" fontId="12" fillId="6" borderId="0">
      <alignment vertical="center"/>
    </xf>
    <xf numFmtId="0" fontId="12" fillId="6" borderId="0">
      <alignment vertical="center"/>
    </xf>
    <xf numFmtId="0" fontId="5" fillId="6" borderId="0">
      <alignment vertical="center"/>
    </xf>
    <xf numFmtId="0" fontId="5" fillId="6" borderId="0">
      <alignment vertical="center"/>
    </xf>
    <xf numFmtId="0" fontId="12" fillId="6" borderId="0">
      <alignment vertical="center"/>
    </xf>
    <xf numFmtId="0" fontId="5" fillId="6" borderId="0">
      <alignment vertical="center"/>
    </xf>
    <xf numFmtId="0" fontId="5" fillId="6" borderId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2" fillId="9" borderId="0">
      <alignment vertical="center"/>
    </xf>
    <xf numFmtId="0" fontId="12" fillId="9" borderId="0">
      <alignment vertical="center"/>
    </xf>
    <xf numFmtId="0" fontId="12" fillId="9" borderId="0">
      <alignment vertical="center"/>
    </xf>
    <xf numFmtId="0" fontId="5" fillId="9" borderId="0">
      <alignment vertical="center"/>
    </xf>
    <xf numFmtId="0" fontId="5" fillId="9" borderId="0">
      <alignment vertical="center"/>
    </xf>
    <xf numFmtId="0" fontId="12" fillId="9" borderId="0">
      <alignment vertical="center"/>
    </xf>
    <xf numFmtId="0" fontId="5" fillId="9" borderId="0">
      <alignment vertical="center"/>
    </xf>
    <xf numFmtId="0" fontId="5" fillId="9" borderId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2" fillId="12" borderId="0">
      <alignment vertical="center"/>
    </xf>
    <xf numFmtId="0" fontId="12" fillId="12" borderId="0">
      <alignment vertical="center"/>
    </xf>
    <xf numFmtId="0" fontId="12" fillId="12" borderId="0">
      <alignment vertical="center"/>
    </xf>
    <xf numFmtId="0" fontId="5" fillId="12" borderId="0">
      <alignment vertical="center"/>
    </xf>
    <xf numFmtId="0" fontId="5" fillId="12" borderId="0">
      <alignment vertical="center"/>
    </xf>
    <xf numFmtId="0" fontId="12" fillId="12" borderId="0">
      <alignment vertical="center"/>
    </xf>
    <xf numFmtId="0" fontId="5" fillId="12" borderId="0">
      <alignment vertical="center"/>
    </xf>
    <xf numFmtId="0" fontId="5" fillId="12" borderId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>
      <alignment vertical="center"/>
    </xf>
    <xf numFmtId="0" fontId="13" fillId="13" borderId="0">
      <alignment vertical="center"/>
    </xf>
    <xf numFmtId="0" fontId="13" fillId="13" borderId="0">
      <alignment vertical="center"/>
    </xf>
    <xf numFmtId="0" fontId="13" fillId="13" borderId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>
      <alignment vertical="center"/>
    </xf>
    <xf numFmtId="0" fontId="13" fillId="10" borderId="0">
      <alignment vertical="center"/>
    </xf>
    <xf numFmtId="0" fontId="13" fillId="10" borderId="0">
      <alignment vertical="center"/>
    </xf>
    <xf numFmtId="0" fontId="13" fillId="10" borderId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>
      <alignment vertical="center"/>
    </xf>
    <xf numFmtId="0" fontId="13" fillId="11" borderId="0">
      <alignment vertical="center"/>
    </xf>
    <xf numFmtId="0" fontId="13" fillId="11" borderId="0">
      <alignment vertical="center"/>
    </xf>
    <xf numFmtId="0" fontId="13" fillId="11" borderId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5" borderId="0">
      <alignment vertical="center"/>
    </xf>
    <xf numFmtId="0" fontId="13" fillId="15" borderId="0">
      <alignment vertical="center"/>
    </xf>
    <xf numFmtId="0" fontId="13" fillId="15" borderId="0">
      <alignment vertical="center"/>
    </xf>
    <xf numFmtId="0" fontId="13" fillId="15" borderId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5" borderId="0">
      <alignment vertical="center"/>
    </xf>
    <xf numFmtId="0" fontId="13" fillId="5" borderId="0">
      <alignment vertical="center"/>
    </xf>
    <xf numFmtId="0" fontId="13" fillId="5" borderId="0">
      <alignment vertical="center"/>
    </xf>
    <xf numFmtId="0" fontId="13" fillId="5" borderId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>
      <alignment vertical="center"/>
    </xf>
    <xf numFmtId="0" fontId="13" fillId="17" borderId="0">
      <alignment vertical="center"/>
    </xf>
    <xf numFmtId="0" fontId="13" fillId="17" borderId="0">
      <alignment vertical="center"/>
    </xf>
    <xf numFmtId="0" fontId="13" fillId="17" borderId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23" fillId="0" borderId="2" applyNumberFormat="0" applyFill="0" applyAlignment="0" applyProtection="0">
      <alignment vertical="center"/>
    </xf>
    <xf numFmtId="0" fontId="23" fillId="0" borderId="2" applyNumberFormat="0" applyFill="0" applyAlignment="0" applyProtection="0">
      <alignment vertical="center"/>
    </xf>
    <xf numFmtId="0" fontId="23" fillId="0" borderId="2" applyNumberFormat="0" applyFill="0" applyAlignment="0" applyProtection="0">
      <alignment vertical="center"/>
    </xf>
    <xf numFmtId="0" fontId="23" fillId="0" borderId="2" applyNumberFormat="0" applyFill="0" applyAlignment="0" applyProtection="0">
      <alignment vertical="center"/>
    </xf>
    <xf numFmtId="0" fontId="23" fillId="0" borderId="2">
      <alignment vertical="center"/>
    </xf>
    <xf numFmtId="0" fontId="23" fillId="0" borderId="2">
      <alignment vertical="center"/>
    </xf>
    <xf numFmtId="0" fontId="23" fillId="0" borderId="2">
      <alignment vertical="center"/>
    </xf>
    <xf numFmtId="0" fontId="23" fillId="0" borderId="2">
      <alignment vertical="center"/>
    </xf>
    <xf numFmtId="0" fontId="23" fillId="0" borderId="2" applyNumberFormat="0" applyFill="0" applyAlignment="0" applyProtection="0">
      <alignment vertical="center"/>
    </xf>
    <xf numFmtId="0" fontId="23" fillId="0" borderId="2" applyNumberFormat="0" applyFill="0" applyAlignment="0" applyProtection="0">
      <alignment vertical="center"/>
    </xf>
    <xf numFmtId="0" fontId="23" fillId="0" borderId="2" applyNumberFormat="0" applyFill="0" applyAlignment="0" applyProtection="0">
      <alignment vertical="center"/>
    </xf>
    <xf numFmtId="0" fontId="23" fillId="0" borderId="2" applyNumberFormat="0" applyFill="0" applyAlignment="0" applyProtection="0">
      <alignment vertical="center"/>
    </xf>
    <xf numFmtId="0" fontId="23" fillId="0" borderId="2" applyNumberFormat="0" applyFill="0" applyAlignment="0" applyProtection="0">
      <alignment vertical="center"/>
    </xf>
    <xf numFmtId="0" fontId="23" fillId="0" borderId="2" applyNumberFormat="0" applyFill="0" applyAlignment="0" applyProtection="0">
      <alignment vertical="center"/>
    </xf>
    <xf numFmtId="0" fontId="23" fillId="0" borderId="2" applyNumberFormat="0" applyFill="0" applyAlignment="0" applyProtection="0">
      <alignment vertical="center"/>
    </xf>
    <xf numFmtId="0" fontId="23" fillId="0" borderId="2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4" fillId="0" borderId="3">
      <alignment vertical="center"/>
    </xf>
    <xf numFmtId="0" fontId="14" fillId="0" borderId="3">
      <alignment vertical="center"/>
    </xf>
    <xf numFmtId="0" fontId="14" fillId="0" borderId="3">
      <alignment vertical="center"/>
    </xf>
    <xf numFmtId="0" fontId="14" fillId="0" borderId="3">
      <alignment vertical="center"/>
    </xf>
    <xf numFmtId="0" fontId="14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0" fillId="0" borderId="4">
      <alignment vertical="center"/>
    </xf>
    <xf numFmtId="0" fontId="20" fillId="0" borderId="4">
      <alignment vertical="center"/>
    </xf>
    <xf numFmtId="0" fontId="20" fillId="0" borderId="4">
      <alignment vertical="center"/>
    </xf>
    <xf numFmtId="0" fontId="20" fillId="0" borderId="4">
      <alignment vertical="center"/>
    </xf>
    <xf numFmtId="0" fontId="20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>
      <alignment vertical="center"/>
    </xf>
    <xf numFmtId="0" fontId="25" fillId="4" borderId="0">
      <alignment vertical="center"/>
    </xf>
    <xf numFmtId="0" fontId="25" fillId="4" borderId="0">
      <alignment vertical="center"/>
    </xf>
    <xf numFmtId="0" fontId="25" fillId="4" borderId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9" fillId="4" borderId="0" applyNumberFormat="0" applyBorder="0" applyAlignment="0" applyProtection="0"/>
    <xf numFmtId="0" fontId="29" fillId="4" borderId="0" applyNumberFormat="0" applyBorder="0" applyAlignment="0" applyProtection="0"/>
    <xf numFmtId="0" fontId="29" fillId="4" borderId="0" applyNumberFormat="0" applyBorder="0" applyAlignment="0" applyProtection="0"/>
    <xf numFmtId="0" fontId="29" fillId="4" borderId="0" applyNumberFormat="0" applyBorder="0" applyAlignment="0" applyProtection="0"/>
    <xf numFmtId="0" fontId="29" fillId="4" borderId="0" applyNumberFormat="0" applyBorder="0" applyAlignment="0" applyProtection="0"/>
    <xf numFmtId="0" fontId="29" fillId="4" borderId="0" applyNumberFormat="0" applyBorder="0" applyAlignment="0" applyProtection="0"/>
    <xf numFmtId="0" fontId="29" fillId="4" borderId="0" applyNumberFormat="0" applyBorder="0" applyAlignment="0" applyProtection="0"/>
    <xf numFmtId="0" fontId="29" fillId="4" borderId="0" applyNumberFormat="0" applyBorder="0" applyAlignment="0" applyProtection="0"/>
    <xf numFmtId="0" fontId="29" fillId="4" borderId="0" applyNumberFormat="0" applyBorder="0" applyAlignment="0" applyProtection="0"/>
    <xf numFmtId="0" fontId="29" fillId="4" borderId="0" applyNumberFormat="0" applyBorder="0" applyAlignment="0" applyProtection="0"/>
    <xf numFmtId="0" fontId="29" fillId="4" borderId="0" applyNumberFormat="0" applyBorder="0" applyAlignment="0" applyProtection="0"/>
    <xf numFmtId="0" fontId="29" fillId="4" borderId="0" applyNumberFormat="0" applyBorder="0" applyAlignment="0" applyProtection="0"/>
    <xf numFmtId="0" fontId="29" fillId="4" borderId="0" applyNumberFormat="0" applyBorder="0" applyAlignment="0" applyProtection="0"/>
    <xf numFmtId="0" fontId="29" fillId="4" borderId="0" applyNumberFormat="0" applyBorder="0" applyAlignment="0" applyProtection="0"/>
    <xf numFmtId="0" fontId="29" fillId="4" borderId="0" applyNumberFormat="0" applyBorder="0" applyAlignment="0" applyProtection="0"/>
    <xf numFmtId="0" fontId="29" fillId="4" borderId="0" applyNumberFormat="0" applyBorder="0" applyAlignment="0" applyProtection="0"/>
    <xf numFmtId="0" fontId="29" fillId="4" borderId="0" applyNumberFormat="0" applyBorder="0" applyAlignment="0" applyProtection="0"/>
    <xf numFmtId="0" fontId="29" fillId="4" borderId="0" applyNumberFormat="0" applyBorder="0" applyAlignment="0" applyProtection="0"/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7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3" fillId="0" borderId="0">
      <alignment vertical="center"/>
    </xf>
    <xf numFmtId="0" fontId="3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5" fillId="0" borderId="0">
      <alignment vertical="center"/>
    </xf>
    <xf numFmtId="0" fontId="1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5" fillId="0" borderId="0"/>
    <xf numFmtId="0" fontId="5" fillId="0" borderId="0"/>
    <xf numFmtId="0" fontId="12" fillId="0" borderId="0"/>
    <xf numFmtId="0" fontId="5" fillId="0" borderId="0"/>
    <xf numFmtId="0" fontId="5" fillId="0" borderId="0"/>
    <xf numFmtId="0" fontId="12" fillId="0" borderId="0"/>
    <xf numFmtId="0" fontId="12" fillId="0" borderId="0"/>
    <xf numFmtId="0" fontId="5" fillId="0" borderId="0"/>
    <xf numFmtId="0" fontId="5" fillId="0" borderId="0"/>
    <xf numFmtId="0" fontId="12" fillId="0" borderId="0"/>
    <xf numFmtId="0" fontId="12" fillId="0" borderId="0"/>
    <xf numFmtId="0" fontId="5" fillId="0" borderId="0"/>
    <xf numFmtId="0" fontId="5" fillId="0" borderId="0"/>
    <xf numFmtId="0" fontId="12" fillId="0" borderId="0"/>
    <xf numFmtId="0" fontId="5" fillId="0" borderId="0"/>
    <xf numFmtId="0" fontId="5" fillId="0" borderId="0"/>
    <xf numFmtId="0" fontId="7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2" fillId="0" borderId="0">
      <alignment vertical="center"/>
    </xf>
    <xf numFmtId="0" fontId="5" fillId="0" borderId="0">
      <alignment vertical="center"/>
    </xf>
    <xf numFmtId="0" fontId="12" fillId="0" borderId="0">
      <alignment vertical="center"/>
    </xf>
    <xf numFmtId="0" fontId="5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1" fillId="0" borderId="0"/>
    <xf numFmtId="0" fontId="12" fillId="0" borderId="0">
      <alignment vertical="center"/>
    </xf>
    <xf numFmtId="0" fontId="1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35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5" fillId="0" borderId="0">
      <alignment vertical="center"/>
    </xf>
    <xf numFmtId="0" fontId="10" fillId="0" borderId="0"/>
    <xf numFmtId="0" fontId="10" fillId="0" borderId="0"/>
    <xf numFmtId="0" fontId="35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2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2" fillId="0" borderId="0">
      <alignment vertical="center"/>
    </xf>
    <xf numFmtId="0" fontId="5" fillId="0" borderId="0">
      <alignment vertical="center"/>
    </xf>
    <xf numFmtId="0" fontId="12" fillId="0" borderId="0">
      <alignment vertical="center"/>
    </xf>
    <xf numFmtId="0" fontId="5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5" fillId="0" borderId="0"/>
    <xf numFmtId="0" fontId="5" fillId="0" borderId="0"/>
    <xf numFmtId="0" fontId="12" fillId="0" borderId="0"/>
    <xf numFmtId="0" fontId="5" fillId="0" borderId="0"/>
    <xf numFmtId="0" fontId="5" fillId="0" borderId="0"/>
    <xf numFmtId="0" fontId="12" fillId="0" borderId="0"/>
    <xf numFmtId="0" fontId="12" fillId="0" borderId="0"/>
    <xf numFmtId="0" fontId="5" fillId="0" borderId="0"/>
    <xf numFmtId="0" fontId="5" fillId="0" borderId="0"/>
    <xf numFmtId="0" fontId="12" fillId="0" borderId="0"/>
    <xf numFmtId="0" fontId="12" fillId="0" borderId="0"/>
    <xf numFmtId="0" fontId="5" fillId="0" borderId="0"/>
    <xf numFmtId="0" fontId="5" fillId="0" borderId="0"/>
    <xf numFmtId="0" fontId="12" fillId="0" borderId="0"/>
    <xf numFmtId="0" fontId="5" fillId="0" borderId="0"/>
    <xf numFmtId="0" fontId="5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3" fillId="0" borderId="0" applyNumberFormat="0" applyFill="0" applyBorder="0" applyAlignment="0" applyProtection="0">
      <alignment vertical="top"/>
      <protection locked="0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>
      <alignment vertical="center"/>
    </xf>
    <xf numFmtId="0" fontId="19" fillId="5" borderId="0">
      <alignment vertical="center"/>
    </xf>
    <xf numFmtId="0" fontId="19" fillId="5" borderId="0">
      <alignment vertical="center"/>
    </xf>
    <xf numFmtId="0" fontId="19" fillId="5" borderId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5">
      <alignment vertical="center"/>
    </xf>
    <xf numFmtId="0" fontId="9" fillId="0" borderId="5">
      <alignment vertical="center"/>
    </xf>
    <xf numFmtId="0" fontId="9" fillId="0" borderId="5">
      <alignment vertical="center"/>
    </xf>
    <xf numFmtId="0" fontId="9" fillId="0" borderId="5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26" fillId="18" borderId="6" applyNumberFormat="0" applyAlignment="0" applyProtection="0">
      <alignment vertical="center"/>
    </xf>
    <xf numFmtId="0" fontId="26" fillId="18" borderId="6" applyNumberFormat="0" applyAlignment="0" applyProtection="0">
      <alignment vertical="center"/>
    </xf>
    <xf numFmtId="0" fontId="26" fillId="18" borderId="6" applyNumberFormat="0" applyAlignment="0" applyProtection="0">
      <alignment vertical="center"/>
    </xf>
    <xf numFmtId="0" fontId="26" fillId="18" borderId="6" applyNumberFormat="0" applyAlignment="0" applyProtection="0">
      <alignment vertical="center"/>
    </xf>
    <xf numFmtId="0" fontId="26" fillId="18" borderId="6">
      <alignment vertical="center"/>
    </xf>
    <xf numFmtId="0" fontId="26" fillId="18" borderId="6">
      <alignment vertical="center"/>
    </xf>
    <xf numFmtId="0" fontId="26" fillId="18" borderId="6">
      <alignment vertical="center"/>
    </xf>
    <xf numFmtId="0" fontId="26" fillId="18" borderId="6">
      <alignment vertical="center"/>
    </xf>
    <xf numFmtId="0" fontId="26" fillId="18" borderId="6" applyNumberFormat="0" applyAlignment="0" applyProtection="0">
      <alignment vertical="center"/>
    </xf>
    <xf numFmtId="0" fontId="26" fillId="18" borderId="6" applyNumberFormat="0" applyAlignment="0" applyProtection="0">
      <alignment vertical="center"/>
    </xf>
    <xf numFmtId="0" fontId="26" fillId="18" borderId="6" applyNumberFormat="0" applyAlignment="0" applyProtection="0">
      <alignment vertical="center"/>
    </xf>
    <xf numFmtId="0" fontId="26" fillId="18" borderId="6" applyNumberFormat="0" applyAlignment="0" applyProtection="0">
      <alignment vertical="center"/>
    </xf>
    <xf numFmtId="0" fontId="26" fillId="18" borderId="6" applyNumberFormat="0" applyAlignment="0" applyProtection="0">
      <alignment vertical="center"/>
    </xf>
    <xf numFmtId="0" fontId="26" fillId="18" borderId="6" applyNumberFormat="0" applyAlignment="0" applyProtection="0">
      <alignment vertical="center"/>
    </xf>
    <xf numFmtId="0" fontId="26" fillId="18" borderId="6" applyNumberFormat="0" applyAlignment="0" applyProtection="0">
      <alignment vertical="center"/>
    </xf>
    <xf numFmtId="0" fontId="26" fillId="18" borderId="6" applyNumberFormat="0" applyAlignment="0" applyProtection="0">
      <alignment vertical="center"/>
    </xf>
    <xf numFmtId="0" fontId="26" fillId="18" borderId="6" applyNumberFormat="0" applyAlignment="0" applyProtection="0">
      <alignment vertical="center"/>
    </xf>
    <xf numFmtId="0" fontId="26" fillId="18" borderId="6" applyNumberFormat="0" applyAlignment="0" applyProtection="0">
      <alignment vertical="center"/>
    </xf>
    <xf numFmtId="0" fontId="17" fillId="19" borderId="7" applyNumberFormat="0" applyAlignment="0" applyProtection="0">
      <alignment vertical="center"/>
    </xf>
    <xf numFmtId="0" fontId="17" fillId="19" borderId="7" applyNumberFormat="0" applyAlignment="0" applyProtection="0">
      <alignment vertical="center"/>
    </xf>
    <xf numFmtId="0" fontId="17" fillId="19" borderId="7" applyNumberFormat="0" applyAlignment="0" applyProtection="0">
      <alignment vertical="center"/>
    </xf>
    <xf numFmtId="0" fontId="17" fillId="19" borderId="7" applyNumberFormat="0" applyAlignment="0" applyProtection="0">
      <alignment vertical="center"/>
    </xf>
    <xf numFmtId="0" fontId="17" fillId="19" borderId="7">
      <alignment vertical="center"/>
    </xf>
    <xf numFmtId="0" fontId="17" fillId="19" borderId="7">
      <alignment vertical="center"/>
    </xf>
    <xf numFmtId="0" fontId="17" fillId="19" borderId="7">
      <alignment vertical="center"/>
    </xf>
    <xf numFmtId="0" fontId="17" fillId="19" borderId="7">
      <alignment vertical="center"/>
    </xf>
    <xf numFmtId="0" fontId="17" fillId="19" borderId="7" applyNumberFormat="0" applyAlignment="0" applyProtection="0">
      <alignment vertical="center"/>
    </xf>
    <xf numFmtId="0" fontId="17" fillId="19" borderId="7" applyNumberFormat="0" applyAlignment="0" applyProtection="0">
      <alignment vertical="center"/>
    </xf>
    <xf numFmtId="0" fontId="17" fillId="19" borderId="7" applyNumberFormat="0" applyAlignment="0" applyProtection="0">
      <alignment vertical="center"/>
    </xf>
    <xf numFmtId="0" fontId="17" fillId="19" borderId="7" applyNumberFormat="0" applyAlignment="0" applyProtection="0">
      <alignment vertical="center"/>
    </xf>
    <xf numFmtId="0" fontId="17" fillId="19" borderId="7" applyNumberFormat="0" applyAlignment="0" applyProtection="0">
      <alignment vertical="center"/>
    </xf>
    <xf numFmtId="0" fontId="17" fillId="19" borderId="7" applyNumberFormat="0" applyAlignment="0" applyProtection="0">
      <alignment vertical="center"/>
    </xf>
    <xf numFmtId="0" fontId="17" fillId="19" borderId="7" applyNumberFormat="0" applyAlignment="0" applyProtection="0">
      <alignment vertical="center"/>
    </xf>
    <xf numFmtId="0" fontId="17" fillId="19" borderId="7" applyNumberFormat="0" applyAlignment="0" applyProtection="0">
      <alignment vertical="center"/>
    </xf>
    <xf numFmtId="0" fontId="17" fillId="19" borderId="7" applyNumberFormat="0" applyAlignment="0" applyProtection="0">
      <alignment vertical="center"/>
    </xf>
    <xf numFmtId="0" fontId="17" fillId="19" borderId="7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7" fillId="0" borderId="8">
      <alignment vertical="center"/>
    </xf>
    <xf numFmtId="0" fontId="27" fillId="0" borderId="8">
      <alignment vertical="center"/>
    </xf>
    <xf numFmtId="0" fontId="27" fillId="0" borderId="8">
      <alignment vertical="center"/>
    </xf>
    <xf numFmtId="0" fontId="27" fillId="0" borderId="8">
      <alignment vertical="center"/>
    </xf>
    <xf numFmtId="0" fontId="27" fillId="0" borderId="8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4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0" fillId="0" borderId="0"/>
    <xf numFmtId="43" fontId="30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0" fillId="0" borderId="0"/>
    <xf numFmtId="43" fontId="30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2" fillId="0" borderId="0" applyFont="0" applyFill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34" fillId="0" borderId="0" applyFont="0" applyFill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>
      <alignment vertical="center"/>
    </xf>
    <xf numFmtId="0" fontId="13" fillId="20" borderId="0">
      <alignment vertical="center"/>
    </xf>
    <xf numFmtId="0" fontId="13" fillId="20" borderId="0">
      <alignment vertical="center"/>
    </xf>
    <xf numFmtId="0" fontId="13" fillId="20" borderId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>
      <alignment vertical="center"/>
    </xf>
    <xf numFmtId="0" fontId="13" fillId="21" borderId="0">
      <alignment vertical="center"/>
    </xf>
    <xf numFmtId="0" fontId="13" fillId="21" borderId="0">
      <alignment vertical="center"/>
    </xf>
    <xf numFmtId="0" fontId="13" fillId="21" borderId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>
      <alignment vertical="center"/>
    </xf>
    <xf numFmtId="0" fontId="13" fillId="23" borderId="0">
      <alignment vertical="center"/>
    </xf>
    <xf numFmtId="0" fontId="13" fillId="23" borderId="0">
      <alignment vertical="center"/>
    </xf>
    <xf numFmtId="0" fontId="13" fillId="23" borderId="0">
      <alignment vertical="center"/>
    </xf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5" borderId="0">
      <alignment vertical="center"/>
    </xf>
    <xf numFmtId="0" fontId="13" fillId="15" borderId="0">
      <alignment vertical="center"/>
    </xf>
    <xf numFmtId="0" fontId="13" fillId="15" borderId="0">
      <alignment vertical="center"/>
    </xf>
    <xf numFmtId="0" fontId="13" fillId="15" borderId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5" borderId="0">
      <alignment vertical="center"/>
    </xf>
    <xf numFmtId="0" fontId="13" fillId="5" borderId="0">
      <alignment vertical="center"/>
    </xf>
    <xf numFmtId="0" fontId="13" fillId="5" borderId="0">
      <alignment vertical="center"/>
    </xf>
    <xf numFmtId="0" fontId="13" fillId="5" borderId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4" borderId="0">
      <alignment vertical="center"/>
    </xf>
    <xf numFmtId="0" fontId="13" fillId="24" borderId="0">
      <alignment vertical="center"/>
    </xf>
    <xf numFmtId="0" fontId="13" fillId="24" borderId="0">
      <alignment vertical="center"/>
    </xf>
    <xf numFmtId="0" fontId="13" fillId="24" borderId="0">
      <alignment vertical="center"/>
    </xf>
    <xf numFmtId="0" fontId="13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5" borderId="0">
      <alignment vertical="center"/>
    </xf>
    <xf numFmtId="0" fontId="15" fillId="25" borderId="0">
      <alignment vertical="center"/>
    </xf>
    <xf numFmtId="0" fontId="15" fillId="25" borderId="0">
      <alignment vertical="center"/>
    </xf>
    <xf numFmtId="0" fontId="15" fillId="25" borderId="0">
      <alignment vertical="center"/>
    </xf>
    <xf numFmtId="0" fontId="15" fillId="2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24" fillId="18" borderId="9" applyNumberFormat="0" applyAlignment="0" applyProtection="0">
      <alignment vertical="center"/>
    </xf>
    <xf numFmtId="0" fontId="24" fillId="18" borderId="9" applyNumberFormat="0" applyAlignment="0" applyProtection="0">
      <alignment vertical="center"/>
    </xf>
    <xf numFmtId="0" fontId="24" fillId="18" borderId="9" applyNumberFormat="0" applyAlignment="0" applyProtection="0">
      <alignment vertical="center"/>
    </xf>
    <xf numFmtId="0" fontId="24" fillId="18" borderId="9" applyNumberFormat="0" applyAlignment="0" applyProtection="0">
      <alignment vertical="center"/>
    </xf>
    <xf numFmtId="0" fontId="24" fillId="18" borderId="9">
      <alignment vertical="center"/>
    </xf>
    <xf numFmtId="0" fontId="24" fillId="18" borderId="9">
      <alignment vertical="center"/>
    </xf>
    <xf numFmtId="0" fontId="24" fillId="18" borderId="9">
      <alignment vertical="center"/>
    </xf>
    <xf numFmtId="0" fontId="24" fillId="18" borderId="9">
      <alignment vertical="center"/>
    </xf>
    <xf numFmtId="0" fontId="24" fillId="18" borderId="9" applyNumberFormat="0" applyAlignment="0" applyProtection="0">
      <alignment vertical="center"/>
    </xf>
    <xf numFmtId="0" fontId="24" fillId="18" borderId="9" applyNumberFormat="0" applyAlignment="0" applyProtection="0">
      <alignment vertical="center"/>
    </xf>
    <xf numFmtId="0" fontId="24" fillId="18" borderId="9" applyNumberFormat="0" applyAlignment="0" applyProtection="0">
      <alignment vertical="center"/>
    </xf>
    <xf numFmtId="0" fontId="24" fillId="18" borderId="9" applyNumberFormat="0" applyAlignment="0" applyProtection="0">
      <alignment vertical="center"/>
    </xf>
    <xf numFmtId="0" fontId="24" fillId="18" borderId="9" applyNumberFormat="0" applyAlignment="0" applyProtection="0">
      <alignment vertical="center"/>
    </xf>
    <xf numFmtId="0" fontId="24" fillId="18" borderId="9" applyNumberFormat="0" applyAlignment="0" applyProtection="0">
      <alignment vertical="center"/>
    </xf>
    <xf numFmtId="0" fontId="24" fillId="18" borderId="9" applyNumberFormat="0" applyAlignment="0" applyProtection="0">
      <alignment vertical="center"/>
    </xf>
    <xf numFmtId="0" fontId="24" fillId="18" borderId="9" applyNumberFormat="0" applyAlignment="0" applyProtection="0">
      <alignment vertical="center"/>
    </xf>
    <xf numFmtId="0" fontId="24" fillId="18" borderId="9" applyNumberFormat="0" applyAlignment="0" applyProtection="0">
      <alignment vertical="center"/>
    </xf>
    <xf numFmtId="0" fontId="24" fillId="18" borderId="9" applyNumberFormat="0" applyAlignment="0" applyProtection="0">
      <alignment vertical="center"/>
    </xf>
    <xf numFmtId="0" fontId="22" fillId="8" borderId="6" applyNumberFormat="0" applyAlignment="0" applyProtection="0">
      <alignment vertical="center"/>
    </xf>
    <xf numFmtId="0" fontId="22" fillId="8" borderId="6" applyNumberFormat="0" applyAlignment="0" applyProtection="0">
      <alignment vertical="center"/>
    </xf>
    <xf numFmtId="0" fontId="22" fillId="8" borderId="6" applyNumberFormat="0" applyAlignment="0" applyProtection="0">
      <alignment vertical="center"/>
    </xf>
    <xf numFmtId="0" fontId="22" fillId="8" borderId="6" applyNumberFormat="0" applyAlignment="0" applyProtection="0">
      <alignment vertical="center"/>
    </xf>
    <xf numFmtId="0" fontId="22" fillId="8" borderId="6">
      <alignment vertical="center"/>
    </xf>
    <xf numFmtId="0" fontId="22" fillId="8" borderId="6">
      <alignment vertical="center"/>
    </xf>
    <xf numFmtId="0" fontId="22" fillId="8" borderId="6">
      <alignment vertical="center"/>
    </xf>
    <xf numFmtId="0" fontId="22" fillId="8" borderId="6">
      <alignment vertical="center"/>
    </xf>
    <xf numFmtId="0" fontId="22" fillId="8" borderId="6" applyNumberFormat="0" applyAlignment="0" applyProtection="0">
      <alignment vertical="center"/>
    </xf>
    <xf numFmtId="0" fontId="22" fillId="8" borderId="6" applyNumberFormat="0" applyAlignment="0" applyProtection="0">
      <alignment vertical="center"/>
    </xf>
    <xf numFmtId="0" fontId="22" fillId="8" borderId="6" applyNumberFormat="0" applyAlignment="0" applyProtection="0">
      <alignment vertical="center"/>
    </xf>
    <xf numFmtId="0" fontId="22" fillId="8" borderId="6" applyNumberFormat="0" applyAlignment="0" applyProtection="0">
      <alignment vertical="center"/>
    </xf>
    <xf numFmtId="0" fontId="22" fillId="8" borderId="6" applyNumberFormat="0" applyAlignment="0" applyProtection="0">
      <alignment vertical="center"/>
    </xf>
    <xf numFmtId="0" fontId="22" fillId="8" borderId="6" applyNumberFormat="0" applyAlignment="0" applyProtection="0">
      <alignment vertical="center"/>
    </xf>
    <xf numFmtId="0" fontId="22" fillId="8" borderId="6" applyNumberFormat="0" applyAlignment="0" applyProtection="0">
      <alignment vertical="center"/>
    </xf>
    <xf numFmtId="0" fontId="22" fillId="8" borderId="6" applyNumberFormat="0" applyAlignment="0" applyProtection="0">
      <alignment vertical="center"/>
    </xf>
    <xf numFmtId="0" fontId="22" fillId="8" borderId="6" applyNumberFormat="0" applyAlignment="0" applyProtection="0">
      <alignment vertical="center"/>
    </xf>
    <xf numFmtId="0" fontId="22" fillId="8" borderId="6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1" fillId="0" borderId="0"/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2" fillId="26" borderId="10" applyNumberFormat="0" applyFont="0" applyAlignment="0" applyProtection="0">
      <alignment vertical="center"/>
    </xf>
    <xf numFmtId="0" fontId="12" fillId="26" borderId="10" applyNumberFormat="0" applyFont="0" applyAlignment="0" applyProtection="0">
      <alignment vertical="center"/>
    </xf>
    <xf numFmtId="0" fontId="12" fillId="26" borderId="10" applyNumberFormat="0" applyFont="0" applyAlignment="0" applyProtection="0">
      <alignment vertical="center"/>
    </xf>
    <xf numFmtId="0" fontId="5" fillId="26" borderId="10" applyNumberFormat="0" applyFont="0" applyAlignment="0" applyProtection="0">
      <alignment vertical="center"/>
    </xf>
    <xf numFmtId="0" fontId="5" fillId="26" borderId="10" applyNumberFormat="0" applyFont="0" applyAlignment="0" applyProtection="0">
      <alignment vertical="center"/>
    </xf>
    <xf numFmtId="0" fontId="12" fillId="26" borderId="10" applyNumberFormat="0" applyFont="0" applyAlignment="0" applyProtection="0">
      <alignment vertical="center"/>
    </xf>
    <xf numFmtId="0" fontId="5" fillId="26" borderId="10" applyNumberFormat="0" applyFont="0" applyAlignment="0" applyProtection="0">
      <alignment vertical="center"/>
    </xf>
    <xf numFmtId="0" fontId="5" fillId="26" borderId="10" applyNumberFormat="0" applyFont="0" applyAlignment="0" applyProtection="0">
      <alignment vertical="center"/>
    </xf>
    <xf numFmtId="0" fontId="12" fillId="26" borderId="10">
      <alignment vertical="center"/>
    </xf>
    <xf numFmtId="0" fontId="12" fillId="26" borderId="10">
      <alignment vertical="center"/>
    </xf>
    <xf numFmtId="0" fontId="12" fillId="26" borderId="10">
      <alignment vertical="center"/>
    </xf>
    <xf numFmtId="0" fontId="5" fillId="26" borderId="10">
      <alignment vertical="center"/>
    </xf>
    <xf numFmtId="0" fontId="5" fillId="26" borderId="10">
      <alignment vertical="center"/>
    </xf>
    <xf numFmtId="0" fontId="12" fillId="26" borderId="10">
      <alignment vertical="center"/>
    </xf>
    <xf numFmtId="0" fontId="5" fillId="26" borderId="10">
      <alignment vertical="center"/>
    </xf>
    <xf numFmtId="0" fontId="5" fillId="26" borderId="10">
      <alignment vertical="center"/>
    </xf>
    <xf numFmtId="0" fontId="12" fillId="26" borderId="10" applyNumberFormat="0" applyFont="0" applyAlignment="0" applyProtection="0">
      <alignment vertical="center"/>
    </xf>
    <xf numFmtId="0" fontId="12" fillId="26" borderId="10" applyNumberFormat="0" applyFont="0" applyAlignment="0" applyProtection="0">
      <alignment vertical="center"/>
    </xf>
    <xf numFmtId="0" fontId="12" fillId="26" borderId="10" applyNumberFormat="0" applyFont="0" applyAlignment="0" applyProtection="0">
      <alignment vertical="center"/>
    </xf>
    <xf numFmtId="0" fontId="5" fillId="26" borderId="10" applyNumberFormat="0" applyFont="0" applyAlignment="0" applyProtection="0">
      <alignment vertical="center"/>
    </xf>
    <xf numFmtId="0" fontId="5" fillId="26" borderId="10" applyNumberFormat="0" applyFont="0" applyAlignment="0" applyProtection="0">
      <alignment vertical="center"/>
    </xf>
    <xf numFmtId="0" fontId="12" fillId="26" borderId="10" applyNumberFormat="0" applyFont="0" applyAlignment="0" applyProtection="0">
      <alignment vertical="center"/>
    </xf>
    <xf numFmtId="0" fontId="5" fillId="26" borderId="10" applyNumberFormat="0" applyFont="0" applyAlignment="0" applyProtection="0">
      <alignment vertical="center"/>
    </xf>
    <xf numFmtId="0" fontId="5" fillId="26" borderId="10" applyNumberFormat="0" applyFont="0" applyAlignment="0" applyProtection="0">
      <alignment vertical="center"/>
    </xf>
    <xf numFmtId="0" fontId="12" fillId="26" borderId="10" applyNumberFormat="0" applyFont="0" applyAlignment="0" applyProtection="0">
      <alignment vertical="center"/>
    </xf>
    <xf numFmtId="0" fontId="12" fillId="26" borderId="10" applyNumberFormat="0" applyFont="0" applyAlignment="0" applyProtection="0">
      <alignment vertical="center"/>
    </xf>
    <xf numFmtId="0" fontId="5" fillId="26" borderId="10" applyNumberFormat="0" applyFont="0" applyAlignment="0" applyProtection="0">
      <alignment vertical="center"/>
    </xf>
    <xf numFmtId="0" fontId="5" fillId="26" borderId="10" applyNumberFormat="0" applyFont="0" applyAlignment="0" applyProtection="0">
      <alignment vertical="center"/>
    </xf>
    <xf numFmtId="0" fontId="12" fillId="26" borderId="10" applyNumberFormat="0" applyFont="0" applyAlignment="0" applyProtection="0">
      <alignment vertical="center"/>
    </xf>
    <xf numFmtId="0" fontId="12" fillId="26" borderId="10" applyNumberFormat="0" applyFont="0" applyAlignment="0" applyProtection="0">
      <alignment vertical="center"/>
    </xf>
    <xf numFmtId="0" fontId="5" fillId="26" borderId="10" applyNumberFormat="0" applyFont="0" applyAlignment="0" applyProtection="0">
      <alignment vertical="center"/>
    </xf>
    <xf numFmtId="0" fontId="5" fillId="26" borderId="10" applyNumberFormat="0" applyFont="0" applyAlignment="0" applyProtection="0">
      <alignment vertical="center"/>
    </xf>
    <xf numFmtId="0" fontId="12" fillId="26" borderId="10" applyNumberFormat="0" applyFont="0" applyAlignment="0" applyProtection="0">
      <alignment vertical="center"/>
    </xf>
    <xf numFmtId="0" fontId="12" fillId="26" borderId="10" applyNumberFormat="0" applyFont="0" applyAlignment="0" applyProtection="0">
      <alignment vertical="center"/>
    </xf>
    <xf numFmtId="0" fontId="5" fillId="26" borderId="10" applyNumberFormat="0" applyFont="0" applyAlignment="0" applyProtection="0">
      <alignment vertical="center"/>
    </xf>
    <xf numFmtId="0" fontId="5" fillId="26" borderId="10" applyNumberFormat="0" applyFont="0" applyAlignment="0" applyProtection="0">
      <alignment vertical="center"/>
    </xf>
    <xf numFmtId="176" fontId="3" fillId="0" borderId="0">
      <alignment vertical="center"/>
    </xf>
    <xf numFmtId="0" fontId="47" fillId="0" borderId="0">
      <alignment vertical="center"/>
    </xf>
    <xf numFmtId="176" fontId="3" fillId="0" borderId="0">
      <alignment vertical="center"/>
    </xf>
    <xf numFmtId="176" fontId="3" fillId="0" borderId="0">
      <alignment vertical="center"/>
    </xf>
    <xf numFmtId="176" fontId="3" fillId="0" borderId="0">
      <alignment vertical="center"/>
    </xf>
    <xf numFmtId="176" fontId="47" fillId="0" borderId="0">
      <alignment vertical="center"/>
    </xf>
    <xf numFmtId="0" fontId="4" fillId="0" borderId="0"/>
    <xf numFmtId="179" fontId="7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7" fillId="0" borderId="0">
      <alignment vertical="center"/>
    </xf>
    <xf numFmtId="0" fontId="3" fillId="0" borderId="0">
      <alignment vertical="center"/>
    </xf>
    <xf numFmtId="41" fontId="47" fillId="0" borderId="0" applyFont="0" applyFill="0" applyBorder="0" applyAlignment="0" applyProtection="0">
      <alignment vertical="center"/>
    </xf>
    <xf numFmtId="0" fontId="7" fillId="0" borderId="0"/>
    <xf numFmtId="0" fontId="7" fillId="0" borderId="0" applyBorder="0"/>
    <xf numFmtId="178" fontId="7" fillId="0" borderId="0" applyFont="0" applyFill="0" applyBorder="0" applyAlignment="0" applyProtection="0">
      <alignment vertical="center"/>
    </xf>
    <xf numFmtId="0" fontId="7" fillId="0" borderId="0"/>
    <xf numFmtId="0" fontId="134" fillId="0" borderId="0"/>
    <xf numFmtId="0" fontId="134" fillId="0" borderId="0"/>
    <xf numFmtId="0" fontId="7" fillId="0" borderId="0"/>
    <xf numFmtId="0" fontId="134" fillId="0" borderId="0"/>
    <xf numFmtId="43" fontId="47" fillId="0" borderId="0" applyFont="0" applyFill="0" applyBorder="0" applyAlignment="0" applyProtection="0">
      <alignment vertical="center"/>
    </xf>
    <xf numFmtId="176" fontId="47" fillId="0" borderId="0">
      <alignment vertical="center"/>
    </xf>
    <xf numFmtId="0" fontId="153" fillId="0" borderId="0">
      <alignment vertical="center"/>
    </xf>
  </cellStyleXfs>
  <cellXfs count="976">
    <xf numFmtId="0" fontId="0" fillId="0" borderId="0" xfId="0">
      <alignment vertical="center"/>
    </xf>
    <xf numFmtId="0" fontId="2" fillId="28" borderId="0" xfId="0" applyFont="1" applyFill="1" applyAlignment="1" applyProtection="1">
      <protection locked="0"/>
    </xf>
    <xf numFmtId="0" fontId="41" fillId="28" borderId="0" xfId="0" applyFont="1" applyFill="1" applyAlignment="1" applyProtection="1">
      <protection locked="0"/>
    </xf>
    <xf numFmtId="0" fontId="2" fillId="2" borderId="0" xfId="0" applyFont="1" applyFill="1" applyAlignment="1" applyProtection="1">
      <protection locked="0"/>
    </xf>
    <xf numFmtId="49" fontId="40" fillId="28" borderId="15" xfId="0" applyNumberFormat="1" applyFont="1" applyFill="1" applyBorder="1" applyAlignment="1" applyProtection="1">
      <alignment vertical="center"/>
      <protection locked="0"/>
    </xf>
    <xf numFmtId="0" fontId="2" fillId="28" borderId="15" xfId="0" applyFont="1" applyFill="1" applyBorder="1" applyAlignment="1" applyProtection="1">
      <alignment wrapText="1"/>
      <protection locked="0"/>
    </xf>
    <xf numFmtId="178" fontId="2" fillId="28" borderId="15" xfId="0" applyNumberFormat="1" applyFont="1" applyFill="1" applyBorder="1" applyAlignment="1" applyProtection="1">
      <protection locked="0"/>
    </xf>
    <xf numFmtId="178" fontId="2" fillId="2" borderId="15" xfId="0" applyNumberFormat="1" applyFont="1" applyFill="1" applyBorder="1" applyAlignment="1" applyProtection="1">
      <protection locked="0"/>
    </xf>
    <xf numFmtId="49" fontId="2" fillId="28" borderId="15" xfId="0" applyNumberFormat="1" applyFont="1" applyFill="1" applyBorder="1" applyAlignment="1" applyProtection="1">
      <alignment wrapText="1"/>
      <protection locked="0"/>
    </xf>
    <xf numFmtId="49" fontId="40" fillId="28" borderId="1" xfId="0" applyNumberFormat="1" applyFont="1" applyFill="1" applyBorder="1" applyAlignment="1" applyProtection="1">
      <alignment vertical="center"/>
      <protection locked="0"/>
    </xf>
    <xf numFmtId="0" fontId="2" fillId="28" borderId="1" xfId="0" applyFont="1" applyFill="1" applyBorder="1" applyAlignment="1" applyProtection="1">
      <alignment wrapText="1"/>
      <protection locked="0"/>
    </xf>
    <xf numFmtId="178" fontId="2" fillId="28" borderId="1" xfId="0" applyNumberFormat="1" applyFont="1" applyFill="1" applyBorder="1" applyAlignment="1" applyProtection="1">
      <protection locked="0"/>
    </xf>
    <xf numFmtId="49" fontId="2" fillId="28" borderId="1" xfId="0" applyNumberFormat="1" applyFont="1" applyFill="1" applyBorder="1" applyAlignment="1" applyProtection="1">
      <alignment wrapText="1"/>
      <protection locked="0"/>
    </xf>
    <xf numFmtId="0" fontId="2" fillId="28" borderId="0" xfId="0" applyFont="1" applyFill="1" applyAlignment="1" applyProtection="1">
      <alignment horizontal="center"/>
      <protection locked="0"/>
    </xf>
    <xf numFmtId="0" fontId="2" fillId="28" borderId="0" xfId="0" applyFont="1" applyFill="1" applyAlignment="1" applyProtection="1">
      <alignment wrapText="1"/>
      <protection locked="0"/>
    </xf>
    <xf numFmtId="0" fontId="41" fillId="2" borderId="0" xfId="0" applyFont="1" applyFill="1" applyAlignment="1" applyProtection="1">
      <protection locked="0"/>
    </xf>
    <xf numFmtId="49" fontId="40" fillId="2" borderId="15" xfId="0" applyNumberFormat="1" applyFont="1" applyFill="1" applyBorder="1" applyAlignment="1" applyProtection="1">
      <alignment vertical="center"/>
      <protection locked="0"/>
    </xf>
    <xf numFmtId="0" fontId="2" fillId="2" borderId="15" xfId="0" applyFont="1" applyFill="1" applyBorder="1" applyAlignment="1" applyProtection="1">
      <alignment wrapText="1"/>
      <protection locked="0"/>
    </xf>
    <xf numFmtId="49" fontId="40" fillId="2" borderId="1" xfId="0" applyNumberFormat="1" applyFont="1" applyFill="1" applyBorder="1" applyAlignment="1" applyProtection="1">
      <alignment vertical="center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78" fontId="2" fillId="2" borderId="1" xfId="0" applyNumberFormat="1" applyFont="1" applyFill="1" applyBorder="1" applyAlignment="1" applyProtection="1">
      <protection locked="0"/>
    </xf>
    <xf numFmtId="0" fontId="2" fillId="2" borderId="0" xfId="0" applyFont="1" applyFill="1" applyAlignment="1" applyProtection="1">
      <alignment horizontal="center"/>
      <protection locked="0"/>
    </xf>
    <xf numFmtId="0" fontId="2" fillId="2" borderId="0" xfId="0" applyFont="1" applyFill="1" applyAlignment="1" applyProtection="1">
      <alignment wrapText="1"/>
      <protection locked="0"/>
    </xf>
    <xf numFmtId="176" fontId="2" fillId="2" borderId="0" xfId="0" applyNumberFormat="1" applyFont="1" applyFill="1" applyAlignment="1" applyProtection="1">
      <protection locked="0"/>
    </xf>
    <xf numFmtId="178" fontId="2" fillId="2" borderId="0" xfId="0" applyNumberFormat="1" applyFont="1" applyFill="1" applyAlignment="1" applyProtection="1">
      <protection locked="0"/>
    </xf>
    <xf numFmtId="0" fontId="46" fillId="28" borderId="0" xfId="0" applyFont="1" applyFill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50" fillId="0" borderId="17" xfId="0" applyFont="1" applyBorder="1" applyAlignment="1">
      <alignment horizontal="center" vertical="center"/>
    </xf>
    <xf numFmtId="0" fontId="4" fillId="0" borderId="17" xfId="2006" applyBorder="1" applyAlignment="1">
      <alignment horizontal="center" vertical="center"/>
    </xf>
    <xf numFmtId="0" fontId="7" fillId="0" borderId="17" xfId="0" applyNumberFormat="1" applyFont="1" applyBorder="1" applyAlignment="1">
      <alignment horizontal="center" vertical="center"/>
    </xf>
    <xf numFmtId="0" fontId="4" fillId="0" borderId="17" xfId="2006" applyFont="1" applyFill="1" applyBorder="1" applyAlignment="1">
      <alignment horizontal="center" vertical="center"/>
    </xf>
    <xf numFmtId="180" fontId="0" fillId="0" borderId="17" xfId="0" applyNumberFormat="1" applyBorder="1" applyAlignment="1">
      <alignment horizontal="center" vertical="center"/>
    </xf>
    <xf numFmtId="0" fontId="39" fillId="28" borderId="17" xfId="0" applyNumberFormat="1" applyFont="1" applyFill="1" applyBorder="1" applyAlignment="1" applyProtection="1">
      <alignment horizontal="center" vertical="center"/>
      <protection locked="0"/>
    </xf>
    <xf numFmtId="0" fontId="39" fillId="28" borderId="17" xfId="0" applyNumberFormat="1" applyFont="1" applyFill="1" applyBorder="1" applyAlignment="1" applyProtection="1">
      <alignment horizontal="center" vertical="center" wrapText="1"/>
      <protection locked="0"/>
    </xf>
    <xf numFmtId="49" fontId="39" fillId="28" borderId="17" xfId="0" applyNumberFormat="1" applyFont="1" applyFill="1" applyBorder="1" applyAlignment="1" applyProtection="1">
      <alignment horizontal="center" vertical="center" wrapText="1"/>
      <protection locked="0"/>
    </xf>
    <xf numFmtId="0" fontId="40" fillId="28" borderId="17" xfId="0" applyNumberFormat="1" applyFont="1" applyFill="1" applyBorder="1" applyAlignment="1" applyProtection="1">
      <alignment horizontal="center"/>
      <protection locked="0"/>
    </xf>
    <xf numFmtId="49" fontId="40" fillId="28" borderId="17" xfId="0" applyNumberFormat="1" applyFont="1" applyFill="1" applyBorder="1" applyAlignment="1" applyProtection="1">
      <protection locked="0"/>
    </xf>
    <xf numFmtId="49" fontId="40" fillId="28" borderId="17" xfId="0" applyNumberFormat="1" applyFont="1" applyFill="1" applyBorder="1" applyAlignment="1" applyProtection="1">
      <alignment wrapText="1"/>
      <protection locked="0"/>
    </xf>
    <xf numFmtId="178" fontId="41" fillId="28" borderId="17" xfId="0" applyNumberFormat="1" applyFont="1" applyFill="1" applyBorder="1" applyAlignment="1" applyProtection="1"/>
    <xf numFmtId="49" fontId="41" fillId="28" borderId="17" xfId="0" applyNumberFormat="1" applyFont="1" applyFill="1" applyBorder="1" applyAlignment="1" applyProtection="1">
      <alignment wrapText="1"/>
      <protection locked="0"/>
    </xf>
    <xf numFmtId="178" fontId="41" fillId="28" borderId="17" xfId="0" applyNumberFormat="1" applyFont="1" applyFill="1" applyBorder="1" applyAlignment="1" applyProtection="1">
      <protection locked="0"/>
    </xf>
    <xf numFmtId="49" fontId="41" fillId="28" borderId="17" xfId="0" applyNumberFormat="1" applyFont="1" applyFill="1" applyBorder="1" applyAlignment="1" applyProtection="1">
      <alignment horizontal="left" wrapText="1"/>
      <protection locked="0"/>
    </xf>
    <xf numFmtId="49" fontId="41" fillId="28" borderId="17" xfId="0" applyNumberFormat="1" applyFont="1" applyFill="1" applyBorder="1" applyAlignment="1" applyProtection="1">
      <protection locked="0"/>
    </xf>
    <xf numFmtId="49" fontId="2" fillId="28" borderId="17" xfId="0" applyNumberFormat="1" applyFont="1" applyFill="1" applyBorder="1" applyAlignment="1" applyProtection="1">
      <protection locked="0"/>
    </xf>
    <xf numFmtId="49" fontId="2" fillId="28" borderId="17" xfId="0" applyNumberFormat="1" applyFont="1" applyFill="1" applyBorder="1" applyAlignment="1" applyProtection="1">
      <alignment wrapText="1"/>
      <protection locked="0"/>
    </xf>
    <xf numFmtId="178" fontId="2" fillId="28" borderId="17" xfId="0" applyNumberFormat="1" applyFont="1" applyFill="1" applyBorder="1" applyAlignment="1" applyProtection="1">
      <protection locked="0"/>
    </xf>
    <xf numFmtId="178" fontId="2" fillId="28" borderId="17" xfId="0" applyNumberFormat="1" applyFont="1" applyFill="1" applyBorder="1" applyAlignment="1" applyProtection="1"/>
    <xf numFmtId="0" fontId="2" fillId="28" borderId="17" xfId="0" applyFont="1" applyFill="1" applyBorder="1" applyAlignment="1" applyProtection="1">
      <alignment wrapText="1"/>
      <protection locked="0"/>
    </xf>
    <xf numFmtId="0" fontId="41" fillId="28" borderId="17" xfId="0" applyFont="1" applyFill="1" applyBorder="1" applyAlignment="1" applyProtection="1">
      <alignment wrapText="1"/>
      <protection locked="0"/>
    </xf>
    <xf numFmtId="179" fontId="2" fillId="28" borderId="17" xfId="0" applyNumberFormat="1" applyFont="1" applyFill="1" applyBorder="1" applyAlignment="1" applyProtection="1">
      <protection locked="0"/>
    </xf>
    <xf numFmtId="49" fontId="40" fillId="28" borderId="17" xfId="0" applyNumberFormat="1" applyFont="1" applyFill="1" applyBorder="1" applyAlignment="1" applyProtection="1">
      <alignment horizontal="left"/>
      <protection locked="0"/>
    </xf>
    <xf numFmtId="178" fontId="41" fillId="2" borderId="17" xfId="0" applyNumberFormat="1" applyFont="1" applyFill="1" applyBorder="1" applyAlignment="1" applyProtection="1"/>
    <xf numFmtId="0" fontId="52" fillId="28" borderId="17" xfId="0" applyNumberFormat="1" applyFont="1" applyFill="1" applyBorder="1" applyAlignment="1" applyProtection="1">
      <alignment horizontal="center" vertical="center" wrapText="1"/>
      <protection locked="0"/>
    </xf>
    <xf numFmtId="178" fontId="2" fillId="28" borderId="0" xfId="0" applyNumberFormat="1" applyFont="1" applyFill="1" applyAlignment="1" applyProtection="1">
      <protection locked="0"/>
    </xf>
    <xf numFmtId="0" fontId="39" fillId="2" borderId="17" xfId="0" applyNumberFormat="1" applyFont="1" applyFill="1" applyBorder="1" applyAlignment="1" applyProtection="1">
      <alignment horizontal="center" vertical="center" wrapText="1"/>
      <protection locked="0"/>
    </xf>
    <xf numFmtId="178" fontId="41" fillId="2" borderId="17" xfId="0" applyNumberFormat="1" applyFont="1" applyFill="1" applyBorder="1" applyAlignment="1" applyProtection="1">
      <protection locked="0"/>
    </xf>
    <xf numFmtId="0" fontId="40" fillId="2" borderId="17" xfId="0" applyNumberFormat="1" applyFont="1" applyFill="1" applyBorder="1" applyAlignment="1" applyProtection="1">
      <alignment horizontal="center"/>
      <protection locked="0"/>
    </xf>
    <xf numFmtId="49" fontId="40" fillId="2" borderId="17" xfId="0" applyNumberFormat="1" applyFont="1" applyFill="1" applyBorder="1" applyAlignment="1" applyProtection="1">
      <protection locked="0"/>
    </xf>
    <xf numFmtId="49" fontId="40" fillId="2" borderId="17" xfId="0" applyNumberFormat="1" applyFont="1" applyFill="1" applyBorder="1" applyAlignment="1" applyProtection="1">
      <alignment wrapText="1"/>
      <protection locked="0"/>
    </xf>
    <xf numFmtId="176" fontId="41" fillId="2" borderId="17" xfId="0" applyNumberFormat="1" applyFont="1" applyFill="1" applyBorder="1" applyAlignment="1" applyProtection="1"/>
    <xf numFmtId="49" fontId="41" fillId="2" borderId="17" xfId="0" applyNumberFormat="1" applyFont="1" applyFill="1" applyBorder="1" applyAlignment="1" applyProtection="1">
      <protection locked="0"/>
    </xf>
    <xf numFmtId="49" fontId="2" fillId="2" borderId="17" xfId="0" applyNumberFormat="1" applyFont="1" applyFill="1" applyBorder="1" applyAlignment="1" applyProtection="1">
      <protection locked="0"/>
    </xf>
    <xf numFmtId="49" fontId="2" fillId="2" borderId="17" xfId="0" applyNumberFormat="1" applyFont="1" applyFill="1" applyBorder="1" applyAlignment="1" applyProtection="1">
      <alignment wrapText="1"/>
      <protection locked="0"/>
    </xf>
    <xf numFmtId="178" fontId="2" fillId="2" borderId="17" xfId="0" applyNumberFormat="1" applyFont="1" applyFill="1" applyBorder="1" applyAlignment="1" applyProtection="1">
      <protection locked="0"/>
    </xf>
    <xf numFmtId="178" fontId="2" fillId="2" borderId="17" xfId="0" applyNumberFormat="1" applyFont="1" applyFill="1" applyBorder="1" applyAlignment="1" applyProtection="1"/>
    <xf numFmtId="49" fontId="41" fillId="2" borderId="17" xfId="0" applyNumberFormat="1" applyFont="1" applyFill="1" applyBorder="1" applyAlignment="1" applyProtection="1">
      <alignment wrapText="1"/>
      <protection locked="0"/>
    </xf>
    <xf numFmtId="0" fontId="2" fillId="2" borderId="17" xfId="0" applyNumberFormat="1" applyFont="1" applyFill="1" applyBorder="1" applyAlignment="1" applyProtection="1">
      <alignment horizontal="center"/>
      <protection locked="0"/>
    </xf>
    <xf numFmtId="0" fontId="2" fillId="2" borderId="17" xfId="0" applyFont="1" applyFill="1" applyBorder="1" applyAlignment="1" applyProtection="1">
      <alignment wrapText="1"/>
      <protection locked="0"/>
    </xf>
    <xf numFmtId="0" fontId="41" fillId="2" borderId="17" xfId="0" applyFont="1" applyFill="1" applyBorder="1" applyAlignment="1" applyProtection="1">
      <alignment wrapText="1"/>
      <protection locked="0"/>
    </xf>
    <xf numFmtId="179" fontId="2" fillId="2" borderId="17" xfId="0" applyNumberFormat="1" applyFont="1" applyFill="1" applyBorder="1" applyAlignment="1" applyProtection="1">
      <protection locked="0"/>
    </xf>
    <xf numFmtId="49" fontId="40" fillId="2" borderId="17" xfId="0" applyNumberFormat="1" applyFont="1" applyFill="1" applyBorder="1" applyAlignment="1" applyProtection="1">
      <alignment horizontal="left"/>
      <protection locked="0"/>
    </xf>
    <xf numFmtId="0" fontId="2" fillId="2" borderId="0" xfId="0" applyNumberFormat="1" applyFont="1" applyFill="1" applyAlignment="1" applyProtection="1">
      <protection locked="0"/>
    </xf>
    <xf numFmtId="176" fontId="41" fillId="28" borderId="17" xfId="0" applyNumberFormat="1" applyFont="1" applyFill="1" applyBorder="1" applyAlignment="1" applyProtection="1"/>
    <xf numFmtId="0" fontId="43" fillId="0" borderId="17" xfId="0" applyNumberFormat="1" applyFont="1" applyBorder="1" applyAlignment="1">
      <alignment horizontal="center" vertical="center"/>
    </xf>
    <xf numFmtId="0" fontId="56" fillId="28" borderId="0" xfId="0" applyFont="1" applyFill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56" fillId="2" borderId="17" xfId="0" applyFont="1" applyFill="1" applyBorder="1" applyAlignment="1">
      <alignment horizontal="left" vertical="center" wrapText="1"/>
    </xf>
    <xf numFmtId="181" fontId="43" fillId="2" borderId="0" xfId="0" applyNumberFormat="1" applyFont="1" applyFill="1">
      <alignment vertical="center"/>
    </xf>
    <xf numFmtId="181" fontId="2" fillId="29" borderId="17" xfId="0" applyNumberFormat="1" applyFont="1" applyFill="1" applyBorder="1" applyAlignment="1">
      <alignment horizontal="center" vertical="center" wrapText="1"/>
    </xf>
    <xf numFmtId="181" fontId="45" fillId="2" borderId="17" xfId="0" applyNumberFormat="1" applyFont="1" applyFill="1" applyBorder="1" applyAlignment="1">
      <alignment horizontal="center" vertical="center"/>
    </xf>
    <xf numFmtId="181" fontId="2" fillId="2" borderId="17" xfId="0" applyNumberFormat="1" applyFont="1" applyFill="1" applyBorder="1" applyAlignment="1">
      <alignment horizontal="center" vertical="center"/>
    </xf>
    <xf numFmtId="176" fontId="2" fillId="2" borderId="17" xfId="0" applyNumberFormat="1" applyFont="1" applyFill="1" applyBorder="1" applyAlignment="1">
      <alignment horizontal="center" vertical="center"/>
    </xf>
    <xf numFmtId="176" fontId="45" fillId="2" borderId="17" xfId="0" applyNumberFormat="1" applyFont="1" applyFill="1" applyBorder="1" applyAlignment="1">
      <alignment horizontal="center" vertical="center"/>
    </xf>
    <xf numFmtId="181" fontId="45" fillId="2" borderId="0" xfId="0" applyNumberFormat="1" applyFont="1" applyFill="1">
      <alignment vertical="center"/>
    </xf>
    <xf numFmtId="176" fontId="45" fillId="29" borderId="17" xfId="0" applyNumberFormat="1" applyFont="1" applyFill="1" applyBorder="1" applyAlignment="1">
      <alignment horizontal="center" vertical="center"/>
    </xf>
    <xf numFmtId="181" fontId="43" fillId="29" borderId="0" xfId="0" applyNumberFormat="1" applyFont="1" applyFill="1">
      <alignment vertical="center"/>
    </xf>
    <xf numFmtId="176" fontId="2" fillId="2" borderId="17" xfId="0" applyNumberFormat="1" applyFont="1" applyFill="1" applyBorder="1" applyAlignment="1">
      <alignment horizontal="center" vertical="center" wrapText="1"/>
    </xf>
    <xf numFmtId="181" fontId="2" fillId="2" borderId="17" xfId="0" applyNumberFormat="1" applyFont="1" applyFill="1" applyBorder="1" applyAlignment="1">
      <alignment horizontal="center" vertical="center" wrapText="1"/>
    </xf>
    <xf numFmtId="176" fontId="43" fillId="2" borderId="0" xfId="0" applyNumberFormat="1" applyFont="1" applyFill="1">
      <alignment vertical="center"/>
    </xf>
    <xf numFmtId="0" fontId="65" fillId="0" borderId="17" xfId="0" applyFont="1" applyFill="1" applyBorder="1" applyAlignment="1">
      <alignment horizontal="center" vertical="center"/>
    </xf>
    <xf numFmtId="1" fontId="2" fillId="2" borderId="17" xfId="0" applyNumberFormat="1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181" fontId="66" fillId="29" borderId="17" xfId="0" applyNumberFormat="1" applyFont="1" applyFill="1" applyBorder="1" applyAlignment="1">
      <alignment horizontal="center" vertical="center" wrapText="1"/>
    </xf>
    <xf numFmtId="176" fontId="67" fillId="2" borderId="17" xfId="0" applyNumberFormat="1" applyFont="1" applyFill="1" applyBorder="1" applyAlignment="1">
      <alignment horizontal="center" vertical="center"/>
    </xf>
    <xf numFmtId="181" fontId="67" fillId="2" borderId="0" xfId="0" applyNumberFormat="1" applyFont="1" applyFill="1">
      <alignment vertical="center"/>
    </xf>
    <xf numFmtId="0" fontId="42" fillId="0" borderId="0" xfId="0" applyNumberFormat="1" applyFont="1">
      <alignment vertical="center"/>
    </xf>
    <xf numFmtId="0" fontId="43" fillId="30" borderId="17" xfId="0" applyNumberFormat="1" applyFont="1" applyFill="1" applyBorder="1" applyAlignment="1">
      <alignment horizontal="center" vertical="center"/>
    </xf>
    <xf numFmtId="0" fontId="43" fillId="0" borderId="0" xfId="0" applyNumberFormat="1" applyFont="1">
      <alignment vertical="center"/>
    </xf>
    <xf numFmtId="0" fontId="68" fillId="2" borderId="17" xfId="1225" applyNumberFormat="1" applyFont="1" applyFill="1" applyBorder="1" applyAlignment="1">
      <alignment horizontal="left" vertical="center"/>
    </xf>
    <xf numFmtId="176" fontId="43" fillId="0" borderId="17" xfId="0" applyNumberFormat="1" applyFont="1" applyBorder="1" applyAlignment="1">
      <alignment horizontal="center" vertical="center"/>
    </xf>
    <xf numFmtId="0" fontId="4" fillId="2" borderId="17" xfId="0" applyNumberFormat="1" applyFont="1" applyFill="1" applyBorder="1" applyAlignment="1">
      <alignment horizontal="left" vertical="center"/>
    </xf>
    <xf numFmtId="0" fontId="44" fillId="30" borderId="17" xfId="0" applyNumberFormat="1" applyFont="1" applyFill="1" applyBorder="1" applyAlignment="1">
      <alignment horizontal="center" vertical="center"/>
    </xf>
    <xf numFmtId="0" fontId="40" fillId="30" borderId="17" xfId="0" applyNumberFormat="1" applyFont="1" applyFill="1" applyBorder="1" applyAlignment="1" applyProtection="1">
      <alignment horizontal="center" vertical="center" wrapText="1"/>
      <protection locked="0"/>
    </xf>
    <xf numFmtId="176" fontId="43" fillId="30" borderId="17" xfId="0" applyNumberFormat="1" applyFont="1" applyFill="1" applyBorder="1" applyAlignment="1">
      <alignment horizontal="center" vertical="center"/>
    </xf>
    <xf numFmtId="0" fontId="40" fillId="2" borderId="17" xfId="0" applyNumberFormat="1" applyFont="1" applyFill="1" applyBorder="1" applyAlignment="1" applyProtection="1">
      <alignment horizontal="left" vertical="center" wrapText="1"/>
      <protection locked="0"/>
    </xf>
    <xf numFmtId="0" fontId="2" fillId="2" borderId="17" xfId="0" applyNumberFormat="1" applyFont="1" applyFill="1" applyBorder="1" applyAlignment="1">
      <alignment horizontal="left" vertical="center"/>
    </xf>
    <xf numFmtId="0" fontId="45" fillId="2" borderId="17" xfId="1225" applyNumberFormat="1" applyFont="1" applyFill="1" applyBorder="1" applyAlignment="1">
      <alignment horizontal="left" vertical="center"/>
    </xf>
    <xf numFmtId="0" fontId="48" fillId="0" borderId="17" xfId="0" applyNumberFormat="1" applyFont="1" applyBorder="1">
      <alignment vertical="center"/>
    </xf>
    <xf numFmtId="0" fontId="43" fillId="0" borderId="17" xfId="0" applyNumberFormat="1" applyFont="1" applyBorder="1">
      <alignment vertical="center"/>
    </xf>
    <xf numFmtId="0" fontId="3" fillId="0" borderId="0" xfId="0" applyNumberFormat="1" applyFont="1">
      <alignment vertical="center"/>
    </xf>
    <xf numFmtId="176" fontId="41" fillId="28" borderId="17" xfId="0" applyNumberFormat="1" applyFont="1" applyFill="1" applyBorder="1" applyAlignment="1" applyProtection="1">
      <alignment wrapText="1"/>
      <protection locked="0"/>
    </xf>
    <xf numFmtId="176" fontId="2" fillId="28" borderId="17" xfId="0" applyNumberFormat="1" applyFont="1" applyFill="1" applyBorder="1" applyAlignment="1" applyProtection="1">
      <alignment wrapText="1"/>
      <protection locked="0"/>
    </xf>
    <xf numFmtId="176" fontId="2" fillId="28" borderId="15" xfId="0" applyNumberFormat="1" applyFont="1" applyFill="1" applyBorder="1" applyAlignment="1" applyProtection="1">
      <alignment wrapText="1"/>
      <protection locked="0"/>
    </xf>
    <xf numFmtId="176" fontId="2" fillId="28" borderId="1" xfId="0" applyNumberFormat="1" applyFont="1" applyFill="1" applyBorder="1" applyAlignment="1" applyProtection="1">
      <alignment wrapText="1"/>
      <protection locked="0"/>
    </xf>
    <xf numFmtId="176" fontId="41" fillId="28" borderId="17" xfId="0" applyNumberFormat="1" applyFont="1" applyFill="1" applyBorder="1" applyAlignment="1" applyProtection="1">
      <alignment horizontal="right" wrapText="1"/>
      <protection locked="0"/>
    </xf>
    <xf numFmtId="0" fontId="2" fillId="28" borderId="0" xfId="0" applyFont="1" applyFill="1" applyAlignment="1" applyProtection="1">
      <alignment horizontal="center" vertical="center"/>
      <protection locked="0"/>
    </xf>
    <xf numFmtId="177" fontId="45" fillId="2" borderId="17" xfId="0" applyNumberFormat="1" applyFont="1" applyFill="1" applyBorder="1" applyAlignment="1">
      <alignment horizontal="center" vertical="center"/>
    </xf>
    <xf numFmtId="0" fontId="71" fillId="28" borderId="0" xfId="0" applyFont="1" applyFill="1" applyAlignment="1" applyProtection="1">
      <protection locked="0"/>
    </xf>
    <xf numFmtId="176" fontId="2" fillId="2" borderId="17" xfId="0" applyNumberFormat="1" applyFont="1" applyFill="1" applyBorder="1" applyAlignment="1" applyProtection="1"/>
    <xf numFmtId="0" fontId="43" fillId="2" borderId="17" xfId="0" applyNumberFormat="1" applyFont="1" applyFill="1" applyBorder="1" applyAlignment="1">
      <alignment horizontal="center" vertical="center"/>
    </xf>
    <xf numFmtId="0" fontId="45" fillId="2" borderId="17" xfId="0" applyNumberFormat="1" applyFont="1" applyFill="1" applyBorder="1" applyAlignment="1">
      <alignment horizontal="center" vertical="center"/>
    </xf>
    <xf numFmtId="176" fontId="43" fillId="2" borderId="17" xfId="0" applyNumberFormat="1" applyFont="1" applyFill="1" applyBorder="1" applyAlignment="1">
      <alignment horizontal="center" vertical="center"/>
    </xf>
    <xf numFmtId="0" fontId="43" fillId="2" borderId="0" xfId="0" applyNumberFormat="1" applyFont="1" applyFill="1" applyAlignment="1">
      <alignment horizontal="center" vertical="center"/>
    </xf>
    <xf numFmtId="181" fontId="43" fillId="2" borderId="0" xfId="0" applyNumberFormat="1" applyFont="1" applyFill="1" applyAlignment="1">
      <alignment horizontal="center" vertical="center"/>
    </xf>
    <xf numFmtId="0" fontId="46" fillId="28" borderId="0" xfId="0" applyFont="1" applyFill="1" applyAlignment="1">
      <alignment vertical="center" wrapText="1"/>
    </xf>
    <xf numFmtId="0" fontId="46" fillId="28" borderId="0" xfId="0" applyFont="1" applyFill="1" applyAlignment="1">
      <alignment horizontal="center" vertical="center" wrapText="1"/>
    </xf>
    <xf numFmtId="43" fontId="46" fillId="28" borderId="0" xfId="1720" applyNumberFormat="1" applyFont="1" applyFill="1" applyAlignment="1">
      <alignment horizontal="center" vertical="center"/>
    </xf>
    <xf numFmtId="43" fontId="46" fillId="28" borderId="0" xfId="0" applyNumberFormat="1" applyFont="1" applyFill="1" applyAlignment="1">
      <alignment horizontal="center" vertical="center"/>
    </xf>
    <xf numFmtId="0" fontId="46" fillId="28" borderId="0" xfId="0" applyFont="1" applyFill="1" applyAlignment="1">
      <alignment horizontal="left" vertical="center" wrapText="1"/>
    </xf>
    <xf numFmtId="179" fontId="46" fillId="28" borderId="0" xfId="1720" applyNumberFormat="1" applyFont="1" applyFill="1" applyAlignment="1">
      <alignment horizontal="center" vertical="center"/>
    </xf>
    <xf numFmtId="179" fontId="46" fillId="28" borderId="0" xfId="0" applyNumberFormat="1" applyFont="1" applyFill="1" applyAlignment="1">
      <alignment horizontal="center" vertical="center"/>
    </xf>
    <xf numFmtId="0" fontId="55" fillId="2" borderId="17" xfId="0" applyFont="1" applyFill="1" applyBorder="1" applyAlignment="1">
      <alignment horizontal="center" vertical="center" wrapText="1"/>
    </xf>
    <xf numFmtId="0" fontId="54" fillId="2" borderId="17" xfId="0" applyFont="1" applyFill="1" applyBorder="1" applyAlignment="1">
      <alignment horizontal="center" vertical="center" wrapText="1"/>
    </xf>
    <xf numFmtId="179" fontId="55" fillId="2" borderId="17" xfId="1720" applyNumberFormat="1" applyFont="1" applyFill="1" applyBorder="1" applyAlignment="1">
      <alignment horizontal="center" vertical="center" wrapText="1"/>
    </xf>
    <xf numFmtId="179" fontId="55" fillId="2" borderId="17" xfId="0" applyNumberFormat="1" applyFont="1" applyFill="1" applyBorder="1" applyAlignment="1">
      <alignment horizontal="center" vertical="center" wrapText="1"/>
    </xf>
    <xf numFmtId="0" fontId="54" fillId="2" borderId="17" xfId="0" applyFont="1" applyFill="1" applyBorder="1" applyAlignment="1">
      <alignment horizontal="center" vertical="center"/>
    </xf>
    <xf numFmtId="0" fontId="31" fillId="2" borderId="17" xfId="0" applyFont="1" applyFill="1" applyBorder="1" applyAlignment="1">
      <alignment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/>
    </xf>
    <xf numFmtId="0" fontId="31" fillId="2" borderId="17" xfId="0" applyFont="1" applyFill="1" applyBorder="1" applyAlignment="1">
      <alignment horizontal="center" vertical="center"/>
    </xf>
    <xf numFmtId="43" fontId="31" fillId="2" borderId="17" xfId="1720" applyNumberFormat="1" applyFont="1" applyFill="1" applyBorder="1" applyAlignment="1">
      <alignment horizontal="center" vertical="center"/>
    </xf>
    <xf numFmtId="43" fontId="31" fillId="2" borderId="17" xfId="0" applyNumberFormat="1" applyFont="1" applyFill="1" applyBorder="1" applyAlignment="1">
      <alignment horizontal="center" vertical="center"/>
    </xf>
    <xf numFmtId="0" fontId="56" fillId="2" borderId="17" xfId="0" applyFont="1" applyFill="1" applyBorder="1" applyAlignment="1">
      <alignment horizontal="center" vertical="center"/>
    </xf>
    <xf numFmtId="43" fontId="56" fillId="2" borderId="17" xfId="0" applyNumberFormat="1" applyFont="1" applyFill="1" applyBorder="1" applyAlignment="1">
      <alignment horizontal="left" vertical="center" wrapText="1"/>
    </xf>
    <xf numFmtId="0" fontId="4" fillId="2" borderId="17" xfId="0" applyFont="1" applyFill="1" applyBorder="1" applyAlignment="1">
      <alignment vertical="center" wrapText="1"/>
    </xf>
    <xf numFmtId="0" fontId="31" fillId="2" borderId="17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left" vertical="center" wrapText="1"/>
    </xf>
    <xf numFmtId="0" fontId="8" fillId="2" borderId="17" xfId="0" applyFont="1" applyFill="1" applyBorder="1" applyAlignment="1">
      <alignment horizontal="left" vertical="center"/>
    </xf>
    <xf numFmtId="0" fontId="59" fillId="2" borderId="17" xfId="0" applyNumberFormat="1" applyFont="1" applyFill="1" applyBorder="1" applyAlignment="1">
      <alignment horizontal="center" vertical="center"/>
    </xf>
    <xf numFmtId="0" fontId="31" fillId="2" borderId="17" xfId="0" applyFont="1" applyFill="1" applyBorder="1" applyAlignment="1">
      <alignment horizontal="left" vertical="center" wrapText="1"/>
    </xf>
    <xf numFmtId="0" fontId="58" fillId="2" borderId="17" xfId="0" applyFont="1" applyFill="1" applyBorder="1" applyAlignment="1">
      <alignment horizontal="center" vertical="center" wrapText="1"/>
    </xf>
    <xf numFmtId="0" fontId="31" fillId="2" borderId="17" xfId="2009" applyFont="1" applyFill="1" applyBorder="1" applyAlignment="1">
      <alignment vertical="center" wrapText="1"/>
    </xf>
    <xf numFmtId="0" fontId="4" fillId="2" borderId="17" xfId="2009" applyFont="1" applyFill="1" applyBorder="1" applyAlignment="1">
      <alignment horizontal="center" vertical="center" wrapText="1"/>
    </xf>
    <xf numFmtId="0" fontId="4" fillId="2" borderId="17" xfId="2009" applyFont="1" applyFill="1" applyBorder="1" applyAlignment="1">
      <alignment vertical="center" wrapText="1"/>
    </xf>
    <xf numFmtId="0" fontId="60" fillId="2" borderId="17" xfId="0" applyFont="1" applyFill="1" applyBorder="1" applyAlignment="1">
      <alignment horizontal="center" vertical="center"/>
    </xf>
    <xf numFmtId="57" fontId="56" fillId="2" borderId="17" xfId="0" applyNumberFormat="1" applyFont="1" applyFill="1" applyBorder="1" applyAlignment="1">
      <alignment horizontal="left" vertical="center" wrapText="1"/>
    </xf>
    <xf numFmtId="0" fontId="56" fillId="2" borderId="17" xfId="0" applyFont="1" applyFill="1" applyBorder="1" applyAlignment="1">
      <alignment horizontal="center" vertical="center" wrapText="1"/>
    </xf>
    <xf numFmtId="0" fontId="63" fillId="2" borderId="17" xfId="0" applyFont="1" applyFill="1" applyBorder="1" applyAlignment="1">
      <alignment horizontal="left" vertical="center" wrapText="1"/>
    </xf>
    <xf numFmtId="0" fontId="56" fillId="2" borderId="17" xfId="0" applyFont="1" applyFill="1" applyBorder="1" applyAlignment="1">
      <alignment horizontal="left" vertical="center"/>
    </xf>
    <xf numFmtId="0" fontId="59" fillId="2" borderId="17" xfId="0" applyFont="1" applyFill="1" applyBorder="1" applyAlignment="1">
      <alignment horizontal="center" vertical="center"/>
    </xf>
    <xf numFmtId="43" fontId="31" fillId="2" borderId="17" xfId="0" applyNumberFormat="1" applyFont="1" applyFill="1" applyBorder="1" applyAlignment="1">
      <alignment horizontal="right" vertical="center"/>
    </xf>
    <xf numFmtId="0" fontId="4" fillId="2" borderId="17" xfId="0" applyFont="1" applyFill="1" applyBorder="1" applyAlignment="1">
      <alignment horizontal="left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57" fillId="2" borderId="17" xfId="0" applyFont="1" applyFill="1" applyBorder="1" applyAlignment="1">
      <alignment horizontal="center" vertical="center" wrapText="1"/>
    </xf>
    <xf numFmtId="181" fontId="2" fillId="29" borderId="17" xfId="0" applyNumberFormat="1" applyFont="1" applyFill="1" applyBorder="1" applyAlignment="1">
      <alignment horizontal="center" vertical="center"/>
    </xf>
    <xf numFmtId="181" fontId="45" fillId="29" borderId="17" xfId="0" applyNumberFormat="1" applyFont="1" applyFill="1" applyBorder="1" applyAlignment="1">
      <alignment horizontal="center" vertical="center"/>
    </xf>
    <xf numFmtId="176" fontId="2" fillId="2" borderId="17" xfId="2000" applyNumberFormat="1" applyFont="1" applyFill="1" applyBorder="1" applyAlignment="1">
      <alignment horizontal="center" vertical="center" wrapText="1"/>
    </xf>
    <xf numFmtId="176" fontId="2" fillId="2" borderId="17" xfId="2000" applyNumberFormat="1" applyFont="1" applyFill="1" applyBorder="1" applyAlignment="1">
      <alignment horizontal="center" vertical="center"/>
    </xf>
    <xf numFmtId="178" fontId="73" fillId="28" borderId="17" xfId="0" applyNumberFormat="1" applyFont="1" applyFill="1" applyBorder="1" applyAlignment="1" applyProtection="1">
      <protection locked="0"/>
    </xf>
    <xf numFmtId="178" fontId="73" fillId="2" borderId="17" xfId="0" applyNumberFormat="1" applyFont="1" applyFill="1" applyBorder="1" applyAlignment="1" applyProtection="1">
      <protection locked="0"/>
    </xf>
    <xf numFmtId="0" fontId="0" fillId="2" borderId="0" xfId="0" applyFill="1">
      <alignment vertical="center"/>
    </xf>
    <xf numFmtId="0" fontId="2" fillId="2" borderId="17" xfId="0" applyFont="1" applyFill="1" applyBorder="1" applyAlignment="1">
      <alignment horizontal="center" vertical="center"/>
    </xf>
    <xf numFmtId="0" fontId="76" fillId="2" borderId="17" xfId="0" applyFont="1" applyFill="1" applyBorder="1" applyAlignment="1">
      <alignment horizontal="center" vertical="center" wrapText="1"/>
    </xf>
    <xf numFmtId="0" fontId="48" fillId="2" borderId="17" xfId="0" applyFont="1" applyFill="1" applyBorder="1" applyAlignment="1">
      <alignment horizontal="center" vertical="center"/>
    </xf>
    <xf numFmtId="176" fontId="43" fillId="2" borderId="17" xfId="0" applyNumberFormat="1" applyFont="1" applyFill="1" applyBorder="1">
      <alignment vertical="center"/>
    </xf>
    <xf numFmtId="0" fontId="43" fillId="2" borderId="0" xfId="0" applyFont="1" applyFill="1">
      <alignment vertical="center"/>
    </xf>
    <xf numFmtId="0" fontId="43" fillId="2" borderId="17" xfId="0" applyFont="1" applyFill="1" applyBorder="1" applyAlignment="1">
      <alignment horizontal="center" vertical="center"/>
    </xf>
    <xf numFmtId="0" fontId="4" fillId="2" borderId="17" xfId="0" applyNumberFormat="1" applyFont="1" applyFill="1" applyBorder="1" applyAlignment="1" applyProtection="1">
      <alignment horizontal="left" vertical="center"/>
    </xf>
    <xf numFmtId="0" fontId="4" fillId="2" borderId="17" xfId="0" applyNumberFormat="1" applyFont="1" applyFill="1" applyBorder="1" applyAlignment="1" applyProtection="1">
      <alignment horizontal="center" vertical="center"/>
    </xf>
    <xf numFmtId="0" fontId="77" fillId="2" borderId="17" xfId="0" applyFont="1" applyFill="1" applyBorder="1" applyAlignment="1">
      <alignment horizontal="center" vertical="center" wrapText="1"/>
    </xf>
    <xf numFmtId="176" fontId="48" fillId="2" borderId="17" xfId="0" applyNumberFormat="1" applyFont="1" applyFill="1" applyBorder="1" applyAlignment="1">
      <alignment horizontal="center" vertical="center"/>
    </xf>
    <xf numFmtId="0" fontId="48" fillId="2" borderId="0" xfId="0" applyFont="1" applyFill="1">
      <alignment vertical="center"/>
    </xf>
    <xf numFmtId="176" fontId="0" fillId="2" borderId="0" xfId="0" applyNumberFormat="1" applyFill="1">
      <alignment vertical="center"/>
    </xf>
    <xf numFmtId="0" fontId="0" fillId="0" borderId="0" xfId="0" applyFont="1">
      <alignment vertical="center"/>
    </xf>
    <xf numFmtId="0" fontId="2" fillId="2" borderId="17" xfId="0" applyNumberFormat="1" applyFont="1" applyFill="1" applyBorder="1" applyAlignment="1">
      <alignment horizontal="center" vertical="center" wrapText="1"/>
    </xf>
    <xf numFmtId="0" fontId="0" fillId="2" borderId="0" xfId="0" applyFont="1" applyFill="1">
      <alignment vertical="center"/>
    </xf>
    <xf numFmtId="0" fontId="48" fillId="0" borderId="17" xfId="0" applyFont="1" applyBorder="1">
      <alignment vertical="center"/>
    </xf>
    <xf numFmtId="0" fontId="80" fillId="0" borderId="17" xfId="0" applyNumberFormat="1" applyFont="1" applyFill="1" applyBorder="1">
      <alignment vertical="center"/>
    </xf>
    <xf numFmtId="176" fontId="80" fillId="0" borderId="17" xfId="0" applyNumberFormat="1" applyFont="1" applyFill="1" applyBorder="1">
      <alignment vertical="center"/>
    </xf>
    <xf numFmtId="176" fontId="48" fillId="0" borderId="17" xfId="0" applyNumberFormat="1" applyFont="1" applyBorder="1">
      <alignment vertical="center"/>
    </xf>
    <xf numFmtId="0" fontId="81" fillId="0" borderId="17" xfId="0" applyNumberFormat="1" applyFont="1" applyBorder="1">
      <alignment vertical="center"/>
    </xf>
    <xf numFmtId="0" fontId="81" fillId="0" borderId="17" xfId="0" applyFont="1" applyBorder="1">
      <alignment vertical="center"/>
    </xf>
    <xf numFmtId="176" fontId="80" fillId="2" borderId="17" xfId="0" applyNumberFormat="1" applyFont="1" applyFill="1" applyBorder="1">
      <alignment vertical="center"/>
    </xf>
    <xf numFmtId="176" fontId="48" fillId="2" borderId="17" xfId="0" applyNumberFormat="1" applyFont="1" applyFill="1" applyBorder="1">
      <alignment vertical="center"/>
    </xf>
    <xf numFmtId="0" fontId="82" fillId="0" borderId="17" xfId="0" applyNumberFormat="1" applyFont="1" applyFill="1" applyBorder="1">
      <alignment vertical="center"/>
    </xf>
    <xf numFmtId="0" fontId="0" fillId="0" borderId="0" xfId="0" applyAlignment="1">
      <alignment vertical="center"/>
    </xf>
    <xf numFmtId="182" fontId="84" fillId="0" borderId="17" xfId="0" applyNumberFormat="1" applyFont="1" applyFill="1" applyBorder="1" applyAlignment="1">
      <alignment horizontal="center" vertical="center" wrapText="1"/>
    </xf>
    <xf numFmtId="49" fontId="84" fillId="0" borderId="17" xfId="0" applyNumberFormat="1" applyFont="1" applyFill="1" applyBorder="1" applyAlignment="1">
      <alignment horizontal="center" vertical="center" wrapText="1"/>
    </xf>
    <xf numFmtId="183" fontId="84" fillId="0" borderId="17" xfId="0" applyNumberFormat="1" applyFont="1" applyFill="1" applyBorder="1" applyAlignment="1">
      <alignment horizontal="center" vertical="center" wrapText="1"/>
    </xf>
    <xf numFmtId="0" fontId="85" fillId="0" borderId="0" xfId="0" applyFont="1" applyAlignment="1">
      <alignment vertical="center"/>
    </xf>
    <xf numFmtId="0" fontId="86" fillId="0" borderId="17" xfId="0" applyFont="1" applyFill="1" applyBorder="1" applyAlignment="1" applyProtection="1">
      <alignment horizontal="center" vertical="center"/>
    </xf>
    <xf numFmtId="0" fontId="86" fillId="0" borderId="17" xfId="0" applyFont="1" applyFill="1" applyBorder="1" applyAlignment="1" applyProtection="1">
      <alignment horizontal="center" vertical="center" wrapText="1"/>
    </xf>
    <xf numFmtId="49" fontId="86" fillId="0" borderId="17" xfId="0" applyNumberFormat="1" applyFont="1" applyFill="1" applyBorder="1" applyAlignment="1" applyProtection="1">
      <alignment horizontal="center" vertical="center" wrapText="1"/>
    </xf>
    <xf numFmtId="183" fontId="86" fillId="0" borderId="17" xfId="0" applyNumberFormat="1" applyFont="1" applyFill="1" applyBorder="1" applyAlignment="1" applyProtection="1">
      <alignment horizontal="center" vertical="center"/>
    </xf>
    <xf numFmtId="176" fontId="87" fillId="0" borderId="17" xfId="0" applyNumberFormat="1" applyFont="1" applyFill="1" applyBorder="1" applyAlignment="1">
      <alignment horizontal="center" vertical="center"/>
    </xf>
    <xf numFmtId="176" fontId="88" fillId="0" borderId="17" xfId="0" applyNumberFormat="1" applyFont="1" applyFill="1" applyBorder="1" applyAlignment="1">
      <alignment horizontal="center" vertical="center"/>
    </xf>
    <xf numFmtId="0" fontId="89" fillId="0" borderId="17" xfId="0" applyFont="1" applyFill="1" applyBorder="1" applyAlignment="1">
      <alignment horizontal="center" vertical="center"/>
    </xf>
    <xf numFmtId="176" fontId="85" fillId="0" borderId="17" xfId="0" applyNumberFormat="1" applyFont="1" applyFill="1" applyBorder="1" applyAlignment="1">
      <alignment horizontal="center" vertical="center"/>
    </xf>
    <xf numFmtId="0" fontId="86" fillId="0" borderId="17" xfId="0" applyFont="1" applyFill="1" applyBorder="1" applyAlignment="1">
      <alignment horizontal="center" vertical="center" wrapText="1"/>
    </xf>
    <xf numFmtId="0" fontId="86" fillId="0" borderId="17" xfId="0" applyFont="1" applyFill="1" applyBorder="1" applyAlignment="1">
      <alignment horizontal="center" vertical="center"/>
    </xf>
    <xf numFmtId="183" fontId="86" fillId="0" borderId="17" xfId="0" applyNumberFormat="1" applyFont="1" applyFill="1" applyBorder="1" applyAlignment="1">
      <alignment horizontal="center" vertical="center"/>
    </xf>
    <xf numFmtId="49" fontId="86" fillId="0" borderId="17" xfId="0" applyNumberFormat="1" applyFont="1" applyFill="1" applyBorder="1" applyAlignment="1">
      <alignment horizontal="center" vertical="center" wrapText="1"/>
    </xf>
    <xf numFmtId="176" fontId="90" fillId="0" borderId="17" xfId="0" applyNumberFormat="1" applyFont="1" applyFill="1" applyBorder="1" applyAlignment="1">
      <alignment horizontal="center" vertical="center"/>
    </xf>
    <xf numFmtId="0" fontId="86" fillId="0" borderId="1" xfId="0" applyFont="1" applyFill="1" applyBorder="1" applyAlignment="1" applyProtection="1">
      <alignment horizontal="center" vertical="center"/>
    </xf>
    <xf numFmtId="0" fontId="86" fillId="0" borderId="0" xfId="0" applyFont="1" applyFill="1" applyBorder="1" applyAlignment="1" applyProtection="1">
      <alignment horizontal="center" vertical="center"/>
    </xf>
    <xf numFmtId="0" fontId="86" fillId="0" borderId="0" xfId="0" applyFont="1" applyFill="1" applyAlignment="1" applyProtection="1">
      <alignment horizontal="center" vertical="center"/>
    </xf>
    <xf numFmtId="0" fontId="86" fillId="0" borderId="1" xfId="0" applyFont="1" applyFill="1" applyBorder="1" applyAlignment="1" applyProtection="1">
      <alignment horizontal="center" vertical="center" wrapText="1"/>
    </xf>
    <xf numFmtId="49" fontId="86" fillId="0" borderId="1" xfId="0" applyNumberFormat="1" applyFont="1" applyFill="1" applyBorder="1" applyAlignment="1">
      <alignment horizontal="center" vertical="center" wrapText="1"/>
    </xf>
    <xf numFmtId="0" fontId="85" fillId="0" borderId="0" xfId="0" applyFont="1" applyAlignment="1">
      <alignment horizontal="center" vertical="center"/>
    </xf>
    <xf numFmtId="0" fontId="86" fillId="0" borderId="18" xfId="0" applyFont="1" applyFill="1" applyBorder="1" applyAlignment="1" applyProtection="1">
      <alignment horizontal="center" vertical="center"/>
    </xf>
    <xf numFmtId="0" fontId="91" fillId="0" borderId="0" xfId="0" applyFont="1" applyAlignment="1">
      <alignment horizontal="center" vertical="center"/>
    </xf>
    <xf numFmtId="176" fontId="2" fillId="31" borderId="17" xfId="0" applyNumberFormat="1" applyFont="1" applyFill="1" applyBorder="1" applyAlignment="1">
      <alignment horizontal="center" vertical="center" wrapText="1"/>
    </xf>
    <xf numFmtId="0" fontId="94" fillId="0" borderId="17" xfId="0" applyFont="1" applyFill="1" applyBorder="1" applyAlignment="1">
      <alignment horizontal="center" vertical="center" wrapText="1"/>
    </xf>
    <xf numFmtId="0" fontId="0" fillId="0" borderId="17" xfId="0" applyFont="1" applyBorder="1" applyAlignment="1">
      <alignment horizontal="center" vertical="center"/>
    </xf>
    <xf numFmtId="0" fontId="95" fillId="0" borderId="17" xfId="0" applyFont="1" applyFill="1" applyBorder="1" applyAlignment="1">
      <alignment horizontal="center" vertical="center" wrapText="1"/>
    </xf>
    <xf numFmtId="0" fontId="0" fillId="0" borderId="17" xfId="0" applyNumberFormat="1" applyFont="1" applyBorder="1" applyAlignment="1">
      <alignment horizontal="center" vertical="center"/>
    </xf>
    <xf numFmtId="0" fontId="98" fillId="2" borderId="0" xfId="0" applyNumberFormat="1" applyFont="1" applyFill="1" applyBorder="1" applyAlignment="1">
      <alignment wrapText="1"/>
    </xf>
    <xf numFmtId="0" fontId="98" fillId="2" borderId="0" xfId="0" applyNumberFormat="1" applyFont="1" applyFill="1" applyBorder="1" applyAlignment="1"/>
    <xf numFmtId="0" fontId="57" fillId="2" borderId="17" xfId="0" applyNumberFormat="1" applyFont="1" applyFill="1" applyBorder="1" applyAlignment="1" applyProtection="1">
      <alignment horizontal="center" vertical="center" shrinkToFit="1"/>
    </xf>
    <xf numFmtId="0" fontId="99" fillId="2" borderId="17" xfId="0" applyNumberFormat="1" applyFont="1" applyFill="1" applyBorder="1" applyAlignment="1" applyProtection="1">
      <alignment horizontal="left" vertical="center"/>
    </xf>
    <xf numFmtId="0" fontId="99" fillId="2" borderId="17" xfId="0" applyNumberFormat="1" applyFont="1" applyFill="1" applyBorder="1" applyAlignment="1" applyProtection="1">
      <alignment horizontal="center" vertical="center"/>
    </xf>
    <xf numFmtId="0" fontId="99" fillId="2" borderId="17" xfId="0" applyNumberFormat="1" applyFont="1" applyFill="1" applyBorder="1" applyAlignment="1" applyProtection="1">
      <alignment vertical="center" wrapText="1"/>
    </xf>
    <xf numFmtId="184" fontId="99" fillId="2" borderId="17" xfId="0" applyNumberFormat="1" applyFont="1" applyFill="1" applyBorder="1" applyAlignment="1" applyProtection="1">
      <alignment horizontal="center" vertical="center"/>
    </xf>
    <xf numFmtId="0" fontId="73" fillId="2" borderId="17" xfId="0" applyNumberFormat="1" applyFont="1" applyFill="1" applyBorder="1" applyAlignment="1" applyProtection="1">
      <alignment horizontal="left" vertical="center"/>
    </xf>
    <xf numFmtId="0" fontId="73" fillId="2" borderId="17" xfId="0" applyNumberFormat="1" applyFont="1" applyFill="1" applyBorder="1" applyAlignment="1" applyProtection="1">
      <alignment horizontal="center" vertical="center"/>
    </xf>
    <xf numFmtId="0" fontId="73" fillId="2" borderId="17" xfId="0" applyNumberFormat="1" applyFont="1" applyFill="1" applyBorder="1" applyAlignment="1" applyProtection="1">
      <alignment horizontal="left" vertical="center" wrapText="1"/>
    </xf>
    <xf numFmtId="184" fontId="73" fillId="2" borderId="17" xfId="0" applyNumberFormat="1" applyFont="1" applyFill="1" applyBorder="1" applyAlignment="1" applyProtection="1">
      <alignment horizontal="center" vertical="center"/>
    </xf>
    <xf numFmtId="0" fontId="2" fillId="2" borderId="17" xfId="0" applyNumberFormat="1" applyFont="1" applyFill="1" applyBorder="1" applyAlignment="1" applyProtection="1">
      <alignment horizontal="left" vertical="center"/>
    </xf>
    <xf numFmtId="0" fontId="72" fillId="2" borderId="17" xfId="0" applyNumberFormat="1" applyFont="1" applyFill="1" applyBorder="1" applyAlignment="1" applyProtection="1">
      <alignment horizontal="center" vertical="center"/>
    </xf>
    <xf numFmtId="0" fontId="2" fillId="2" borderId="17" xfId="0" applyNumberFormat="1" applyFont="1" applyFill="1" applyBorder="1" applyAlignment="1" applyProtection="1">
      <alignment horizontal="center" vertical="center"/>
    </xf>
    <xf numFmtId="0" fontId="2" fillId="2" borderId="17" xfId="0" applyNumberFormat="1" applyFont="1" applyFill="1" applyBorder="1" applyAlignment="1" applyProtection="1">
      <alignment horizontal="left" vertical="center" wrapText="1"/>
    </xf>
    <xf numFmtId="184" fontId="2" fillId="2" borderId="17" xfId="0" applyNumberFormat="1" applyFont="1" applyFill="1" applyBorder="1" applyAlignment="1" applyProtection="1">
      <alignment horizontal="center" vertical="center"/>
    </xf>
    <xf numFmtId="0" fontId="100" fillId="2" borderId="17" xfId="0" applyNumberFormat="1" applyFont="1" applyFill="1" applyBorder="1" applyAlignment="1">
      <alignment horizontal="left" vertical="center"/>
    </xf>
    <xf numFmtId="0" fontId="100" fillId="2" borderId="17" xfId="0" applyNumberFormat="1" applyFont="1" applyFill="1" applyBorder="1" applyAlignment="1">
      <alignment horizontal="center" vertical="center"/>
    </xf>
    <xf numFmtId="0" fontId="100" fillId="2" borderId="17" xfId="0" applyNumberFormat="1" applyFont="1" applyFill="1" applyBorder="1" applyAlignment="1">
      <alignment vertical="center" wrapText="1"/>
    </xf>
    <xf numFmtId="0" fontId="101" fillId="2" borderId="17" xfId="0" applyNumberFormat="1" applyFont="1" applyFill="1" applyBorder="1" applyAlignment="1">
      <alignment horizontal="left" vertical="center"/>
    </xf>
    <xf numFmtId="0" fontId="101" fillId="2" borderId="17" xfId="0" applyNumberFormat="1" applyFont="1" applyFill="1" applyBorder="1" applyAlignment="1">
      <alignment horizontal="center" vertical="center"/>
    </xf>
    <xf numFmtId="0" fontId="4" fillId="2" borderId="17" xfId="0" applyNumberFormat="1" applyFont="1" applyFill="1" applyBorder="1" applyAlignment="1">
      <alignment horizontal="center" vertical="center"/>
    </xf>
    <xf numFmtId="0" fontId="102" fillId="0" borderId="17" xfId="0" applyNumberFormat="1" applyFont="1" applyFill="1" applyBorder="1" applyAlignment="1" applyProtection="1">
      <alignment horizontal="left" vertical="center" wrapText="1"/>
    </xf>
    <xf numFmtId="0" fontId="68" fillId="0" borderId="17" xfId="0" applyNumberFormat="1" applyFont="1" applyFill="1" applyBorder="1" applyAlignment="1" applyProtection="1">
      <alignment horizontal="left" vertical="center" wrapText="1"/>
    </xf>
    <xf numFmtId="0" fontId="102" fillId="0" borderId="17" xfId="0" applyNumberFormat="1" applyFont="1" applyFill="1" applyBorder="1" applyAlignment="1" applyProtection="1">
      <alignment horizontal="center" vertical="center" wrapText="1"/>
    </xf>
    <xf numFmtId="43" fontId="101" fillId="0" borderId="17" xfId="0" applyNumberFormat="1" applyFont="1" applyFill="1" applyBorder="1" applyAlignment="1" applyProtection="1">
      <alignment vertical="center"/>
    </xf>
    <xf numFmtId="0" fontId="68" fillId="0" borderId="17" xfId="0" applyNumberFormat="1" applyFont="1" applyFill="1" applyBorder="1" applyAlignment="1" applyProtection="1">
      <alignment horizontal="center" vertical="center" wrapText="1"/>
    </xf>
    <xf numFmtId="43" fontId="4" fillId="0" borderId="17" xfId="0" applyNumberFormat="1" applyFont="1" applyFill="1" applyBorder="1" applyAlignment="1" applyProtection="1">
      <alignment vertical="center"/>
    </xf>
    <xf numFmtId="0" fontId="2" fillId="2" borderId="17" xfId="0" applyNumberFormat="1" applyFont="1" applyFill="1" applyBorder="1" applyAlignment="1" applyProtection="1">
      <alignment vertical="center" wrapText="1"/>
    </xf>
    <xf numFmtId="0" fontId="7" fillId="2" borderId="0" xfId="0" applyNumberFormat="1" applyFont="1" applyFill="1" applyBorder="1" applyAlignment="1"/>
    <xf numFmtId="0" fontId="7" fillId="2" borderId="0" xfId="0" applyNumberFormat="1" applyFont="1" applyFill="1" applyBorder="1" applyAlignment="1">
      <alignment horizontal="center" vertical="center"/>
    </xf>
    <xf numFmtId="0" fontId="57" fillId="0" borderId="17" xfId="0" applyFont="1" applyFill="1" applyBorder="1" applyAlignment="1">
      <alignment horizontal="center" vertical="center"/>
    </xf>
    <xf numFmtId="0" fontId="57" fillId="0" borderId="17" xfId="0" applyFont="1" applyFill="1" applyBorder="1" applyAlignment="1">
      <alignment horizontal="center" vertical="center" wrapText="1"/>
    </xf>
    <xf numFmtId="0" fontId="57" fillId="0" borderId="17" xfId="0" applyFont="1" applyFill="1" applyBorder="1" applyAlignment="1">
      <alignment horizontal="left" vertical="center" wrapText="1"/>
    </xf>
    <xf numFmtId="186" fontId="57" fillId="0" borderId="17" xfId="2011" applyNumberFormat="1" applyFont="1" applyFill="1" applyBorder="1" applyAlignment="1">
      <alignment horizontal="center" vertical="center" wrapText="1"/>
    </xf>
    <xf numFmtId="0" fontId="57" fillId="0" borderId="17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4" fillId="0" borderId="17" xfId="2012" applyFont="1" applyFill="1" applyBorder="1" applyAlignment="1">
      <alignment horizontal="center" vertical="center" wrapText="1"/>
    </xf>
    <xf numFmtId="186" fontId="4" fillId="0" borderId="17" xfId="2011" applyNumberFormat="1" applyFont="1" applyFill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186" fontId="4" fillId="0" borderId="17" xfId="2011" applyNumberFormat="1" applyFont="1" applyFill="1" applyBorder="1" applyAlignment="1">
      <alignment vertical="center" wrapText="1"/>
    </xf>
    <xf numFmtId="0" fontId="57" fillId="0" borderId="17" xfId="2012" applyFont="1" applyFill="1" applyBorder="1" applyAlignment="1">
      <alignment horizontal="center" vertical="center" wrapText="1"/>
    </xf>
    <xf numFmtId="186" fontId="57" fillId="0" borderId="17" xfId="2011" applyNumberFormat="1" applyFont="1" applyFill="1" applyBorder="1" applyAlignment="1">
      <alignment vertical="center" wrapText="1"/>
    </xf>
    <xf numFmtId="0" fontId="4" fillId="0" borderId="17" xfId="0" applyFont="1" applyBorder="1" applyAlignment="1">
      <alignment horizontal="center" vertical="center"/>
    </xf>
    <xf numFmtId="0" fontId="4" fillId="0" borderId="17" xfId="0" applyFont="1" applyBorder="1" applyAlignment="1">
      <alignment vertical="center" wrapText="1"/>
    </xf>
    <xf numFmtId="185" fontId="105" fillId="0" borderId="17" xfId="0" applyNumberFormat="1" applyFont="1" applyBorder="1" applyAlignment="1">
      <alignment horizontal="center" vertical="center" wrapText="1"/>
    </xf>
    <xf numFmtId="0" fontId="106" fillId="0" borderId="17" xfId="0" applyFont="1" applyBorder="1" applyAlignment="1">
      <alignment horizontal="center" vertical="center" wrapText="1"/>
    </xf>
    <xf numFmtId="0" fontId="4" fillId="0" borderId="17" xfId="0" applyFont="1" applyBorder="1" applyAlignment="1">
      <alignment vertical="center"/>
    </xf>
    <xf numFmtId="0" fontId="0" fillId="0" borderId="0" xfId="0" applyAlignment="1">
      <alignment horizontal="center" vertical="center"/>
    </xf>
    <xf numFmtId="186" fontId="0" fillId="0" borderId="0" xfId="2011" applyNumberFormat="1" applyFont="1" applyAlignment="1">
      <alignment vertical="center"/>
    </xf>
    <xf numFmtId="0" fontId="107" fillId="0" borderId="17" xfId="0" applyFont="1" applyBorder="1" applyAlignment="1">
      <alignment horizontal="center" vertical="center" wrapText="1"/>
    </xf>
    <xf numFmtId="0" fontId="107" fillId="0" borderId="17" xfId="0" applyFont="1" applyBorder="1" applyAlignment="1">
      <alignment horizontal="center" vertical="center"/>
    </xf>
    <xf numFmtId="3" fontId="107" fillId="0" borderId="17" xfId="0" applyNumberFormat="1" applyFont="1" applyBorder="1" applyAlignment="1">
      <alignment horizontal="right" vertical="center" wrapText="1"/>
    </xf>
    <xf numFmtId="0" fontId="107" fillId="0" borderId="21" xfId="0" applyFont="1" applyBorder="1" applyAlignment="1">
      <alignment horizontal="justify" wrapText="1"/>
    </xf>
    <xf numFmtId="0" fontId="107" fillId="0" borderId="17" xfId="0" applyFont="1" applyBorder="1" applyAlignment="1">
      <alignment horizontal="center" wrapText="1"/>
    </xf>
    <xf numFmtId="0" fontId="107" fillId="0" borderId="21" xfId="0" applyFont="1" applyBorder="1" applyAlignment="1">
      <alignment horizontal="center" vertical="center" wrapText="1"/>
    </xf>
    <xf numFmtId="0" fontId="107" fillId="0" borderId="21" xfId="0" applyFont="1" applyBorder="1" applyAlignment="1">
      <alignment horizontal="center" vertical="top" wrapText="1"/>
    </xf>
    <xf numFmtId="0" fontId="108" fillId="0" borderId="17" xfId="0" applyFont="1" applyBorder="1" applyAlignment="1">
      <alignment horizontal="center" vertical="center" wrapText="1"/>
    </xf>
    <xf numFmtId="0" fontId="107" fillId="0" borderId="21" xfId="0" applyFont="1" applyBorder="1" applyAlignment="1">
      <alignment horizontal="center" vertical="center"/>
    </xf>
    <xf numFmtId="186" fontId="57" fillId="0" borderId="0" xfId="2011" applyNumberFormat="1" applyFont="1" applyFill="1" applyBorder="1" applyAlignment="1">
      <alignment vertical="center" wrapText="1"/>
    </xf>
    <xf numFmtId="0" fontId="0" fillId="0" borderId="0" xfId="0" applyBorder="1" applyAlignment="1">
      <alignment vertical="center"/>
    </xf>
    <xf numFmtId="0" fontId="103" fillId="0" borderId="0" xfId="0" applyFont="1" applyAlignment="1">
      <alignment horizontal="center" vertical="center" wrapText="1"/>
    </xf>
    <xf numFmtId="180" fontId="103" fillId="0" borderId="0" xfId="0" applyNumberFormat="1" applyFont="1" applyAlignment="1">
      <alignment horizontal="center" vertical="center" wrapText="1"/>
    </xf>
    <xf numFmtId="176" fontId="103" fillId="0" borderId="0" xfId="0" applyNumberFormat="1" applyFont="1" applyBorder="1" applyAlignment="1">
      <alignment horizontal="center" vertical="center" wrapText="1"/>
    </xf>
    <xf numFmtId="0" fontId="110" fillId="0" borderId="17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179" fontId="111" fillId="0" borderId="17" xfId="0" applyNumberFormat="1" applyFont="1" applyBorder="1" applyAlignment="1">
      <alignment horizontal="right" vertical="center" shrinkToFit="1"/>
    </xf>
    <xf numFmtId="0" fontId="111" fillId="0" borderId="17" xfId="0" applyFont="1" applyBorder="1" applyAlignment="1">
      <alignment horizontal="center" vertical="center" shrinkToFit="1"/>
    </xf>
    <xf numFmtId="0" fontId="57" fillId="0" borderId="17" xfId="0" applyNumberFormat="1" applyFont="1" applyBorder="1" applyAlignment="1">
      <alignment horizontal="center" vertical="center"/>
    </xf>
    <xf numFmtId="0" fontId="0" fillId="0" borderId="0" xfId="0" applyAlignment="1"/>
    <xf numFmtId="179" fontId="111" fillId="2" borderId="17" xfId="0" applyNumberFormat="1" applyFont="1" applyFill="1" applyBorder="1" applyAlignment="1">
      <alignment horizontal="right" vertical="center" shrinkToFit="1"/>
    </xf>
    <xf numFmtId="0" fontId="111" fillId="2" borderId="17" xfId="0" applyFont="1" applyFill="1" applyBorder="1" applyAlignment="1">
      <alignment horizontal="center" vertical="center" shrinkToFit="1"/>
    </xf>
    <xf numFmtId="0" fontId="0" fillId="2" borderId="0" xfId="0" applyFill="1" applyAlignment="1">
      <alignment vertical="center"/>
    </xf>
    <xf numFmtId="0" fontId="112" fillId="0" borderId="0" xfId="0" applyFont="1" applyAlignment="1">
      <alignment vertical="center"/>
    </xf>
    <xf numFmtId="0" fontId="112" fillId="2" borderId="0" xfId="0" applyFont="1" applyFill="1" applyAlignment="1">
      <alignment vertical="center"/>
    </xf>
    <xf numFmtId="0" fontId="57" fillId="2" borderId="17" xfId="0" applyFont="1" applyFill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95" fillId="2" borderId="17" xfId="0" applyNumberFormat="1" applyFont="1" applyFill="1" applyBorder="1" applyAlignment="1" applyProtection="1">
      <alignment horizontal="left" vertical="center"/>
    </xf>
    <xf numFmtId="0" fontId="116" fillId="2" borderId="17" xfId="1225" applyFont="1" applyFill="1" applyBorder="1" applyAlignment="1">
      <alignment horizontal="left" vertical="center"/>
    </xf>
    <xf numFmtId="0" fontId="3" fillId="0" borderId="17" xfId="0" applyFont="1" applyBorder="1">
      <alignment vertical="center"/>
    </xf>
    <xf numFmtId="49" fontId="117" fillId="0" borderId="17" xfId="1123" applyNumberFormat="1" applyFont="1" applyBorder="1" applyAlignment="1">
      <alignment horizontal="left" vertical="center" wrapText="1"/>
    </xf>
    <xf numFmtId="0" fontId="0" fillId="0" borderId="17" xfId="0" applyBorder="1">
      <alignment vertical="center"/>
    </xf>
    <xf numFmtId="0" fontId="3" fillId="0" borderId="0" xfId="0" applyFont="1">
      <alignment vertical="center"/>
    </xf>
    <xf numFmtId="0" fontId="114" fillId="0" borderId="17" xfId="0" applyNumberFormat="1" applyFont="1" applyBorder="1" applyAlignment="1">
      <alignment horizontal="center" vertical="center"/>
    </xf>
    <xf numFmtId="0" fontId="114" fillId="0" borderId="17" xfId="0" applyFont="1" applyBorder="1" applyAlignment="1">
      <alignment horizontal="center" vertical="center"/>
    </xf>
    <xf numFmtId="0" fontId="113" fillId="0" borderId="12" xfId="0" applyFont="1" applyBorder="1" applyAlignment="1">
      <alignment horizontal="center" vertical="center" wrapText="1"/>
    </xf>
    <xf numFmtId="180" fontId="4" fillId="2" borderId="12" xfId="1123" applyNumberFormat="1" applyFont="1" applyFill="1" applyBorder="1" applyAlignment="1">
      <alignment horizontal="center" vertical="center" wrapText="1"/>
    </xf>
    <xf numFmtId="176" fontId="4" fillId="2" borderId="12" xfId="1123" applyNumberFormat="1" applyFont="1" applyFill="1" applyBorder="1" applyAlignment="1">
      <alignment horizontal="center" vertical="center" wrapText="1"/>
    </xf>
    <xf numFmtId="0" fontId="113" fillId="0" borderId="0" xfId="0" applyFont="1" applyAlignment="1">
      <alignment horizontal="center" vertical="center" wrapText="1"/>
    </xf>
    <xf numFmtId="176" fontId="113" fillId="0" borderId="12" xfId="0" applyNumberFormat="1" applyFont="1" applyBorder="1" applyAlignment="1">
      <alignment horizontal="center" vertical="center" wrapText="1"/>
    </xf>
    <xf numFmtId="0" fontId="118" fillId="0" borderId="12" xfId="0" applyNumberFormat="1" applyFont="1" applyBorder="1" applyAlignment="1">
      <alignment horizontal="center" vertical="center" wrapText="1"/>
    </xf>
    <xf numFmtId="0" fontId="113" fillId="0" borderId="12" xfId="0" applyFont="1" applyFill="1" applyBorder="1" applyAlignment="1">
      <alignment horizontal="center" vertical="center" wrapText="1"/>
    </xf>
    <xf numFmtId="176" fontId="113" fillId="0" borderId="12" xfId="0" applyNumberFormat="1" applyFont="1" applyFill="1" applyBorder="1" applyAlignment="1">
      <alignment horizontal="center" vertical="center" wrapText="1"/>
    </xf>
    <xf numFmtId="176" fontId="113" fillId="2" borderId="12" xfId="0" applyNumberFormat="1" applyFont="1" applyFill="1" applyBorder="1" applyAlignment="1">
      <alignment horizontal="center" vertical="center"/>
    </xf>
    <xf numFmtId="176" fontId="113" fillId="2" borderId="12" xfId="0" applyNumberFormat="1" applyFont="1" applyFill="1" applyBorder="1" applyAlignment="1">
      <alignment horizontal="center" vertical="center" wrapText="1"/>
    </xf>
    <xf numFmtId="0" fontId="118" fillId="0" borderId="12" xfId="0" applyFont="1" applyBorder="1" applyAlignment="1">
      <alignment horizontal="center" vertical="center" wrapText="1"/>
    </xf>
    <xf numFmtId="176" fontId="68" fillId="0" borderId="12" xfId="0" applyNumberFormat="1" applyFont="1" applyBorder="1" applyAlignment="1">
      <alignment horizontal="center" vertical="center" wrapText="1"/>
    </xf>
    <xf numFmtId="0" fontId="113" fillId="0" borderId="1" xfId="0" applyFont="1" applyBorder="1" applyAlignment="1">
      <alignment horizontal="center" vertical="center" wrapText="1"/>
    </xf>
    <xf numFmtId="176" fontId="113" fillId="0" borderId="1" xfId="0" applyNumberFormat="1" applyFont="1" applyBorder="1" applyAlignment="1">
      <alignment horizontal="center" vertical="center" wrapText="1"/>
    </xf>
    <xf numFmtId="0" fontId="113" fillId="0" borderId="1" xfId="0" applyFont="1" applyFill="1" applyBorder="1" applyAlignment="1">
      <alignment horizontal="center" vertical="center" wrapText="1"/>
    </xf>
    <xf numFmtId="176" fontId="113" fillId="0" borderId="1" xfId="0" applyNumberFormat="1" applyFont="1" applyFill="1" applyBorder="1" applyAlignment="1">
      <alignment horizontal="center" vertical="center" wrapText="1"/>
    </xf>
    <xf numFmtId="176" fontId="113" fillId="0" borderId="11" xfId="0" applyNumberFormat="1" applyFont="1" applyFill="1" applyBorder="1" applyAlignment="1">
      <alignment horizontal="center" vertical="center" wrapText="1"/>
    </xf>
    <xf numFmtId="176" fontId="113" fillId="0" borderId="11" xfId="0" applyNumberFormat="1" applyFont="1" applyBorder="1" applyAlignment="1">
      <alignment horizontal="center" vertical="center" wrapText="1"/>
    </xf>
    <xf numFmtId="0" fontId="113" fillId="0" borderId="11" xfId="0" applyFont="1" applyBorder="1" applyAlignment="1">
      <alignment horizontal="center" vertical="center" wrapText="1"/>
    </xf>
    <xf numFmtId="176" fontId="113" fillId="0" borderId="13" xfId="0" applyNumberFormat="1" applyFont="1" applyBorder="1" applyAlignment="1">
      <alignment horizontal="center" vertical="center" wrapText="1"/>
    </xf>
    <xf numFmtId="0" fontId="113" fillId="0" borderId="13" xfId="0" applyFont="1" applyBorder="1" applyAlignment="1">
      <alignment horizontal="center" vertical="center" wrapText="1"/>
    </xf>
    <xf numFmtId="0" fontId="113" fillId="2" borderId="12" xfId="0" applyFont="1" applyFill="1" applyBorder="1" applyAlignment="1">
      <alignment horizontal="center" vertical="center" wrapText="1"/>
    </xf>
    <xf numFmtId="176" fontId="68" fillId="2" borderId="12" xfId="0" applyNumberFormat="1" applyFont="1" applyFill="1" applyBorder="1" applyAlignment="1">
      <alignment horizontal="center" vertical="center" wrapText="1"/>
    </xf>
    <xf numFmtId="0" fontId="113" fillId="2" borderId="0" xfId="0" applyFont="1" applyFill="1" applyBorder="1" applyAlignment="1">
      <alignment horizontal="center" vertical="center" wrapText="1"/>
    </xf>
    <xf numFmtId="176" fontId="68" fillId="2" borderId="0" xfId="0" applyNumberFormat="1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center" vertical="center" wrapText="1"/>
    </xf>
    <xf numFmtId="0" fontId="4" fillId="0" borderId="23" xfId="0" applyFont="1" applyFill="1" applyBorder="1" applyAlignment="1">
      <alignment horizontal="center" vertical="center" wrapText="1"/>
    </xf>
    <xf numFmtId="176" fontId="119" fillId="0" borderId="23" xfId="0" applyNumberFormat="1" applyFont="1" applyFill="1" applyBorder="1" applyAlignment="1">
      <alignment horizontal="center" vertical="center" wrapText="1"/>
    </xf>
    <xf numFmtId="0" fontId="113" fillId="0" borderId="0" xfId="0" applyFont="1" applyFill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176" fontId="119" fillId="0" borderId="0" xfId="0" applyNumberFormat="1" applyFont="1" applyFill="1" applyBorder="1" applyAlignment="1">
      <alignment horizontal="center" vertical="center" wrapText="1"/>
    </xf>
    <xf numFmtId="176" fontId="119" fillId="0" borderId="22" xfId="0" applyNumberFormat="1" applyFont="1" applyFill="1" applyBorder="1" applyAlignment="1">
      <alignment horizontal="center" vertical="center" wrapText="1"/>
    </xf>
    <xf numFmtId="176" fontId="120" fillId="0" borderId="23" xfId="0" applyNumberFormat="1" applyFont="1" applyFill="1" applyBorder="1" applyAlignment="1">
      <alignment horizontal="center" vertical="center" wrapText="1"/>
    </xf>
    <xf numFmtId="0" fontId="4" fillId="0" borderId="27" xfId="0" applyFont="1" applyFill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176" fontId="119" fillId="0" borderId="28" xfId="0" applyNumberFormat="1" applyFont="1" applyFill="1" applyBorder="1" applyAlignment="1">
      <alignment horizontal="center" vertical="center" wrapText="1"/>
    </xf>
    <xf numFmtId="176" fontId="120" fillId="0" borderId="28" xfId="0" applyNumberFormat="1" applyFont="1" applyFill="1" applyBorder="1" applyAlignment="1">
      <alignment horizontal="center" vertical="center" wrapText="1"/>
    </xf>
    <xf numFmtId="176" fontId="119" fillId="0" borderId="27" xfId="0" applyNumberFormat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176" fontId="119" fillId="0" borderId="12" xfId="0" applyNumberFormat="1" applyFont="1" applyFill="1" applyBorder="1" applyAlignment="1">
      <alignment horizontal="center" vertical="center" wrapText="1"/>
    </xf>
    <xf numFmtId="176" fontId="120" fillId="0" borderId="12" xfId="0" applyNumberFormat="1" applyFont="1" applyFill="1" applyBorder="1" applyAlignment="1">
      <alignment horizontal="center" vertical="center" wrapText="1"/>
    </xf>
    <xf numFmtId="0" fontId="113" fillId="0" borderId="0" xfId="0" applyFont="1" applyBorder="1" applyAlignment="1">
      <alignment horizontal="center" vertical="center" wrapText="1"/>
    </xf>
    <xf numFmtId="0" fontId="113" fillId="2" borderId="11" xfId="0" applyFont="1" applyFill="1" applyBorder="1" applyAlignment="1">
      <alignment horizontal="center" vertical="center" wrapText="1"/>
    </xf>
    <xf numFmtId="0" fontId="113" fillId="2" borderId="13" xfId="0" applyFont="1" applyFill="1" applyBorder="1" applyAlignment="1">
      <alignment horizontal="center" vertical="center" wrapText="1"/>
    </xf>
    <xf numFmtId="0" fontId="113" fillId="2" borderId="1" xfId="0" applyFont="1" applyFill="1" applyBorder="1" applyAlignment="1">
      <alignment horizontal="center" vertical="center" wrapText="1"/>
    </xf>
    <xf numFmtId="0" fontId="4" fillId="0" borderId="17" xfId="0" applyFont="1" applyBorder="1" applyAlignment="1">
      <alignment horizontal="left" vertical="center" wrapText="1"/>
    </xf>
    <xf numFmtId="0" fontId="125" fillId="2" borderId="0" xfId="0" applyNumberFormat="1" applyFont="1" applyFill="1" applyBorder="1" applyAlignment="1">
      <alignment wrapText="1"/>
    </xf>
    <xf numFmtId="0" fontId="2" fillId="2" borderId="0" xfId="0" applyNumberFormat="1" applyFont="1" applyFill="1" applyBorder="1" applyAlignment="1">
      <alignment wrapText="1"/>
    </xf>
    <xf numFmtId="0" fontId="65" fillId="2" borderId="0" xfId="0" applyFont="1" applyFill="1" applyAlignment="1">
      <alignment vertical="center"/>
    </xf>
    <xf numFmtId="184" fontId="57" fillId="2" borderId="17" xfId="0" applyNumberFormat="1" applyFont="1" applyFill="1" applyBorder="1" applyAlignment="1">
      <alignment horizontal="center" vertical="center" wrapText="1"/>
    </xf>
    <xf numFmtId="0" fontId="126" fillId="2" borderId="17" xfId="0" applyFont="1" applyFill="1" applyBorder="1" applyAlignment="1">
      <alignment horizontal="center" vertical="center" wrapText="1"/>
    </xf>
    <xf numFmtId="184" fontId="126" fillId="2" borderId="17" xfId="0" applyNumberFormat="1" applyFont="1" applyFill="1" applyBorder="1" applyAlignment="1">
      <alignment horizontal="center" vertical="center" wrapText="1"/>
    </xf>
    <xf numFmtId="0" fontId="126" fillId="2" borderId="0" xfId="0" applyFont="1" applyFill="1" applyAlignment="1">
      <alignment vertical="center"/>
    </xf>
    <xf numFmtId="0" fontId="4" fillId="2" borderId="17" xfId="2012" applyFont="1" applyFill="1" applyBorder="1" applyAlignment="1">
      <alignment horizontal="center" vertical="center" wrapText="1"/>
    </xf>
    <xf numFmtId="184" fontId="65" fillId="2" borderId="17" xfId="0" applyNumberFormat="1" applyFont="1" applyFill="1" applyBorder="1" applyAlignment="1">
      <alignment horizontal="center" vertical="center" wrapText="1"/>
    </xf>
    <xf numFmtId="0" fontId="57" fillId="2" borderId="17" xfId="2012" applyFont="1" applyFill="1" applyBorder="1" applyAlignment="1">
      <alignment horizontal="center" vertical="center" wrapText="1"/>
    </xf>
    <xf numFmtId="185" fontId="4" fillId="2" borderId="17" xfId="0" applyNumberFormat="1" applyFont="1" applyFill="1" applyBorder="1" applyAlignment="1">
      <alignment horizontal="center" vertical="center" wrapText="1"/>
    </xf>
    <xf numFmtId="180" fontId="4" fillId="2" borderId="17" xfId="2012" applyNumberFormat="1" applyFont="1" applyFill="1" applyBorder="1" applyAlignment="1">
      <alignment horizontal="center" vertical="center" wrapText="1"/>
    </xf>
    <xf numFmtId="184" fontId="4" fillId="2" borderId="17" xfId="2012" applyNumberFormat="1" applyFont="1" applyFill="1" applyBorder="1" applyAlignment="1">
      <alignment horizontal="center" vertical="center" wrapText="1"/>
    </xf>
    <xf numFmtId="184" fontId="4" fillId="2" borderId="17" xfId="0" applyNumberFormat="1" applyFont="1" applyFill="1" applyBorder="1" applyAlignment="1">
      <alignment horizontal="center" vertical="center" wrapText="1"/>
    </xf>
    <xf numFmtId="180" fontId="4" fillId="2" borderId="17" xfId="0" applyNumberFormat="1" applyFont="1" applyFill="1" applyBorder="1" applyAlignment="1">
      <alignment horizontal="center" vertical="center"/>
    </xf>
    <xf numFmtId="43" fontId="4" fillId="2" borderId="17" xfId="2012" applyNumberFormat="1" applyFont="1" applyFill="1" applyBorder="1" applyAlignment="1">
      <alignment horizontal="center" vertical="center"/>
    </xf>
    <xf numFmtId="0" fontId="127" fillId="2" borderId="0" xfId="0" applyFont="1" applyFill="1" applyBorder="1" applyAlignment="1">
      <alignment vertical="center"/>
    </xf>
    <xf numFmtId="0" fontId="107" fillId="2" borderId="17" xfId="0" applyFont="1" applyFill="1" applyBorder="1" applyAlignment="1">
      <alignment horizontal="center" vertical="center" wrapText="1"/>
    </xf>
    <xf numFmtId="180" fontId="107" fillId="2" borderId="17" xfId="0" applyNumberFormat="1" applyFont="1" applyFill="1" applyBorder="1" applyAlignment="1">
      <alignment horizontal="center" vertical="center"/>
    </xf>
    <xf numFmtId="0" fontId="119" fillId="2" borderId="17" xfId="0" applyFont="1" applyFill="1" applyBorder="1" applyAlignment="1">
      <alignment horizontal="center" vertical="center" wrapText="1"/>
    </xf>
    <xf numFmtId="180" fontId="68" fillId="2" borderId="17" xfId="0" applyNumberFormat="1" applyFont="1" applyFill="1" applyBorder="1" applyAlignment="1">
      <alignment horizontal="center" vertical="center"/>
    </xf>
    <xf numFmtId="0" fontId="68" fillId="2" borderId="17" xfId="0" applyFont="1" applyFill="1" applyBorder="1" applyAlignment="1">
      <alignment horizontal="center" vertical="center"/>
    </xf>
    <xf numFmtId="43" fontId="68" fillId="2" borderId="17" xfId="2012" applyNumberFormat="1" applyFont="1" applyFill="1" applyBorder="1" applyAlignment="1">
      <alignment horizontal="center" vertical="center"/>
    </xf>
    <xf numFmtId="180" fontId="4" fillId="2" borderId="17" xfId="2012" applyNumberFormat="1" applyFont="1" applyFill="1" applyBorder="1" applyAlignment="1">
      <alignment horizontal="center" vertical="center"/>
    </xf>
    <xf numFmtId="0" fontId="57" fillId="2" borderId="17" xfId="2012" applyFont="1" applyFill="1" applyBorder="1" applyAlignment="1">
      <alignment horizontal="left" vertical="center"/>
    </xf>
    <xf numFmtId="180" fontId="57" fillId="2" borderId="17" xfId="2012" applyNumberFormat="1" applyFont="1" applyFill="1" applyBorder="1" applyAlignment="1">
      <alignment horizontal="center" vertical="center"/>
    </xf>
    <xf numFmtId="43" fontId="57" fillId="2" borderId="17" xfId="0" applyNumberFormat="1" applyFont="1" applyFill="1" applyBorder="1" applyAlignment="1">
      <alignment horizontal="center" vertical="center"/>
    </xf>
    <xf numFmtId="0" fontId="4" fillId="2" borderId="17" xfId="2012" applyFont="1" applyFill="1" applyBorder="1" applyAlignment="1">
      <alignment horizontal="center" vertical="center"/>
    </xf>
    <xf numFmtId="43" fontId="4" fillId="2" borderId="17" xfId="0" applyNumberFormat="1" applyFont="1" applyFill="1" applyBorder="1" applyAlignment="1">
      <alignment horizontal="center" vertical="center"/>
    </xf>
    <xf numFmtId="0" fontId="4" fillId="2" borderId="11" xfId="2012" applyFont="1" applyFill="1" applyBorder="1" applyAlignment="1">
      <alignment horizontal="center" vertical="center" wrapText="1"/>
    </xf>
    <xf numFmtId="185" fontId="68" fillId="2" borderId="17" xfId="0" applyNumberFormat="1" applyFont="1" applyFill="1" applyBorder="1" applyAlignment="1">
      <alignment horizontal="center" vertical="center" wrapText="1"/>
    </xf>
    <xf numFmtId="180" fontId="119" fillId="2" borderId="17" xfId="0" applyNumberFormat="1" applyFont="1" applyFill="1" applyBorder="1" applyAlignment="1">
      <alignment horizontal="center" vertical="center"/>
    </xf>
    <xf numFmtId="43" fontId="68" fillId="2" borderId="17" xfId="0" applyNumberFormat="1" applyFont="1" applyFill="1" applyBorder="1" applyAlignment="1">
      <alignment horizontal="center" vertical="center"/>
    </xf>
    <xf numFmtId="0" fontId="126" fillId="2" borderId="0" xfId="0" applyFont="1" applyFill="1" applyAlignment="1">
      <alignment horizontal="center" vertical="center"/>
    </xf>
    <xf numFmtId="176" fontId="4" fillId="2" borderId="17" xfId="2012" applyNumberFormat="1" applyFont="1" applyFill="1" applyBorder="1" applyAlignment="1">
      <alignment horizontal="center" vertical="center" wrapText="1"/>
    </xf>
    <xf numFmtId="2" fontId="4" fillId="2" borderId="17" xfId="1267" applyNumberFormat="1" applyFont="1" applyFill="1" applyBorder="1" applyAlignment="1">
      <alignment horizontal="center" vertical="center" wrapText="1"/>
    </xf>
    <xf numFmtId="184" fontId="4" fillId="2" borderId="17" xfId="2011" applyNumberFormat="1" applyFont="1" applyFill="1" applyBorder="1" applyAlignment="1">
      <alignment horizontal="center" vertical="center" wrapText="1"/>
    </xf>
    <xf numFmtId="0" fontId="65" fillId="2" borderId="17" xfId="0" applyFont="1" applyFill="1" applyBorder="1" applyAlignment="1">
      <alignment horizontal="center" vertical="center" wrapText="1"/>
    </xf>
    <xf numFmtId="0" fontId="4" fillId="2" borderId="17" xfId="2013" applyFont="1" applyFill="1" applyBorder="1" applyAlignment="1">
      <alignment horizontal="center" vertical="center" wrapText="1"/>
    </xf>
    <xf numFmtId="180" fontId="4" fillId="2" borderId="17" xfId="0" applyNumberFormat="1" applyFont="1" applyFill="1" applyBorder="1" applyAlignment="1">
      <alignment horizontal="center" vertical="center" wrapText="1"/>
    </xf>
    <xf numFmtId="0" fontId="57" fillId="2" borderId="17" xfId="2013" applyFont="1" applyFill="1" applyBorder="1" applyAlignment="1">
      <alignment horizontal="center" vertical="center" wrapText="1"/>
    </xf>
    <xf numFmtId="180" fontId="65" fillId="2" borderId="17" xfId="0" applyNumberFormat="1" applyFont="1" applyFill="1" applyBorder="1" applyAlignment="1">
      <alignment horizontal="center" vertical="center"/>
    </xf>
    <xf numFmtId="0" fontId="65" fillId="2" borderId="17" xfId="0" applyFont="1" applyFill="1" applyBorder="1" applyAlignment="1">
      <alignment horizontal="center" vertical="center"/>
    </xf>
    <xf numFmtId="0" fontId="126" fillId="2" borderId="17" xfId="0" applyFont="1" applyFill="1" applyBorder="1" applyAlignment="1">
      <alignment horizontal="left" vertical="center"/>
    </xf>
    <xf numFmtId="180" fontId="126" fillId="2" borderId="17" xfId="0" applyNumberFormat="1" applyFont="1" applyFill="1" applyBorder="1" applyAlignment="1">
      <alignment horizontal="center" vertical="center"/>
    </xf>
    <xf numFmtId="0" fontId="126" fillId="2" borderId="17" xfId="0" applyFont="1" applyFill="1" applyBorder="1" applyAlignment="1">
      <alignment horizontal="center" vertical="center"/>
    </xf>
    <xf numFmtId="43" fontId="126" fillId="2" borderId="17" xfId="0" applyNumberFormat="1" applyFont="1" applyFill="1" applyBorder="1" applyAlignment="1">
      <alignment horizontal="center" vertical="center"/>
    </xf>
    <xf numFmtId="185" fontId="57" fillId="2" borderId="17" xfId="0" applyNumberFormat="1" applyFont="1" applyFill="1" applyBorder="1" applyAlignment="1">
      <alignment horizontal="center" vertical="center" wrapText="1"/>
    </xf>
    <xf numFmtId="43" fontId="128" fillId="2" borderId="17" xfId="0" applyNumberFormat="1" applyFont="1" applyFill="1" applyBorder="1" applyAlignment="1">
      <alignment horizontal="center" vertical="center"/>
    </xf>
    <xf numFmtId="43" fontId="128" fillId="2" borderId="18" xfId="0" applyNumberFormat="1" applyFont="1" applyFill="1" applyBorder="1" applyAlignment="1">
      <alignment horizontal="center" vertical="center"/>
    </xf>
    <xf numFmtId="43" fontId="128" fillId="2" borderId="17" xfId="0" applyNumberFormat="1" applyFont="1" applyFill="1" applyBorder="1" applyAlignment="1">
      <alignment horizontal="center" vertical="center" wrapText="1"/>
    </xf>
    <xf numFmtId="43" fontId="128" fillId="2" borderId="19" xfId="0" applyNumberFormat="1" applyFont="1" applyFill="1" applyBorder="1" applyAlignment="1">
      <alignment horizontal="center" vertical="center" wrapText="1"/>
    </xf>
    <xf numFmtId="0" fontId="128" fillId="2" borderId="17" xfId="0" applyNumberFormat="1" applyFont="1" applyFill="1" applyBorder="1" applyAlignment="1">
      <alignment horizontal="center" vertical="center"/>
    </xf>
    <xf numFmtId="43" fontId="57" fillId="2" borderId="0" xfId="0" applyNumberFormat="1" applyFont="1" applyFill="1" applyBorder="1" applyAlignment="1">
      <alignment horizontal="center" vertical="center"/>
    </xf>
    <xf numFmtId="43" fontId="68" fillId="2" borderId="19" xfId="2012" applyNumberFormat="1" applyFont="1" applyFill="1" applyBorder="1" applyAlignment="1">
      <alignment horizontal="center" vertical="center" wrapText="1"/>
    </xf>
    <xf numFmtId="43" fontId="68" fillId="2" borderId="17" xfId="2012" applyNumberFormat="1" applyFont="1" applyFill="1" applyBorder="1" applyAlignment="1">
      <alignment horizontal="center" vertical="center" wrapText="1"/>
    </xf>
    <xf numFmtId="0" fontId="68" fillId="2" borderId="17" xfId="2012" applyNumberFormat="1" applyFont="1" applyFill="1" applyBorder="1" applyAlignment="1">
      <alignment horizontal="center" vertical="center" wrapText="1"/>
    </xf>
    <xf numFmtId="43" fontId="68" fillId="2" borderId="17" xfId="2011" applyNumberFormat="1" applyFont="1" applyFill="1" applyBorder="1" applyAlignment="1">
      <alignment horizontal="center" vertical="center" wrapText="1"/>
    </xf>
    <xf numFmtId="43" fontId="4" fillId="2" borderId="0" xfId="0" applyNumberFormat="1" applyFont="1" applyFill="1" applyBorder="1" applyAlignment="1">
      <alignment horizontal="center" vertical="center"/>
    </xf>
    <xf numFmtId="43" fontId="68" fillId="2" borderId="17" xfId="0" applyNumberFormat="1" applyFont="1" applyFill="1" applyBorder="1" applyAlignment="1">
      <alignment horizontal="center" vertical="center" wrapText="1"/>
    </xf>
    <xf numFmtId="43" fontId="128" fillId="2" borderId="17" xfId="2012" applyNumberFormat="1" applyFont="1" applyFill="1" applyBorder="1" applyAlignment="1">
      <alignment horizontal="center" vertical="center" wrapText="1"/>
    </xf>
    <xf numFmtId="0" fontId="128" fillId="2" borderId="17" xfId="0" applyNumberFormat="1" applyFont="1" applyFill="1" applyBorder="1" applyAlignment="1">
      <alignment horizontal="center" vertical="center" wrapText="1"/>
    </xf>
    <xf numFmtId="0" fontId="68" fillId="2" borderId="17" xfId="0" applyNumberFormat="1" applyFont="1" applyFill="1" applyBorder="1" applyAlignment="1">
      <alignment horizontal="center" vertical="center" wrapText="1"/>
    </xf>
    <xf numFmtId="43" fontId="113" fillId="2" borderId="17" xfId="0" applyNumberFormat="1" applyFont="1" applyFill="1" applyBorder="1" applyAlignment="1">
      <alignment horizontal="center" vertical="center" wrapText="1"/>
    </xf>
    <xf numFmtId="43" fontId="68" fillId="2" borderId="0" xfId="0" applyNumberFormat="1" applyFont="1" applyFill="1" applyBorder="1" applyAlignment="1">
      <alignment horizontal="center" vertical="center"/>
    </xf>
    <xf numFmtId="43" fontId="128" fillId="2" borderId="19" xfId="2012" applyNumberFormat="1" applyFont="1" applyFill="1" applyBorder="1" applyAlignment="1">
      <alignment horizontal="center" vertical="center" wrapText="1"/>
    </xf>
    <xf numFmtId="43" fontId="68" fillId="2" borderId="19" xfId="0" applyNumberFormat="1" applyFont="1" applyFill="1" applyBorder="1" applyAlignment="1">
      <alignment horizontal="center" vertical="center" wrapText="1"/>
    </xf>
    <xf numFmtId="43" fontId="68" fillId="2" borderId="17" xfId="2012" applyNumberFormat="1" applyFont="1" applyFill="1" applyBorder="1" applyAlignment="1">
      <alignment vertical="center" wrapText="1"/>
    </xf>
    <xf numFmtId="43" fontId="119" fillId="2" borderId="17" xfId="0" applyNumberFormat="1" applyFont="1" applyFill="1" applyBorder="1" applyAlignment="1">
      <alignment horizontal="center" vertical="center" wrapText="1"/>
    </xf>
    <xf numFmtId="0" fontId="113" fillId="2" borderId="17" xfId="0" applyNumberFormat="1" applyFont="1" applyFill="1" applyBorder="1" applyAlignment="1">
      <alignment horizontal="center" vertical="center" wrapText="1"/>
    </xf>
    <xf numFmtId="0" fontId="65" fillId="2" borderId="17" xfId="2012" applyFont="1" applyFill="1" applyBorder="1" applyAlignment="1">
      <alignment horizontal="center" vertical="center" wrapText="1"/>
    </xf>
    <xf numFmtId="0" fontId="65" fillId="2" borderId="17" xfId="2012" applyFont="1" applyFill="1" applyBorder="1" applyAlignment="1">
      <alignment horizontal="center" vertical="center"/>
    </xf>
    <xf numFmtId="180" fontId="65" fillId="2" borderId="17" xfId="2012" applyNumberFormat="1" applyFont="1" applyFill="1" applyBorder="1" applyAlignment="1">
      <alignment horizontal="center" vertical="center"/>
    </xf>
    <xf numFmtId="43" fontId="65" fillId="2" borderId="17" xfId="2012" applyNumberFormat="1" applyFont="1" applyFill="1" applyBorder="1" applyAlignment="1">
      <alignment horizontal="center" vertical="center"/>
    </xf>
    <xf numFmtId="43" fontId="65" fillId="2" borderId="17" xfId="0" applyNumberFormat="1" applyFont="1" applyFill="1" applyBorder="1" applyAlignment="1">
      <alignment horizontal="center" vertical="center"/>
    </xf>
    <xf numFmtId="0" fontId="126" fillId="2" borderId="17" xfId="2012" applyFont="1" applyFill="1" applyBorder="1" applyAlignment="1">
      <alignment horizontal="center" vertical="center" wrapText="1"/>
    </xf>
    <xf numFmtId="185" fontId="65" fillId="2" borderId="17" xfId="0" applyNumberFormat="1" applyFont="1" applyFill="1" applyBorder="1" applyAlignment="1">
      <alignment horizontal="center" vertical="center" wrapText="1"/>
    </xf>
    <xf numFmtId="43" fontId="128" fillId="2" borderId="18" xfId="2012" applyNumberFormat="1" applyFont="1" applyFill="1" applyBorder="1" applyAlignment="1">
      <alignment horizontal="center" vertical="center" wrapText="1"/>
    </xf>
    <xf numFmtId="0" fontId="128" fillId="2" borderId="17" xfId="2012" applyFont="1" applyFill="1" applyBorder="1" applyAlignment="1">
      <alignment horizontal="center" vertical="center" wrapText="1"/>
    </xf>
    <xf numFmtId="0" fontId="68" fillId="2" borderId="17" xfId="2012" applyFont="1" applyFill="1" applyBorder="1" applyAlignment="1">
      <alignment horizontal="center" vertical="center" wrapText="1"/>
    </xf>
    <xf numFmtId="0" fontId="68" fillId="2" borderId="19" xfId="2012" applyFont="1" applyFill="1" applyBorder="1" applyAlignment="1">
      <alignment horizontal="center" vertical="center" wrapText="1"/>
    </xf>
    <xf numFmtId="43" fontId="4" fillId="2" borderId="19" xfId="0" applyNumberFormat="1" applyFont="1" applyFill="1" applyBorder="1" applyAlignment="1">
      <alignment horizontal="center" vertical="center"/>
    </xf>
    <xf numFmtId="0" fontId="129" fillId="2" borderId="17" xfId="0" applyFont="1" applyFill="1" applyBorder="1" applyAlignment="1">
      <alignment horizontal="center" vertical="center"/>
    </xf>
    <xf numFmtId="0" fontId="128" fillId="2" borderId="17" xfId="0" applyFont="1" applyFill="1" applyBorder="1" applyAlignment="1">
      <alignment horizontal="center" vertical="center"/>
    </xf>
    <xf numFmtId="0" fontId="128" fillId="2" borderId="17" xfId="0" applyFont="1" applyFill="1" applyBorder="1" applyAlignment="1">
      <alignment horizontal="center" vertical="center" wrapText="1"/>
    </xf>
    <xf numFmtId="0" fontId="128" fillId="2" borderId="18" xfId="2012" applyFont="1" applyFill="1" applyBorder="1" applyAlignment="1">
      <alignment horizontal="center" vertical="center" wrapText="1"/>
    </xf>
    <xf numFmtId="0" fontId="128" fillId="2" borderId="19" xfId="2012" applyFont="1" applyFill="1" applyBorder="1" applyAlignment="1">
      <alignment horizontal="center" vertical="center" wrapText="1"/>
    </xf>
    <xf numFmtId="180" fontId="68" fillId="2" borderId="17" xfId="2012" applyNumberFormat="1" applyFont="1" applyFill="1" applyBorder="1" applyAlignment="1">
      <alignment horizontal="center" vertical="center" wrapText="1"/>
    </xf>
    <xf numFmtId="0" fontId="113" fillId="2" borderId="17" xfId="0" applyFont="1" applyFill="1" applyBorder="1" applyAlignment="1">
      <alignment horizontal="center" vertical="center" wrapText="1"/>
    </xf>
    <xf numFmtId="0" fontId="68" fillId="2" borderId="17" xfId="0" applyFont="1" applyFill="1" applyBorder="1" applyAlignment="1">
      <alignment horizontal="center" vertical="center" wrapText="1"/>
    </xf>
    <xf numFmtId="0" fontId="130" fillId="2" borderId="17" xfId="0" applyFont="1" applyFill="1" applyBorder="1" applyAlignment="1">
      <alignment horizontal="center" vertical="center" wrapText="1" readingOrder="1"/>
    </xf>
    <xf numFmtId="0" fontId="119" fillId="2" borderId="19" xfId="0" applyFont="1" applyFill="1" applyBorder="1" applyAlignment="1">
      <alignment horizontal="center" vertical="center" wrapText="1" readingOrder="1"/>
    </xf>
    <xf numFmtId="0" fontId="119" fillId="2" borderId="17" xfId="0" applyFont="1" applyFill="1" applyBorder="1" applyAlignment="1">
      <alignment horizontal="center" vertical="center" wrapText="1" readingOrder="1"/>
    </xf>
    <xf numFmtId="180" fontId="119" fillId="2" borderId="17" xfId="0" applyNumberFormat="1" applyFont="1" applyFill="1" applyBorder="1" applyAlignment="1">
      <alignment horizontal="center" vertical="center" wrapText="1" readingOrder="1"/>
    </xf>
    <xf numFmtId="0" fontId="126" fillId="2" borderId="0" xfId="0" applyFont="1" applyFill="1" applyBorder="1" applyAlignment="1">
      <alignment vertical="center"/>
    </xf>
    <xf numFmtId="0" fontId="57" fillId="2" borderId="0" xfId="0" applyFont="1" applyFill="1" applyBorder="1" applyAlignment="1">
      <alignment vertical="center"/>
    </xf>
    <xf numFmtId="0" fontId="4" fillId="2" borderId="17" xfId="2012" applyFont="1" applyFill="1" applyBorder="1" applyAlignment="1">
      <alignment vertical="center" wrapText="1"/>
    </xf>
    <xf numFmtId="0" fontId="4" fillId="2" borderId="0" xfId="0" applyFont="1" applyFill="1" applyBorder="1" applyAlignment="1">
      <alignment vertical="center"/>
    </xf>
    <xf numFmtId="0" fontId="4" fillId="2" borderId="29" xfId="0" applyFont="1" applyFill="1" applyBorder="1" applyAlignment="1">
      <alignment horizontal="center" vertical="center"/>
    </xf>
    <xf numFmtId="43" fontId="4" fillId="2" borderId="30" xfId="2012" applyNumberFormat="1" applyFont="1" applyFill="1" applyBorder="1" applyAlignment="1">
      <alignment horizontal="center" vertical="center"/>
    </xf>
    <xf numFmtId="0" fontId="57" fillId="2" borderId="30" xfId="2012" applyFont="1" applyFill="1" applyBorder="1" applyAlignment="1">
      <alignment horizontal="left" vertical="center"/>
    </xf>
    <xf numFmtId="0" fontId="57" fillId="2" borderId="30" xfId="2012" applyFont="1" applyFill="1" applyBorder="1" applyAlignment="1">
      <alignment horizontal="center" vertical="center" wrapText="1"/>
    </xf>
    <xf numFmtId="0" fontId="57" fillId="2" borderId="30" xfId="2012" applyFont="1" applyFill="1" applyBorder="1" applyAlignment="1">
      <alignment horizontal="center" vertical="center"/>
    </xf>
    <xf numFmtId="0" fontId="57" fillId="2" borderId="31" xfId="0" applyFont="1" applyFill="1" applyBorder="1" applyAlignment="1">
      <alignment horizontal="center" vertical="center"/>
    </xf>
    <xf numFmtId="43" fontId="57" fillId="2" borderId="30" xfId="2012" applyNumberFormat="1" applyFont="1" applyFill="1" applyBorder="1" applyAlignment="1">
      <alignment horizontal="center" vertical="center"/>
    </xf>
    <xf numFmtId="0" fontId="57" fillId="2" borderId="30" xfId="0" applyFont="1" applyFill="1" applyBorder="1" applyAlignment="1">
      <alignment horizontal="center" vertical="center"/>
    </xf>
    <xf numFmtId="185" fontId="4" fillId="2" borderId="30" xfId="0" applyNumberFormat="1" applyFont="1" applyFill="1" applyBorder="1" applyAlignment="1">
      <alignment horizontal="center" vertical="center" wrapText="1"/>
    </xf>
    <xf numFmtId="0" fontId="4" fillId="2" borderId="30" xfId="2012" applyFont="1" applyFill="1" applyBorder="1" applyAlignment="1">
      <alignment horizontal="center" vertical="center" wrapText="1"/>
    </xf>
    <xf numFmtId="0" fontId="4" fillId="2" borderId="30" xfId="2012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57" fillId="2" borderId="29" xfId="0" applyFont="1" applyFill="1" applyBorder="1" applyAlignment="1">
      <alignment horizontal="center" vertical="center"/>
    </xf>
    <xf numFmtId="0" fontId="4" fillId="2" borderId="31" xfId="0" applyFont="1" applyFill="1" applyBorder="1" applyAlignment="1">
      <alignment horizontal="center" vertical="center"/>
    </xf>
    <xf numFmtId="0" fontId="4" fillId="2" borderId="32" xfId="0" applyFont="1" applyFill="1" applyBorder="1" applyAlignment="1">
      <alignment horizontal="center" vertical="center"/>
    </xf>
    <xf numFmtId="185" fontId="4" fillId="2" borderId="30" xfId="0" applyNumberFormat="1" applyFont="1" applyFill="1" applyBorder="1" applyAlignment="1">
      <alignment horizontal="center" vertical="center"/>
    </xf>
    <xf numFmtId="0" fontId="105" fillId="2" borderId="30" xfId="2012" applyFont="1" applyFill="1" applyBorder="1" applyAlignment="1">
      <alignment horizontal="center" vertical="center" wrapText="1"/>
    </xf>
    <xf numFmtId="0" fontId="4" fillId="2" borderId="30" xfId="0" applyFont="1" applyFill="1" applyBorder="1" applyAlignment="1">
      <alignment horizontal="center" vertical="center" wrapText="1"/>
    </xf>
    <xf numFmtId="0" fontId="57" fillId="2" borderId="11" xfId="2012" applyFont="1" applyFill="1" applyBorder="1" applyAlignment="1">
      <alignment horizontal="left" vertical="center"/>
    </xf>
    <xf numFmtId="0" fontId="57" fillId="2" borderId="11" xfId="2012" applyFont="1" applyFill="1" applyBorder="1" applyAlignment="1">
      <alignment horizontal="center" vertical="center" wrapText="1"/>
    </xf>
    <xf numFmtId="0" fontId="57" fillId="2" borderId="11" xfId="2012" applyFont="1" applyFill="1" applyBorder="1" applyAlignment="1">
      <alignment horizontal="center" vertical="center"/>
    </xf>
    <xf numFmtId="0" fontId="57" fillId="2" borderId="11" xfId="0" applyFont="1" applyFill="1" applyBorder="1" applyAlignment="1">
      <alignment horizontal="center" vertical="center"/>
    </xf>
    <xf numFmtId="180" fontId="126" fillId="2" borderId="30" xfId="0" applyNumberFormat="1" applyFont="1" applyFill="1" applyBorder="1" applyAlignment="1">
      <alignment horizontal="center" vertical="center"/>
    </xf>
    <xf numFmtId="0" fontId="126" fillId="2" borderId="30" xfId="0" applyFont="1" applyFill="1" applyBorder="1" applyAlignment="1">
      <alignment horizontal="center" vertical="center" wrapText="1"/>
    </xf>
    <xf numFmtId="0" fontId="126" fillId="2" borderId="30" xfId="0" applyFont="1" applyFill="1" applyBorder="1" applyAlignment="1">
      <alignment horizontal="center" vertical="center"/>
    </xf>
    <xf numFmtId="184" fontId="57" fillId="2" borderId="30" xfId="2012" applyNumberFormat="1" applyFont="1" applyFill="1" applyBorder="1" applyAlignment="1">
      <alignment horizontal="center" vertical="center"/>
    </xf>
    <xf numFmtId="43" fontId="57" fillId="2" borderId="30" xfId="0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1" xfId="2012" applyFont="1" applyFill="1" applyBorder="1" applyAlignment="1">
      <alignment horizontal="center" vertical="center"/>
    </xf>
    <xf numFmtId="0" fontId="57" fillId="2" borderId="0" xfId="0" applyFont="1" applyFill="1" applyBorder="1" applyAlignment="1">
      <alignment horizontal="center" vertical="center"/>
    </xf>
    <xf numFmtId="180" fontId="4" fillId="2" borderId="30" xfId="0" applyNumberFormat="1" applyFont="1" applyFill="1" applyBorder="1" applyAlignment="1">
      <alignment horizontal="center" vertical="center"/>
    </xf>
    <xf numFmtId="43" fontId="4" fillId="2" borderId="30" xfId="0" applyNumberFormat="1" applyFont="1" applyFill="1" applyBorder="1" applyAlignment="1">
      <alignment horizontal="center" vertical="center" wrapText="1"/>
    </xf>
    <xf numFmtId="43" fontId="4" fillId="2" borderId="33" xfId="0" applyNumberFormat="1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/>
    </xf>
    <xf numFmtId="43" fontId="4" fillId="2" borderId="20" xfId="0" applyNumberFormat="1" applyFont="1" applyFill="1" applyBorder="1" applyAlignment="1">
      <alignment horizontal="center" vertical="center" wrapText="1"/>
    </xf>
    <xf numFmtId="43" fontId="4" fillId="2" borderId="34" xfId="0" applyNumberFormat="1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43" fontId="4" fillId="2" borderId="11" xfId="0" applyNumberFormat="1" applyFont="1" applyFill="1" applyBorder="1" applyAlignment="1">
      <alignment horizontal="center" vertical="center" wrapText="1"/>
    </xf>
    <xf numFmtId="43" fontId="4" fillId="2" borderId="35" xfId="0" applyNumberFormat="1" applyFont="1" applyFill="1" applyBorder="1" applyAlignment="1">
      <alignment horizontal="center" vertical="center" wrapText="1"/>
    </xf>
    <xf numFmtId="0" fontId="4" fillId="2" borderId="11" xfId="2012" applyFont="1" applyFill="1" applyBorder="1" applyAlignment="1">
      <alignment vertical="center" wrapText="1"/>
    </xf>
    <xf numFmtId="43" fontId="4" fillId="2" borderId="31" xfId="0" applyNumberFormat="1" applyFont="1" applyFill="1" applyBorder="1" applyAlignment="1">
      <alignment horizontal="center" vertical="center"/>
    </xf>
    <xf numFmtId="43" fontId="4" fillId="2" borderId="30" xfId="0" applyNumberFormat="1" applyFont="1" applyFill="1" applyBorder="1" applyAlignment="1">
      <alignment horizontal="center" vertical="center"/>
    </xf>
    <xf numFmtId="0" fontId="4" fillId="2" borderId="36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176" fontId="4" fillId="2" borderId="31" xfId="0" applyNumberFormat="1" applyFont="1" applyFill="1" applyBorder="1" applyAlignment="1">
      <alignment horizontal="center" vertical="center"/>
    </xf>
    <xf numFmtId="0" fontId="4" fillId="2" borderId="30" xfId="2013" applyFont="1" applyFill="1" applyBorder="1" applyAlignment="1">
      <alignment horizontal="center" vertical="center" wrapText="1"/>
    </xf>
    <xf numFmtId="176" fontId="4" fillId="2" borderId="30" xfId="0" applyNumberFormat="1" applyFont="1" applyFill="1" applyBorder="1" applyAlignment="1">
      <alignment horizontal="center" vertical="center"/>
    </xf>
    <xf numFmtId="180" fontId="4" fillId="2" borderId="30" xfId="2012" applyNumberFormat="1" applyFont="1" applyFill="1" applyBorder="1" applyAlignment="1">
      <alignment horizontal="center" vertical="center"/>
    </xf>
    <xf numFmtId="0" fontId="65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184" fontId="4" fillId="2" borderId="0" xfId="0" applyNumberFormat="1" applyFont="1" applyFill="1" applyAlignment="1">
      <alignment horizontal="center" vertical="center" wrapText="1"/>
    </xf>
    <xf numFmtId="43" fontId="4" fillId="2" borderId="0" xfId="0" applyNumberFormat="1" applyFont="1" applyFill="1" applyAlignment="1">
      <alignment horizontal="center" vertical="center" wrapText="1"/>
    </xf>
    <xf numFmtId="43" fontId="68" fillId="2" borderId="33" xfId="2012" applyNumberFormat="1" applyFont="1" applyFill="1" applyBorder="1" applyAlignment="1">
      <alignment horizontal="center" vertical="center"/>
    </xf>
    <xf numFmtId="43" fontId="57" fillId="2" borderId="33" xfId="2012" applyNumberFormat="1" applyFont="1" applyFill="1" applyBorder="1" applyAlignment="1">
      <alignment horizontal="center" vertical="center"/>
    </xf>
    <xf numFmtId="43" fontId="128" fillId="2" borderId="33" xfId="2011" applyNumberFormat="1" applyFont="1" applyFill="1" applyBorder="1" applyAlignment="1">
      <alignment horizontal="center" vertical="center" wrapText="1"/>
    </xf>
    <xf numFmtId="43" fontId="68" fillId="2" borderId="33" xfId="2011" applyNumberFormat="1" applyFont="1" applyFill="1" applyBorder="1" applyAlignment="1">
      <alignment horizontal="center" vertical="center" wrapText="1"/>
    </xf>
    <xf numFmtId="43" fontId="68" fillId="2" borderId="33" xfId="0" applyNumberFormat="1" applyFont="1" applyFill="1" applyBorder="1" applyAlignment="1">
      <alignment horizontal="center" vertical="center" wrapText="1"/>
    </xf>
    <xf numFmtId="43" fontId="128" fillId="2" borderId="33" xfId="0" applyNumberFormat="1" applyFont="1" applyFill="1" applyBorder="1" applyAlignment="1">
      <alignment horizontal="center" vertical="center"/>
    </xf>
    <xf numFmtId="43" fontId="128" fillId="2" borderId="33" xfId="0" applyNumberFormat="1" applyFont="1" applyFill="1" applyBorder="1" applyAlignment="1">
      <alignment horizontal="center" vertical="center" wrapText="1"/>
    </xf>
    <xf numFmtId="43" fontId="113" fillId="2" borderId="33" xfId="0" applyNumberFormat="1" applyFont="1" applyFill="1" applyBorder="1" applyAlignment="1">
      <alignment horizontal="center" vertical="center" wrapText="1"/>
    </xf>
    <xf numFmtId="43" fontId="128" fillId="2" borderId="33" xfId="2012" applyNumberFormat="1" applyFont="1" applyFill="1" applyBorder="1" applyAlignment="1">
      <alignment horizontal="center" vertical="center" wrapText="1"/>
    </xf>
    <xf numFmtId="43" fontId="119" fillId="2" borderId="33" xfId="0" applyNumberFormat="1" applyFont="1" applyFill="1" applyBorder="1" applyAlignment="1">
      <alignment horizontal="center" vertical="center" wrapText="1" readingOrder="1"/>
    </xf>
    <xf numFmtId="43" fontId="118" fillId="2" borderId="33" xfId="0" applyNumberFormat="1" applyFont="1" applyFill="1" applyBorder="1" applyAlignment="1">
      <alignment horizontal="center" vertical="center" wrapText="1"/>
    </xf>
    <xf numFmtId="43" fontId="68" fillId="2" borderId="33" xfId="2012" applyNumberFormat="1" applyFont="1" applyFill="1" applyBorder="1" applyAlignment="1">
      <alignment horizontal="center" vertical="center" wrapText="1"/>
    </xf>
    <xf numFmtId="43" fontId="130" fillId="2" borderId="33" xfId="0" applyNumberFormat="1" applyFont="1" applyFill="1" applyBorder="1" applyAlignment="1">
      <alignment horizontal="center" vertical="center" wrapText="1" readingOrder="1"/>
    </xf>
    <xf numFmtId="43" fontId="57" fillId="2" borderId="33" xfId="0" applyNumberFormat="1" applyFont="1" applyFill="1" applyBorder="1" applyAlignment="1">
      <alignment horizontal="center" vertical="center"/>
    </xf>
    <xf numFmtId="43" fontId="57" fillId="2" borderId="34" xfId="0" applyNumberFormat="1" applyFont="1" applyFill="1" applyBorder="1" applyAlignment="1">
      <alignment horizontal="center" vertical="center"/>
    </xf>
    <xf numFmtId="0" fontId="57" fillId="2" borderId="30" xfId="0" applyFont="1" applyFill="1" applyBorder="1" applyAlignment="1">
      <alignment horizontal="center" vertical="center" wrapText="1"/>
    </xf>
    <xf numFmtId="184" fontId="57" fillId="2" borderId="30" xfId="0" applyNumberFormat="1" applyFont="1" applyFill="1" applyBorder="1" applyAlignment="1">
      <alignment horizontal="center" vertical="center" wrapText="1"/>
    </xf>
    <xf numFmtId="43" fontId="57" fillId="2" borderId="33" xfId="0" applyNumberFormat="1" applyFont="1" applyFill="1" applyBorder="1" applyAlignment="1">
      <alignment horizontal="center" vertical="center" wrapText="1"/>
    </xf>
    <xf numFmtId="43" fontId="4" fillId="2" borderId="33" xfId="2012" applyNumberFormat="1" applyFont="1" applyFill="1" applyBorder="1" applyAlignment="1">
      <alignment horizontal="center" vertical="center"/>
    </xf>
    <xf numFmtId="43" fontId="65" fillId="2" borderId="33" xfId="0" applyNumberFormat="1" applyFont="1" applyFill="1" applyBorder="1" applyAlignment="1">
      <alignment horizontal="center" vertical="center" wrapText="1"/>
    </xf>
    <xf numFmtId="43" fontId="57" fillId="2" borderId="33" xfId="2011" applyNumberFormat="1" applyFont="1" applyFill="1" applyBorder="1" applyAlignment="1">
      <alignment horizontal="center" vertical="center" wrapText="1"/>
    </xf>
    <xf numFmtId="43" fontId="4" fillId="2" borderId="33" xfId="2012" applyNumberFormat="1" applyFont="1" applyFill="1" applyBorder="1" applyAlignment="1">
      <alignment horizontal="center" vertical="center" wrapText="1"/>
    </xf>
    <xf numFmtId="43" fontId="57" fillId="2" borderId="33" xfId="2014" applyNumberFormat="1" applyFont="1" applyFill="1" applyBorder="1" applyAlignment="1">
      <alignment horizontal="center" vertical="center" wrapText="1"/>
    </xf>
    <xf numFmtId="43" fontId="4" fillId="2" borderId="33" xfId="2011" applyNumberFormat="1" applyFont="1" applyFill="1" applyBorder="1" applyAlignment="1">
      <alignment horizontal="center" vertical="center" wrapText="1"/>
    </xf>
    <xf numFmtId="43" fontId="126" fillId="2" borderId="33" xfId="0" applyNumberFormat="1" applyFont="1" applyFill="1" applyBorder="1" applyAlignment="1">
      <alignment horizontal="center" vertical="center" wrapText="1"/>
    </xf>
    <xf numFmtId="43" fontId="108" fillId="2" borderId="33" xfId="0" applyNumberFormat="1" applyFont="1" applyFill="1" applyBorder="1" applyAlignment="1">
      <alignment horizontal="center" vertical="center" wrapText="1" readingOrder="1"/>
    </xf>
    <xf numFmtId="43" fontId="126" fillId="2" borderId="30" xfId="0" applyNumberFormat="1" applyFont="1" applyFill="1" applyBorder="1" applyAlignment="1">
      <alignment horizontal="center" vertical="center"/>
    </xf>
    <xf numFmtId="185" fontId="118" fillId="2" borderId="30" xfId="0" applyNumberFormat="1" applyFont="1" applyFill="1" applyBorder="1" applyAlignment="1">
      <alignment horizontal="center" vertical="center"/>
    </xf>
    <xf numFmtId="185" fontId="126" fillId="2" borderId="30" xfId="0" applyNumberFormat="1" applyFont="1" applyFill="1" applyBorder="1" applyAlignment="1">
      <alignment horizontal="center" vertical="center"/>
    </xf>
    <xf numFmtId="185" fontId="57" fillId="2" borderId="30" xfId="0" applyNumberFormat="1" applyFont="1" applyFill="1" applyBorder="1" applyAlignment="1">
      <alignment horizontal="center" vertical="center"/>
    </xf>
    <xf numFmtId="185" fontId="126" fillId="2" borderId="0" xfId="0" applyNumberFormat="1" applyFont="1" applyFill="1" applyAlignment="1">
      <alignment horizontal="center" vertical="center"/>
    </xf>
    <xf numFmtId="179" fontId="0" fillId="0" borderId="0" xfId="0" applyNumberFormat="1" applyAlignment="1">
      <alignment vertical="center"/>
    </xf>
    <xf numFmtId="0" fontId="4" fillId="31" borderId="17" xfId="0" applyFont="1" applyFill="1" applyBorder="1" applyAlignment="1">
      <alignment horizontal="center" vertical="center"/>
    </xf>
    <xf numFmtId="0" fontId="4" fillId="31" borderId="17" xfId="0" applyFont="1" applyFill="1" applyBorder="1" applyAlignment="1">
      <alignment horizontal="center" vertical="center" wrapText="1"/>
    </xf>
    <xf numFmtId="0" fontId="4" fillId="31" borderId="17" xfId="0" applyFont="1" applyFill="1" applyBorder="1" applyAlignment="1">
      <alignment horizontal="left" vertical="center" wrapText="1"/>
    </xf>
    <xf numFmtId="179" fontId="111" fillId="31" borderId="17" xfId="0" applyNumberFormat="1" applyFont="1" applyFill="1" applyBorder="1" applyAlignment="1">
      <alignment horizontal="right" vertical="center" shrinkToFit="1"/>
    </xf>
    <xf numFmtId="0" fontId="111" fillId="31" borderId="17" xfId="0" applyFont="1" applyFill="1" applyBorder="1" applyAlignment="1">
      <alignment horizontal="center" vertical="center" shrinkToFit="1"/>
    </xf>
    <xf numFmtId="0" fontId="111" fillId="2" borderId="30" xfId="2015" applyFont="1" applyFill="1" applyBorder="1" applyAlignment="1">
      <alignment horizontal="center" vertical="center"/>
    </xf>
    <xf numFmtId="0" fontId="111" fillId="2" borderId="0" xfId="2015" applyFont="1" applyFill="1" applyAlignment="1">
      <alignment horizontal="center" vertical="center"/>
    </xf>
    <xf numFmtId="0" fontId="11" fillId="2" borderId="0" xfId="2015" applyFont="1" applyFill="1" applyAlignment="1">
      <alignment vertical="center"/>
    </xf>
    <xf numFmtId="0" fontId="110" fillId="2" borderId="0" xfId="2015" applyFont="1" applyFill="1" applyAlignment="1">
      <alignment horizontal="center" vertical="center" wrapText="1"/>
    </xf>
    <xf numFmtId="0" fontId="110" fillId="2" borderId="0" xfId="2015" applyFont="1" applyFill="1" applyAlignment="1">
      <alignment vertical="center" wrapText="1"/>
    </xf>
    <xf numFmtId="0" fontId="110" fillId="2" borderId="11" xfId="2015" applyFont="1" applyFill="1" applyBorder="1" applyAlignment="1">
      <alignment horizontal="center" vertical="center" wrapText="1"/>
    </xf>
    <xf numFmtId="176" fontId="110" fillId="2" borderId="11" xfId="2015" applyNumberFormat="1" applyFont="1" applyFill="1" applyBorder="1" applyAlignment="1">
      <alignment horizontal="center" vertical="center" wrapText="1"/>
    </xf>
    <xf numFmtId="0" fontId="111" fillId="2" borderId="0" xfId="2015" applyFont="1" applyFill="1" applyAlignment="1">
      <alignment horizontal="center" vertical="center" wrapText="1"/>
    </xf>
    <xf numFmtId="0" fontId="111" fillId="2" borderId="0" xfId="2015" applyFont="1" applyFill="1" applyAlignment="1">
      <alignment vertical="center" wrapText="1"/>
    </xf>
    <xf numFmtId="0" fontId="110" fillId="2" borderId="30" xfId="2015" applyFont="1" applyFill="1" applyBorder="1" applyAlignment="1">
      <alignment horizontal="center" vertical="center"/>
    </xf>
    <xf numFmtId="0" fontId="110" fillId="2" borderId="30" xfId="2015" applyFont="1" applyFill="1" applyBorder="1" applyAlignment="1">
      <alignment horizontal="left" vertical="center" wrapText="1"/>
    </xf>
    <xf numFmtId="0" fontId="110" fillId="2" borderId="30" xfId="0" applyFont="1" applyFill="1" applyBorder="1" applyAlignment="1">
      <alignment horizontal="center" vertical="center" wrapText="1"/>
    </xf>
    <xf numFmtId="0" fontId="110" fillId="2" borderId="30" xfId="0" applyFont="1" applyFill="1" applyBorder="1" applyAlignment="1">
      <alignment horizontal="left" vertical="center" wrapText="1"/>
    </xf>
    <xf numFmtId="176" fontId="110" fillId="2" borderId="30" xfId="0" applyNumberFormat="1" applyFont="1" applyFill="1" applyBorder="1" applyAlignment="1">
      <alignment horizontal="right" vertical="center" wrapText="1"/>
    </xf>
    <xf numFmtId="176" fontId="110" fillId="2" borderId="11" xfId="2015" applyNumberFormat="1" applyFont="1" applyFill="1" applyBorder="1" applyAlignment="1">
      <alignment horizontal="right" vertical="center" wrapText="1"/>
    </xf>
    <xf numFmtId="0" fontId="4" fillId="2" borderId="13" xfId="2015" applyFont="1" applyFill="1" applyBorder="1" applyAlignment="1">
      <alignment horizontal="center" vertical="center" wrapText="1"/>
    </xf>
    <xf numFmtId="0" fontId="111" fillId="2" borderId="33" xfId="2015" applyFont="1" applyFill="1" applyBorder="1" applyAlignment="1">
      <alignment horizontal="center" vertical="center"/>
    </xf>
    <xf numFmtId="0" fontId="110" fillId="2" borderId="11" xfId="2015" applyFont="1" applyFill="1" applyBorder="1" applyAlignment="1">
      <alignment horizontal="left" vertical="center" wrapText="1"/>
    </xf>
    <xf numFmtId="0" fontId="111" fillId="2" borderId="38" xfId="2015" applyFont="1" applyFill="1" applyBorder="1" applyAlignment="1">
      <alignment horizontal="left" vertical="center" wrapText="1"/>
    </xf>
    <xf numFmtId="176" fontId="111" fillId="2" borderId="30" xfId="2015" applyNumberFormat="1" applyFont="1" applyFill="1" applyBorder="1" applyAlignment="1">
      <alignment horizontal="right" vertical="center"/>
    </xf>
    <xf numFmtId="176" fontId="110" fillId="2" borderId="30" xfId="2015" applyNumberFormat="1" applyFont="1" applyFill="1" applyBorder="1" applyAlignment="1">
      <alignment horizontal="right" vertical="center"/>
    </xf>
    <xf numFmtId="0" fontId="111" fillId="2" borderId="30" xfId="2015" applyFont="1" applyFill="1" applyBorder="1" applyAlignment="1">
      <alignment horizontal="center" vertical="center" wrapText="1"/>
    </xf>
    <xf numFmtId="0" fontId="110" fillId="2" borderId="0" xfId="2015" applyFont="1" applyFill="1" applyAlignment="1">
      <alignment horizontal="center" vertical="center"/>
    </xf>
    <xf numFmtId="0" fontId="110" fillId="2" borderId="33" xfId="2015" applyFont="1" applyFill="1" applyBorder="1" applyAlignment="1">
      <alignment horizontal="center" vertical="center"/>
    </xf>
    <xf numFmtId="0" fontId="110" fillId="2" borderId="30" xfId="2015" applyFont="1" applyFill="1" applyBorder="1" applyAlignment="1">
      <alignment horizontal="justify" vertical="center" wrapText="1"/>
    </xf>
    <xf numFmtId="0" fontId="110" fillId="2" borderId="38" xfId="2015" applyFont="1" applyFill="1" applyBorder="1" applyAlignment="1">
      <alignment horizontal="left" vertical="center" wrapText="1"/>
    </xf>
    <xf numFmtId="0" fontId="110" fillId="2" borderId="30" xfId="2015" applyFont="1" applyFill="1" applyBorder="1" applyAlignment="1">
      <alignment horizontal="center" vertical="center" wrapText="1"/>
    </xf>
    <xf numFmtId="0" fontId="133" fillId="2" borderId="0" xfId="2015" applyFont="1" applyFill="1" applyAlignment="1">
      <alignment vertical="center"/>
    </xf>
    <xf numFmtId="181" fontId="111" fillId="2" borderId="30" xfId="0" applyNumberFormat="1" applyFont="1" applyFill="1" applyBorder="1">
      <alignment vertical="center"/>
    </xf>
    <xf numFmtId="0" fontId="111" fillId="2" borderId="38" xfId="2015" applyFont="1" applyFill="1" applyBorder="1" applyAlignment="1">
      <alignment horizontal="center" vertical="center"/>
    </xf>
    <xf numFmtId="0" fontId="111" fillId="2" borderId="30" xfId="2015" applyFont="1" applyFill="1" applyBorder="1" applyAlignment="1">
      <alignment horizontal="left" vertical="center" wrapText="1"/>
    </xf>
    <xf numFmtId="0" fontId="111" fillId="2" borderId="30" xfId="2015" applyFont="1" applyFill="1" applyBorder="1" applyAlignment="1">
      <alignment horizontal="justify" vertical="center" wrapText="1"/>
    </xf>
    <xf numFmtId="0" fontId="110" fillId="2" borderId="38" xfId="2015" applyFont="1" applyFill="1" applyBorder="1" applyAlignment="1">
      <alignment horizontal="center" vertical="center"/>
    </xf>
    <xf numFmtId="176" fontId="110" fillId="2" borderId="11" xfId="2015" applyNumberFormat="1" applyFont="1" applyFill="1" applyBorder="1" applyAlignment="1">
      <alignment horizontal="right" vertical="center"/>
    </xf>
    <xf numFmtId="0" fontId="110" fillId="2" borderId="11" xfId="2015" applyFont="1" applyFill="1" applyBorder="1" applyAlignment="1">
      <alignment horizontal="justify" vertical="center" wrapText="1"/>
    </xf>
    <xf numFmtId="0" fontId="4" fillId="2" borderId="30" xfId="2015" applyFont="1" applyFill="1" applyBorder="1" applyAlignment="1">
      <alignment horizontal="left" vertical="center" wrapText="1"/>
    </xf>
    <xf numFmtId="0" fontId="111" fillId="2" borderId="20" xfId="2015" applyFont="1" applyFill="1" applyBorder="1" applyAlignment="1">
      <alignment horizontal="center" vertical="center"/>
    </xf>
    <xf numFmtId="0" fontId="111" fillId="2" borderId="30" xfId="0" applyFont="1" applyFill="1" applyBorder="1" applyAlignment="1">
      <alignment vertical="center" wrapText="1"/>
    </xf>
    <xf numFmtId="0" fontId="110" fillId="2" borderId="30" xfId="2015" applyFont="1" applyFill="1" applyBorder="1" applyAlignment="1">
      <alignment vertical="center" wrapText="1"/>
    </xf>
    <xf numFmtId="0" fontId="110" fillId="2" borderId="20" xfId="2015" applyFont="1" applyFill="1" applyBorder="1" applyAlignment="1">
      <alignment horizontal="center" vertical="center"/>
    </xf>
    <xf numFmtId="0" fontId="110" fillId="2" borderId="14" xfId="2015" applyFont="1" applyFill="1" applyBorder="1" applyAlignment="1">
      <alignment horizontal="left" vertical="center" wrapText="1"/>
    </xf>
    <xf numFmtId="0" fontId="57" fillId="2" borderId="30" xfId="2015" applyFont="1" applyFill="1" applyBorder="1" applyAlignment="1">
      <alignment vertical="center" wrapText="1"/>
    </xf>
    <xf numFmtId="0" fontId="110" fillId="2" borderId="11" xfId="2015" applyFont="1" applyFill="1" applyBorder="1" applyAlignment="1">
      <alignment horizontal="center" vertical="center"/>
    </xf>
    <xf numFmtId="0" fontId="110" fillId="2" borderId="39" xfId="2015" applyFont="1" applyFill="1" applyBorder="1" applyAlignment="1">
      <alignment horizontal="left" vertical="center" wrapText="1"/>
    </xf>
    <xf numFmtId="0" fontId="57" fillId="2" borderId="30" xfId="2015" applyFont="1" applyFill="1" applyBorder="1" applyAlignment="1">
      <alignment horizontal="justify" vertical="center" wrapText="1"/>
    </xf>
    <xf numFmtId="0" fontId="110" fillId="2" borderId="37" xfId="2015" applyFont="1" applyFill="1" applyBorder="1" applyAlignment="1">
      <alignment horizontal="center" vertical="center"/>
    </xf>
    <xf numFmtId="0" fontId="110" fillId="2" borderId="39" xfId="2015" applyFont="1" applyFill="1" applyBorder="1" applyAlignment="1">
      <alignment horizontal="center" vertical="center"/>
    </xf>
    <xf numFmtId="0" fontId="110" fillId="2" borderId="30" xfId="0" applyFont="1" applyFill="1" applyBorder="1" applyAlignment="1">
      <alignment vertical="center" wrapText="1"/>
    </xf>
    <xf numFmtId="0" fontId="111" fillId="2" borderId="37" xfId="2015" applyFont="1" applyFill="1" applyBorder="1" applyAlignment="1">
      <alignment horizontal="center" vertical="center"/>
    </xf>
    <xf numFmtId="0" fontId="111" fillId="2" borderId="30" xfId="2015" applyFont="1" applyFill="1" applyBorder="1" applyAlignment="1">
      <alignment vertical="center" wrapText="1"/>
    </xf>
    <xf numFmtId="0" fontId="111" fillId="2" borderId="33" xfId="2015" applyFont="1" applyFill="1" applyBorder="1" applyAlignment="1">
      <alignment horizontal="left" vertical="center" wrapText="1"/>
    </xf>
    <xf numFmtId="0" fontId="111" fillId="2" borderId="11" xfId="2015" applyFont="1" applyFill="1" applyBorder="1" applyAlignment="1">
      <alignment horizontal="left" vertical="center" wrapText="1"/>
    </xf>
    <xf numFmtId="0" fontId="111" fillId="2" borderId="30" xfId="2016" applyFont="1" applyFill="1" applyBorder="1" applyAlignment="1">
      <alignment vertical="center" wrapText="1"/>
    </xf>
    <xf numFmtId="0" fontId="111" fillId="2" borderId="30" xfId="2012" applyFont="1" applyFill="1" applyBorder="1" applyAlignment="1">
      <alignment horizontal="center" vertical="center"/>
    </xf>
    <xf numFmtId="0" fontId="4" fillId="2" borderId="30" xfId="2017" applyFont="1" applyFill="1" applyBorder="1" applyAlignment="1">
      <alignment horizontal="left" vertical="center" wrapText="1"/>
    </xf>
    <xf numFmtId="176" fontId="111" fillId="2" borderId="30" xfId="2012" applyNumberFormat="1" applyFont="1" applyFill="1" applyBorder="1" applyAlignment="1">
      <alignment horizontal="right" vertical="center"/>
    </xf>
    <xf numFmtId="0" fontId="110" fillId="2" borderId="30" xfId="2018" applyFont="1" applyFill="1" applyBorder="1" applyAlignment="1">
      <alignment vertical="center" wrapText="1"/>
    </xf>
    <xf numFmtId="0" fontId="111" fillId="2" borderId="30" xfId="2019" applyFont="1" applyFill="1" applyBorder="1" applyAlignment="1">
      <alignment vertical="center" wrapText="1"/>
    </xf>
    <xf numFmtId="0" fontId="111" fillId="2" borderId="30" xfId="2019" applyFont="1" applyFill="1" applyBorder="1" applyAlignment="1">
      <alignment horizontal="center" vertical="center"/>
    </xf>
    <xf numFmtId="0" fontId="111" fillId="2" borderId="33" xfId="2019" applyFont="1" applyFill="1" applyBorder="1" applyAlignment="1">
      <alignment horizontal="left" vertical="center" wrapText="1"/>
    </xf>
    <xf numFmtId="0" fontId="4" fillId="2" borderId="30" xfId="2019" applyFont="1" applyFill="1" applyBorder="1" applyAlignment="1">
      <alignment horizontal="left" vertical="center" wrapText="1"/>
    </xf>
    <xf numFmtId="0" fontId="111" fillId="2" borderId="30" xfId="2019" applyFont="1" applyFill="1" applyBorder="1" applyAlignment="1">
      <alignment horizontal="left" vertical="center" wrapText="1"/>
    </xf>
    <xf numFmtId="0" fontId="111" fillId="2" borderId="11" xfId="2015" applyFont="1" applyFill="1" applyBorder="1" applyAlignment="1">
      <alignment horizontal="justify" vertical="center" wrapText="1"/>
    </xf>
    <xf numFmtId="0" fontId="111" fillId="2" borderId="14" xfId="2015" applyFont="1" applyFill="1" applyBorder="1" applyAlignment="1">
      <alignment horizontal="left" vertical="center" wrapText="1"/>
    </xf>
    <xf numFmtId="0" fontId="4" fillId="2" borderId="30" xfId="2019" applyFont="1" applyFill="1" applyBorder="1" applyAlignment="1">
      <alignment vertical="center" wrapText="1"/>
    </xf>
    <xf numFmtId="0" fontId="111" fillId="2" borderId="0" xfId="2015" applyFont="1" applyFill="1" applyAlignment="1">
      <alignment horizontal="left" vertical="center" wrapText="1"/>
    </xf>
    <xf numFmtId="0" fontId="111" fillId="2" borderId="30" xfId="2012" applyFont="1" applyFill="1" applyBorder="1" applyAlignment="1">
      <alignment horizontal="left" vertical="center" wrapText="1"/>
    </xf>
    <xf numFmtId="176" fontId="111" fillId="2" borderId="0" xfId="2015" applyNumberFormat="1" applyFont="1" applyFill="1" applyAlignment="1">
      <alignment horizontal="right" vertical="center"/>
    </xf>
    <xf numFmtId="0" fontId="111" fillId="2" borderId="0" xfId="2015" applyFont="1" applyFill="1" applyAlignment="1">
      <alignment vertical="center"/>
    </xf>
    <xf numFmtId="0" fontId="4" fillId="2" borderId="30" xfId="0" applyFont="1" applyFill="1" applyBorder="1" applyAlignment="1">
      <alignment vertical="center" wrapText="1"/>
    </xf>
    <xf numFmtId="176" fontId="111" fillId="2" borderId="11" xfId="2015" applyNumberFormat="1" applyFont="1" applyFill="1" applyBorder="1" applyAlignment="1">
      <alignment horizontal="right" vertical="center"/>
    </xf>
    <xf numFmtId="0" fontId="4" fillId="2" borderId="30" xfId="2015" applyFont="1" applyFill="1" applyBorder="1" applyAlignment="1">
      <alignment horizontal="center" vertical="center"/>
    </xf>
    <xf numFmtId="0" fontId="111" fillId="2" borderId="39" xfId="2015" applyFont="1" applyFill="1" applyBorder="1" applyAlignment="1">
      <alignment horizontal="left" vertical="center" wrapText="1"/>
    </xf>
    <xf numFmtId="0" fontId="111" fillId="2" borderId="11" xfId="2015" applyFont="1" applyFill="1" applyBorder="1" applyAlignment="1">
      <alignment horizontal="center" vertical="center"/>
    </xf>
    <xf numFmtId="0" fontId="4" fillId="2" borderId="30" xfId="2015" applyFont="1" applyFill="1" applyBorder="1" applyAlignment="1">
      <alignment horizontal="justify" vertical="center" wrapText="1"/>
    </xf>
    <xf numFmtId="0" fontId="4" fillId="2" borderId="38" xfId="2015" applyFont="1" applyFill="1" applyBorder="1" applyAlignment="1">
      <alignment horizontal="left" vertical="center" wrapText="1"/>
    </xf>
    <xf numFmtId="176" fontId="111" fillId="2" borderId="30" xfId="1676" applyNumberFormat="1" applyFont="1" applyFill="1" applyBorder="1" applyAlignment="1">
      <alignment horizontal="right" vertical="center" wrapText="1"/>
    </xf>
    <xf numFmtId="0" fontId="111" fillId="2" borderId="30" xfId="2017" applyFont="1" applyFill="1" applyBorder="1" applyAlignment="1">
      <alignment horizontal="left" vertical="center" wrapText="1"/>
    </xf>
    <xf numFmtId="0" fontId="4" fillId="2" borderId="30" xfId="2015" applyFont="1" applyFill="1" applyBorder="1" applyAlignment="1">
      <alignment horizontal="center" vertical="center" wrapText="1"/>
    </xf>
    <xf numFmtId="0" fontId="4" fillId="2" borderId="11" xfId="2015" applyFont="1" applyFill="1" applyBorder="1" applyAlignment="1">
      <alignment horizontal="justify" vertical="center" wrapText="1"/>
    </xf>
    <xf numFmtId="0" fontId="111" fillId="0" borderId="0" xfId="2015" applyFont="1" applyAlignment="1">
      <alignment horizontal="center" vertical="center"/>
    </xf>
    <xf numFmtId="0" fontId="11" fillId="0" borderId="0" xfId="2015" applyFont="1" applyAlignment="1">
      <alignment vertical="center"/>
    </xf>
    <xf numFmtId="0" fontId="110" fillId="0" borderId="0" xfId="2015" applyFont="1" applyAlignment="1">
      <alignment horizontal="center" vertical="center" wrapText="1"/>
    </xf>
    <xf numFmtId="0" fontId="110" fillId="0" borderId="0" xfId="2015" applyFont="1" applyAlignment="1">
      <alignment vertical="center" wrapText="1"/>
    </xf>
    <xf numFmtId="0" fontId="110" fillId="0" borderId="11" xfId="2015" applyFont="1" applyBorder="1" applyAlignment="1">
      <alignment horizontal="center" vertical="center" wrapText="1"/>
    </xf>
    <xf numFmtId="176" fontId="110" fillId="0" borderId="11" xfId="2015" applyNumberFormat="1" applyFont="1" applyBorder="1" applyAlignment="1">
      <alignment horizontal="center" vertical="center" wrapText="1"/>
    </xf>
    <xf numFmtId="0" fontId="111" fillId="0" borderId="0" xfId="2015" applyFont="1" applyAlignment="1">
      <alignment horizontal="center" vertical="center" wrapText="1"/>
    </xf>
    <xf numFmtId="0" fontId="111" fillId="0" borderId="0" xfId="2015" applyFont="1" applyAlignment="1">
      <alignment vertical="center" wrapText="1"/>
    </xf>
    <xf numFmtId="0" fontId="110" fillId="0" borderId="30" xfId="2015" applyFont="1" applyBorder="1" applyAlignment="1">
      <alignment horizontal="center" vertical="center"/>
    </xf>
    <xf numFmtId="0" fontId="110" fillId="0" borderId="30" xfId="2015" applyFont="1" applyBorder="1" applyAlignment="1">
      <alignment horizontal="left" vertical="center" wrapText="1"/>
    </xf>
    <xf numFmtId="0" fontId="110" fillId="0" borderId="30" xfId="0" applyFont="1" applyBorder="1" applyAlignment="1">
      <alignment horizontal="center" vertical="center" wrapText="1"/>
    </xf>
    <xf numFmtId="0" fontId="110" fillId="0" borderId="30" xfId="0" applyFont="1" applyBorder="1" applyAlignment="1">
      <alignment horizontal="left" vertical="center" wrapText="1"/>
    </xf>
    <xf numFmtId="176" fontId="110" fillId="0" borderId="30" xfId="0" applyNumberFormat="1" applyFont="1" applyBorder="1" applyAlignment="1">
      <alignment horizontal="right" vertical="center" wrapText="1"/>
    </xf>
    <xf numFmtId="176" fontId="110" fillId="0" borderId="11" xfId="2015" applyNumberFormat="1" applyFont="1" applyBorder="1" applyAlignment="1">
      <alignment horizontal="right" vertical="center" wrapText="1"/>
    </xf>
    <xf numFmtId="0" fontId="4" fillId="0" borderId="13" xfId="2015" applyFont="1" applyBorder="1" applyAlignment="1">
      <alignment horizontal="center" vertical="center" wrapText="1"/>
    </xf>
    <xf numFmtId="0" fontId="111" fillId="0" borderId="30" xfId="2015" applyFont="1" applyBorder="1" applyAlignment="1">
      <alignment horizontal="center" vertical="center"/>
    </xf>
    <xf numFmtId="0" fontId="111" fillId="0" borderId="30" xfId="2015" applyFont="1" applyBorder="1" applyAlignment="1">
      <alignment horizontal="left" vertical="center" wrapText="1"/>
    </xf>
    <xf numFmtId="176" fontId="111" fillId="0" borderId="30" xfId="2015" applyNumberFormat="1" applyFont="1" applyBorder="1" applyAlignment="1">
      <alignment horizontal="right" vertical="center"/>
    </xf>
    <xf numFmtId="0" fontId="111" fillId="0" borderId="30" xfId="0" applyFont="1" applyBorder="1" applyAlignment="1">
      <alignment vertical="center" wrapText="1"/>
    </xf>
    <xf numFmtId="0" fontId="110" fillId="0" borderId="0" xfId="2015" applyFont="1" applyAlignment="1">
      <alignment horizontal="center" vertical="center"/>
    </xf>
    <xf numFmtId="176" fontId="110" fillId="0" borderId="30" xfId="2015" applyNumberFormat="1" applyFont="1" applyBorder="1" applyAlignment="1">
      <alignment horizontal="right" vertical="center"/>
    </xf>
    <xf numFmtId="0" fontId="111" fillId="0" borderId="30" xfId="2015" applyFont="1" applyBorder="1" applyAlignment="1">
      <alignment horizontal="center" vertical="center" wrapText="1"/>
    </xf>
    <xf numFmtId="0" fontId="111" fillId="0" borderId="33" xfId="2015" applyFont="1" applyBorder="1" applyAlignment="1">
      <alignment horizontal="center" vertical="center"/>
    </xf>
    <xf numFmtId="0" fontId="110" fillId="0" borderId="11" xfId="2015" applyFont="1" applyBorder="1" applyAlignment="1">
      <alignment horizontal="left" vertical="center" wrapText="1"/>
    </xf>
    <xf numFmtId="0" fontId="111" fillId="0" borderId="38" xfId="2015" applyFont="1" applyBorder="1" applyAlignment="1">
      <alignment horizontal="left" vertical="center" wrapText="1"/>
    </xf>
    <xf numFmtId="0" fontId="110" fillId="0" borderId="33" xfId="2015" applyFont="1" applyBorder="1" applyAlignment="1">
      <alignment horizontal="center" vertical="center"/>
    </xf>
    <xf numFmtId="0" fontId="110" fillId="0" borderId="30" xfId="2015" applyFont="1" applyBorder="1" applyAlignment="1">
      <alignment horizontal="justify" vertical="center" wrapText="1"/>
    </xf>
    <xf numFmtId="0" fontId="110" fillId="0" borderId="38" xfId="2015" applyFont="1" applyBorder="1" applyAlignment="1">
      <alignment horizontal="left" vertical="center" wrapText="1"/>
    </xf>
    <xf numFmtId="0" fontId="110" fillId="0" borderId="30" xfId="2015" applyFont="1" applyBorder="1" applyAlignment="1">
      <alignment horizontal="center" vertical="center" wrapText="1"/>
    </xf>
    <xf numFmtId="0" fontId="133" fillId="0" borderId="0" xfId="2015" applyFont="1" applyAlignment="1">
      <alignment vertical="center"/>
    </xf>
    <xf numFmtId="0" fontId="111" fillId="0" borderId="30" xfId="2015" applyFont="1" applyBorder="1" applyAlignment="1">
      <alignment horizontal="justify" vertical="center" wrapText="1"/>
    </xf>
    <xf numFmtId="181" fontId="111" fillId="0" borderId="30" xfId="0" applyNumberFormat="1" applyFont="1" applyBorder="1">
      <alignment vertical="center"/>
    </xf>
    <xf numFmtId="0" fontId="111" fillId="0" borderId="38" xfId="2015" applyFont="1" applyBorder="1" applyAlignment="1">
      <alignment horizontal="center" vertical="center"/>
    </xf>
    <xf numFmtId="0" fontId="4" fillId="0" borderId="30" xfId="2015" applyFont="1" applyBorder="1" applyAlignment="1">
      <alignment horizontal="center" vertical="center"/>
    </xf>
    <xf numFmtId="0" fontId="110" fillId="0" borderId="38" xfId="2015" applyFont="1" applyBorder="1" applyAlignment="1">
      <alignment horizontal="center" vertical="center"/>
    </xf>
    <xf numFmtId="176" fontId="110" fillId="0" borderId="11" xfId="2015" applyNumberFormat="1" applyFont="1" applyBorder="1" applyAlignment="1">
      <alignment horizontal="right" vertical="center"/>
    </xf>
    <xf numFmtId="176" fontId="111" fillId="0" borderId="11" xfId="2015" applyNumberFormat="1" applyFont="1" applyBorder="1" applyAlignment="1">
      <alignment horizontal="right" vertical="center"/>
    </xf>
    <xf numFmtId="0" fontId="4" fillId="0" borderId="30" xfId="2015" applyFont="1" applyBorder="1" applyAlignment="1">
      <alignment horizontal="justify" vertical="center" wrapText="1"/>
    </xf>
    <xf numFmtId="0" fontId="110" fillId="0" borderId="11" xfId="2015" applyFont="1" applyBorder="1" applyAlignment="1">
      <alignment horizontal="justify" vertical="center" wrapText="1"/>
    </xf>
    <xf numFmtId="0" fontId="110" fillId="0" borderId="30" xfId="2015" applyFont="1" applyBorder="1" applyAlignment="1">
      <alignment vertical="center" wrapText="1"/>
    </xf>
    <xf numFmtId="0" fontId="110" fillId="0" borderId="20" xfId="2015" applyFont="1" applyBorder="1" applyAlignment="1">
      <alignment horizontal="center" vertical="center"/>
    </xf>
    <xf numFmtId="0" fontId="57" fillId="0" borderId="30" xfId="2015" applyFont="1" applyBorder="1" applyAlignment="1">
      <alignment vertical="center" wrapText="1"/>
    </xf>
    <xf numFmtId="0" fontId="110" fillId="0" borderId="14" xfId="2015" applyFont="1" applyBorder="1" applyAlignment="1">
      <alignment horizontal="left" vertical="center" wrapText="1"/>
    </xf>
    <xf numFmtId="0" fontId="111" fillId="0" borderId="20" xfId="2015" applyFont="1" applyBorder="1" applyAlignment="1">
      <alignment horizontal="center" vertical="center"/>
    </xf>
    <xf numFmtId="0" fontId="4" fillId="0" borderId="38" xfId="2015" applyFont="1" applyBorder="1" applyAlignment="1">
      <alignment horizontal="left" vertical="center" wrapText="1"/>
    </xf>
    <xf numFmtId="0" fontId="110" fillId="0" borderId="11" xfId="2015" applyFont="1" applyBorder="1" applyAlignment="1">
      <alignment horizontal="center" vertical="center"/>
    </xf>
    <xf numFmtId="0" fontId="110" fillId="0" borderId="39" xfId="2015" applyFont="1" applyBorder="1" applyAlignment="1">
      <alignment horizontal="left" vertical="center" wrapText="1"/>
    </xf>
    <xf numFmtId="0" fontId="57" fillId="0" borderId="30" xfId="2015" applyFont="1" applyBorder="1" applyAlignment="1">
      <alignment horizontal="justify" vertical="center" wrapText="1"/>
    </xf>
    <xf numFmtId="0" fontId="111" fillId="0" borderId="30" xfId="2015" applyFont="1" applyBorder="1" applyAlignment="1">
      <alignment vertical="center" wrapText="1"/>
    </xf>
    <xf numFmtId="176" fontId="111" fillId="0" borderId="30" xfId="1676" applyNumberFormat="1" applyFont="1" applyFill="1" applyBorder="1" applyAlignment="1">
      <alignment horizontal="right" vertical="center" wrapText="1"/>
    </xf>
    <xf numFmtId="0" fontId="11" fillId="0" borderId="30" xfId="2015" applyFont="1" applyBorder="1" applyAlignment="1">
      <alignment horizontal="left" vertical="center" wrapText="1"/>
    </xf>
    <xf numFmtId="0" fontId="110" fillId="0" borderId="37" xfId="2015" applyFont="1" applyBorder="1" applyAlignment="1">
      <alignment horizontal="center" vertical="center"/>
    </xf>
    <xf numFmtId="0" fontId="110" fillId="0" borderId="39" xfId="2015" applyFont="1" applyBorder="1" applyAlignment="1">
      <alignment horizontal="center" vertical="center"/>
    </xf>
    <xf numFmtId="0" fontId="110" fillId="0" borderId="30" xfId="0" applyFont="1" applyBorder="1" applyAlignment="1">
      <alignment vertical="center" wrapText="1"/>
    </xf>
    <xf numFmtId="0" fontId="111" fillId="0" borderId="30" xfId="2016" applyFont="1" applyBorder="1" applyAlignment="1">
      <alignment vertical="center" wrapText="1"/>
    </xf>
    <xf numFmtId="0" fontId="111" fillId="0" borderId="30" xfId="2012" applyFont="1" applyBorder="1" applyAlignment="1">
      <alignment horizontal="center" vertical="center"/>
    </xf>
    <xf numFmtId="0" fontId="111" fillId="0" borderId="30" xfId="2017" applyFont="1" applyBorder="1" applyAlignment="1">
      <alignment horizontal="left" vertical="center" wrapText="1"/>
    </xf>
    <xf numFmtId="176" fontId="111" fillId="0" borderId="30" xfId="2012" applyNumberFormat="1" applyFont="1" applyBorder="1" applyAlignment="1">
      <alignment horizontal="right" vertical="center"/>
    </xf>
    <xf numFmtId="0" fontId="110" fillId="0" borderId="30" xfId="2018" applyFont="1" applyBorder="1" applyAlignment="1">
      <alignment vertical="center" wrapText="1"/>
    </xf>
    <xf numFmtId="0" fontId="111" fillId="0" borderId="30" xfId="2019" applyFont="1" applyBorder="1" applyAlignment="1">
      <alignment vertical="center" wrapText="1"/>
    </xf>
    <xf numFmtId="0" fontId="111" fillId="0" borderId="30" xfId="2019" applyFont="1" applyBorder="1" applyAlignment="1">
      <alignment horizontal="center" vertical="center"/>
    </xf>
    <xf numFmtId="0" fontId="111" fillId="0" borderId="33" xfId="2019" applyFont="1" applyBorder="1" applyAlignment="1">
      <alignment horizontal="left" vertical="center" wrapText="1"/>
    </xf>
    <xf numFmtId="0" fontId="4" fillId="0" borderId="30" xfId="2019" applyFont="1" applyBorder="1" applyAlignment="1">
      <alignment horizontal="left" vertical="center" wrapText="1"/>
    </xf>
    <xf numFmtId="0" fontId="111" fillId="0" borderId="30" xfId="2019" applyFont="1" applyBorder="1" applyAlignment="1">
      <alignment horizontal="left" vertical="center" wrapText="1"/>
    </xf>
    <xf numFmtId="0" fontId="111" fillId="0" borderId="14" xfId="2015" applyFont="1" applyBorder="1" applyAlignment="1">
      <alignment horizontal="left" vertical="center" wrapText="1"/>
    </xf>
    <xf numFmtId="0" fontId="111" fillId="0" borderId="11" xfId="2015" applyFont="1" applyBorder="1" applyAlignment="1">
      <alignment horizontal="justify" vertical="center" wrapText="1"/>
    </xf>
    <xf numFmtId="0" fontId="4" fillId="0" borderId="30" xfId="2019" applyFont="1" applyBorder="1" applyAlignment="1">
      <alignment vertical="center" wrapText="1"/>
    </xf>
    <xf numFmtId="0" fontId="111" fillId="0" borderId="0" xfId="2015" applyFont="1" applyAlignment="1">
      <alignment horizontal="left" vertical="center" wrapText="1"/>
    </xf>
    <xf numFmtId="0" fontId="111" fillId="0" borderId="30" xfId="2012" applyFont="1" applyBorder="1" applyAlignment="1">
      <alignment horizontal="left" vertical="center" wrapText="1"/>
    </xf>
    <xf numFmtId="176" fontId="111" fillId="0" borderId="0" xfId="2015" applyNumberFormat="1" applyFont="1" applyAlignment="1">
      <alignment horizontal="right" vertical="center"/>
    </xf>
    <xf numFmtId="0" fontId="111" fillId="0" borderId="0" xfId="2015" applyFont="1" applyAlignment="1">
      <alignment vertical="center"/>
    </xf>
    <xf numFmtId="0" fontId="11" fillId="2" borderId="0" xfId="0" applyFont="1" applyFill="1">
      <alignment vertical="center"/>
    </xf>
    <xf numFmtId="0" fontId="133" fillId="2" borderId="0" xfId="0" applyFont="1" applyFill="1">
      <alignment vertical="center"/>
    </xf>
    <xf numFmtId="0" fontId="139" fillId="2" borderId="30" xfId="0" applyFont="1" applyFill="1" applyBorder="1" applyAlignment="1">
      <alignment horizontal="center" wrapText="1"/>
    </xf>
    <xf numFmtId="0" fontId="140" fillId="2" borderId="0" xfId="0" applyFont="1" applyFill="1">
      <alignment vertical="center"/>
    </xf>
    <xf numFmtId="1" fontId="139" fillId="2" borderId="30" xfId="0" applyNumberFormat="1" applyFont="1" applyFill="1" applyBorder="1" applyAlignment="1">
      <alignment horizontal="center" wrapText="1"/>
    </xf>
    <xf numFmtId="0" fontId="139" fillId="2" borderId="22" xfId="0" applyFont="1" applyFill="1" applyBorder="1" applyAlignment="1">
      <alignment horizontal="center" wrapText="1"/>
    </xf>
    <xf numFmtId="184" fontId="99" fillId="2" borderId="17" xfId="0" applyNumberFormat="1" applyFont="1" applyFill="1" applyBorder="1" applyAlignment="1" applyProtection="1">
      <alignment horizontal="center" vertical="center"/>
    </xf>
    <xf numFmtId="184" fontId="99" fillId="2" borderId="17" xfId="0" applyNumberFormat="1" applyFont="1" applyFill="1" applyBorder="1" applyAlignment="1" applyProtection="1">
      <alignment horizontal="center" vertical="center"/>
    </xf>
    <xf numFmtId="0" fontId="142" fillId="2" borderId="17" xfId="0" applyNumberFormat="1" applyFont="1" applyFill="1" applyBorder="1" applyAlignment="1" applyProtection="1">
      <alignment horizontal="center" vertical="center"/>
    </xf>
    <xf numFmtId="0" fontId="142" fillId="2" borderId="17" xfId="0" applyNumberFormat="1" applyFont="1" applyFill="1" applyBorder="1" applyAlignment="1" applyProtection="1">
      <alignment vertical="center" wrapText="1"/>
    </xf>
    <xf numFmtId="184" fontId="142" fillId="2" borderId="17" xfId="0" applyNumberFormat="1" applyFont="1" applyFill="1" applyBorder="1" applyAlignment="1" applyProtection="1">
      <alignment horizontal="center" vertical="center"/>
    </xf>
    <xf numFmtId="0" fontId="141" fillId="2" borderId="17" xfId="0" applyFont="1" applyFill="1" applyBorder="1" applyAlignment="1">
      <alignment horizontal="left" vertical="center" wrapText="1"/>
    </xf>
    <xf numFmtId="0" fontId="143" fillId="2" borderId="17" xfId="0" applyNumberFormat="1" applyFont="1" applyFill="1" applyBorder="1" applyAlignment="1">
      <alignment horizontal="center" vertical="center"/>
    </xf>
    <xf numFmtId="0" fontId="72" fillId="2" borderId="17" xfId="0" applyNumberFormat="1" applyFont="1" applyFill="1" applyBorder="1" applyAlignment="1" applyProtection="1">
      <alignment horizontal="center" vertical="center" shrinkToFit="1"/>
    </xf>
    <xf numFmtId="184" fontId="145" fillId="2" borderId="17" xfId="0" applyNumberFormat="1" applyFont="1" applyFill="1" applyBorder="1" applyAlignment="1" applyProtection="1">
      <alignment horizontal="center" vertical="center"/>
    </xf>
    <xf numFmtId="4" fontId="67" fillId="0" borderId="17" xfId="0" applyNumberFormat="1" applyFont="1" applyFill="1" applyBorder="1" applyAlignment="1" applyProtection="1">
      <alignment horizontal="center" vertical="center" wrapText="1"/>
    </xf>
    <xf numFmtId="4" fontId="45" fillId="0" borderId="17" xfId="0" applyNumberFormat="1" applyFont="1" applyFill="1" applyBorder="1" applyAlignment="1" applyProtection="1">
      <alignment horizontal="center" vertical="center" wrapText="1"/>
    </xf>
    <xf numFmtId="0" fontId="2" fillId="2" borderId="0" xfId="0" applyNumberFormat="1" applyFont="1" applyFill="1" applyBorder="1" applyAlignment="1">
      <alignment horizontal="center" vertical="center"/>
    </xf>
    <xf numFmtId="0" fontId="58" fillId="0" borderId="30" xfId="0" applyNumberFormat="1" applyFont="1" applyFill="1" applyBorder="1" applyAlignment="1">
      <alignment horizontal="center" vertical="center" wrapText="1"/>
    </xf>
    <xf numFmtId="0" fontId="58" fillId="0" borderId="30" xfId="0" applyFont="1" applyFill="1" applyBorder="1" applyAlignment="1">
      <alignment horizontal="center" vertical="center"/>
    </xf>
    <xf numFmtId="0" fontId="58" fillId="0" borderId="30" xfId="0" applyFont="1" applyFill="1" applyBorder="1" applyAlignment="1">
      <alignment horizontal="center" vertical="center" wrapText="1"/>
    </xf>
    <xf numFmtId="0" fontId="55" fillId="0" borderId="30" xfId="0" applyFont="1" applyFill="1" applyBorder="1" applyAlignment="1">
      <alignment horizontal="center" vertical="center" wrapText="1"/>
    </xf>
    <xf numFmtId="0" fontId="55" fillId="0" borderId="30" xfId="0" applyFont="1" applyFill="1" applyBorder="1" applyAlignment="1" applyProtection="1">
      <alignment horizontal="center" vertical="center" wrapText="1"/>
      <protection locked="0"/>
    </xf>
    <xf numFmtId="43" fontId="58" fillId="0" borderId="30" xfId="0" applyNumberFormat="1" applyFont="1" applyFill="1" applyBorder="1" applyAlignment="1">
      <alignment horizontal="center" vertical="center" wrapText="1"/>
    </xf>
    <xf numFmtId="43" fontId="147" fillId="0" borderId="30" xfId="0" applyNumberFormat="1" applyFont="1" applyBorder="1" applyAlignment="1">
      <alignment horizontal="center" vertical="center"/>
    </xf>
    <xf numFmtId="0" fontId="31" fillId="0" borderId="30" xfId="0" applyFont="1" applyFill="1" applyBorder="1" applyAlignment="1">
      <alignment horizontal="left" vertical="center" wrapText="1"/>
    </xf>
    <xf numFmtId="0" fontId="4" fillId="0" borderId="30" xfId="0" applyFont="1" applyFill="1" applyBorder="1" applyAlignment="1">
      <alignment horizontal="center" vertical="center" wrapText="1"/>
    </xf>
    <xf numFmtId="0" fontId="31" fillId="0" borderId="30" xfId="0" applyFont="1" applyFill="1" applyBorder="1" applyAlignment="1">
      <alignment horizontal="center" vertical="center" wrapText="1"/>
    </xf>
    <xf numFmtId="0" fontId="149" fillId="0" borderId="30" xfId="0" applyNumberFormat="1" applyFont="1" applyFill="1" applyBorder="1" applyAlignment="1" applyProtection="1">
      <alignment horizontal="center" vertical="center" wrapText="1"/>
      <protection locked="0"/>
    </xf>
    <xf numFmtId="43" fontId="31" fillId="0" borderId="30" xfId="0" applyNumberFormat="1" applyFont="1" applyFill="1" applyBorder="1" applyAlignment="1">
      <alignment horizontal="center" vertical="center"/>
    </xf>
    <xf numFmtId="43" fontId="150" fillId="0" borderId="30" xfId="0" applyNumberFormat="1" applyFont="1" applyBorder="1">
      <alignment vertical="center"/>
    </xf>
    <xf numFmtId="0" fontId="150" fillId="0" borderId="30" xfId="0" applyNumberFormat="1" applyFont="1" applyBorder="1" applyAlignment="1">
      <alignment horizontal="left" vertical="center" wrapText="1"/>
    </xf>
    <xf numFmtId="0" fontId="150" fillId="0" borderId="30" xfId="0" applyNumberFormat="1" applyFont="1" applyBorder="1" applyAlignment="1">
      <alignment horizontal="center" vertical="center" wrapText="1"/>
    </xf>
    <xf numFmtId="0" fontId="150" fillId="0" borderId="30" xfId="0" applyNumberFormat="1" applyFont="1" applyBorder="1" applyAlignment="1">
      <alignment horizontal="center" vertical="center"/>
    </xf>
    <xf numFmtId="0" fontId="150" fillId="0" borderId="30" xfId="0" applyNumberFormat="1" applyFont="1" applyFill="1" applyBorder="1" applyAlignment="1">
      <alignment horizontal="left" vertical="center" wrapText="1"/>
    </xf>
    <xf numFmtId="0" fontId="150" fillId="0" borderId="30" xfId="0" applyNumberFormat="1" applyFont="1" applyFill="1" applyBorder="1" applyAlignment="1">
      <alignment horizontal="center" vertical="center" wrapText="1"/>
    </xf>
    <xf numFmtId="0" fontId="150" fillId="0" borderId="30" xfId="0" applyNumberFormat="1" applyFont="1" applyFill="1" applyBorder="1" applyAlignment="1">
      <alignment horizontal="center" vertical="center"/>
    </xf>
    <xf numFmtId="0" fontId="150" fillId="0" borderId="30" xfId="0" applyFont="1" applyBorder="1" applyAlignment="1" applyProtection="1">
      <alignment horizontal="center" vertical="center"/>
      <protection locked="0"/>
    </xf>
    <xf numFmtId="0" fontId="147" fillId="0" borderId="30" xfId="0" applyNumberFormat="1" applyFont="1" applyFill="1" applyBorder="1" applyAlignment="1">
      <alignment horizontal="center" vertical="center"/>
    </xf>
    <xf numFmtId="0" fontId="65" fillId="0" borderId="30" xfId="0" applyNumberFormat="1" applyFont="1" applyFill="1" applyBorder="1" applyAlignment="1">
      <alignment horizontal="center" vertical="center"/>
    </xf>
    <xf numFmtId="0" fontId="65" fillId="0" borderId="30" xfId="0" applyNumberFormat="1" applyFont="1" applyBorder="1" applyAlignment="1">
      <alignment horizontal="center" vertical="center"/>
    </xf>
    <xf numFmtId="0" fontId="150" fillId="0" borderId="30" xfId="0" applyFont="1" applyFill="1" applyBorder="1" applyAlignment="1" applyProtection="1">
      <alignment horizontal="center" vertical="center"/>
      <protection locked="0"/>
    </xf>
    <xf numFmtId="43" fontId="150" fillId="0" borderId="30" xfId="0" applyNumberFormat="1" applyFont="1" applyFill="1" applyBorder="1">
      <alignment vertical="center"/>
    </xf>
    <xf numFmtId="0" fontId="0" fillId="2" borderId="0" xfId="0" applyNumberFormat="1" applyFill="1">
      <alignment vertical="center"/>
    </xf>
    <xf numFmtId="0" fontId="4" fillId="2" borderId="40" xfId="2021" applyNumberFormat="1" applyFont="1" applyFill="1" applyBorder="1" applyAlignment="1">
      <alignment horizontal="center" vertical="center"/>
    </xf>
    <xf numFmtId="0" fontId="113" fillId="2" borderId="40" xfId="0" applyNumberFormat="1" applyFont="1" applyFill="1" applyBorder="1" applyAlignment="1">
      <alignment horizontal="center" vertical="center"/>
    </xf>
    <xf numFmtId="0" fontId="4" fillId="2" borderId="40" xfId="2020" applyNumberFormat="1" applyFont="1" applyFill="1" applyBorder="1" applyAlignment="1">
      <alignment horizontal="center" vertical="center"/>
    </xf>
    <xf numFmtId="0" fontId="113" fillId="2" borderId="0" xfId="0" applyNumberFormat="1" applyFont="1" applyFill="1" applyAlignment="1">
      <alignment horizontal="center" vertical="center"/>
    </xf>
    <xf numFmtId="0" fontId="4" fillId="2" borderId="40" xfId="1125" applyNumberFormat="1" applyFont="1" applyFill="1" applyBorder="1" applyAlignment="1">
      <alignment horizontal="center" vertical="center"/>
    </xf>
    <xf numFmtId="0" fontId="68" fillId="2" borderId="40" xfId="2021" applyNumberFormat="1" applyFont="1" applyFill="1" applyBorder="1" applyAlignment="1">
      <alignment horizontal="center" vertical="center"/>
    </xf>
    <xf numFmtId="0" fontId="68" fillId="2" borderId="40" xfId="2020" applyNumberFormat="1" applyFont="1" applyFill="1" applyBorder="1" applyAlignment="1">
      <alignment horizontal="center" vertical="center"/>
    </xf>
    <xf numFmtId="0" fontId="118" fillId="2" borderId="40" xfId="0" applyNumberFormat="1" applyFont="1" applyFill="1" applyBorder="1" applyAlignment="1">
      <alignment horizontal="center" vertical="center"/>
    </xf>
    <xf numFmtId="0" fontId="151" fillId="2" borderId="40" xfId="2021" applyNumberFormat="1" applyFont="1" applyFill="1" applyBorder="1" applyAlignment="1" applyProtection="1">
      <alignment horizontal="center" vertical="center" wrapText="1"/>
    </xf>
    <xf numFmtId="0" fontId="0" fillId="0" borderId="0" xfId="0" applyFont="1" applyFill="1" applyAlignment="1">
      <alignment vertical="center"/>
    </xf>
    <xf numFmtId="49" fontId="4" fillId="0" borderId="40" xfId="0" applyNumberFormat="1" applyFont="1" applyFill="1" applyBorder="1" applyAlignment="1" applyProtection="1">
      <alignment horizontal="center" vertical="center"/>
    </xf>
    <xf numFmtId="4" fontId="0" fillId="0" borderId="40" xfId="0" applyNumberFormat="1" applyBorder="1" applyAlignment="1">
      <alignment horizontal="center" vertical="center"/>
    </xf>
    <xf numFmtId="49" fontId="4" fillId="2" borderId="40" xfId="0" applyNumberFormat="1" applyFont="1" applyFill="1" applyBorder="1" applyAlignment="1" applyProtection="1">
      <alignment horizontal="center" vertical="center"/>
    </xf>
    <xf numFmtId="49" fontId="57" fillId="2" borderId="40" xfId="0" applyNumberFormat="1" applyFont="1" applyFill="1" applyBorder="1" applyAlignment="1" applyProtection="1">
      <alignment horizontal="center" vertical="center"/>
    </xf>
    <xf numFmtId="0" fontId="50" fillId="2" borderId="40" xfId="0" applyFont="1" applyFill="1" applyBorder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181" fontId="156" fillId="2" borderId="40" xfId="1123" applyNumberFormat="1" applyFont="1" applyFill="1" applyBorder="1" applyAlignment="1">
      <alignment horizontal="center" vertical="center" wrapText="1"/>
    </xf>
    <xf numFmtId="181" fontId="156" fillId="2" borderId="40" xfId="1123" applyNumberFormat="1" applyFont="1" applyFill="1" applyBorder="1" applyAlignment="1">
      <alignment horizontal="center" vertical="center"/>
    </xf>
    <xf numFmtId="179" fontId="156" fillId="2" borderId="40" xfId="1123" applyNumberFormat="1" applyFont="1" applyFill="1" applyBorder="1" applyAlignment="1">
      <alignment horizontal="center" vertical="center"/>
    </xf>
    <xf numFmtId="185" fontId="156" fillId="2" borderId="40" xfId="1123" applyNumberFormat="1" applyFont="1" applyFill="1" applyBorder="1" applyAlignment="1">
      <alignment horizontal="center" vertical="center"/>
    </xf>
    <xf numFmtId="176" fontId="156" fillId="2" borderId="40" xfId="1123" applyNumberFormat="1" applyFont="1" applyFill="1" applyBorder="1" applyAlignment="1">
      <alignment horizontal="center" vertical="center"/>
    </xf>
    <xf numFmtId="0" fontId="105" fillId="2" borderId="40" xfId="1123" applyNumberFormat="1" applyFont="1" applyFill="1" applyBorder="1" applyAlignment="1">
      <alignment horizontal="center" vertical="center" wrapText="1"/>
    </xf>
    <xf numFmtId="0" fontId="105" fillId="2" borderId="40" xfId="1123" applyNumberFormat="1" applyFont="1" applyFill="1" applyBorder="1" applyAlignment="1">
      <alignment horizontal="left" vertical="center" wrapText="1"/>
    </xf>
    <xf numFmtId="181" fontId="105" fillId="2" borderId="40" xfId="1199" applyNumberFormat="1" applyFont="1" applyFill="1" applyBorder="1" applyAlignment="1">
      <alignment horizontal="left" vertical="center" wrapText="1"/>
    </xf>
    <xf numFmtId="179" fontId="105" fillId="2" borderId="40" xfId="1123" applyNumberFormat="1" applyFont="1" applyFill="1" applyBorder="1" applyAlignment="1">
      <alignment horizontal="right" vertical="center" wrapText="1"/>
    </xf>
    <xf numFmtId="176" fontId="105" fillId="2" borderId="40" xfId="1199" applyNumberFormat="1" applyFont="1" applyFill="1" applyBorder="1" applyAlignment="1">
      <alignment horizontal="right" vertical="center" wrapText="1"/>
    </xf>
    <xf numFmtId="0" fontId="105" fillId="2" borderId="40" xfId="2022" applyFont="1" applyFill="1" applyBorder="1" applyAlignment="1">
      <alignment horizontal="left" vertical="center" wrapText="1"/>
    </xf>
    <xf numFmtId="0" fontId="105" fillId="2" borderId="40" xfId="1199" applyNumberFormat="1" applyFont="1" applyFill="1" applyBorder="1" applyAlignment="1">
      <alignment horizontal="left" vertical="center" wrapText="1"/>
    </xf>
    <xf numFmtId="0" fontId="105" fillId="2" borderId="40" xfId="1123" applyNumberFormat="1" applyFont="1" applyFill="1" applyBorder="1" applyAlignment="1">
      <alignment horizontal="center" vertical="center"/>
    </xf>
    <xf numFmtId="0" fontId="105" fillId="2" borderId="40" xfId="1123" applyNumberFormat="1" applyFont="1" applyFill="1" applyBorder="1" applyAlignment="1">
      <alignment horizontal="left" vertical="center"/>
    </xf>
    <xf numFmtId="181" fontId="105" fillId="2" borderId="40" xfId="1199" applyNumberFormat="1" applyFont="1" applyFill="1" applyBorder="1" applyAlignment="1">
      <alignment horizontal="left" vertical="center"/>
    </xf>
    <xf numFmtId="0" fontId="105" fillId="2" borderId="40" xfId="1123" applyNumberFormat="1" applyFont="1" applyFill="1" applyBorder="1" applyAlignment="1">
      <alignment vertical="center" wrapText="1"/>
    </xf>
    <xf numFmtId="0" fontId="105" fillId="2" borderId="40" xfId="2022" applyFont="1" applyFill="1" applyBorder="1" applyAlignment="1">
      <alignment vertical="center" wrapText="1"/>
    </xf>
    <xf numFmtId="0" fontId="156" fillId="2" borderId="40" xfId="1123" applyNumberFormat="1" applyFont="1" applyFill="1" applyBorder="1" applyAlignment="1">
      <alignment horizontal="center" vertical="center" wrapText="1"/>
    </xf>
    <xf numFmtId="181" fontId="3" fillId="2" borderId="0" xfId="1123" applyNumberFormat="1" applyFont="1" applyFill="1">
      <alignment vertical="center"/>
    </xf>
    <xf numFmtId="179" fontId="105" fillId="2" borderId="40" xfId="1123" applyNumberFormat="1" applyFont="1" applyFill="1" applyBorder="1" applyAlignment="1">
      <alignment horizontal="right" vertical="center"/>
    </xf>
    <xf numFmtId="176" fontId="105" fillId="2" borderId="40" xfId="1199" applyNumberFormat="1" applyFont="1" applyFill="1" applyBorder="1" applyAlignment="1">
      <alignment horizontal="right" vertical="center"/>
    </xf>
    <xf numFmtId="181" fontId="89" fillId="2" borderId="0" xfId="1123" applyNumberFormat="1" applyFont="1" applyFill="1">
      <alignment vertical="center"/>
    </xf>
    <xf numFmtId="0" fontId="3" fillId="2" borderId="0" xfId="1123" applyNumberFormat="1" applyFont="1" applyFill="1">
      <alignment vertical="center"/>
    </xf>
    <xf numFmtId="0" fontId="89" fillId="2" borderId="0" xfId="1123" applyNumberFormat="1" applyFont="1" applyFill="1">
      <alignment vertical="center"/>
    </xf>
    <xf numFmtId="0" fontId="0" fillId="0" borderId="0" xfId="0" applyNumberFormat="1">
      <alignment vertical="center"/>
    </xf>
    <xf numFmtId="0" fontId="159" fillId="0" borderId="0" xfId="0" applyNumberFormat="1" applyFont="1" applyAlignment="1">
      <alignment horizontal="right" vertical="center"/>
    </xf>
    <xf numFmtId="0" fontId="90" fillId="0" borderId="17" xfId="0" applyNumberFormat="1" applyFont="1" applyBorder="1" applyAlignment="1">
      <alignment horizontal="center" vertical="center"/>
    </xf>
    <xf numFmtId="176" fontId="85" fillId="0" borderId="17" xfId="0" applyNumberFormat="1" applyFont="1" applyBorder="1">
      <alignment vertical="center"/>
    </xf>
    <xf numFmtId="176" fontId="90" fillId="0" borderId="17" xfId="0" applyNumberFormat="1" applyFont="1" applyBorder="1">
      <alignment vertical="center"/>
    </xf>
    <xf numFmtId="0" fontId="0" fillId="0" borderId="0" xfId="0" applyNumberFormat="1" applyAlignment="1">
      <alignment horizontal="center" vertical="center"/>
    </xf>
    <xf numFmtId="0" fontId="37" fillId="28" borderId="0" xfId="0" applyNumberFormat="1" applyFont="1" applyFill="1" applyBorder="1" applyAlignment="1" applyProtection="1">
      <alignment horizontal="center" vertical="center"/>
      <protection locked="0"/>
    </xf>
    <xf numFmtId="0" fontId="38" fillId="28" borderId="0" xfId="0" applyNumberFormat="1" applyFont="1" applyFill="1" applyBorder="1" applyAlignment="1" applyProtection="1">
      <alignment horizontal="center" vertical="center"/>
      <protection locked="0"/>
    </xf>
    <xf numFmtId="0" fontId="69" fillId="28" borderId="0" xfId="0" applyNumberFormat="1" applyFont="1" applyFill="1" applyBorder="1" applyAlignment="1" applyProtection="1">
      <alignment horizontal="center" vertical="center"/>
      <protection locked="0"/>
    </xf>
    <xf numFmtId="0" fontId="70" fillId="28" borderId="0" xfId="0" applyNumberFormat="1" applyFont="1" applyFill="1" applyBorder="1" applyAlignment="1" applyProtection="1">
      <alignment horizontal="center" vertical="center"/>
      <protection locked="0"/>
    </xf>
    <xf numFmtId="0" fontId="39" fillId="28" borderId="11" xfId="0" applyNumberFormat="1" applyFont="1" applyFill="1" applyBorder="1" applyAlignment="1" applyProtection="1">
      <alignment horizontal="center" vertical="center"/>
      <protection locked="0"/>
    </xf>
    <xf numFmtId="0" fontId="39" fillId="28" borderId="1" xfId="0" applyNumberFormat="1" applyFont="1" applyFill="1" applyBorder="1" applyAlignment="1" applyProtection="1">
      <alignment horizontal="center" vertical="center"/>
      <protection locked="0"/>
    </xf>
    <xf numFmtId="0" fontId="37" fillId="2" borderId="0" xfId="0" applyNumberFormat="1" applyFont="1" applyFill="1" applyBorder="1" applyAlignment="1" applyProtection="1">
      <alignment horizontal="center" vertical="center"/>
      <protection locked="0"/>
    </xf>
    <xf numFmtId="0" fontId="38" fillId="2" borderId="0" xfId="0" applyNumberFormat="1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wrapText="1"/>
      <protection locked="0"/>
    </xf>
    <xf numFmtId="0" fontId="39" fillId="2" borderId="11" xfId="0" applyNumberFormat="1" applyFont="1" applyFill="1" applyBorder="1" applyAlignment="1" applyProtection="1">
      <alignment horizontal="center" vertical="center"/>
      <protection locked="0"/>
    </xf>
    <xf numFmtId="0" fontId="39" fillId="2" borderId="1" xfId="0" applyNumberFormat="1" applyFont="1" applyFill="1" applyBorder="1" applyAlignment="1" applyProtection="1">
      <alignment horizontal="center" vertical="center"/>
      <protection locked="0"/>
    </xf>
    <xf numFmtId="0" fontId="74" fillId="2" borderId="16" xfId="0" applyFont="1" applyFill="1" applyBorder="1" applyAlignment="1">
      <alignment horizontal="center" vertical="center"/>
    </xf>
    <xf numFmtId="0" fontId="75" fillId="2" borderId="16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76" fillId="2" borderId="11" xfId="0" applyFont="1" applyFill="1" applyBorder="1" applyAlignment="1">
      <alignment horizontal="center" vertical="center" wrapText="1"/>
    </xf>
    <xf numFmtId="0" fontId="76" fillId="2" borderId="11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96" fillId="0" borderId="16" xfId="0" applyFont="1" applyBorder="1" applyAlignment="1">
      <alignment horizontal="center" vertical="center"/>
    </xf>
    <xf numFmtId="0" fontId="79" fillId="0" borderId="16" xfId="0" applyFont="1" applyBorder="1" applyAlignment="1">
      <alignment horizontal="center" vertical="center"/>
    </xf>
    <xf numFmtId="0" fontId="83" fillId="0" borderId="16" xfId="0" applyFont="1" applyBorder="1" applyAlignment="1" applyProtection="1">
      <alignment horizontal="center" vertical="center"/>
    </xf>
    <xf numFmtId="0" fontId="42" fillId="0" borderId="16" xfId="0" applyNumberFormat="1" applyFont="1" applyBorder="1" applyAlignment="1">
      <alignment horizontal="center" vertical="center"/>
    </xf>
    <xf numFmtId="0" fontId="42" fillId="0" borderId="16" xfId="0" applyNumberFormat="1" applyFont="1" applyBorder="1">
      <alignment vertical="center"/>
    </xf>
    <xf numFmtId="0" fontId="49" fillId="0" borderId="0" xfId="0" applyFont="1" applyAlignment="1">
      <alignment horizontal="center" vertical="center"/>
    </xf>
    <xf numFmtId="0" fontId="53" fillId="28" borderId="16" xfId="0" applyFont="1" applyFill="1" applyBorder="1" applyAlignment="1">
      <alignment horizontal="center" vertical="center"/>
    </xf>
    <xf numFmtId="0" fontId="43" fillId="29" borderId="11" xfId="0" applyNumberFormat="1" applyFont="1" applyFill="1" applyBorder="1" applyAlignment="1">
      <alignment horizontal="center" vertical="center"/>
    </xf>
    <xf numFmtId="0" fontId="43" fillId="29" borderId="1" xfId="0" applyNumberFormat="1" applyFont="1" applyFill="1" applyBorder="1" applyAlignment="1">
      <alignment horizontal="center" vertical="center"/>
    </xf>
    <xf numFmtId="181" fontId="64" fillId="2" borderId="16" xfId="0" applyNumberFormat="1" applyFont="1" applyFill="1" applyBorder="1" applyAlignment="1">
      <alignment horizontal="center" vertical="center"/>
    </xf>
    <xf numFmtId="181" fontId="0" fillId="0" borderId="16" xfId="0" applyNumberFormat="1" applyBorder="1" applyAlignment="1">
      <alignment horizontal="center" vertical="center"/>
    </xf>
    <xf numFmtId="0" fontId="0" fillId="0" borderId="16" xfId="0" applyBorder="1" applyAlignment="1">
      <alignment vertical="center"/>
    </xf>
    <xf numFmtId="181" fontId="2" fillId="29" borderId="17" xfId="0" applyNumberFormat="1" applyFont="1" applyFill="1" applyBorder="1" applyAlignment="1">
      <alignment horizontal="center" vertical="center"/>
    </xf>
    <xf numFmtId="181" fontId="45" fillId="29" borderId="17" xfId="0" applyNumberFormat="1" applyFont="1" applyFill="1" applyBorder="1" applyAlignment="1">
      <alignment horizontal="center" vertical="center"/>
    </xf>
    <xf numFmtId="0" fontId="78" fillId="0" borderId="16" xfId="0" applyFont="1" applyBorder="1" applyAlignment="1">
      <alignment horizontal="center" vertical="center"/>
    </xf>
    <xf numFmtId="0" fontId="79" fillId="0" borderId="16" xfId="0" applyFont="1" applyBorder="1" applyAlignment="1">
      <alignment vertical="center"/>
    </xf>
    <xf numFmtId="0" fontId="115" fillId="0" borderId="0" xfId="0" applyFont="1" applyBorder="1" applyAlignment="1">
      <alignment horizontal="center" vertical="center"/>
    </xf>
    <xf numFmtId="0" fontId="97" fillId="2" borderId="0" xfId="0" applyNumberFormat="1" applyFont="1" applyFill="1" applyBorder="1" applyAlignment="1">
      <alignment horizontal="center" vertical="center"/>
    </xf>
    <xf numFmtId="184" fontId="99" fillId="2" borderId="17" xfId="0" applyNumberFormat="1" applyFont="1" applyFill="1" applyBorder="1" applyAlignment="1" applyProtection="1">
      <alignment horizontal="center" vertical="center"/>
    </xf>
    <xf numFmtId="184" fontId="144" fillId="2" borderId="17" xfId="0" applyNumberFormat="1" applyFont="1" applyFill="1" applyBorder="1" applyAlignment="1" applyProtection="1">
      <alignment horizontal="center" vertical="center"/>
    </xf>
    <xf numFmtId="0" fontId="121" fillId="2" borderId="16" xfId="0" applyFont="1" applyFill="1" applyBorder="1" applyAlignment="1">
      <alignment horizontal="center" vertical="center"/>
    </xf>
    <xf numFmtId="0" fontId="124" fillId="0" borderId="16" xfId="0" applyFont="1" applyBorder="1" applyAlignment="1">
      <alignment vertical="center"/>
    </xf>
    <xf numFmtId="0" fontId="131" fillId="2" borderId="16" xfId="2015" applyFont="1" applyFill="1" applyBorder="1" applyAlignment="1">
      <alignment horizontal="center" vertical="center"/>
    </xf>
    <xf numFmtId="0" fontId="132" fillId="2" borderId="16" xfId="2015" applyFont="1" applyFill="1" applyBorder="1" applyAlignment="1">
      <alignment horizontal="center" vertical="center"/>
    </xf>
    <xf numFmtId="0" fontId="110" fillId="2" borderId="11" xfId="0" applyFont="1" applyFill="1" applyBorder="1" applyAlignment="1">
      <alignment horizontal="center" vertical="center" wrapText="1"/>
    </xf>
    <xf numFmtId="0" fontId="110" fillId="2" borderId="13" xfId="0" applyFont="1" applyFill="1" applyBorder="1" applyAlignment="1">
      <alignment horizontal="center" vertical="center" wrapText="1"/>
    </xf>
    <xf numFmtId="0" fontId="110" fillId="2" borderId="1" xfId="0" applyFont="1" applyFill="1" applyBorder="1" applyAlignment="1">
      <alignment horizontal="center" vertical="center" wrapText="1"/>
    </xf>
    <xf numFmtId="176" fontId="110" fillId="2" borderId="11" xfId="0" applyNumberFormat="1" applyFont="1" applyFill="1" applyBorder="1" applyAlignment="1">
      <alignment horizontal="center" vertical="center" wrapText="1"/>
    </xf>
    <xf numFmtId="176" fontId="110" fillId="2" borderId="1" xfId="0" applyNumberFormat="1" applyFont="1" applyFill="1" applyBorder="1" applyAlignment="1">
      <alignment horizontal="center" vertical="center" wrapText="1"/>
    </xf>
    <xf numFmtId="0" fontId="110" fillId="2" borderId="33" xfId="2015" applyFont="1" applyFill="1" applyBorder="1" applyAlignment="1">
      <alignment horizontal="center" vertical="center" wrapText="1"/>
    </xf>
    <xf numFmtId="0" fontId="110" fillId="2" borderId="38" xfId="2015" applyFont="1" applyFill="1" applyBorder="1" applyAlignment="1">
      <alignment horizontal="center" vertical="center" wrapText="1"/>
    </xf>
    <xf numFmtId="0" fontId="110" fillId="2" borderId="11" xfId="2015" applyFont="1" applyFill="1" applyBorder="1" applyAlignment="1">
      <alignment horizontal="center" vertical="center" wrapText="1"/>
    </xf>
    <xf numFmtId="0" fontId="110" fillId="2" borderId="13" xfId="2015" applyFont="1" applyFill="1" applyBorder="1" applyAlignment="1">
      <alignment horizontal="center" vertical="center" wrapText="1"/>
    </xf>
    <xf numFmtId="0" fontId="131" fillId="0" borderId="16" xfId="2015" applyFont="1" applyBorder="1" applyAlignment="1">
      <alignment horizontal="center" vertical="center"/>
    </xf>
    <xf numFmtId="0" fontId="132" fillId="0" borderId="16" xfId="2015" applyFont="1" applyBorder="1" applyAlignment="1">
      <alignment horizontal="center" vertical="center"/>
    </xf>
    <xf numFmtId="0" fontId="110" fillId="0" borderId="11" xfId="0" applyFont="1" applyBorder="1" applyAlignment="1">
      <alignment horizontal="center" vertical="center" wrapText="1"/>
    </xf>
    <xf numFmtId="0" fontId="110" fillId="0" borderId="13" xfId="0" applyFont="1" applyBorder="1" applyAlignment="1">
      <alignment horizontal="center" vertical="center" wrapText="1"/>
    </xf>
    <xf numFmtId="0" fontId="110" fillId="0" borderId="1" xfId="0" applyFont="1" applyBorder="1" applyAlignment="1">
      <alignment horizontal="center" vertical="center" wrapText="1"/>
    </xf>
    <xf numFmtId="176" fontId="110" fillId="0" borderId="11" xfId="0" applyNumberFormat="1" applyFont="1" applyBorder="1" applyAlignment="1">
      <alignment horizontal="center" vertical="center" wrapText="1"/>
    </xf>
    <xf numFmtId="176" fontId="110" fillId="0" borderId="1" xfId="0" applyNumberFormat="1" applyFont="1" applyBorder="1" applyAlignment="1">
      <alignment horizontal="center" vertical="center" wrapText="1"/>
    </xf>
    <xf numFmtId="0" fontId="110" fillId="0" borderId="33" xfId="2015" applyFont="1" applyBorder="1" applyAlignment="1">
      <alignment horizontal="center" vertical="center" wrapText="1"/>
    </xf>
    <xf numFmtId="0" fontId="110" fillId="0" borderId="38" xfId="2015" applyFont="1" applyBorder="1" applyAlignment="1">
      <alignment horizontal="center" vertical="center" wrapText="1"/>
    </xf>
    <xf numFmtId="0" fontId="110" fillId="0" borderId="11" xfId="2015" applyFont="1" applyBorder="1" applyAlignment="1">
      <alignment horizontal="center" vertical="center" wrapText="1"/>
    </xf>
    <xf numFmtId="0" fontId="110" fillId="0" borderId="13" xfId="2015" applyFont="1" applyBorder="1" applyAlignment="1">
      <alignment horizontal="center" vertical="center" wrapText="1"/>
    </xf>
    <xf numFmtId="0" fontId="135" fillId="2" borderId="0" xfId="0" applyFont="1" applyFill="1" applyAlignment="1">
      <alignment horizontal="center" vertical="center"/>
    </xf>
    <xf numFmtId="0" fontId="136" fillId="2" borderId="0" xfId="0" applyFont="1" applyFill="1" applyAlignment="1">
      <alignment horizontal="center" vertical="center"/>
    </xf>
    <xf numFmtId="0" fontId="68" fillId="2" borderId="0" xfId="0" applyFont="1" applyFill="1" applyAlignment="1">
      <alignment vertical="center" wrapText="1"/>
    </xf>
    <xf numFmtId="0" fontId="128" fillId="2" borderId="30" xfId="0" applyFont="1" applyFill="1" applyBorder="1" applyAlignment="1">
      <alignment horizontal="center" vertical="center" wrapText="1"/>
    </xf>
    <xf numFmtId="0" fontId="138" fillId="2" borderId="30" xfId="0" applyFont="1" applyFill="1" applyBorder="1" applyAlignment="1">
      <alignment horizontal="center" vertical="center" wrapText="1"/>
    </xf>
    <xf numFmtId="0" fontId="68" fillId="2" borderId="0" xfId="0" applyFont="1" applyFill="1" applyAlignment="1">
      <alignment horizontal="left" vertical="center" wrapText="1"/>
    </xf>
    <xf numFmtId="185" fontId="57" fillId="2" borderId="11" xfId="0" applyNumberFormat="1" applyFont="1" applyFill="1" applyBorder="1" applyAlignment="1">
      <alignment horizontal="center" vertical="center"/>
    </xf>
    <xf numFmtId="185" fontId="118" fillId="0" borderId="13" xfId="0" applyNumberFormat="1" applyFont="1" applyBorder="1" applyAlignment="1">
      <alignment horizontal="center" vertical="center"/>
    </xf>
    <xf numFmtId="185" fontId="118" fillId="0" borderId="1" xfId="0" applyNumberFormat="1" applyFont="1" applyBorder="1" applyAlignment="1">
      <alignment horizontal="center" vertical="center"/>
    </xf>
    <xf numFmtId="185" fontId="57" fillId="2" borderId="13" xfId="0" applyNumberFormat="1" applyFont="1" applyFill="1" applyBorder="1" applyAlignment="1">
      <alignment horizontal="center" vertical="center"/>
    </xf>
    <xf numFmtId="185" fontId="57" fillId="2" borderId="1" xfId="0" applyNumberFormat="1" applyFont="1" applyFill="1" applyBorder="1" applyAlignment="1">
      <alignment horizontal="center" vertical="center"/>
    </xf>
    <xf numFmtId="185" fontId="126" fillId="2" borderId="11" xfId="0" applyNumberFormat="1" applyFont="1" applyFill="1" applyBorder="1" applyAlignment="1">
      <alignment horizontal="center" vertical="center"/>
    </xf>
    <xf numFmtId="185" fontId="126" fillId="2" borderId="13" xfId="0" applyNumberFormat="1" applyFont="1" applyFill="1" applyBorder="1" applyAlignment="1">
      <alignment horizontal="center" vertical="center"/>
    </xf>
    <xf numFmtId="185" fontId="126" fillId="2" borderId="1" xfId="0" applyNumberFormat="1" applyFont="1" applyFill="1" applyBorder="1" applyAlignment="1">
      <alignment horizontal="center" vertical="center"/>
    </xf>
    <xf numFmtId="185" fontId="118" fillId="2" borderId="11" xfId="0" applyNumberFormat="1" applyFont="1" applyFill="1" applyBorder="1" applyAlignment="1">
      <alignment horizontal="center" vertical="center"/>
    </xf>
    <xf numFmtId="185" fontId="118" fillId="2" borderId="13" xfId="0" applyNumberFormat="1" applyFont="1" applyFill="1" applyBorder="1" applyAlignment="1">
      <alignment horizontal="center" vertical="center"/>
    </xf>
    <xf numFmtId="185" fontId="118" fillId="2" borderId="1" xfId="0" applyNumberFormat="1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43" fontId="4" fillId="2" borderId="30" xfId="2012" applyNumberFormat="1" applyFont="1" applyFill="1" applyBorder="1" applyAlignment="1">
      <alignment horizontal="center" vertical="center"/>
    </xf>
    <xf numFmtId="43" fontId="4" fillId="2" borderId="33" xfId="2012" applyNumberFormat="1" applyFont="1" applyFill="1" applyBorder="1" applyAlignment="1">
      <alignment horizontal="center" vertical="center"/>
    </xf>
    <xf numFmtId="185" fontId="126" fillId="2" borderId="17" xfId="0" applyNumberFormat="1" applyFont="1" applyFill="1" applyBorder="1" applyAlignment="1">
      <alignment horizontal="center" vertical="center" wrapText="1"/>
    </xf>
    <xf numFmtId="185" fontId="57" fillId="2" borderId="11" xfId="2011" applyNumberFormat="1" applyFont="1" applyFill="1" applyBorder="1" applyAlignment="1">
      <alignment horizontal="center" vertical="center" wrapText="1"/>
    </xf>
    <xf numFmtId="185" fontId="57" fillId="2" borderId="13" xfId="2011" applyNumberFormat="1" applyFont="1" applyFill="1" applyBorder="1" applyAlignment="1">
      <alignment horizontal="center" vertical="center" wrapText="1"/>
    </xf>
    <xf numFmtId="185" fontId="57" fillId="2" borderId="1" xfId="2011" applyNumberFormat="1" applyFont="1" applyFill="1" applyBorder="1" applyAlignment="1">
      <alignment horizontal="center" vertical="center" wrapText="1"/>
    </xf>
    <xf numFmtId="0" fontId="65" fillId="2" borderId="17" xfId="0" applyFont="1" applyFill="1" applyBorder="1" applyAlignment="1">
      <alignment horizontal="center" vertical="center"/>
    </xf>
    <xf numFmtId="43" fontId="65" fillId="2" borderId="17" xfId="0" applyNumberFormat="1" applyFont="1" applyFill="1" applyBorder="1" applyAlignment="1">
      <alignment horizontal="center" vertical="center"/>
    </xf>
    <xf numFmtId="184" fontId="4" fillId="2" borderId="11" xfId="0" applyNumberFormat="1" applyFont="1" applyFill="1" applyBorder="1" applyAlignment="1">
      <alignment horizontal="center" vertical="center" wrapText="1"/>
    </xf>
    <xf numFmtId="184" fontId="4" fillId="2" borderId="1" xfId="0" applyNumberFormat="1" applyFont="1" applyFill="1" applyBorder="1" applyAlignment="1">
      <alignment horizontal="center" vertical="center" wrapText="1"/>
    </xf>
    <xf numFmtId="43" fontId="4" fillId="2" borderId="37" xfId="0" applyNumberFormat="1" applyFont="1" applyFill="1" applyBorder="1" applyAlignment="1">
      <alignment horizontal="center" vertical="center" wrapText="1"/>
    </xf>
    <xf numFmtId="43" fontId="4" fillId="2" borderId="20" xfId="0" applyNumberFormat="1" applyFont="1" applyFill="1" applyBorder="1" applyAlignment="1">
      <alignment horizontal="center" vertical="center" wrapText="1"/>
    </xf>
    <xf numFmtId="0" fontId="4" fillId="2" borderId="11" xfId="2012" applyFont="1" applyFill="1" applyBorder="1" applyAlignment="1">
      <alignment horizontal="center" vertical="center" wrapText="1"/>
    </xf>
    <xf numFmtId="0" fontId="4" fillId="2" borderId="13" xfId="2012" applyFont="1" applyFill="1" applyBorder="1" applyAlignment="1">
      <alignment horizontal="center" vertical="center" wrapText="1"/>
    </xf>
    <xf numFmtId="0" fontId="4" fillId="2" borderId="1" xfId="2012" applyFont="1" applyFill="1" applyBorder="1" applyAlignment="1">
      <alignment horizontal="center" vertical="center" wrapText="1"/>
    </xf>
    <xf numFmtId="0" fontId="4" fillId="2" borderId="11" xfId="2012" applyFont="1" applyFill="1" applyBorder="1" applyAlignment="1">
      <alignment horizontal="center" vertical="center"/>
    </xf>
    <xf numFmtId="0" fontId="4" fillId="2" borderId="13" xfId="2012" applyFont="1" applyFill="1" applyBorder="1" applyAlignment="1">
      <alignment horizontal="center" vertical="center"/>
    </xf>
    <xf numFmtId="0" fontId="4" fillId="2" borderId="1" xfId="2012" applyFont="1" applyFill="1" applyBorder="1" applyAlignment="1">
      <alignment horizontal="center" vertical="center"/>
    </xf>
    <xf numFmtId="0" fontId="57" fillId="2" borderId="30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 wrapText="1"/>
    </xf>
    <xf numFmtId="0" fontId="57" fillId="2" borderId="30" xfId="0" applyFont="1" applyFill="1" applyBorder="1" applyAlignment="1">
      <alignment horizontal="center" vertical="center" wrapText="1"/>
    </xf>
    <xf numFmtId="0" fontId="4" fillId="2" borderId="30" xfId="2012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57" fillId="2" borderId="13" xfId="0" applyFont="1" applyFill="1" applyBorder="1" applyAlignment="1">
      <alignment horizontal="center" vertical="center"/>
    </xf>
    <xf numFmtId="0" fontId="57" fillId="2" borderId="1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57" fillId="2" borderId="13" xfId="0" applyFont="1" applyFill="1" applyBorder="1" applyAlignment="1">
      <alignment horizontal="center" vertical="center" wrapText="1"/>
    </xf>
    <xf numFmtId="0" fontId="57" fillId="2" borderId="1" xfId="0" applyFont="1" applyFill="1" applyBorder="1" applyAlignment="1">
      <alignment horizontal="center" vertical="center" wrapText="1"/>
    </xf>
    <xf numFmtId="0" fontId="57" fillId="2" borderId="30" xfId="2012" applyFont="1" applyFill="1" applyBorder="1" applyAlignment="1">
      <alignment horizontal="center" vertical="center"/>
    </xf>
    <xf numFmtId="0" fontId="4" fillId="2" borderId="30" xfId="2012" applyFont="1" applyFill="1" applyBorder="1" applyAlignment="1">
      <alignment horizontal="center" vertical="center" wrapText="1"/>
    </xf>
    <xf numFmtId="0" fontId="57" fillId="2" borderId="30" xfId="2012" applyFont="1" applyFill="1" applyBorder="1" applyAlignment="1">
      <alignment horizontal="center" vertical="center" wrapText="1"/>
    </xf>
    <xf numFmtId="185" fontId="4" fillId="2" borderId="30" xfId="0" applyNumberFormat="1" applyFont="1" applyFill="1" applyBorder="1" applyAlignment="1">
      <alignment horizontal="center" vertical="center"/>
    </xf>
    <xf numFmtId="0" fontId="57" fillId="2" borderId="13" xfId="2012" applyFont="1" applyFill="1" applyBorder="1" applyAlignment="1">
      <alignment horizontal="center" vertical="center"/>
    </xf>
    <xf numFmtId="0" fontId="57" fillId="2" borderId="1" xfId="2012" applyFont="1" applyFill="1" applyBorder="1" applyAlignment="1">
      <alignment horizontal="center" vertical="center"/>
    </xf>
    <xf numFmtId="0" fontId="57" fillId="2" borderId="13" xfId="2012" applyFont="1" applyFill="1" applyBorder="1" applyAlignment="1">
      <alignment horizontal="center" vertical="center" wrapText="1"/>
    </xf>
    <xf numFmtId="0" fontId="57" fillId="2" borderId="1" xfId="2012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57" fillId="2" borderId="11" xfId="2012" applyFont="1" applyFill="1" applyBorder="1" applyAlignment="1">
      <alignment horizontal="center" vertical="center"/>
    </xf>
    <xf numFmtId="0" fontId="57" fillId="2" borderId="11" xfId="2012" applyFont="1" applyFill="1" applyBorder="1" applyAlignment="1">
      <alignment horizontal="center" vertical="center" wrapText="1"/>
    </xf>
    <xf numFmtId="0" fontId="57" fillId="2" borderId="11" xfId="0" applyFont="1" applyFill="1" applyBorder="1" applyAlignment="1">
      <alignment horizontal="center" vertical="center"/>
    </xf>
    <xf numFmtId="43" fontId="4" fillId="2" borderId="17" xfId="2012" applyNumberFormat="1" applyFont="1" applyFill="1" applyBorder="1" applyAlignment="1">
      <alignment horizontal="center" vertical="center"/>
    </xf>
    <xf numFmtId="0" fontId="4" fillId="2" borderId="17" xfId="2012" applyFont="1" applyFill="1" applyBorder="1" applyAlignment="1">
      <alignment horizontal="center" vertical="center"/>
    </xf>
    <xf numFmtId="0" fontId="65" fillId="2" borderId="17" xfId="2012" applyFont="1" applyFill="1" applyBorder="1" applyAlignment="1">
      <alignment horizontal="center" vertical="center"/>
    </xf>
    <xf numFmtId="0" fontId="65" fillId="2" borderId="17" xfId="2012" applyFont="1" applyFill="1" applyBorder="1" applyAlignment="1">
      <alignment horizontal="center" vertical="center" wrapText="1"/>
    </xf>
    <xf numFmtId="0" fontId="119" fillId="2" borderId="17" xfId="0" applyFont="1" applyFill="1" applyBorder="1" applyAlignment="1">
      <alignment horizontal="center" vertical="center" wrapText="1" readingOrder="1"/>
    </xf>
    <xf numFmtId="0" fontId="68" fillId="2" borderId="17" xfId="0" applyFont="1" applyFill="1" applyBorder="1" applyAlignment="1">
      <alignment horizontal="center" vertical="center"/>
    </xf>
    <xf numFmtId="0" fontId="68" fillId="2" borderId="17" xfId="2012" applyFont="1" applyFill="1" applyBorder="1" applyAlignment="1">
      <alignment horizontal="center" vertical="center" wrapText="1"/>
    </xf>
    <xf numFmtId="0" fontId="68" fillId="2" borderId="18" xfId="0" applyFont="1" applyFill="1" applyBorder="1" applyAlignment="1">
      <alignment horizontal="center" vertical="center" wrapText="1"/>
    </xf>
    <xf numFmtId="0" fontId="119" fillId="2" borderId="18" xfId="0" applyFont="1" applyFill="1" applyBorder="1" applyAlignment="1">
      <alignment horizontal="center" vertical="center" wrapText="1" readingOrder="1"/>
    </xf>
    <xf numFmtId="0" fontId="65" fillId="2" borderId="17" xfId="0" applyFont="1" applyFill="1" applyBorder="1" applyAlignment="1">
      <alignment horizontal="center" vertical="center" wrapText="1"/>
    </xf>
    <xf numFmtId="12" fontId="68" fillId="2" borderId="17" xfId="2012" applyNumberFormat="1" applyFont="1" applyFill="1" applyBorder="1" applyAlignment="1">
      <alignment vertical="center"/>
    </xf>
    <xf numFmtId="43" fontId="68" fillId="2" borderId="17" xfId="2012" applyNumberFormat="1" applyFont="1" applyFill="1" applyBorder="1" applyAlignment="1">
      <alignment horizontal="center" vertical="center" wrapText="1"/>
    </xf>
    <xf numFmtId="43" fontId="68" fillId="2" borderId="18" xfId="0" applyNumberFormat="1" applyFont="1" applyFill="1" applyBorder="1" applyAlignment="1">
      <alignment horizontal="center" vertical="center" wrapText="1"/>
    </xf>
    <xf numFmtId="12" fontId="68" fillId="2" borderId="17" xfId="2012" applyNumberFormat="1" applyFont="1" applyFill="1" applyBorder="1" applyAlignment="1">
      <alignment horizontal="center" vertical="center" wrapText="1"/>
    </xf>
    <xf numFmtId="43" fontId="68" fillId="2" borderId="19" xfId="2012" applyNumberFormat="1" applyFont="1" applyFill="1" applyBorder="1" applyAlignment="1">
      <alignment horizontal="center" vertical="center" wrapText="1"/>
    </xf>
    <xf numFmtId="0" fontId="4" fillId="2" borderId="17" xfId="2012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185" fontId="4" fillId="2" borderId="17" xfId="0" applyNumberFormat="1" applyFont="1" applyFill="1" applyBorder="1" applyAlignment="1">
      <alignment horizontal="center" vertical="center" wrapText="1"/>
    </xf>
    <xf numFmtId="0" fontId="107" fillId="2" borderId="17" xfId="0" applyFont="1" applyFill="1" applyBorder="1" applyAlignment="1">
      <alignment horizontal="center" vertical="center" wrapText="1" readingOrder="1"/>
    </xf>
    <xf numFmtId="0" fontId="126" fillId="2" borderId="17" xfId="0" applyFont="1" applyFill="1" applyBorder="1" applyAlignment="1">
      <alignment horizontal="center" vertical="center"/>
    </xf>
    <xf numFmtId="0" fontId="126" fillId="2" borderId="17" xfId="0" applyFont="1" applyFill="1" applyBorder="1" applyAlignment="1">
      <alignment horizontal="center" vertical="center" wrapText="1"/>
    </xf>
    <xf numFmtId="0" fontId="4" fillId="2" borderId="17" xfId="2013" applyFont="1" applyFill="1" applyBorder="1" applyAlignment="1">
      <alignment horizontal="center" vertical="center" wrapText="1"/>
    </xf>
    <xf numFmtId="0" fontId="4" fillId="2" borderId="17" xfId="1267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/>
    </xf>
    <xf numFmtId="0" fontId="107" fillId="2" borderId="17" xfId="0" applyFont="1" applyFill="1" applyBorder="1" applyAlignment="1">
      <alignment horizontal="center" vertical="center"/>
    </xf>
    <xf numFmtId="0" fontId="57" fillId="2" borderId="17" xfId="0" applyFont="1" applyFill="1" applyBorder="1" applyAlignment="1">
      <alignment horizontal="center" vertical="center" wrapText="1"/>
    </xf>
    <xf numFmtId="43" fontId="57" fillId="2" borderId="33" xfId="0" applyNumberFormat="1" applyFont="1" applyFill="1" applyBorder="1" applyAlignment="1">
      <alignment horizontal="center" vertical="center" wrapText="1"/>
    </xf>
    <xf numFmtId="0" fontId="83" fillId="2" borderId="16" xfId="0" applyFont="1" applyFill="1" applyBorder="1" applyAlignment="1">
      <alignment horizontal="center" vertical="center" wrapText="1"/>
    </xf>
    <xf numFmtId="0" fontId="126" fillId="2" borderId="16" xfId="0" applyFont="1" applyFill="1" applyBorder="1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70" fillId="0" borderId="0" xfId="0" applyFont="1" applyAlignment="1">
      <alignment horizontal="center" vertical="center"/>
    </xf>
    <xf numFmtId="0" fontId="4" fillId="0" borderId="17" xfId="2012" applyFont="1" applyFill="1" applyBorder="1" applyAlignment="1">
      <alignment horizontal="center" vertical="center" wrapText="1"/>
    </xf>
    <xf numFmtId="0" fontId="4" fillId="0" borderId="13" xfId="2012" applyFont="1" applyFill="1" applyBorder="1" applyAlignment="1">
      <alignment horizontal="center" vertical="center" wrapText="1"/>
    </xf>
    <xf numFmtId="0" fontId="4" fillId="0" borderId="1" xfId="2012" applyFont="1" applyFill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109" fillId="0" borderId="16" xfId="0" applyFont="1" applyBorder="1" applyAlignment="1">
      <alignment horizontal="center" vertical="center" wrapText="1"/>
    </xf>
    <xf numFmtId="176" fontId="113" fillId="0" borderId="11" xfId="0" applyNumberFormat="1" applyFont="1" applyBorder="1" applyAlignment="1">
      <alignment horizontal="center" vertical="center" wrapText="1"/>
    </xf>
    <xf numFmtId="176" fontId="113" fillId="0" borderId="1" xfId="0" applyNumberFormat="1" applyFont="1" applyBorder="1" applyAlignment="1">
      <alignment horizontal="center" vertical="center" wrapText="1"/>
    </xf>
    <xf numFmtId="0" fontId="113" fillId="0" borderId="11" xfId="0" applyFont="1" applyBorder="1" applyAlignment="1">
      <alignment horizontal="center" vertical="center" wrapText="1"/>
    </xf>
    <xf numFmtId="0" fontId="113" fillId="0" borderId="1" xfId="0" applyFont="1" applyBorder="1" applyAlignment="1">
      <alignment horizontal="center" vertical="center" wrapText="1"/>
    </xf>
    <xf numFmtId="176" fontId="113" fillId="2" borderId="11" xfId="0" applyNumberFormat="1" applyFont="1" applyFill="1" applyBorder="1" applyAlignment="1">
      <alignment horizontal="center" vertical="center" wrapText="1"/>
    </xf>
    <xf numFmtId="176" fontId="113" fillId="2" borderId="13" xfId="0" applyNumberFormat="1" applyFont="1" applyFill="1" applyBorder="1" applyAlignment="1">
      <alignment horizontal="center" vertical="center" wrapText="1"/>
    </xf>
    <xf numFmtId="176" fontId="113" fillId="2" borderId="1" xfId="0" applyNumberFormat="1" applyFont="1" applyFill="1" applyBorder="1" applyAlignment="1">
      <alignment horizontal="center" vertical="center" wrapText="1"/>
    </xf>
    <xf numFmtId="176" fontId="68" fillId="2" borderId="11" xfId="0" applyNumberFormat="1" applyFont="1" applyFill="1" applyBorder="1" applyAlignment="1">
      <alignment horizontal="center" vertical="center" wrapText="1"/>
    </xf>
    <xf numFmtId="176" fontId="68" fillId="2" borderId="13" xfId="0" applyNumberFormat="1" applyFont="1" applyFill="1" applyBorder="1" applyAlignment="1">
      <alignment horizontal="center" vertical="center" wrapText="1"/>
    </xf>
    <xf numFmtId="176" fontId="68" fillId="2" borderId="1" xfId="0" applyNumberFormat="1" applyFont="1" applyFill="1" applyBorder="1" applyAlignment="1">
      <alignment horizontal="center" vertical="center" wrapText="1"/>
    </xf>
    <xf numFmtId="0" fontId="113" fillId="2" borderId="11" xfId="0" applyFont="1" applyFill="1" applyBorder="1" applyAlignment="1">
      <alignment horizontal="center" vertical="center" wrapText="1"/>
    </xf>
    <xf numFmtId="0" fontId="113" fillId="2" borderId="13" xfId="0" applyFont="1" applyFill="1" applyBorder="1" applyAlignment="1">
      <alignment horizontal="center" vertical="center" wrapText="1"/>
    </xf>
    <xf numFmtId="0" fontId="113" fillId="2" borderId="1" xfId="0" applyFont="1" applyFill="1" applyBorder="1" applyAlignment="1">
      <alignment horizontal="center" vertical="center" wrapText="1"/>
    </xf>
    <xf numFmtId="176" fontId="120" fillId="0" borderId="24" xfId="0" applyNumberFormat="1" applyFont="1" applyFill="1" applyBorder="1" applyAlignment="1">
      <alignment horizontal="center" vertical="center" wrapText="1"/>
    </xf>
    <xf numFmtId="176" fontId="120" fillId="0" borderId="22" xfId="0" applyNumberFormat="1" applyFont="1" applyFill="1" applyBorder="1" applyAlignment="1">
      <alignment horizontal="center" vertical="center" wrapText="1"/>
    </xf>
    <xf numFmtId="176" fontId="119" fillId="0" borderId="24" xfId="0" applyNumberFormat="1" applyFont="1" applyFill="1" applyBorder="1" applyAlignment="1">
      <alignment horizontal="center" vertical="center" wrapText="1"/>
    </xf>
    <xf numFmtId="176" fontId="119" fillId="0" borderId="22" xfId="0" applyNumberFormat="1" applyFont="1" applyFill="1" applyBorder="1" applyAlignment="1">
      <alignment horizontal="center" vertical="center" wrapText="1"/>
    </xf>
    <xf numFmtId="176" fontId="120" fillId="0" borderId="25" xfId="0" applyNumberFormat="1" applyFont="1" applyFill="1" applyBorder="1" applyAlignment="1">
      <alignment horizontal="center" vertical="center" wrapText="1"/>
    </xf>
    <xf numFmtId="176" fontId="120" fillId="0" borderId="26" xfId="0" applyNumberFormat="1" applyFont="1" applyFill="1" applyBorder="1" applyAlignment="1">
      <alignment horizontal="center" vertical="center" wrapText="1"/>
    </xf>
    <xf numFmtId="0" fontId="146" fillId="0" borderId="16" xfId="0" applyFont="1" applyBorder="1" applyAlignment="1">
      <alignment horizontal="center" vertical="center"/>
    </xf>
    <xf numFmtId="0" fontId="42" fillId="0" borderId="16" xfId="0" applyFont="1" applyBorder="1" applyAlignment="1">
      <alignment horizontal="center" vertical="center"/>
    </xf>
    <xf numFmtId="0" fontId="157" fillId="0" borderId="0" xfId="0" applyNumberFormat="1" applyFont="1" applyAlignment="1">
      <alignment horizontal="center" vertical="center"/>
    </xf>
    <xf numFmtId="181" fontId="0" fillId="0" borderId="0" xfId="0" applyNumberFormat="1">
      <alignment vertical="center"/>
    </xf>
    <xf numFmtId="0" fontId="158" fillId="0" borderId="16" xfId="0" applyNumberFormat="1" applyFont="1" applyBorder="1">
      <alignment vertical="center"/>
    </xf>
    <xf numFmtId="181" fontId="0" fillId="0" borderId="16" xfId="0" applyNumberFormat="1" applyBorder="1">
      <alignment vertical="center"/>
    </xf>
    <xf numFmtId="181" fontId="152" fillId="2" borderId="16" xfId="1123" applyNumberFormat="1" applyFont="1" applyFill="1" applyBorder="1" applyAlignment="1">
      <alignment horizontal="center" vertical="center"/>
    </xf>
    <xf numFmtId="0" fontId="154" fillId="2" borderId="16" xfId="2021" applyNumberFormat="1" applyFont="1" applyFill="1" applyBorder="1" applyAlignment="1">
      <alignment horizontal="center" vertical="center"/>
    </xf>
    <xf numFmtId="0" fontId="79" fillId="2" borderId="16" xfId="0" applyNumberFormat="1" applyFont="1" applyFill="1" applyBorder="1" applyAlignment="1">
      <alignment vertical="center"/>
    </xf>
    <xf numFmtId="0" fontId="155" fillId="0" borderId="16" xfId="0" applyFont="1" applyFill="1" applyBorder="1" applyAlignment="1">
      <alignment horizontal="center" vertical="center"/>
    </xf>
  </cellXfs>
  <cellStyles count="2023">
    <cellStyle name="20% - 强调文字颜色 1 2" xfId="2"/>
    <cellStyle name="20% - 强调文字颜色 1 2 2" xfId="3"/>
    <cellStyle name="20% - 强调文字颜色 1 2 2 2" xfId="4"/>
    <cellStyle name="20% - 强调文字颜色 1 2 2 2 2" xfId="5"/>
    <cellStyle name="20% - 强调文字颜色 1 2 2 3" xfId="6"/>
    <cellStyle name="20% - 强调文字颜色 1 2 3" xfId="7"/>
    <cellStyle name="20% - 强调文字颜色 1 2 3 2" xfId="8"/>
    <cellStyle name="20% - 强调文字颜色 1 2 4" xfId="9"/>
    <cellStyle name="20% - 强调文字颜色 1 3" xfId="10"/>
    <cellStyle name="20% - 强调文字颜色 1 3 2" xfId="11"/>
    <cellStyle name="20% - 强调文字颜色 1 3 2 2" xfId="12"/>
    <cellStyle name="20% - 强调文字颜色 1 3 2 2 2" xfId="13"/>
    <cellStyle name="20% - 强调文字颜色 1 3 2 3" xfId="14"/>
    <cellStyle name="20% - 强调文字颜色 1 3 3" xfId="15"/>
    <cellStyle name="20% - 强调文字颜色 1 3 3 2" xfId="16"/>
    <cellStyle name="20% - 强调文字颜色 1 3 4" xfId="17"/>
    <cellStyle name="20% - 强调文字颜色 1 4" xfId="18"/>
    <cellStyle name="20% - 强调文字颜色 1 4 2" xfId="19"/>
    <cellStyle name="20% - 强调文字颜色 1 4 2 2" xfId="20"/>
    <cellStyle name="20% - 强调文字颜色 1 4 2 2 2" xfId="21"/>
    <cellStyle name="20% - 强调文字颜色 1 4 2 3" xfId="22"/>
    <cellStyle name="20% - 强调文字颜色 1 4 3" xfId="23"/>
    <cellStyle name="20% - 强调文字颜色 1 4 3 2" xfId="24"/>
    <cellStyle name="20% - 强调文字颜色 1 4 4" xfId="25"/>
    <cellStyle name="20% - 强调文字颜色 1 5" xfId="26"/>
    <cellStyle name="20% - 强调文字颜色 1 5 2" xfId="27"/>
    <cellStyle name="20% - 强调文字颜色 1 5 2 2" xfId="28"/>
    <cellStyle name="20% - 强调文字颜色 1 5 3" xfId="29"/>
    <cellStyle name="20% - 强调文字颜色 1 6" xfId="30"/>
    <cellStyle name="20% - 强调文字颜色 1 6 2" xfId="31"/>
    <cellStyle name="20% - 强调文字颜色 1 6 2 2" xfId="32"/>
    <cellStyle name="20% - 强调文字颜色 1 6 3" xfId="33"/>
    <cellStyle name="20% - 强调文字颜色 1 7" xfId="34"/>
    <cellStyle name="20% - 强调文字颜色 1 7 2" xfId="35"/>
    <cellStyle name="20% - 强调文字颜色 1 7 2 2" xfId="36"/>
    <cellStyle name="20% - 强调文字颜色 1 7 3" xfId="37"/>
    <cellStyle name="20% - 强调文字颜色 2 2" xfId="38"/>
    <cellStyle name="20% - 强调文字颜色 2 2 2" xfId="39"/>
    <cellStyle name="20% - 强调文字颜色 2 2 2 2" xfId="40"/>
    <cellStyle name="20% - 强调文字颜色 2 2 2 2 2" xfId="41"/>
    <cellStyle name="20% - 强调文字颜色 2 2 2 3" xfId="42"/>
    <cellStyle name="20% - 强调文字颜色 2 2 3" xfId="43"/>
    <cellStyle name="20% - 强调文字颜色 2 2 3 2" xfId="44"/>
    <cellStyle name="20% - 强调文字颜色 2 2 4" xfId="45"/>
    <cellStyle name="20% - 强调文字颜色 2 3" xfId="46"/>
    <cellStyle name="20% - 强调文字颜色 2 3 2" xfId="47"/>
    <cellStyle name="20% - 强调文字颜色 2 3 2 2" xfId="48"/>
    <cellStyle name="20% - 强调文字颜色 2 3 2 2 2" xfId="49"/>
    <cellStyle name="20% - 强调文字颜色 2 3 2 3" xfId="50"/>
    <cellStyle name="20% - 强调文字颜色 2 3 3" xfId="51"/>
    <cellStyle name="20% - 强调文字颜色 2 3 3 2" xfId="52"/>
    <cellStyle name="20% - 强调文字颜色 2 3 4" xfId="53"/>
    <cellStyle name="20% - 强调文字颜色 2 4" xfId="54"/>
    <cellStyle name="20% - 强调文字颜色 2 4 2" xfId="55"/>
    <cellStyle name="20% - 强调文字颜色 2 4 2 2" xfId="56"/>
    <cellStyle name="20% - 强调文字颜色 2 4 2 2 2" xfId="57"/>
    <cellStyle name="20% - 强调文字颜色 2 4 2 3" xfId="58"/>
    <cellStyle name="20% - 强调文字颜色 2 4 3" xfId="59"/>
    <cellStyle name="20% - 强调文字颜色 2 4 3 2" xfId="60"/>
    <cellStyle name="20% - 强调文字颜色 2 4 4" xfId="61"/>
    <cellStyle name="20% - 强调文字颜色 2 5" xfId="62"/>
    <cellStyle name="20% - 强调文字颜色 2 5 2" xfId="63"/>
    <cellStyle name="20% - 强调文字颜色 2 5 2 2" xfId="64"/>
    <cellStyle name="20% - 强调文字颜色 2 5 3" xfId="65"/>
    <cellStyle name="20% - 强调文字颜色 2 6" xfId="66"/>
    <cellStyle name="20% - 强调文字颜色 2 6 2" xfId="67"/>
    <cellStyle name="20% - 强调文字颜色 2 6 2 2" xfId="68"/>
    <cellStyle name="20% - 强调文字颜色 2 6 3" xfId="69"/>
    <cellStyle name="20% - 强调文字颜色 2 7" xfId="70"/>
    <cellStyle name="20% - 强调文字颜色 2 7 2" xfId="71"/>
    <cellStyle name="20% - 强调文字颜色 2 7 2 2" xfId="72"/>
    <cellStyle name="20% - 强调文字颜色 2 7 3" xfId="73"/>
    <cellStyle name="20% - 强调文字颜色 3 2" xfId="74"/>
    <cellStyle name="20% - 强调文字颜色 3 2 2" xfId="75"/>
    <cellStyle name="20% - 强调文字颜色 3 2 2 2" xfId="76"/>
    <cellStyle name="20% - 强调文字颜色 3 2 2 2 2" xfId="77"/>
    <cellStyle name="20% - 强调文字颜色 3 2 2 3" xfId="78"/>
    <cellStyle name="20% - 强调文字颜色 3 2 3" xfId="79"/>
    <cellStyle name="20% - 强调文字颜色 3 2 3 2" xfId="80"/>
    <cellStyle name="20% - 强调文字颜色 3 2 4" xfId="81"/>
    <cellStyle name="20% - 强调文字颜色 3 3" xfId="82"/>
    <cellStyle name="20% - 强调文字颜色 3 3 2" xfId="83"/>
    <cellStyle name="20% - 强调文字颜色 3 3 2 2" xfId="84"/>
    <cellStyle name="20% - 强调文字颜色 3 3 2 2 2" xfId="85"/>
    <cellStyle name="20% - 强调文字颜色 3 3 2 3" xfId="86"/>
    <cellStyle name="20% - 强调文字颜色 3 3 3" xfId="87"/>
    <cellStyle name="20% - 强调文字颜色 3 3 3 2" xfId="88"/>
    <cellStyle name="20% - 强调文字颜色 3 3 4" xfId="89"/>
    <cellStyle name="20% - 强调文字颜色 3 4" xfId="90"/>
    <cellStyle name="20% - 强调文字颜色 3 4 2" xfId="91"/>
    <cellStyle name="20% - 强调文字颜色 3 4 2 2" xfId="92"/>
    <cellStyle name="20% - 强调文字颜色 3 4 2 2 2" xfId="93"/>
    <cellStyle name="20% - 强调文字颜色 3 4 2 3" xfId="94"/>
    <cellStyle name="20% - 强调文字颜色 3 4 3" xfId="95"/>
    <cellStyle name="20% - 强调文字颜色 3 4 3 2" xfId="96"/>
    <cellStyle name="20% - 强调文字颜色 3 4 4" xfId="97"/>
    <cellStyle name="20% - 强调文字颜色 3 5" xfId="98"/>
    <cellStyle name="20% - 强调文字颜色 3 5 2" xfId="99"/>
    <cellStyle name="20% - 强调文字颜色 3 5 2 2" xfId="100"/>
    <cellStyle name="20% - 强调文字颜色 3 5 3" xfId="101"/>
    <cellStyle name="20% - 强调文字颜色 3 6" xfId="102"/>
    <cellStyle name="20% - 强调文字颜色 3 6 2" xfId="103"/>
    <cellStyle name="20% - 强调文字颜色 3 6 2 2" xfId="104"/>
    <cellStyle name="20% - 强调文字颜色 3 6 3" xfId="105"/>
    <cellStyle name="20% - 强调文字颜色 3 7" xfId="106"/>
    <cellStyle name="20% - 强调文字颜色 3 7 2" xfId="107"/>
    <cellStyle name="20% - 强调文字颜色 3 7 2 2" xfId="108"/>
    <cellStyle name="20% - 强调文字颜色 3 7 3" xfId="109"/>
    <cellStyle name="20% - 强调文字颜色 4 2" xfId="110"/>
    <cellStyle name="20% - 强调文字颜色 4 2 2" xfId="111"/>
    <cellStyle name="20% - 强调文字颜色 4 2 2 2" xfId="112"/>
    <cellStyle name="20% - 强调文字颜色 4 2 2 2 2" xfId="113"/>
    <cellStyle name="20% - 强调文字颜色 4 2 2 3" xfId="114"/>
    <cellStyle name="20% - 强调文字颜色 4 2 3" xfId="115"/>
    <cellStyle name="20% - 强调文字颜色 4 2 3 2" xfId="116"/>
    <cellStyle name="20% - 强调文字颜色 4 2 4" xfId="117"/>
    <cellStyle name="20% - 强调文字颜色 4 3" xfId="118"/>
    <cellStyle name="20% - 强调文字颜色 4 3 2" xfId="119"/>
    <cellStyle name="20% - 强调文字颜色 4 3 2 2" xfId="120"/>
    <cellStyle name="20% - 强调文字颜色 4 3 2 2 2" xfId="121"/>
    <cellStyle name="20% - 强调文字颜色 4 3 2 3" xfId="122"/>
    <cellStyle name="20% - 强调文字颜色 4 3 3" xfId="123"/>
    <cellStyle name="20% - 强调文字颜色 4 3 3 2" xfId="124"/>
    <cellStyle name="20% - 强调文字颜色 4 3 4" xfId="125"/>
    <cellStyle name="20% - 强调文字颜色 4 4" xfId="126"/>
    <cellStyle name="20% - 强调文字颜色 4 4 2" xfId="127"/>
    <cellStyle name="20% - 强调文字颜色 4 4 2 2" xfId="128"/>
    <cellStyle name="20% - 强调文字颜色 4 4 2 2 2" xfId="129"/>
    <cellStyle name="20% - 强调文字颜色 4 4 2 3" xfId="130"/>
    <cellStyle name="20% - 强调文字颜色 4 4 3" xfId="131"/>
    <cellStyle name="20% - 强调文字颜色 4 4 3 2" xfId="132"/>
    <cellStyle name="20% - 强调文字颜色 4 4 4" xfId="133"/>
    <cellStyle name="20% - 强调文字颜色 4 5" xfId="134"/>
    <cellStyle name="20% - 强调文字颜色 4 5 2" xfId="135"/>
    <cellStyle name="20% - 强调文字颜色 4 5 2 2" xfId="136"/>
    <cellStyle name="20% - 强调文字颜色 4 5 3" xfId="137"/>
    <cellStyle name="20% - 强调文字颜色 4 6" xfId="138"/>
    <cellStyle name="20% - 强调文字颜色 4 6 2" xfId="139"/>
    <cellStyle name="20% - 强调文字颜色 4 6 2 2" xfId="140"/>
    <cellStyle name="20% - 强调文字颜色 4 6 3" xfId="141"/>
    <cellStyle name="20% - 强调文字颜色 4 7" xfId="142"/>
    <cellStyle name="20% - 强调文字颜色 4 7 2" xfId="143"/>
    <cellStyle name="20% - 强调文字颜色 4 7 2 2" xfId="144"/>
    <cellStyle name="20% - 强调文字颜色 4 7 3" xfId="145"/>
    <cellStyle name="20% - 强调文字颜色 5 2" xfId="146"/>
    <cellStyle name="20% - 强调文字颜色 5 2 2" xfId="147"/>
    <cellStyle name="20% - 强调文字颜色 5 2 2 2" xfId="148"/>
    <cellStyle name="20% - 强调文字颜色 5 2 2 2 2" xfId="149"/>
    <cellStyle name="20% - 强调文字颜色 5 2 2 3" xfId="150"/>
    <cellStyle name="20% - 强调文字颜色 5 2 3" xfId="151"/>
    <cellStyle name="20% - 强调文字颜色 5 2 3 2" xfId="152"/>
    <cellStyle name="20% - 强调文字颜色 5 2 4" xfId="153"/>
    <cellStyle name="20% - 强调文字颜色 5 3" xfId="154"/>
    <cellStyle name="20% - 强调文字颜色 5 3 2" xfId="155"/>
    <cellStyle name="20% - 强调文字颜色 5 3 2 2" xfId="156"/>
    <cellStyle name="20% - 强调文字颜色 5 3 2 2 2" xfId="157"/>
    <cellStyle name="20% - 强调文字颜色 5 3 2 3" xfId="158"/>
    <cellStyle name="20% - 强调文字颜色 5 3 3" xfId="159"/>
    <cellStyle name="20% - 强调文字颜色 5 3 3 2" xfId="160"/>
    <cellStyle name="20% - 强调文字颜色 5 3 4" xfId="161"/>
    <cellStyle name="20% - 强调文字颜色 5 4" xfId="162"/>
    <cellStyle name="20% - 强调文字颜色 5 4 2" xfId="163"/>
    <cellStyle name="20% - 强调文字颜色 5 4 2 2" xfId="164"/>
    <cellStyle name="20% - 强调文字颜色 5 4 2 2 2" xfId="165"/>
    <cellStyle name="20% - 强调文字颜色 5 4 2 3" xfId="166"/>
    <cellStyle name="20% - 强调文字颜色 5 4 3" xfId="167"/>
    <cellStyle name="20% - 强调文字颜色 5 4 3 2" xfId="168"/>
    <cellStyle name="20% - 强调文字颜色 5 4 4" xfId="169"/>
    <cellStyle name="20% - 强调文字颜色 5 5" xfId="170"/>
    <cellStyle name="20% - 强调文字颜色 5 5 2" xfId="171"/>
    <cellStyle name="20% - 强调文字颜色 5 5 2 2" xfId="172"/>
    <cellStyle name="20% - 强调文字颜色 5 5 3" xfId="173"/>
    <cellStyle name="20% - 强调文字颜色 5 6" xfId="174"/>
    <cellStyle name="20% - 强调文字颜色 5 6 2" xfId="175"/>
    <cellStyle name="20% - 强调文字颜色 5 6 2 2" xfId="176"/>
    <cellStyle name="20% - 强调文字颜色 5 6 3" xfId="177"/>
    <cellStyle name="20% - 强调文字颜色 5 7" xfId="178"/>
    <cellStyle name="20% - 强调文字颜色 5 7 2" xfId="179"/>
    <cellStyle name="20% - 强调文字颜色 5 7 2 2" xfId="180"/>
    <cellStyle name="20% - 强调文字颜色 5 7 3" xfId="181"/>
    <cellStyle name="20% - 强调文字颜色 6 2" xfId="182"/>
    <cellStyle name="20% - 强调文字颜色 6 2 2" xfId="183"/>
    <cellStyle name="20% - 强调文字颜色 6 2 2 2" xfId="184"/>
    <cellStyle name="20% - 强调文字颜色 6 2 2 2 2" xfId="185"/>
    <cellStyle name="20% - 强调文字颜色 6 2 2 3" xfId="186"/>
    <cellStyle name="20% - 强调文字颜色 6 2 3" xfId="187"/>
    <cellStyle name="20% - 强调文字颜色 6 2 3 2" xfId="188"/>
    <cellStyle name="20% - 强调文字颜色 6 2 4" xfId="189"/>
    <cellStyle name="20% - 强调文字颜色 6 3" xfId="190"/>
    <cellStyle name="20% - 强调文字颜色 6 3 2" xfId="191"/>
    <cellStyle name="20% - 强调文字颜色 6 3 2 2" xfId="192"/>
    <cellStyle name="20% - 强调文字颜色 6 3 2 2 2" xfId="193"/>
    <cellStyle name="20% - 强调文字颜色 6 3 2 3" xfId="194"/>
    <cellStyle name="20% - 强调文字颜色 6 3 3" xfId="195"/>
    <cellStyle name="20% - 强调文字颜色 6 3 3 2" xfId="196"/>
    <cellStyle name="20% - 强调文字颜色 6 3 4" xfId="197"/>
    <cellStyle name="20% - 强调文字颜色 6 4" xfId="198"/>
    <cellStyle name="20% - 强调文字颜色 6 4 2" xfId="199"/>
    <cellStyle name="20% - 强调文字颜色 6 4 2 2" xfId="200"/>
    <cellStyle name="20% - 强调文字颜色 6 4 2 2 2" xfId="201"/>
    <cellStyle name="20% - 强调文字颜色 6 4 2 3" xfId="202"/>
    <cellStyle name="20% - 强调文字颜色 6 4 3" xfId="203"/>
    <cellStyle name="20% - 强调文字颜色 6 4 3 2" xfId="204"/>
    <cellStyle name="20% - 强调文字颜色 6 4 4" xfId="205"/>
    <cellStyle name="20% - 强调文字颜色 6 5" xfId="206"/>
    <cellStyle name="20% - 强调文字颜色 6 5 2" xfId="207"/>
    <cellStyle name="20% - 强调文字颜色 6 5 2 2" xfId="208"/>
    <cellStyle name="20% - 强调文字颜色 6 5 3" xfId="209"/>
    <cellStyle name="20% - 强调文字颜色 6 6" xfId="210"/>
    <cellStyle name="20% - 强调文字颜色 6 6 2" xfId="211"/>
    <cellStyle name="20% - 强调文字颜色 6 6 2 2" xfId="212"/>
    <cellStyle name="20% - 强调文字颜色 6 6 3" xfId="213"/>
    <cellStyle name="20% - 强调文字颜色 6 7" xfId="214"/>
    <cellStyle name="20% - 强调文字颜色 6 7 2" xfId="215"/>
    <cellStyle name="20% - 强调文字颜色 6 7 2 2" xfId="216"/>
    <cellStyle name="20% - 强调文字颜色 6 7 3" xfId="217"/>
    <cellStyle name="20% - 着色 1 2" xfId="218"/>
    <cellStyle name="20% - 着色 1 2 2" xfId="219"/>
    <cellStyle name="20% - 着色 1 2 2 2" xfId="220"/>
    <cellStyle name="20% - 着色 1 2 2 2 2" xfId="221"/>
    <cellStyle name="20% - 着色 1 2 2 3" xfId="222"/>
    <cellStyle name="20% - 着色 1 2 3" xfId="223"/>
    <cellStyle name="20% - 着色 1 2 3 2" xfId="224"/>
    <cellStyle name="20% - 着色 1 2 4" xfId="225"/>
    <cellStyle name="20% - 着色 1 3" xfId="226"/>
    <cellStyle name="20% - 着色 1 3 2" xfId="227"/>
    <cellStyle name="20% - 着色 1 3 2 2" xfId="228"/>
    <cellStyle name="20% - 着色 1 3 3" xfId="229"/>
    <cellStyle name="20% - 着色 1 4" xfId="230"/>
    <cellStyle name="20% - 着色 1 4 2" xfId="231"/>
    <cellStyle name="20% - 着色 1 4 2 2" xfId="232"/>
    <cellStyle name="20% - 着色 1 4 3" xfId="233"/>
    <cellStyle name="20% - 着色 1 5" xfId="234"/>
    <cellStyle name="20% - 着色 1 5 2" xfId="235"/>
    <cellStyle name="20% - 着色 1 6" xfId="236"/>
    <cellStyle name="20% - 着色 2 2" xfId="237"/>
    <cellStyle name="20% - 着色 2 2 2" xfId="238"/>
    <cellStyle name="20% - 着色 2 2 2 2" xfId="239"/>
    <cellStyle name="20% - 着色 2 2 2 2 2" xfId="240"/>
    <cellStyle name="20% - 着色 2 2 2 3" xfId="241"/>
    <cellStyle name="20% - 着色 2 2 3" xfId="242"/>
    <cellStyle name="20% - 着色 2 2 3 2" xfId="243"/>
    <cellStyle name="20% - 着色 2 2 4" xfId="244"/>
    <cellStyle name="20% - 着色 2 3" xfId="245"/>
    <cellStyle name="20% - 着色 2 3 2" xfId="246"/>
    <cellStyle name="20% - 着色 2 3 2 2" xfId="247"/>
    <cellStyle name="20% - 着色 2 3 3" xfId="248"/>
    <cellStyle name="20% - 着色 2 4" xfId="249"/>
    <cellStyle name="20% - 着色 2 4 2" xfId="250"/>
    <cellStyle name="20% - 着色 2 4 2 2" xfId="251"/>
    <cellStyle name="20% - 着色 2 4 3" xfId="252"/>
    <cellStyle name="20% - 着色 2 5" xfId="253"/>
    <cellStyle name="20% - 着色 2 5 2" xfId="254"/>
    <cellStyle name="20% - 着色 2 6" xfId="255"/>
    <cellStyle name="20% - 着色 3 2" xfId="256"/>
    <cellStyle name="20% - 着色 3 2 2" xfId="257"/>
    <cellStyle name="20% - 着色 3 2 2 2" xfId="258"/>
    <cellStyle name="20% - 着色 3 2 2 2 2" xfId="259"/>
    <cellStyle name="20% - 着色 3 2 2 3" xfId="260"/>
    <cellStyle name="20% - 着色 3 2 3" xfId="261"/>
    <cellStyle name="20% - 着色 3 2 3 2" xfId="262"/>
    <cellStyle name="20% - 着色 3 2 4" xfId="263"/>
    <cellStyle name="20% - 着色 3 3" xfId="264"/>
    <cellStyle name="20% - 着色 3 3 2" xfId="265"/>
    <cellStyle name="20% - 着色 3 3 2 2" xfId="266"/>
    <cellStyle name="20% - 着色 3 3 3" xfId="267"/>
    <cellStyle name="20% - 着色 3 4" xfId="268"/>
    <cellStyle name="20% - 着色 3 4 2" xfId="269"/>
    <cellStyle name="20% - 着色 3 4 2 2" xfId="270"/>
    <cellStyle name="20% - 着色 3 4 3" xfId="271"/>
    <cellStyle name="20% - 着色 3 5" xfId="272"/>
    <cellStyle name="20% - 着色 3 5 2" xfId="273"/>
    <cellStyle name="20% - 着色 3 6" xfId="274"/>
    <cellStyle name="20% - 着色 4 2" xfId="275"/>
    <cellStyle name="20% - 着色 4 2 2" xfId="276"/>
    <cellStyle name="20% - 着色 4 2 2 2" xfId="277"/>
    <cellStyle name="20% - 着色 4 2 2 2 2" xfId="278"/>
    <cellStyle name="20% - 着色 4 2 2 3" xfId="279"/>
    <cellStyle name="20% - 着色 4 2 3" xfId="280"/>
    <cellStyle name="20% - 着色 4 2 3 2" xfId="281"/>
    <cellStyle name="20% - 着色 4 2 4" xfId="282"/>
    <cellStyle name="20% - 着色 4 3" xfId="283"/>
    <cellStyle name="20% - 着色 4 3 2" xfId="284"/>
    <cellStyle name="20% - 着色 4 3 2 2" xfId="285"/>
    <cellStyle name="20% - 着色 4 3 3" xfId="286"/>
    <cellStyle name="20% - 着色 4 4" xfId="287"/>
    <cellStyle name="20% - 着色 4 4 2" xfId="288"/>
    <cellStyle name="20% - 着色 4 4 2 2" xfId="289"/>
    <cellStyle name="20% - 着色 4 4 3" xfId="290"/>
    <cellStyle name="20% - 着色 4 5" xfId="291"/>
    <cellStyle name="20% - 着色 4 5 2" xfId="292"/>
    <cellStyle name="20% - 着色 4 6" xfId="293"/>
    <cellStyle name="20% - 着色 5 2" xfId="294"/>
    <cellStyle name="20% - 着色 5 2 2" xfId="295"/>
    <cellStyle name="20% - 着色 5 2 2 2" xfId="296"/>
    <cellStyle name="20% - 着色 5 2 2 2 2" xfId="297"/>
    <cellStyle name="20% - 着色 5 2 2 3" xfId="298"/>
    <cellStyle name="20% - 着色 5 2 3" xfId="299"/>
    <cellStyle name="20% - 着色 5 2 3 2" xfId="300"/>
    <cellStyle name="20% - 着色 5 2 4" xfId="301"/>
    <cellStyle name="20% - 着色 5 3" xfId="302"/>
    <cellStyle name="20% - 着色 5 3 2" xfId="303"/>
    <cellStyle name="20% - 着色 5 3 2 2" xfId="304"/>
    <cellStyle name="20% - 着色 5 3 3" xfId="305"/>
    <cellStyle name="20% - 着色 5 4" xfId="306"/>
    <cellStyle name="20% - 着色 5 4 2" xfId="307"/>
    <cellStyle name="20% - 着色 5 4 2 2" xfId="308"/>
    <cellStyle name="20% - 着色 5 4 3" xfId="309"/>
    <cellStyle name="20% - 着色 5 5" xfId="310"/>
    <cellStyle name="20% - 着色 5 5 2" xfId="311"/>
    <cellStyle name="20% - 着色 5 6" xfId="312"/>
    <cellStyle name="20% - 着色 6 2" xfId="313"/>
    <cellStyle name="20% - 着色 6 2 2" xfId="314"/>
    <cellStyle name="20% - 着色 6 2 2 2" xfId="315"/>
    <cellStyle name="20% - 着色 6 2 2 2 2" xfId="316"/>
    <cellStyle name="20% - 着色 6 2 2 3" xfId="317"/>
    <cellStyle name="20% - 着色 6 2 3" xfId="318"/>
    <cellStyle name="20% - 着色 6 2 3 2" xfId="319"/>
    <cellStyle name="20% - 着色 6 2 4" xfId="320"/>
    <cellStyle name="20% - 着色 6 3" xfId="321"/>
    <cellStyle name="20% - 着色 6 3 2" xfId="322"/>
    <cellStyle name="20% - 着色 6 3 2 2" xfId="323"/>
    <cellStyle name="20% - 着色 6 3 3" xfId="324"/>
    <cellStyle name="20% - 着色 6 4" xfId="325"/>
    <cellStyle name="20% - 着色 6 4 2" xfId="326"/>
    <cellStyle name="20% - 着色 6 4 2 2" xfId="327"/>
    <cellStyle name="20% - 着色 6 4 3" xfId="328"/>
    <cellStyle name="20% - 着色 6 5" xfId="329"/>
    <cellStyle name="20% - 着色 6 5 2" xfId="330"/>
    <cellStyle name="20% - 着色 6 6" xfId="331"/>
    <cellStyle name="40% - 强调文字颜色 1 2" xfId="332"/>
    <cellStyle name="40% - 强调文字颜色 1 2 2" xfId="333"/>
    <cellStyle name="40% - 强调文字颜色 1 2 2 2" xfId="334"/>
    <cellStyle name="40% - 强调文字颜色 1 2 2 2 2" xfId="335"/>
    <cellStyle name="40% - 强调文字颜色 1 2 2 3" xfId="336"/>
    <cellStyle name="40% - 强调文字颜色 1 2 3" xfId="337"/>
    <cellStyle name="40% - 强调文字颜色 1 2 3 2" xfId="338"/>
    <cellStyle name="40% - 强调文字颜色 1 2 4" xfId="339"/>
    <cellStyle name="40% - 强调文字颜色 1 3" xfId="340"/>
    <cellStyle name="40% - 强调文字颜色 1 3 2" xfId="341"/>
    <cellStyle name="40% - 强调文字颜色 1 3 2 2" xfId="342"/>
    <cellStyle name="40% - 强调文字颜色 1 3 2 2 2" xfId="343"/>
    <cellStyle name="40% - 强调文字颜色 1 3 2 3" xfId="344"/>
    <cellStyle name="40% - 强调文字颜色 1 3 3" xfId="345"/>
    <cellStyle name="40% - 强调文字颜色 1 3 3 2" xfId="346"/>
    <cellStyle name="40% - 强调文字颜色 1 3 4" xfId="347"/>
    <cellStyle name="40% - 强调文字颜色 1 4" xfId="348"/>
    <cellStyle name="40% - 强调文字颜色 1 4 2" xfId="349"/>
    <cellStyle name="40% - 强调文字颜色 1 4 2 2" xfId="350"/>
    <cellStyle name="40% - 强调文字颜色 1 4 2 2 2" xfId="351"/>
    <cellStyle name="40% - 强调文字颜色 1 4 2 3" xfId="352"/>
    <cellStyle name="40% - 强调文字颜色 1 4 3" xfId="353"/>
    <cellStyle name="40% - 强调文字颜色 1 4 3 2" xfId="354"/>
    <cellStyle name="40% - 强调文字颜色 1 4 4" xfId="355"/>
    <cellStyle name="40% - 强调文字颜色 1 5" xfId="356"/>
    <cellStyle name="40% - 强调文字颜色 1 5 2" xfId="357"/>
    <cellStyle name="40% - 强调文字颜色 1 5 2 2" xfId="358"/>
    <cellStyle name="40% - 强调文字颜色 1 5 3" xfId="359"/>
    <cellStyle name="40% - 强调文字颜色 1 6" xfId="360"/>
    <cellStyle name="40% - 强调文字颜色 1 6 2" xfId="361"/>
    <cellStyle name="40% - 强调文字颜色 1 6 2 2" xfId="362"/>
    <cellStyle name="40% - 强调文字颜色 1 6 3" xfId="363"/>
    <cellStyle name="40% - 强调文字颜色 1 7" xfId="364"/>
    <cellStyle name="40% - 强调文字颜色 1 7 2" xfId="365"/>
    <cellStyle name="40% - 强调文字颜色 1 7 2 2" xfId="366"/>
    <cellStyle name="40% - 强调文字颜色 1 7 3" xfId="367"/>
    <cellStyle name="40% - 强调文字颜色 2 2" xfId="368"/>
    <cellStyle name="40% - 强调文字颜色 2 2 2" xfId="369"/>
    <cellStyle name="40% - 强调文字颜色 2 2 2 2" xfId="370"/>
    <cellStyle name="40% - 强调文字颜色 2 2 2 2 2" xfId="371"/>
    <cellStyle name="40% - 强调文字颜色 2 2 2 3" xfId="372"/>
    <cellStyle name="40% - 强调文字颜色 2 2 3" xfId="373"/>
    <cellStyle name="40% - 强调文字颜色 2 2 3 2" xfId="374"/>
    <cellStyle name="40% - 强调文字颜色 2 2 4" xfId="375"/>
    <cellStyle name="40% - 强调文字颜色 2 3" xfId="376"/>
    <cellStyle name="40% - 强调文字颜色 2 3 2" xfId="377"/>
    <cellStyle name="40% - 强调文字颜色 2 3 2 2" xfId="378"/>
    <cellStyle name="40% - 强调文字颜色 2 3 2 2 2" xfId="379"/>
    <cellStyle name="40% - 强调文字颜色 2 3 2 3" xfId="380"/>
    <cellStyle name="40% - 强调文字颜色 2 3 3" xfId="381"/>
    <cellStyle name="40% - 强调文字颜色 2 3 3 2" xfId="382"/>
    <cellStyle name="40% - 强调文字颜色 2 3 4" xfId="383"/>
    <cellStyle name="40% - 强调文字颜色 2 4" xfId="384"/>
    <cellStyle name="40% - 强调文字颜色 2 4 2" xfId="385"/>
    <cellStyle name="40% - 强调文字颜色 2 4 2 2" xfId="386"/>
    <cellStyle name="40% - 强调文字颜色 2 4 2 2 2" xfId="387"/>
    <cellStyle name="40% - 强调文字颜色 2 4 2 3" xfId="388"/>
    <cellStyle name="40% - 强调文字颜色 2 4 3" xfId="389"/>
    <cellStyle name="40% - 强调文字颜色 2 4 3 2" xfId="390"/>
    <cellStyle name="40% - 强调文字颜色 2 4 4" xfId="391"/>
    <cellStyle name="40% - 强调文字颜色 2 5" xfId="392"/>
    <cellStyle name="40% - 强调文字颜色 2 5 2" xfId="393"/>
    <cellStyle name="40% - 强调文字颜色 2 5 2 2" xfId="394"/>
    <cellStyle name="40% - 强调文字颜色 2 5 3" xfId="395"/>
    <cellStyle name="40% - 强调文字颜色 2 6" xfId="396"/>
    <cellStyle name="40% - 强调文字颜色 2 6 2" xfId="397"/>
    <cellStyle name="40% - 强调文字颜色 2 6 2 2" xfId="398"/>
    <cellStyle name="40% - 强调文字颜色 2 6 3" xfId="399"/>
    <cellStyle name="40% - 强调文字颜色 2 7" xfId="400"/>
    <cellStyle name="40% - 强调文字颜色 2 7 2" xfId="401"/>
    <cellStyle name="40% - 强调文字颜色 2 7 2 2" xfId="402"/>
    <cellStyle name="40% - 强调文字颜色 2 7 3" xfId="403"/>
    <cellStyle name="40% - 强调文字颜色 3 2" xfId="404"/>
    <cellStyle name="40% - 强调文字颜色 3 2 2" xfId="405"/>
    <cellStyle name="40% - 强调文字颜色 3 2 2 2" xfId="406"/>
    <cellStyle name="40% - 强调文字颜色 3 2 2 2 2" xfId="407"/>
    <cellStyle name="40% - 强调文字颜色 3 2 2 3" xfId="408"/>
    <cellStyle name="40% - 强调文字颜色 3 2 3" xfId="409"/>
    <cellStyle name="40% - 强调文字颜色 3 2 3 2" xfId="410"/>
    <cellStyle name="40% - 强调文字颜色 3 2 4" xfId="411"/>
    <cellStyle name="40% - 强调文字颜色 3 3" xfId="412"/>
    <cellStyle name="40% - 强调文字颜色 3 3 2" xfId="413"/>
    <cellStyle name="40% - 强调文字颜色 3 3 2 2" xfId="414"/>
    <cellStyle name="40% - 强调文字颜色 3 3 2 2 2" xfId="415"/>
    <cellStyle name="40% - 强调文字颜色 3 3 2 3" xfId="416"/>
    <cellStyle name="40% - 强调文字颜色 3 3 3" xfId="417"/>
    <cellStyle name="40% - 强调文字颜色 3 3 3 2" xfId="418"/>
    <cellStyle name="40% - 强调文字颜色 3 3 4" xfId="419"/>
    <cellStyle name="40% - 强调文字颜色 3 4" xfId="420"/>
    <cellStyle name="40% - 强调文字颜色 3 4 2" xfId="421"/>
    <cellStyle name="40% - 强调文字颜色 3 4 2 2" xfId="422"/>
    <cellStyle name="40% - 强调文字颜色 3 4 2 2 2" xfId="423"/>
    <cellStyle name="40% - 强调文字颜色 3 4 2 3" xfId="424"/>
    <cellStyle name="40% - 强调文字颜色 3 4 3" xfId="425"/>
    <cellStyle name="40% - 强调文字颜色 3 4 3 2" xfId="426"/>
    <cellStyle name="40% - 强调文字颜色 3 4 4" xfId="427"/>
    <cellStyle name="40% - 强调文字颜色 3 5" xfId="428"/>
    <cellStyle name="40% - 强调文字颜色 3 5 2" xfId="429"/>
    <cellStyle name="40% - 强调文字颜色 3 5 2 2" xfId="430"/>
    <cellStyle name="40% - 强调文字颜色 3 5 3" xfId="431"/>
    <cellStyle name="40% - 强调文字颜色 3 6" xfId="432"/>
    <cellStyle name="40% - 强调文字颜色 3 6 2" xfId="433"/>
    <cellStyle name="40% - 强调文字颜色 3 6 2 2" xfId="434"/>
    <cellStyle name="40% - 强调文字颜色 3 6 3" xfId="435"/>
    <cellStyle name="40% - 强调文字颜色 3 7" xfId="436"/>
    <cellStyle name="40% - 强调文字颜色 3 7 2" xfId="437"/>
    <cellStyle name="40% - 强调文字颜色 3 7 2 2" xfId="438"/>
    <cellStyle name="40% - 强调文字颜色 3 7 3" xfId="439"/>
    <cellStyle name="40% - 强调文字颜色 4 2" xfId="440"/>
    <cellStyle name="40% - 强调文字颜色 4 2 2" xfId="441"/>
    <cellStyle name="40% - 强调文字颜色 4 2 2 2" xfId="442"/>
    <cellStyle name="40% - 强调文字颜色 4 2 2 2 2" xfId="443"/>
    <cellStyle name="40% - 强调文字颜色 4 2 2 3" xfId="444"/>
    <cellStyle name="40% - 强调文字颜色 4 2 3" xfId="445"/>
    <cellStyle name="40% - 强调文字颜色 4 2 3 2" xfId="446"/>
    <cellStyle name="40% - 强调文字颜色 4 2 4" xfId="447"/>
    <cellStyle name="40% - 强调文字颜色 4 3" xfId="448"/>
    <cellStyle name="40% - 强调文字颜色 4 3 2" xfId="449"/>
    <cellStyle name="40% - 强调文字颜色 4 3 2 2" xfId="450"/>
    <cellStyle name="40% - 强调文字颜色 4 3 2 2 2" xfId="451"/>
    <cellStyle name="40% - 强调文字颜色 4 3 2 3" xfId="452"/>
    <cellStyle name="40% - 强调文字颜色 4 3 3" xfId="453"/>
    <cellStyle name="40% - 强调文字颜色 4 3 3 2" xfId="454"/>
    <cellStyle name="40% - 强调文字颜色 4 3 4" xfId="455"/>
    <cellStyle name="40% - 强调文字颜色 4 4" xfId="456"/>
    <cellStyle name="40% - 强调文字颜色 4 4 2" xfId="457"/>
    <cellStyle name="40% - 强调文字颜色 4 4 2 2" xfId="458"/>
    <cellStyle name="40% - 强调文字颜色 4 4 2 2 2" xfId="459"/>
    <cellStyle name="40% - 强调文字颜色 4 4 2 3" xfId="460"/>
    <cellStyle name="40% - 强调文字颜色 4 4 3" xfId="461"/>
    <cellStyle name="40% - 强调文字颜色 4 4 3 2" xfId="462"/>
    <cellStyle name="40% - 强调文字颜色 4 4 4" xfId="463"/>
    <cellStyle name="40% - 强调文字颜色 4 5" xfId="464"/>
    <cellStyle name="40% - 强调文字颜色 4 5 2" xfId="465"/>
    <cellStyle name="40% - 强调文字颜色 4 5 2 2" xfId="466"/>
    <cellStyle name="40% - 强调文字颜色 4 5 3" xfId="467"/>
    <cellStyle name="40% - 强调文字颜色 4 6" xfId="468"/>
    <cellStyle name="40% - 强调文字颜色 4 6 2" xfId="469"/>
    <cellStyle name="40% - 强调文字颜色 4 6 2 2" xfId="470"/>
    <cellStyle name="40% - 强调文字颜色 4 6 3" xfId="471"/>
    <cellStyle name="40% - 强调文字颜色 4 7" xfId="472"/>
    <cellStyle name="40% - 强调文字颜色 4 7 2" xfId="473"/>
    <cellStyle name="40% - 强调文字颜色 4 7 2 2" xfId="474"/>
    <cellStyle name="40% - 强调文字颜色 4 7 3" xfId="475"/>
    <cellStyle name="40% - 强调文字颜色 5 2" xfId="476"/>
    <cellStyle name="40% - 强调文字颜色 5 2 2" xfId="477"/>
    <cellStyle name="40% - 强调文字颜色 5 2 2 2" xfId="478"/>
    <cellStyle name="40% - 强调文字颜色 5 2 2 2 2" xfId="479"/>
    <cellStyle name="40% - 强调文字颜色 5 2 2 3" xfId="480"/>
    <cellStyle name="40% - 强调文字颜色 5 2 3" xfId="481"/>
    <cellStyle name="40% - 强调文字颜色 5 2 3 2" xfId="482"/>
    <cellStyle name="40% - 强调文字颜色 5 2 4" xfId="483"/>
    <cellStyle name="40% - 强调文字颜色 5 3" xfId="484"/>
    <cellStyle name="40% - 强调文字颜色 5 3 2" xfId="485"/>
    <cellStyle name="40% - 强调文字颜色 5 3 2 2" xfId="486"/>
    <cellStyle name="40% - 强调文字颜色 5 3 2 2 2" xfId="487"/>
    <cellStyle name="40% - 强调文字颜色 5 3 2 3" xfId="488"/>
    <cellStyle name="40% - 强调文字颜色 5 3 3" xfId="489"/>
    <cellStyle name="40% - 强调文字颜色 5 3 3 2" xfId="490"/>
    <cellStyle name="40% - 强调文字颜色 5 3 4" xfId="491"/>
    <cellStyle name="40% - 强调文字颜色 5 4" xfId="492"/>
    <cellStyle name="40% - 强调文字颜色 5 4 2" xfId="493"/>
    <cellStyle name="40% - 强调文字颜色 5 4 2 2" xfId="494"/>
    <cellStyle name="40% - 强调文字颜色 5 4 2 2 2" xfId="495"/>
    <cellStyle name="40% - 强调文字颜色 5 4 2 3" xfId="496"/>
    <cellStyle name="40% - 强调文字颜色 5 4 3" xfId="497"/>
    <cellStyle name="40% - 强调文字颜色 5 4 3 2" xfId="498"/>
    <cellStyle name="40% - 强调文字颜色 5 4 4" xfId="499"/>
    <cellStyle name="40% - 强调文字颜色 5 5" xfId="500"/>
    <cellStyle name="40% - 强调文字颜色 5 5 2" xfId="501"/>
    <cellStyle name="40% - 强调文字颜色 5 5 2 2" xfId="502"/>
    <cellStyle name="40% - 强调文字颜色 5 5 3" xfId="503"/>
    <cellStyle name="40% - 强调文字颜色 5 6" xfId="504"/>
    <cellStyle name="40% - 强调文字颜色 5 6 2" xfId="505"/>
    <cellStyle name="40% - 强调文字颜色 5 6 2 2" xfId="506"/>
    <cellStyle name="40% - 强调文字颜色 5 6 3" xfId="507"/>
    <cellStyle name="40% - 强调文字颜色 5 7" xfId="508"/>
    <cellStyle name="40% - 强调文字颜色 5 7 2" xfId="509"/>
    <cellStyle name="40% - 强调文字颜色 5 7 2 2" xfId="510"/>
    <cellStyle name="40% - 强调文字颜色 5 7 3" xfId="511"/>
    <cellStyle name="40% - 强调文字颜色 6 2" xfId="512"/>
    <cellStyle name="40% - 强调文字颜色 6 2 2" xfId="513"/>
    <cellStyle name="40% - 强调文字颜色 6 2 2 2" xfId="514"/>
    <cellStyle name="40% - 强调文字颜色 6 2 2 2 2" xfId="515"/>
    <cellStyle name="40% - 强调文字颜色 6 2 2 3" xfId="516"/>
    <cellStyle name="40% - 强调文字颜色 6 2 3" xfId="517"/>
    <cellStyle name="40% - 强调文字颜色 6 2 3 2" xfId="518"/>
    <cellStyle name="40% - 强调文字颜色 6 2 4" xfId="519"/>
    <cellStyle name="40% - 强调文字颜色 6 3" xfId="520"/>
    <cellStyle name="40% - 强调文字颜色 6 3 2" xfId="521"/>
    <cellStyle name="40% - 强调文字颜色 6 3 2 2" xfId="522"/>
    <cellStyle name="40% - 强调文字颜色 6 3 2 2 2" xfId="523"/>
    <cellStyle name="40% - 强调文字颜色 6 3 2 3" xfId="524"/>
    <cellStyle name="40% - 强调文字颜色 6 3 3" xfId="525"/>
    <cellStyle name="40% - 强调文字颜色 6 3 3 2" xfId="526"/>
    <cellStyle name="40% - 强调文字颜色 6 3 4" xfId="527"/>
    <cellStyle name="40% - 强调文字颜色 6 4" xfId="528"/>
    <cellStyle name="40% - 强调文字颜色 6 4 2" xfId="529"/>
    <cellStyle name="40% - 强调文字颜色 6 4 2 2" xfId="530"/>
    <cellStyle name="40% - 强调文字颜色 6 4 2 2 2" xfId="531"/>
    <cellStyle name="40% - 强调文字颜色 6 4 2 3" xfId="532"/>
    <cellStyle name="40% - 强调文字颜色 6 4 3" xfId="533"/>
    <cellStyle name="40% - 强调文字颜色 6 4 3 2" xfId="534"/>
    <cellStyle name="40% - 强调文字颜色 6 4 4" xfId="535"/>
    <cellStyle name="40% - 强调文字颜色 6 5" xfId="536"/>
    <cellStyle name="40% - 强调文字颜色 6 5 2" xfId="537"/>
    <cellStyle name="40% - 强调文字颜色 6 5 2 2" xfId="538"/>
    <cellStyle name="40% - 强调文字颜色 6 5 3" xfId="539"/>
    <cellStyle name="40% - 强调文字颜色 6 6" xfId="540"/>
    <cellStyle name="40% - 强调文字颜色 6 6 2" xfId="541"/>
    <cellStyle name="40% - 强调文字颜色 6 6 2 2" xfId="542"/>
    <cellStyle name="40% - 强调文字颜色 6 6 3" xfId="543"/>
    <cellStyle name="40% - 强调文字颜色 6 7" xfId="544"/>
    <cellStyle name="40% - 强调文字颜色 6 7 2" xfId="545"/>
    <cellStyle name="40% - 强调文字颜色 6 7 2 2" xfId="546"/>
    <cellStyle name="40% - 强调文字颜色 6 7 3" xfId="547"/>
    <cellStyle name="40% - 着色 1 2" xfId="548"/>
    <cellStyle name="40% - 着色 1 2 2" xfId="549"/>
    <cellStyle name="40% - 着色 1 2 2 2" xfId="550"/>
    <cellStyle name="40% - 着色 1 2 2 2 2" xfId="551"/>
    <cellStyle name="40% - 着色 1 2 2 3" xfId="552"/>
    <cellStyle name="40% - 着色 1 2 3" xfId="553"/>
    <cellStyle name="40% - 着色 1 2 3 2" xfId="554"/>
    <cellStyle name="40% - 着色 1 2 4" xfId="555"/>
    <cellStyle name="40% - 着色 1 3" xfId="556"/>
    <cellStyle name="40% - 着色 1 3 2" xfId="557"/>
    <cellStyle name="40% - 着色 1 3 2 2" xfId="558"/>
    <cellStyle name="40% - 着色 1 3 3" xfId="559"/>
    <cellStyle name="40% - 着色 1 4" xfId="560"/>
    <cellStyle name="40% - 着色 1 4 2" xfId="561"/>
    <cellStyle name="40% - 着色 1 4 2 2" xfId="562"/>
    <cellStyle name="40% - 着色 1 4 3" xfId="563"/>
    <cellStyle name="40% - 着色 1 5" xfId="564"/>
    <cellStyle name="40% - 着色 1 5 2" xfId="565"/>
    <cellStyle name="40% - 着色 1 6" xfId="566"/>
    <cellStyle name="40% - 着色 2 2" xfId="567"/>
    <cellStyle name="40% - 着色 2 2 2" xfId="568"/>
    <cellStyle name="40% - 着色 2 2 2 2" xfId="569"/>
    <cellStyle name="40% - 着色 2 2 2 2 2" xfId="570"/>
    <cellStyle name="40% - 着色 2 2 2 3" xfId="571"/>
    <cellStyle name="40% - 着色 2 2 3" xfId="572"/>
    <cellStyle name="40% - 着色 2 2 3 2" xfId="573"/>
    <cellStyle name="40% - 着色 2 2 4" xfId="574"/>
    <cellStyle name="40% - 着色 2 3" xfId="575"/>
    <cellStyle name="40% - 着色 2 3 2" xfId="576"/>
    <cellStyle name="40% - 着色 2 3 2 2" xfId="577"/>
    <cellStyle name="40% - 着色 2 3 3" xfId="578"/>
    <cellStyle name="40% - 着色 2 4" xfId="579"/>
    <cellStyle name="40% - 着色 2 4 2" xfId="580"/>
    <cellStyle name="40% - 着色 2 4 2 2" xfId="581"/>
    <cellStyle name="40% - 着色 2 4 3" xfId="582"/>
    <cellStyle name="40% - 着色 2 5" xfId="583"/>
    <cellStyle name="40% - 着色 2 5 2" xfId="584"/>
    <cellStyle name="40% - 着色 2 6" xfId="585"/>
    <cellStyle name="40% - 着色 3 2" xfId="586"/>
    <cellStyle name="40% - 着色 3 2 2" xfId="587"/>
    <cellStyle name="40% - 着色 3 2 2 2" xfId="588"/>
    <cellStyle name="40% - 着色 3 2 2 2 2" xfId="589"/>
    <cellStyle name="40% - 着色 3 2 2 3" xfId="590"/>
    <cellStyle name="40% - 着色 3 2 3" xfId="591"/>
    <cellStyle name="40% - 着色 3 2 3 2" xfId="592"/>
    <cellStyle name="40% - 着色 3 2 4" xfId="593"/>
    <cellStyle name="40% - 着色 3 3" xfId="594"/>
    <cellStyle name="40% - 着色 3 3 2" xfId="595"/>
    <cellStyle name="40% - 着色 3 3 2 2" xfId="596"/>
    <cellStyle name="40% - 着色 3 3 3" xfId="597"/>
    <cellStyle name="40% - 着色 3 4" xfId="598"/>
    <cellStyle name="40% - 着色 3 4 2" xfId="599"/>
    <cellStyle name="40% - 着色 3 4 2 2" xfId="600"/>
    <cellStyle name="40% - 着色 3 4 3" xfId="601"/>
    <cellStyle name="40% - 着色 3 5" xfId="602"/>
    <cellStyle name="40% - 着色 3 5 2" xfId="603"/>
    <cellStyle name="40% - 着色 3 6" xfId="604"/>
    <cellStyle name="40% - 着色 4 2" xfId="605"/>
    <cellStyle name="40% - 着色 4 2 2" xfId="606"/>
    <cellStyle name="40% - 着色 4 2 2 2" xfId="607"/>
    <cellStyle name="40% - 着色 4 2 2 2 2" xfId="608"/>
    <cellStyle name="40% - 着色 4 2 2 3" xfId="609"/>
    <cellStyle name="40% - 着色 4 2 3" xfId="610"/>
    <cellStyle name="40% - 着色 4 2 3 2" xfId="611"/>
    <cellStyle name="40% - 着色 4 2 4" xfId="612"/>
    <cellStyle name="40% - 着色 4 3" xfId="613"/>
    <cellStyle name="40% - 着色 4 3 2" xfId="614"/>
    <cellStyle name="40% - 着色 4 3 2 2" xfId="615"/>
    <cellStyle name="40% - 着色 4 3 3" xfId="616"/>
    <cellStyle name="40% - 着色 4 4" xfId="617"/>
    <cellStyle name="40% - 着色 4 4 2" xfId="618"/>
    <cellStyle name="40% - 着色 4 4 2 2" xfId="619"/>
    <cellStyle name="40% - 着色 4 4 3" xfId="620"/>
    <cellStyle name="40% - 着色 4 5" xfId="621"/>
    <cellStyle name="40% - 着色 4 5 2" xfId="622"/>
    <cellStyle name="40% - 着色 4 6" xfId="623"/>
    <cellStyle name="40% - 着色 5 2" xfId="624"/>
    <cellStyle name="40% - 着色 5 2 2" xfId="625"/>
    <cellStyle name="40% - 着色 5 2 2 2" xfId="626"/>
    <cellStyle name="40% - 着色 5 2 2 2 2" xfId="627"/>
    <cellStyle name="40% - 着色 5 2 2 3" xfId="628"/>
    <cellStyle name="40% - 着色 5 2 3" xfId="629"/>
    <cellStyle name="40% - 着色 5 2 3 2" xfId="630"/>
    <cellStyle name="40% - 着色 5 2 4" xfId="631"/>
    <cellStyle name="40% - 着色 5 3" xfId="632"/>
    <cellStyle name="40% - 着色 5 3 2" xfId="633"/>
    <cellStyle name="40% - 着色 5 3 2 2" xfId="634"/>
    <cellStyle name="40% - 着色 5 3 3" xfId="635"/>
    <cellStyle name="40% - 着色 5 4" xfId="636"/>
    <cellStyle name="40% - 着色 5 4 2" xfId="637"/>
    <cellStyle name="40% - 着色 5 4 2 2" xfId="638"/>
    <cellStyle name="40% - 着色 5 4 3" xfId="639"/>
    <cellStyle name="40% - 着色 5 5" xfId="640"/>
    <cellStyle name="40% - 着色 5 5 2" xfId="641"/>
    <cellStyle name="40% - 着色 5 6" xfId="642"/>
    <cellStyle name="40% - 着色 6 2" xfId="643"/>
    <cellStyle name="40% - 着色 6 2 2" xfId="644"/>
    <cellStyle name="40% - 着色 6 2 2 2" xfId="645"/>
    <cellStyle name="40% - 着色 6 2 2 2 2" xfId="646"/>
    <cellStyle name="40% - 着色 6 2 2 3" xfId="647"/>
    <cellStyle name="40% - 着色 6 2 3" xfId="648"/>
    <cellStyle name="40% - 着色 6 2 3 2" xfId="649"/>
    <cellStyle name="40% - 着色 6 2 4" xfId="650"/>
    <cellStyle name="40% - 着色 6 3" xfId="651"/>
    <cellStyle name="40% - 着色 6 3 2" xfId="652"/>
    <cellStyle name="40% - 着色 6 3 2 2" xfId="653"/>
    <cellStyle name="40% - 着色 6 3 3" xfId="654"/>
    <cellStyle name="40% - 着色 6 4" xfId="655"/>
    <cellStyle name="40% - 着色 6 4 2" xfId="656"/>
    <cellStyle name="40% - 着色 6 4 2 2" xfId="657"/>
    <cellStyle name="40% - 着色 6 4 3" xfId="658"/>
    <cellStyle name="40% - 着色 6 5" xfId="659"/>
    <cellStyle name="40% - 着色 6 5 2" xfId="660"/>
    <cellStyle name="40% - 着色 6 6" xfId="661"/>
    <cellStyle name="60% - 强调文字颜色 1 2" xfId="662"/>
    <cellStyle name="60% - 强调文字颜色 1 2 2" xfId="663"/>
    <cellStyle name="60% - 强调文字颜色 1 2 2 2" xfId="664"/>
    <cellStyle name="60% - 强调文字颜色 1 2 3" xfId="665"/>
    <cellStyle name="60% - 强调文字颜色 1 3" xfId="666"/>
    <cellStyle name="60% - 强调文字颜色 1 3 2" xfId="667"/>
    <cellStyle name="60% - 强调文字颜色 1 3 2 2" xfId="668"/>
    <cellStyle name="60% - 强调文字颜色 1 3 3" xfId="669"/>
    <cellStyle name="60% - 强调文字颜色 1 4" xfId="670"/>
    <cellStyle name="60% - 强调文字颜色 1 4 2" xfId="671"/>
    <cellStyle name="60% - 强调文字颜色 1 4 2 2" xfId="672"/>
    <cellStyle name="60% - 强调文字颜色 1 4 3" xfId="673"/>
    <cellStyle name="60% - 强调文字颜色 1 5" xfId="674"/>
    <cellStyle name="60% - 强调文字颜色 1 5 2" xfId="675"/>
    <cellStyle name="60% - 强调文字颜色 1 6" xfId="676"/>
    <cellStyle name="60% - 强调文字颜色 1 6 2" xfId="677"/>
    <cellStyle name="60% - 强调文字颜色 1 7" xfId="678"/>
    <cellStyle name="60% - 强调文字颜色 1 7 2" xfId="679"/>
    <cellStyle name="60% - 强调文字颜色 2 2" xfId="680"/>
    <cellStyle name="60% - 强调文字颜色 2 2 2" xfId="681"/>
    <cellStyle name="60% - 强调文字颜色 2 2 2 2" xfId="682"/>
    <cellStyle name="60% - 强调文字颜色 2 2 3" xfId="683"/>
    <cellStyle name="60% - 强调文字颜色 2 3" xfId="684"/>
    <cellStyle name="60% - 强调文字颜色 2 3 2" xfId="685"/>
    <cellStyle name="60% - 强调文字颜色 2 3 2 2" xfId="686"/>
    <cellStyle name="60% - 强调文字颜色 2 3 3" xfId="687"/>
    <cellStyle name="60% - 强调文字颜色 2 4" xfId="688"/>
    <cellStyle name="60% - 强调文字颜色 2 4 2" xfId="689"/>
    <cellStyle name="60% - 强调文字颜色 2 4 2 2" xfId="690"/>
    <cellStyle name="60% - 强调文字颜色 2 4 3" xfId="691"/>
    <cellStyle name="60% - 强调文字颜色 2 5" xfId="692"/>
    <cellStyle name="60% - 强调文字颜色 2 5 2" xfId="693"/>
    <cellStyle name="60% - 强调文字颜色 2 6" xfId="694"/>
    <cellStyle name="60% - 强调文字颜色 2 6 2" xfId="695"/>
    <cellStyle name="60% - 强调文字颜色 2 7" xfId="696"/>
    <cellStyle name="60% - 强调文字颜色 2 7 2" xfId="697"/>
    <cellStyle name="60% - 强调文字颜色 3 2" xfId="698"/>
    <cellStyle name="60% - 强调文字颜色 3 2 2" xfId="699"/>
    <cellStyle name="60% - 强调文字颜色 3 2 2 2" xfId="700"/>
    <cellStyle name="60% - 强调文字颜色 3 2 3" xfId="701"/>
    <cellStyle name="60% - 强调文字颜色 3 3" xfId="702"/>
    <cellStyle name="60% - 强调文字颜色 3 3 2" xfId="703"/>
    <cellStyle name="60% - 强调文字颜色 3 3 2 2" xfId="704"/>
    <cellStyle name="60% - 强调文字颜色 3 3 3" xfId="705"/>
    <cellStyle name="60% - 强调文字颜色 3 4" xfId="706"/>
    <cellStyle name="60% - 强调文字颜色 3 4 2" xfId="707"/>
    <cellStyle name="60% - 强调文字颜色 3 4 2 2" xfId="708"/>
    <cellStyle name="60% - 强调文字颜色 3 4 3" xfId="709"/>
    <cellStyle name="60% - 强调文字颜色 3 5" xfId="710"/>
    <cellStyle name="60% - 强调文字颜色 3 5 2" xfId="711"/>
    <cellStyle name="60% - 强调文字颜色 3 6" xfId="712"/>
    <cellStyle name="60% - 强调文字颜色 3 6 2" xfId="713"/>
    <cellStyle name="60% - 强调文字颜色 3 7" xfId="714"/>
    <cellStyle name="60% - 强调文字颜色 3 7 2" xfId="715"/>
    <cellStyle name="60% - 强调文字颜色 4 2" xfId="716"/>
    <cellStyle name="60% - 强调文字颜色 4 2 2" xfId="717"/>
    <cellStyle name="60% - 强调文字颜色 4 2 2 2" xfId="718"/>
    <cellStyle name="60% - 强调文字颜色 4 2 3" xfId="719"/>
    <cellStyle name="60% - 强调文字颜色 4 3" xfId="720"/>
    <cellStyle name="60% - 强调文字颜色 4 3 2" xfId="721"/>
    <cellStyle name="60% - 强调文字颜色 4 3 2 2" xfId="722"/>
    <cellStyle name="60% - 强调文字颜色 4 3 3" xfId="723"/>
    <cellStyle name="60% - 强调文字颜色 4 4" xfId="724"/>
    <cellStyle name="60% - 强调文字颜色 4 4 2" xfId="725"/>
    <cellStyle name="60% - 强调文字颜色 4 4 2 2" xfId="726"/>
    <cellStyle name="60% - 强调文字颜色 4 4 3" xfId="727"/>
    <cellStyle name="60% - 强调文字颜色 4 5" xfId="728"/>
    <cellStyle name="60% - 强调文字颜色 4 5 2" xfId="729"/>
    <cellStyle name="60% - 强调文字颜色 4 6" xfId="730"/>
    <cellStyle name="60% - 强调文字颜色 4 6 2" xfId="731"/>
    <cellStyle name="60% - 强调文字颜色 4 7" xfId="732"/>
    <cellStyle name="60% - 强调文字颜色 4 7 2" xfId="733"/>
    <cellStyle name="60% - 强调文字颜色 5 2" xfId="734"/>
    <cellStyle name="60% - 强调文字颜色 5 2 2" xfId="735"/>
    <cellStyle name="60% - 强调文字颜色 5 2 2 2" xfId="736"/>
    <cellStyle name="60% - 强调文字颜色 5 2 3" xfId="737"/>
    <cellStyle name="60% - 强调文字颜色 5 3" xfId="738"/>
    <cellStyle name="60% - 强调文字颜色 5 3 2" xfId="739"/>
    <cellStyle name="60% - 强调文字颜色 5 3 2 2" xfId="740"/>
    <cellStyle name="60% - 强调文字颜色 5 3 3" xfId="741"/>
    <cellStyle name="60% - 强调文字颜色 5 4" xfId="742"/>
    <cellStyle name="60% - 强调文字颜色 5 4 2" xfId="743"/>
    <cellStyle name="60% - 强调文字颜色 5 4 2 2" xfId="744"/>
    <cellStyle name="60% - 强调文字颜色 5 4 3" xfId="745"/>
    <cellStyle name="60% - 强调文字颜色 5 5" xfId="746"/>
    <cellStyle name="60% - 强调文字颜色 5 5 2" xfId="747"/>
    <cellStyle name="60% - 强调文字颜色 5 6" xfId="748"/>
    <cellStyle name="60% - 强调文字颜色 5 6 2" xfId="749"/>
    <cellStyle name="60% - 强调文字颜色 5 7" xfId="750"/>
    <cellStyle name="60% - 强调文字颜色 5 7 2" xfId="751"/>
    <cellStyle name="60% - 强调文字颜色 6 2" xfId="752"/>
    <cellStyle name="60% - 强调文字颜色 6 2 2" xfId="753"/>
    <cellStyle name="60% - 强调文字颜色 6 2 2 2" xfId="754"/>
    <cellStyle name="60% - 强调文字颜色 6 2 3" xfId="755"/>
    <cellStyle name="60% - 强调文字颜色 6 3" xfId="756"/>
    <cellStyle name="60% - 强调文字颜色 6 3 2" xfId="757"/>
    <cellStyle name="60% - 强调文字颜色 6 3 2 2" xfId="758"/>
    <cellStyle name="60% - 强调文字颜色 6 3 3" xfId="759"/>
    <cellStyle name="60% - 强调文字颜色 6 4" xfId="760"/>
    <cellStyle name="60% - 强调文字颜色 6 4 2" xfId="761"/>
    <cellStyle name="60% - 强调文字颜色 6 4 2 2" xfId="762"/>
    <cellStyle name="60% - 强调文字颜色 6 4 3" xfId="763"/>
    <cellStyle name="60% - 强调文字颜色 6 5" xfId="764"/>
    <cellStyle name="60% - 强调文字颜色 6 5 2" xfId="765"/>
    <cellStyle name="60% - 强调文字颜色 6 6" xfId="766"/>
    <cellStyle name="60% - 强调文字颜色 6 6 2" xfId="767"/>
    <cellStyle name="60% - 强调文字颜色 6 7" xfId="768"/>
    <cellStyle name="60% - 强调文字颜色 6 7 2" xfId="769"/>
    <cellStyle name="60% - 着色 1 2" xfId="770"/>
    <cellStyle name="60% - 着色 1 2 2" xfId="771"/>
    <cellStyle name="60% - 着色 1 2 2 2" xfId="772"/>
    <cellStyle name="60% - 着色 1 2 3" xfId="773"/>
    <cellStyle name="60% - 着色 1 3" xfId="774"/>
    <cellStyle name="60% - 着色 1 3 2" xfId="775"/>
    <cellStyle name="60% - 着色 1 4" xfId="776"/>
    <cellStyle name="60% - 着色 1 4 2" xfId="777"/>
    <cellStyle name="60% - 着色 1 5" xfId="778"/>
    <cellStyle name="60% - 着色 2 2" xfId="779"/>
    <cellStyle name="60% - 着色 2 2 2" xfId="780"/>
    <cellStyle name="60% - 着色 2 2 2 2" xfId="781"/>
    <cellStyle name="60% - 着色 2 2 3" xfId="782"/>
    <cellStyle name="60% - 着色 2 3" xfId="783"/>
    <cellStyle name="60% - 着色 2 3 2" xfId="784"/>
    <cellStyle name="60% - 着色 2 4" xfId="785"/>
    <cellStyle name="60% - 着色 2 4 2" xfId="786"/>
    <cellStyle name="60% - 着色 2 5" xfId="787"/>
    <cellStyle name="60% - 着色 3 2" xfId="788"/>
    <cellStyle name="60% - 着色 3 2 2" xfId="789"/>
    <cellStyle name="60% - 着色 3 2 2 2" xfId="790"/>
    <cellStyle name="60% - 着色 3 2 3" xfId="791"/>
    <cellStyle name="60% - 着色 3 3" xfId="792"/>
    <cellStyle name="60% - 着色 3 3 2" xfId="793"/>
    <cellStyle name="60% - 着色 3 4" xfId="794"/>
    <cellStyle name="60% - 着色 3 4 2" xfId="795"/>
    <cellStyle name="60% - 着色 3 5" xfId="796"/>
    <cellStyle name="60% - 着色 4 2" xfId="797"/>
    <cellStyle name="60% - 着色 4 2 2" xfId="798"/>
    <cellStyle name="60% - 着色 4 2 2 2" xfId="799"/>
    <cellStyle name="60% - 着色 4 2 3" xfId="800"/>
    <cellStyle name="60% - 着色 4 3" xfId="801"/>
    <cellStyle name="60% - 着色 4 3 2" xfId="802"/>
    <cellStyle name="60% - 着色 4 4" xfId="803"/>
    <cellStyle name="60% - 着色 4 4 2" xfId="804"/>
    <cellStyle name="60% - 着色 4 5" xfId="805"/>
    <cellStyle name="60% - 着色 5 2" xfId="806"/>
    <cellStyle name="60% - 着色 5 2 2" xfId="807"/>
    <cellStyle name="60% - 着色 5 2 2 2" xfId="808"/>
    <cellStyle name="60% - 着色 5 2 3" xfId="809"/>
    <cellStyle name="60% - 着色 5 3" xfId="810"/>
    <cellStyle name="60% - 着色 5 3 2" xfId="811"/>
    <cellStyle name="60% - 着色 5 4" xfId="812"/>
    <cellStyle name="60% - 着色 5 4 2" xfId="813"/>
    <cellStyle name="60% - 着色 5 5" xfId="814"/>
    <cellStyle name="60% - 着色 6 2" xfId="815"/>
    <cellStyle name="60% - 着色 6 2 2" xfId="816"/>
    <cellStyle name="60% - 着色 6 2 2 2" xfId="817"/>
    <cellStyle name="60% - 着色 6 2 3" xfId="818"/>
    <cellStyle name="60% - 着色 6 3" xfId="819"/>
    <cellStyle name="60% - 着色 6 3 2" xfId="820"/>
    <cellStyle name="60% - 着色 6 4" xfId="821"/>
    <cellStyle name="60% - 着色 6 4 2" xfId="822"/>
    <cellStyle name="60% - 着色 6 5" xfId="823"/>
    <cellStyle name="RowLevel_1" xfId="824"/>
    <cellStyle name="百分比 2" xfId="825"/>
    <cellStyle name="百分比 2 2" xfId="826"/>
    <cellStyle name="百分比 2 2 2" xfId="827"/>
    <cellStyle name="百分比 2 2 2 2" xfId="828"/>
    <cellStyle name="百分比 2 2 3" xfId="829"/>
    <cellStyle name="百分比 2 3" xfId="830"/>
    <cellStyle name="百分比 2 3 2" xfId="831"/>
    <cellStyle name="百分比 2 4" xfId="832"/>
    <cellStyle name="百分比 2 4 2" xfId="833"/>
    <cellStyle name="百分比 2 5" xfId="834"/>
    <cellStyle name="百分比 2 5 2" xfId="835"/>
    <cellStyle name="百分比 2 5 2 2" xfId="836"/>
    <cellStyle name="百分比 2 5 3" xfId="837"/>
    <cellStyle name="百分比 2 6" xfId="838"/>
    <cellStyle name="百分比 2 6 2" xfId="839"/>
    <cellStyle name="百分比 2 7" xfId="840"/>
    <cellStyle name="百分比 3" xfId="841"/>
    <cellStyle name="百分比 3 2" xfId="842"/>
    <cellStyle name="百分比 3 2 2" xfId="843"/>
    <cellStyle name="百分比 3 2 2 2" xfId="844"/>
    <cellStyle name="百分比 3 2 3" xfId="845"/>
    <cellStyle name="百分比 3 3" xfId="846"/>
    <cellStyle name="百分比 3 3 2" xfId="847"/>
    <cellStyle name="百分比 3 4" xfId="848"/>
    <cellStyle name="百分比 3 4 2" xfId="849"/>
    <cellStyle name="百分比 3 5" xfId="850"/>
    <cellStyle name="百分比 3 5 2" xfId="851"/>
    <cellStyle name="百分比 3 6" xfId="852"/>
    <cellStyle name="百分比 4" xfId="853"/>
    <cellStyle name="百分比 4 2" xfId="854"/>
    <cellStyle name="百分比 4 2 2" xfId="855"/>
    <cellStyle name="百分比 4 3" xfId="856"/>
    <cellStyle name="百分比 5" xfId="857"/>
    <cellStyle name="百分比 5 2" xfId="858"/>
    <cellStyle name="百分比 5 2 2" xfId="859"/>
    <cellStyle name="百分比 5 3" xfId="860"/>
    <cellStyle name="百分比 6" xfId="861"/>
    <cellStyle name="百分比 6 2" xfId="862"/>
    <cellStyle name="百分比 6 2 2" xfId="863"/>
    <cellStyle name="百分比 6 3" xfId="864"/>
    <cellStyle name="百分比 7" xfId="865"/>
    <cellStyle name="百分比 7 2" xfId="866"/>
    <cellStyle name="百分比 8" xfId="867"/>
    <cellStyle name="标题 1 2" xfId="868"/>
    <cellStyle name="标题 1 2 2" xfId="869"/>
    <cellStyle name="标题 1 2 2 2" xfId="870"/>
    <cellStyle name="标题 1 2 3" xfId="871"/>
    <cellStyle name="标题 1 3" xfId="872"/>
    <cellStyle name="标题 1 3 2" xfId="873"/>
    <cellStyle name="标题 1 3 2 2" xfId="874"/>
    <cellStyle name="标题 1 3 3" xfId="875"/>
    <cellStyle name="标题 1 4" xfId="876"/>
    <cellStyle name="标题 1 4 2" xfId="877"/>
    <cellStyle name="标题 1 4 2 2" xfId="878"/>
    <cellStyle name="标题 1 4 3" xfId="879"/>
    <cellStyle name="标题 1 5" xfId="880"/>
    <cellStyle name="标题 1 5 2" xfId="881"/>
    <cellStyle name="标题 1 6" xfId="882"/>
    <cellStyle name="标题 1 6 2" xfId="883"/>
    <cellStyle name="标题 2 2" xfId="884"/>
    <cellStyle name="标题 2 2 2" xfId="885"/>
    <cellStyle name="标题 2 2 2 2" xfId="886"/>
    <cellStyle name="标题 2 2 3" xfId="887"/>
    <cellStyle name="标题 2 3" xfId="888"/>
    <cellStyle name="标题 2 3 2" xfId="889"/>
    <cellStyle name="标题 2 3 2 2" xfId="890"/>
    <cellStyle name="标题 2 3 3" xfId="891"/>
    <cellStyle name="标题 2 4" xfId="892"/>
    <cellStyle name="标题 2 4 2" xfId="893"/>
    <cellStyle name="标题 2 4 2 2" xfId="894"/>
    <cellStyle name="标题 2 4 3" xfId="895"/>
    <cellStyle name="标题 2 5" xfId="896"/>
    <cellStyle name="标题 2 5 2" xfId="897"/>
    <cellStyle name="标题 2 6" xfId="898"/>
    <cellStyle name="标题 2 6 2" xfId="899"/>
    <cellStyle name="标题 3 2" xfId="900"/>
    <cellStyle name="标题 3 2 2" xfId="901"/>
    <cellStyle name="标题 3 2 2 2" xfId="902"/>
    <cellStyle name="标题 3 2 3" xfId="903"/>
    <cellStyle name="标题 3 3" xfId="904"/>
    <cellStyle name="标题 3 3 2" xfId="905"/>
    <cellStyle name="标题 3 3 2 2" xfId="906"/>
    <cellStyle name="标题 3 3 3" xfId="907"/>
    <cellStyle name="标题 3 4" xfId="908"/>
    <cellStyle name="标题 3 4 2" xfId="909"/>
    <cellStyle name="标题 3 4 2 2" xfId="910"/>
    <cellStyle name="标题 3 4 3" xfId="911"/>
    <cellStyle name="标题 3 5" xfId="912"/>
    <cellStyle name="标题 3 5 2" xfId="913"/>
    <cellStyle name="标题 3 6" xfId="914"/>
    <cellStyle name="标题 3 6 2" xfId="915"/>
    <cellStyle name="标题 4 2" xfId="916"/>
    <cellStyle name="标题 4 2 2" xfId="917"/>
    <cellStyle name="标题 4 2 2 2" xfId="918"/>
    <cellStyle name="标题 4 2 3" xfId="919"/>
    <cellStyle name="标题 4 3" xfId="920"/>
    <cellStyle name="标题 4 3 2" xfId="921"/>
    <cellStyle name="标题 4 3 2 2" xfId="922"/>
    <cellStyle name="标题 4 3 3" xfId="923"/>
    <cellStyle name="标题 4 4" xfId="924"/>
    <cellStyle name="标题 4 4 2" xfId="925"/>
    <cellStyle name="标题 4 4 2 2" xfId="926"/>
    <cellStyle name="标题 4 4 3" xfId="927"/>
    <cellStyle name="标题 4 5" xfId="928"/>
    <cellStyle name="标题 4 5 2" xfId="929"/>
    <cellStyle name="标题 4 6" xfId="930"/>
    <cellStyle name="标题 4 6 2" xfId="931"/>
    <cellStyle name="标题 5" xfId="932"/>
    <cellStyle name="标题 5 2" xfId="933"/>
    <cellStyle name="标题 5 2 2" xfId="934"/>
    <cellStyle name="标题 5 3" xfId="935"/>
    <cellStyle name="标题 6" xfId="936"/>
    <cellStyle name="标题 6 2" xfId="937"/>
    <cellStyle name="标题 6 2 2" xfId="938"/>
    <cellStyle name="标题 6 3" xfId="939"/>
    <cellStyle name="标题 7" xfId="940"/>
    <cellStyle name="标题 7 2" xfId="941"/>
    <cellStyle name="标题 7 2 2" xfId="942"/>
    <cellStyle name="标题 7 3" xfId="943"/>
    <cellStyle name="标题 8" xfId="944"/>
    <cellStyle name="标题 8 2" xfId="945"/>
    <cellStyle name="标题 9" xfId="946"/>
    <cellStyle name="标题 9 2" xfId="947"/>
    <cellStyle name="差 2" xfId="948"/>
    <cellStyle name="差 2 2" xfId="949"/>
    <cellStyle name="差 2 2 2" xfId="950"/>
    <cellStyle name="差 2 3" xfId="951"/>
    <cellStyle name="差 3" xfId="952"/>
    <cellStyle name="差 3 2" xfId="953"/>
    <cellStyle name="差 3 2 2" xfId="954"/>
    <cellStyle name="差 3 3" xfId="955"/>
    <cellStyle name="差 4" xfId="956"/>
    <cellStyle name="差 4 2" xfId="957"/>
    <cellStyle name="差 4 2 2" xfId="958"/>
    <cellStyle name="差 4 3" xfId="959"/>
    <cellStyle name="差 5" xfId="960"/>
    <cellStyle name="差 5 2" xfId="961"/>
    <cellStyle name="差 6" xfId="962"/>
    <cellStyle name="差 6 2" xfId="963"/>
    <cellStyle name="差 7" xfId="964"/>
    <cellStyle name="差 7 2" xfId="965"/>
    <cellStyle name="差_2013见习培训经费表下半年(chen)2014年9月" xfId="966"/>
    <cellStyle name="差_2013见习培训经费表下半年(chen)2014年9月 2" xfId="967"/>
    <cellStyle name="差_2013见习培训经费表下半年(chen)2014年9月 2 2" xfId="968"/>
    <cellStyle name="差_2013见习培训经费表下半年(chen)2014年9月 2 2 2" xfId="969"/>
    <cellStyle name="差_2013见习培训经费表下半年(chen)2014年9月 2 3" xfId="970"/>
    <cellStyle name="差_2013见习培训经费表下半年(chen)2014年9月 3" xfId="971"/>
    <cellStyle name="差_2013见习培训经费表下半年(chen)2014年9月 3 2" xfId="972"/>
    <cellStyle name="差_2013见习培训经费表下半年(chen)2014年9月 4" xfId="973"/>
    <cellStyle name="差_2013见习培训经费表下半年(chen)2014年9月 4 2" xfId="974"/>
    <cellStyle name="差_2013见习培训经费表下半年(chen)2014年9月 5" xfId="975"/>
    <cellStyle name="差_2014年聘用学校导师带教经费表" xfId="976"/>
    <cellStyle name="差_2014年聘用学校导师带教经费表 2" xfId="977"/>
    <cellStyle name="差_2014年聘用学校导师带教经费表 2 2" xfId="978"/>
    <cellStyle name="差_2014年聘用学校导师带教经费表 2 2 2" xfId="979"/>
    <cellStyle name="差_2014年聘用学校导师带教经费表 2 3" xfId="980"/>
    <cellStyle name="差_2014年聘用学校导师带教经费表 3" xfId="981"/>
    <cellStyle name="差_2014年聘用学校导师带教经费表 3 2" xfId="982"/>
    <cellStyle name="差_2014年聘用学校导师带教经费表 3 2 2" xfId="983"/>
    <cellStyle name="差_2014年聘用学校导师带教经费表 3 3" xfId="984"/>
    <cellStyle name="差_2014年聘用学校导师带教经费表 4" xfId="985"/>
    <cellStyle name="差_2014年聘用学校导师带教经费表 4 2" xfId="986"/>
    <cellStyle name="差_2014年聘用学校导师带教经费表 4 2 2" xfId="987"/>
    <cellStyle name="差_2014年聘用学校导师带教经费表 4 3" xfId="988"/>
    <cellStyle name="差_2014年聘用学校导师带教经费表 5" xfId="989"/>
    <cellStyle name="差_2014年聘用学校导师带教经费表 5 2" xfId="990"/>
    <cellStyle name="差_2014年聘用学校导师带教经费表 6" xfId="991"/>
    <cellStyle name="差_2014年聘用学校导师带教经费表 6 2" xfId="992"/>
    <cellStyle name="差_2014年聘用学校导师带教经费表 7" xfId="993"/>
    <cellStyle name="差_2014年终考核奖完整版-给核算中心" xfId="994"/>
    <cellStyle name="差_2014年终考核奖完整版-给核算中心 2" xfId="995"/>
    <cellStyle name="差_2014年终考核奖完整版-给核算中心 2 2" xfId="996"/>
    <cellStyle name="差_2014年终考核奖完整版-给核算中心 2 2 2" xfId="997"/>
    <cellStyle name="差_2014年终考核奖完整版-给核算中心 2 3" xfId="998"/>
    <cellStyle name="差_2014年终考核奖完整版-给核算中心 3" xfId="999"/>
    <cellStyle name="差_2014年终考核奖完整版-给核算中心 3 2" xfId="1000"/>
    <cellStyle name="差_2014年终考核奖完整版-给核算中心 4" xfId="1001"/>
    <cellStyle name="差_2014年终考核奖完整版-给核算中心 4 2" xfId="1002"/>
    <cellStyle name="差_2014年终考核奖完整版-给核算中心 5" xfId="1003"/>
    <cellStyle name="差_2014优秀学校奖励测算表" xfId="1004"/>
    <cellStyle name="差_2014优秀学校奖励测算表 2" xfId="1005"/>
    <cellStyle name="差_2014优秀学校奖励测算表 2 2" xfId="1006"/>
    <cellStyle name="差_2014优秀学校奖励测算表 2 2 2" xfId="1007"/>
    <cellStyle name="差_2014优秀学校奖励测算表 2 3" xfId="1008"/>
    <cellStyle name="差_2014优秀学校奖励测算表 3" xfId="1009"/>
    <cellStyle name="差_2014优秀学校奖励测算表 3 2" xfId="1010"/>
    <cellStyle name="差_2014优秀学校奖励测算表 4" xfId="1011"/>
    <cellStyle name="差_2014优秀学校奖励测算表 4 2" xfId="1012"/>
    <cellStyle name="差_2014优秀学校奖励测算表 5" xfId="1013"/>
    <cellStyle name="差_2015年年终奖预发表-给核算中心" xfId="1014"/>
    <cellStyle name="差_2015年年终奖预发表-给核算中心 2" xfId="1015"/>
    <cellStyle name="差_2015年年终奖预发表-给核算中心 2 2" xfId="1016"/>
    <cellStyle name="差_2015年年终奖预发表-给核算中心 2 2 2" xfId="1017"/>
    <cellStyle name="差_2015年年终奖预发表-给核算中心 2 3" xfId="1018"/>
    <cellStyle name="差_2015年年终奖预发表-给核算中心 3" xfId="1019"/>
    <cellStyle name="差_2015年年终奖预发表-给核算中心 3 2" xfId="1020"/>
    <cellStyle name="差_2015年年终奖预发表-给核算中心 4" xfId="1021"/>
    <cellStyle name="差_2015年年终奖预发表-给核算中心 4 2" xfId="1022"/>
    <cellStyle name="差_2015年年终奖预发表-给核算中心 5" xfId="1023"/>
    <cellStyle name="差_2016年3月校长职级工资（核算中心）" xfId="1024"/>
    <cellStyle name="差_2016年3月校长职级工资（核算中心） 2" xfId="1025"/>
    <cellStyle name="差_2016年3月校长职级工资（核算中心） 2 2" xfId="1026"/>
    <cellStyle name="差_2016年3月校长职级工资（核算中心） 2 2 2" xfId="1027"/>
    <cellStyle name="差_2016年3月校长职级工资（核算中心） 2 3" xfId="1028"/>
    <cellStyle name="差_2016年3月校长职级工资（核算中心） 3" xfId="1029"/>
    <cellStyle name="差_2016年3月校长职级工资（核算中心） 3 2" xfId="1030"/>
    <cellStyle name="差_2016年3月校长职级工资（核算中心） 4" xfId="1031"/>
    <cellStyle name="差_2016年3月校长职级工资（核算中心） 4 2" xfId="1032"/>
    <cellStyle name="差_2016年3月校长职级工资（核算中心） 5" xfId="1033"/>
    <cellStyle name="差_2016统计人数汇总表（完稿版）9.12" xfId="1034"/>
    <cellStyle name="差_2016统计人数汇总表（完稿版）9.12 2" xfId="1035"/>
    <cellStyle name="差_2016统计人数汇总表（完稿版）9.12 2 2" xfId="1036"/>
    <cellStyle name="差_2016统计人数汇总表（完稿版）9.12 2 2 2" xfId="1037"/>
    <cellStyle name="差_2016统计人数汇总表（完稿版）9.12 2 3" xfId="1038"/>
    <cellStyle name="差_2016统计人数汇总表（完稿版）9.12 3" xfId="1039"/>
    <cellStyle name="差_2016统计人数汇总表（完稿版）9.12 3 2" xfId="1040"/>
    <cellStyle name="差_2016统计人数汇总表（完稿版）9.12 4" xfId="1041"/>
    <cellStyle name="差_2016统计人数汇总表（完稿版）9.12 4 2" xfId="1042"/>
    <cellStyle name="差_2016统计人数汇总表（完稿版）9.12 5" xfId="1043"/>
    <cellStyle name="差_A0汇总表（报计财科：项目津贴发放）" xfId="1044"/>
    <cellStyle name="差_A0汇总表（报计财科：项目津贴发放） 2" xfId="1045"/>
    <cellStyle name="差_A0汇总表（报计财科：项目津贴发放） 2 2" xfId="1046"/>
    <cellStyle name="差_A0汇总表（报计财科：项目津贴发放） 2 2 2" xfId="1047"/>
    <cellStyle name="差_A0汇总表（报计财科：项目津贴发放） 2 3" xfId="1048"/>
    <cellStyle name="差_A0汇总表（报计财科：项目津贴发放） 3" xfId="1049"/>
    <cellStyle name="差_A0汇总表（报计财科：项目津贴发放） 3 2" xfId="1050"/>
    <cellStyle name="差_A0汇总表（报计财科：项目津贴发放） 4" xfId="1051"/>
    <cellStyle name="差_A0汇总表（报计财科：项目津贴发放） 4 2" xfId="1052"/>
    <cellStyle name="差_A0汇总表（报计财科：项目津贴发放） 5" xfId="1053"/>
    <cellStyle name="差_统筹-校长（暂估）" xfId="1054"/>
    <cellStyle name="差_统筹-校长（暂估） 2" xfId="1055"/>
    <cellStyle name="差_统筹-校长（暂估） 2 2" xfId="1056"/>
    <cellStyle name="差_统筹-校长（暂估） 2 2 2" xfId="1057"/>
    <cellStyle name="差_统筹-校长（暂估） 2 3" xfId="1058"/>
    <cellStyle name="差_统筹-校长（暂估） 3" xfId="1059"/>
    <cellStyle name="差_统筹-校长（暂估） 3 2" xfId="1060"/>
    <cellStyle name="差_统筹-校长（暂估） 4" xfId="1061"/>
    <cellStyle name="差_统筹-校长（暂估） 4 2" xfId="1062"/>
    <cellStyle name="差_统筹-校长（暂估） 5" xfId="1063"/>
    <cellStyle name="差_校长、书记2015年增量部分发放清单" xfId="1064"/>
    <cellStyle name="差_校长、书记2015年增量部分发放清单 2" xfId="1065"/>
    <cellStyle name="差_校长、书记2015年增量部分发放清单 2 2" xfId="1066"/>
    <cellStyle name="差_校长、书记2015年增量部分发放清单 2 2 2" xfId="1067"/>
    <cellStyle name="差_校长、书记2015年增量部分发放清单 2 3" xfId="1068"/>
    <cellStyle name="差_校长、书记2015年增量部分发放清单 3" xfId="1069"/>
    <cellStyle name="差_校长、书记2015年增量部分发放清单 3 2" xfId="1070"/>
    <cellStyle name="差_校长、书记2015年增量部分发放清单 4" xfId="1071"/>
    <cellStyle name="差_校长、书记2015年增量部分发放清单 4 2" xfId="1072"/>
    <cellStyle name="差_校长、书记2015年增量部分发放清单 5" xfId="1073"/>
    <cellStyle name="差_校长职级、亚信会奖励、教师节奖励镇管" xfId="1074"/>
    <cellStyle name="差_校长职级、亚信会奖励、教师节奖励镇管 2" xfId="1075"/>
    <cellStyle name="差_校长职级、亚信会奖励、教师节奖励镇管 2 2" xfId="1076"/>
    <cellStyle name="差_校长职级、亚信会奖励、教师节奖励镇管 2 2 2" xfId="1077"/>
    <cellStyle name="差_校长职级、亚信会奖励、教师节奖励镇管 2 3" xfId="1078"/>
    <cellStyle name="差_校长职级、亚信会奖励、教师节奖励镇管 3" xfId="1079"/>
    <cellStyle name="差_校长职级、亚信会奖励、教师节奖励镇管 3 2" xfId="1080"/>
    <cellStyle name="差_校长职级、亚信会奖励、教师节奖励镇管 4" xfId="1081"/>
    <cellStyle name="差_校长职级、亚信会奖励、教师节奖励镇管 4 2" xfId="1082"/>
    <cellStyle name="差_校长职级、亚信会奖励、教师节奖励镇管 5" xfId="1083"/>
    <cellStyle name="差_镇管汇总" xfId="1084"/>
    <cellStyle name="差_镇管汇总 2" xfId="1085"/>
    <cellStyle name="差_镇管汇总 2 2" xfId="1086"/>
    <cellStyle name="差_镇管汇总 2 2 2" xfId="1087"/>
    <cellStyle name="差_镇管汇总 2 3" xfId="1088"/>
    <cellStyle name="差_镇管汇总 3" xfId="1089"/>
    <cellStyle name="差_镇管汇总 3 2" xfId="1090"/>
    <cellStyle name="差_镇管汇总 4" xfId="1091"/>
    <cellStyle name="差_镇管汇总 4 2" xfId="1092"/>
    <cellStyle name="差_镇管汇总 5" xfId="1093"/>
    <cellStyle name="常规" xfId="0" builtinId="0"/>
    <cellStyle name="常规 10" xfId="1094"/>
    <cellStyle name="常规 10 2" xfId="1095"/>
    <cellStyle name="常规 10 2 2" xfId="1096"/>
    <cellStyle name="常规 10 3" xfId="1097"/>
    <cellStyle name="常规 10 4" xfId="1098"/>
    <cellStyle name="常规 100" xfId="1"/>
    <cellStyle name="常规 107" xfId="2000"/>
    <cellStyle name="常规 11" xfId="1099"/>
    <cellStyle name="常规 11 2" xfId="1100"/>
    <cellStyle name="常规 11 2 2" xfId="1101"/>
    <cellStyle name="常规 11 3" xfId="1102"/>
    <cellStyle name="常规 11 4" xfId="1103"/>
    <cellStyle name="常规 11 9" xfId="2003"/>
    <cellStyle name="常规 111" xfId="2006"/>
    <cellStyle name="常规 12" xfId="1104"/>
    <cellStyle name="常规 12 2" xfId="1105"/>
    <cellStyle name="常规 12 2 2" xfId="1106"/>
    <cellStyle name="常规 12 3" xfId="1107"/>
    <cellStyle name="常规 12 4" xfId="1108"/>
    <cellStyle name="常规 13" xfId="1109"/>
    <cellStyle name="常规 13 2" xfId="1110"/>
    <cellStyle name="常规 14" xfId="1111"/>
    <cellStyle name="常规 14 2" xfId="1112"/>
    <cellStyle name="常规 15" xfId="1113"/>
    <cellStyle name="常规 15 2" xfId="1114"/>
    <cellStyle name="常规 16" xfId="1115"/>
    <cellStyle name="常规 16 2" xfId="1116"/>
    <cellStyle name="常规 17" xfId="1117"/>
    <cellStyle name="常规 17 2" xfId="1118"/>
    <cellStyle name="常规 172" xfId="2008"/>
    <cellStyle name="常规 18" xfId="1119"/>
    <cellStyle name="常规 18 2" xfId="1120"/>
    <cellStyle name="常规 19" xfId="1121"/>
    <cellStyle name="常规 19 2" xfId="1122"/>
    <cellStyle name="常规 2" xfId="1123"/>
    <cellStyle name="常规 2 10" xfId="1124"/>
    <cellStyle name="常规 2 10 2" xfId="1125"/>
    <cellStyle name="常规 2 11" xfId="1126"/>
    <cellStyle name="常规 2 11 2" xfId="1127"/>
    <cellStyle name="常规 2 12" xfId="1128"/>
    <cellStyle name="常规 2 2" xfId="1129"/>
    <cellStyle name="常规 2 2 2" xfId="1130"/>
    <cellStyle name="常规 2 2 2 2" xfId="1131"/>
    <cellStyle name="常规 2 2 2 2 2" xfId="1132"/>
    <cellStyle name="常规 2 2 2 2 2 2" xfId="1133"/>
    <cellStyle name="常规 2 2 2 2 3" xfId="1134"/>
    <cellStyle name="常规 2 2 2 3" xfId="1135"/>
    <cellStyle name="常规 2 2 2 3 2" xfId="1136"/>
    <cellStyle name="常规 2 2 2 4" xfId="1137"/>
    <cellStyle name="常规 2 2 3" xfId="1138"/>
    <cellStyle name="常规 2 2 3 2" xfId="1139"/>
    <cellStyle name="常规 2 2 3 2 2" xfId="1140"/>
    <cellStyle name="常规 2 2 3 3" xfId="1141"/>
    <cellStyle name="常规 2 2 4" xfId="1142"/>
    <cellStyle name="常规 2 2 4 2" xfId="1143"/>
    <cellStyle name="常规 2 2 4 2 2" xfId="1144"/>
    <cellStyle name="常规 2 2 4 3" xfId="1145"/>
    <cellStyle name="常规 2 2 5" xfId="1146"/>
    <cellStyle name="常规 2 2 5 2" xfId="1147"/>
    <cellStyle name="常规 2 2 6" xfId="1148"/>
    <cellStyle name="常规 2 24" xfId="2002"/>
    <cellStyle name="常规 2 3" xfId="1149"/>
    <cellStyle name="常规 2 3 2" xfId="1150"/>
    <cellStyle name="常规 2 3 2 2" xfId="1151"/>
    <cellStyle name="常规 2 3 2 2 2" xfId="1152"/>
    <cellStyle name="常规 2 3 2 3" xfId="1153"/>
    <cellStyle name="常规 2 3 3" xfId="1154"/>
    <cellStyle name="常规 2 3 3 2" xfId="1155"/>
    <cellStyle name="常规 2 3 4" xfId="1156"/>
    <cellStyle name="常规 2 3 4 2" xfId="1157"/>
    <cellStyle name="常规 2 4" xfId="1158"/>
    <cellStyle name="常规 2 4 2" xfId="1159"/>
    <cellStyle name="常规 2 4 2 2" xfId="1160"/>
    <cellStyle name="常规 2 4 2 2 2" xfId="1161"/>
    <cellStyle name="常规 2 4 2 3" xfId="1162"/>
    <cellStyle name="常规 2 4 3" xfId="1163"/>
    <cellStyle name="常规 2 4 3 2" xfId="1164"/>
    <cellStyle name="常规 2 4 4" xfId="1165"/>
    <cellStyle name="常规 2 5" xfId="1166"/>
    <cellStyle name="常规 2 5 2" xfId="1167"/>
    <cellStyle name="常规 2 5 2 2" xfId="1168"/>
    <cellStyle name="常规 2 5 3" xfId="1169"/>
    <cellStyle name="常规 2 6" xfId="1170"/>
    <cellStyle name="常规 2 6 2" xfId="1171"/>
    <cellStyle name="常规 2 7" xfId="1172"/>
    <cellStyle name="常规 2 8" xfId="1173"/>
    <cellStyle name="常规 2 8 2" xfId="1174"/>
    <cellStyle name="常规 2 8 2 2" xfId="1175"/>
    <cellStyle name="常规 2 8 3" xfId="1176"/>
    <cellStyle name="常规 2 9" xfId="1177"/>
    <cellStyle name="常规 2 9 2" xfId="1178"/>
    <cellStyle name="常规 2 9 2 2" xfId="1179"/>
    <cellStyle name="常规 2 9 3" xfId="1180"/>
    <cellStyle name="常规 2_统筹-校长（暂估）" xfId="1181"/>
    <cellStyle name="常规 20" xfId="1182"/>
    <cellStyle name="常规 21" xfId="1183"/>
    <cellStyle name="常规 21 2" xfId="1184"/>
    <cellStyle name="常规 22" xfId="1185"/>
    <cellStyle name="常规 23" xfId="1186"/>
    <cellStyle name="常规 23 2" xfId="1187"/>
    <cellStyle name="常规 24" xfId="1188"/>
    <cellStyle name="常规 25" xfId="1189"/>
    <cellStyle name="常规 25 2" xfId="1190"/>
    <cellStyle name="常规 26" xfId="1191"/>
    <cellStyle name="常规 26 2" xfId="1192"/>
    <cellStyle name="常规 27" xfId="1193"/>
    <cellStyle name="常规 27 2" xfId="1194"/>
    <cellStyle name="常规 28" xfId="1195"/>
    <cellStyle name="常规 28 2" xfId="1196"/>
    <cellStyle name="常规 29" xfId="1197"/>
    <cellStyle name="常规 29 2" xfId="1198"/>
    <cellStyle name="常规 292 2" xfId="2001"/>
    <cellStyle name="常规 293" xfId="2005"/>
    <cellStyle name="常规 294" xfId="2010"/>
    <cellStyle name="常规 297" xfId="2021"/>
    <cellStyle name="常规 3" xfId="1199"/>
    <cellStyle name="常规 3 2" xfId="1200"/>
    <cellStyle name="常规 3 2 2" xfId="1201"/>
    <cellStyle name="常规 3 2 2 2" xfId="1202"/>
    <cellStyle name="常规 3 2 2 2 2" xfId="1203"/>
    <cellStyle name="常规 3 2 2 3" xfId="1204"/>
    <cellStyle name="常规 3 2 3" xfId="1205"/>
    <cellStyle name="常规 3 2 3 2" xfId="1206"/>
    <cellStyle name="常规 3 2 4" xfId="1207"/>
    <cellStyle name="常规 3 2 4 2" xfId="1208"/>
    <cellStyle name="常规 3 2 5" xfId="1209"/>
    <cellStyle name="常规 3 2 5 2" xfId="1210"/>
    <cellStyle name="常规 3 2 6" xfId="1211"/>
    <cellStyle name="常规 3 2 7" xfId="1212"/>
    <cellStyle name="常规 3 3" xfId="1213"/>
    <cellStyle name="常规 3 3 2" xfId="1214"/>
    <cellStyle name="常规 3 3 2 2" xfId="1215"/>
    <cellStyle name="常规 3 3 2 2 2" xfId="1216"/>
    <cellStyle name="常规 3 3 2 3" xfId="1217"/>
    <cellStyle name="常规 3 3 3" xfId="1218"/>
    <cellStyle name="常规 3 3 3 2" xfId="1219"/>
    <cellStyle name="常规 3 3 4" xfId="1220"/>
    <cellStyle name="常规 3 3 4 2" xfId="1221"/>
    <cellStyle name="常规 3 3 5" xfId="1222"/>
    <cellStyle name="常规 3 3 5 2" xfId="1223"/>
    <cellStyle name="常规 3 3 6" xfId="1224"/>
    <cellStyle name="常规 3 4" xfId="1225"/>
    <cellStyle name="常规 3 4 2" xfId="1226"/>
    <cellStyle name="常规 3 4 2 2" xfId="1227"/>
    <cellStyle name="常规 3 4 2 2 2" xfId="1228"/>
    <cellStyle name="常规 3 4 2 3" xfId="1229"/>
    <cellStyle name="常规 3 4 3" xfId="1230"/>
    <cellStyle name="常规 3 4 3 2" xfId="1231"/>
    <cellStyle name="常规 3 4 4" xfId="1232"/>
    <cellStyle name="常规 3 4 4 2" xfId="1233"/>
    <cellStyle name="常规 3 4 9" xfId="2004"/>
    <cellStyle name="常规 3 5" xfId="1234"/>
    <cellStyle name="常规 3 5 2" xfId="1235"/>
    <cellStyle name="常规 3 5 2 2" xfId="1236"/>
    <cellStyle name="常规 3 5 3" xfId="1237"/>
    <cellStyle name="常规 3 6" xfId="1238"/>
    <cellStyle name="常规 3 7" xfId="1239"/>
    <cellStyle name="常规 3 7 2" xfId="1240"/>
    <cellStyle name="常规 3 7 2 2" xfId="1241"/>
    <cellStyle name="常规 3 7 3" xfId="1242"/>
    <cellStyle name="常规 3 8" xfId="1243"/>
    <cellStyle name="常规 3 8 2" xfId="1244"/>
    <cellStyle name="常规 3 9" xfId="1245"/>
    <cellStyle name="常规 3_统筹-校长（暂估）" xfId="1246"/>
    <cellStyle name="常规 30" xfId="1247"/>
    <cellStyle name="常规 30 2" xfId="1248"/>
    <cellStyle name="常规 31" xfId="1249"/>
    <cellStyle name="常规 31 2" xfId="1250"/>
    <cellStyle name="常规 32" xfId="1251"/>
    <cellStyle name="常规 32 2" xfId="1252"/>
    <cellStyle name="常规 33" xfId="1253"/>
    <cellStyle name="常规 33 2" xfId="1254"/>
    <cellStyle name="常规 34" xfId="1255"/>
    <cellStyle name="常规 34 2" xfId="1256"/>
    <cellStyle name="常规 35" xfId="1257"/>
    <cellStyle name="常规 35 2" xfId="1258"/>
    <cellStyle name="常规 36" xfId="1259"/>
    <cellStyle name="常规 36 2" xfId="1260"/>
    <cellStyle name="常规 37" xfId="1261"/>
    <cellStyle name="常规 37 2" xfId="1262"/>
    <cellStyle name="常规 38" xfId="1263"/>
    <cellStyle name="常规 38 2" xfId="1264"/>
    <cellStyle name="常规 39" xfId="1265"/>
    <cellStyle name="常规 39 2" xfId="1266"/>
    <cellStyle name="常规 4" xfId="1267"/>
    <cellStyle name="常规 4 2" xfId="1268"/>
    <cellStyle name="常规 4 2 2" xfId="1269"/>
    <cellStyle name="常规 4 2 2 2" xfId="1270"/>
    <cellStyle name="常规 4 2 3" xfId="1271"/>
    <cellStyle name="常规 4 3" xfId="1272"/>
    <cellStyle name="常规 4 3 2" xfId="1273"/>
    <cellStyle name="常规 4 4" xfId="1274"/>
    <cellStyle name="常规 4 4 2" xfId="1275"/>
    <cellStyle name="常规 4 5" xfId="1276"/>
    <cellStyle name="常规 4 5 2" xfId="1277"/>
    <cellStyle name="常规 4 6" xfId="1278"/>
    <cellStyle name="常规 4 6 2" xfId="1279"/>
    <cellStyle name="常规 4 7" xfId="1280"/>
    <cellStyle name="常规 4 8" xfId="1281"/>
    <cellStyle name="常规 40" xfId="1282"/>
    <cellStyle name="常规 40 2" xfId="1283"/>
    <cellStyle name="常规 41" xfId="1284"/>
    <cellStyle name="常规 41 2" xfId="1285"/>
    <cellStyle name="常规 42" xfId="1286"/>
    <cellStyle name="常规 42 2" xfId="1287"/>
    <cellStyle name="常规 43" xfId="1288"/>
    <cellStyle name="常规 43 2" xfId="1289"/>
    <cellStyle name="常规 44" xfId="1290"/>
    <cellStyle name="常规 44 2" xfId="1291"/>
    <cellStyle name="常规 45" xfId="1292"/>
    <cellStyle name="常规 45 2" xfId="1293"/>
    <cellStyle name="常规 46" xfId="1294"/>
    <cellStyle name="常规 46 2" xfId="1295"/>
    <cellStyle name="常规 47" xfId="1296"/>
    <cellStyle name="常规 47 2" xfId="1297"/>
    <cellStyle name="常规 48" xfId="1298"/>
    <cellStyle name="常规 48 2" xfId="1299"/>
    <cellStyle name="常规 49" xfId="1300"/>
    <cellStyle name="常规 49 2" xfId="1301"/>
    <cellStyle name="常规 5" xfId="1302"/>
    <cellStyle name="常规 5 2" xfId="1303"/>
    <cellStyle name="常规 5 2 2" xfId="1304"/>
    <cellStyle name="常规 5 2 2 2" xfId="1305"/>
    <cellStyle name="常规 5 2 3" xfId="1306"/>
    <cellStyle name="常规 5 3" xfId="1307"/>
    <cellStyle name="常规 5 3 2" xfId="1308"/>
    <cellStyle name="常规 5 4" xfId="1309"/>
    <cellStyle name="常规 5 4 2" xfId="1310"/>
    <cellStyle name="常规 5 5" xfId="1311"/>
    <cellStyle name="常规 5 5 2" xfId="1312"/>
    <cellStyle name="常规 5 6" xfId="1313"/>
    <cellStyle name="常规 50" xfId="1314"/>
    <cellStyle name="常规 50 2" xfId="1315"/>
    <cellStyle name="常规 51" xfId="1316"/>
    <cellStyle name="常规 51 2" xfId="1317"/>
    <cellStyle name="常规 52" xfId="1318"/>
    <cellStyle name="常规 52 2" xfId="1319"/>
    <cellStyle name="常规 53" xfId="1320"/>
    <cellStyle name="常规 53 2" xfId="1321"/>
    <cellStyle name="常规 54" xfId="1322"/>
    <cellStyle name="常规 54 2" xfId="1323"/>
    <cellStyle name="常规 55" xfId="1324"/>
    <cellStyle name="常规 55 2" xfId="1325"/>
    <cellStyle name="常规 56" xfId="1326"/>
    <cellStyle name="常规 56 2" xfId="1327"/>
    <cellStyle name="常规 57" xfId="1328"/>
    <cellStyle name="常规 57 2" xfId="1329"/>
    <cellStyle name="常规 58" xfId="1330"/>
    <cellStyle name="常规 58 2" xfId="1331"/>
    <cellStyle name="常规 59" xfId="1332"/>
    <cellStyle name="常规 59 2" xfId="1333"/>
    <cellStyle name="常规 6" xfId="1334"/>
    <cellStyle name="常规 6 2" xfId="1335"/>
    <cellStyle name="常规 6 2 2" xfId="1336"/>
    <cellStyle name="常规 6 2 2 2" xfId="1337"/>
    <cellStyle name="常规 6 2 3" xfId="1338"/>
    <cellStyle name="常规 6 3" xfId="1339"/>
    <cellStyle name="常规 6 3 2" xfId="1340"/>
    <cellStyle name="常规 6 4" xfId="1341"/>
    <cellStyle name="常规 6 4 2" xfId="1342"/>
    <cellStyle name="常规 6 5" xfId="1343"/>
    <cellStyle name="常规 6 5 2" xfId="1344"/>
    <cellStyle name="常规 6 6" xfId="1345"/>
    <cellStyle name="常规 60" xfId="1346"/>
    <cellStyle name="常规 60 2" xfId="1347"/>
    <cellStyle name="常规 61" xfId="1348"/>
    <cellStyle name="常规 61 2" xfId="1349"/>
    <cellStyle name="常规 62" xfId="1350"/>
    <cellStyle name="常规 62 2" xfId="1351"/>
    <cellStyle name="常规 63" xfId="1352"/>
    <cellStyle name="常规 63 2" xfId="1353"/>
    <cellStyle name="常规 64" xfId="1354"/>
    <cellStyle name="常规 64 2" xfId="1355"/>
    <cellStyle name="常规 65" xfId="1356"/>
    <cellStyle name="常规 66" xfId="1357"/>
    <cellStyle name="常规 67" xfId="1358"/>
    <cellStyle name="常规 68" xfId="1359"/>
    <cellStyle name="常规 69" xfId="1360"/>
    <cellStyle name="常规 7" xfId="1361"/>
    <cellStyle name="常规 7 2" xfId="1362"/>
    <cellStyle name="常规 7 2 2" xfId="1363"/>
    <cellStyle name="常规 7 2 2 2" xfId="1364"/>
    <cellStyle name="常规 7 2 3" xfId="1365"/>
    <cellStyle name="常规 7 3" xfId="1366"/>
    <cellStyle name="常规 7 3 2" xfId="1367"/>
    <cellStyle name="常规 7 4" xfId="1368"/>
    <cellStyle name="常规 7 4 2" xfId="1369"/>
    <cellStyle name="常规 7 5" xfId="1370"/>
    <cellStyle name="常规 7 5 2" xfId="1371"/>
    <cellStyle name="常规 7 6" xfId="1372"/>
    <cellStyle name="常规 70" xfId="1373"/>
    <cellStyle name="常规 71" xfId="1374"/>
    <cellStyle name="常规 72" xfId="1375"/>
    <cellStyle name="常规 73" xfId="1376"/>
    <cellStyle name="常规 74" xfId="1377"/>
    <cellStyle name="常规 75" xfId="1378"/>
    <cellStyle name="常规 76" xfId="1379"/>
    <cellStyle name="常规 77" xfId="1380"/>
    <cellStyle name="常规 78" xfId="1381"/>
    <cellStyle name="常规 79" xfId="1382"/>
    <cellStyle name="常规 8" xfId="1383"/>
    <cellStyle name="常规 8 2" xfId="1384"/>
    <cellStyle name="常规 8 2 2" xfId="1385"/>
    <cellStyle name="常规 8 2 2 2" xfId="1386"/>
    <cellStyle name="常规 8 2 3" xfId="1387"/>
    <cellStyle name="常规 8 3" xfId="1388"/>
    <cellStyle name="常规 8 3 2" xfId="1389"/>
    <cellStyle name="常规 8 4" xfId="1390"/>
    <cellStyle name="常规 8 4 2" xfId="1391"/>
    <cellStyle name="常规 8 5" xfId="1392"/>
    <cellStyle name="常规 8 5 2" xfId="1393"/>
    <cellStyle name="常规 8 6" xfId="1394"/>
    <cellStyle name="常规 80" xfId="1395"/>
    <cellStyle name="常规 81" xfId="1396"/>
    <cellStyle name="常规 82" xfId="1397"/>
    <cellStyle name="常规 83" xfId="1398"/>
    <cellStyle name="常规 84" xfId="1399"/>
    <cellStyle name="常规 85" xfId="1400"/>
    <cellStyle name="常规 86" xfId="1401"/>
    <cellStyle name="常规 87" xfId="1402"/>
    <cellStyle name="常规 88" xfId="1403"/>
    <cellStyle name="常规 89" xfId="1404"/>
    <cellStyle name="常规 9" xfId="1405"/>
    <cellStyle name="常规 9 2" xfId="1406"/>
    <cellStyle name="常规 9 2 2" xfId="1407"/>
    <cellStyle name="常规 9 2 2 2" xfId="1408"/>
    <cellStyle name="常规 9 2 2 2 2" xfId="1409"/>
    <cellStyle name="常规 9 2 2 3" xfId="1410"/>
    <cellStyle name="常规 9 2 3" xfId="1411"/>
    <cellStyle name="常规 9 2 3 2" xfId="1412"/>
    <cellStyle name="常规 9 2 4" xfId="1413"/>
    <cellStyle name="常规 9 3" xfId="1414"/>
    <cellStyle name="常规 9 3 2" xfId="1415"/>
    <cellStyle name="常规 9 3 2 2" xfId="1416"/>
    <cellStyle name="常规 9 3 3" xfId="1417"/>
    <cellStyle name="常规 9 4" xfId="1418"/>
    <cellStyle name="常规 9 4 2" xfId="1419"/>
    <cellStyle name="常规 9 4 2 2" xfId="1420"/>
    <cellStyle name="常规 9 4 3" xfId="1421"/>
    <cellStyle name="常规 9 5" xfId="1422"/>
    <cellStyle name="常规 9 5 2" xfId="1423"/>
    <cellStyle name="常规 9 6" xfId="1424"/>
    <cellStyle name="常规 90" xfId="1425"/>
    <cellStyle name="常规 91" xfId="1426"/>
    <cellStyle name="常规 92" xfId="1427"/>
    <cellStyle name="常规 93" xfId="1428"/>
    <cellStyle name="常规 94" xfId="1429"/>
    <cellStyle name="常规 95" xfId="1430"/>
    <cellStyle name="常规 96" xfId="1431"/>
    <cellStyle name="常规 97" xfId="1432"/>
    <cellStyle name="常规 98" xfId="1433"/>
    <cellStyle name="常规 99" xfId="1434"/>
    <cellStyle name="常规_Sheet1" xfId="2012"/>
    <cellStyle name="常规_Sheet1 2" xfId="2013"/>
    <cellStyle name="常规_Sheet1_1" xfId="2022"/>
    <cellStyle name="常规_合1（初中预算）" xfId="2016"/>
    <cellStyle name="常规_合1(高中预算)" xfId="2019"/>
    <cellStyle name="常规_闵行区教育局中、小学装备标准(2014年新版）" xfId="2015"/>
    <cellStyle name="常规_莘庄" xfId="2009"/>
    <cellStyle name="常规_小学设备预算" xfId="2017"/>
    <cellStyle name="常规_幼儿园_4" xfId="2018"/>
    <cellStyle name="超链接 2" xfId="1435"/>
    <cellStyle name="好 2" xfId="1436"/>
    <cellStyle name="好 2 2" xfId="1437"/>
    <cellStyle name="好 2 2 2" xfId="1438"/>
    <cellStyle name="好 2 3" xfId="1439"/>
    <cellStyle name="好 3" xfId="1440"/>
    <cellStyle name="好 3 2" xfId="1441"/>
    <cellStyle name="好 3 2 2" xfId="1442"/>
    <cellStyle name="好 3 3" xfId="1443"/>
    <cellStyle name="好 4" xfId="1444"/>
    <cellStyle name="好 4 2" xfId="1445"/>
    <cellStyle name="好 4 2 2" xfId="1446"/>
    <cellStyle name="好 4 3" xfId="1447"/>
    <cellStyle name="好 5" xfId="1448"/>
    <cellStyle name="好 5 2" xfId="1449"/>
    <cellStyle name="好 6" xfId="1450"/>
    <cellStyle name="好 6 2" xfId="1451"/>
    <cellStyle name="好 7" xfId="1452"/>
    <cellStyle name="好 7 2" xfId="1453"/>
    <cellStyle name="好 8" xfId="1454"/>
    <cellStyle name="好_2013见习培训经费表下半年(chen)2014年9月" xfId="1455"/>
    <cellStyle name="好_2013见习培训经费表下半年(chen)2014年9月 2" xfId="1456"/>
    <cellStyle name="好_2013见习培训经费表下半年(chen)2014年9月 2 2" xfId="1457"/>
    <cellStyle name="好_2013见习培训经费表下半年(chen)2014年9月 2 2 2" xfId="1458"/>
    <cellStyle name="好_2013见习培训经费表下半年(chen)2014年9月 2 3" xfId="1459"/>
    <cellStyle name="好_2013见习培训经费表下半年(chen)2014年9月 3" xfId="1460"/>
    <cellStyle name="好_2013见习培训经费表下半年(chen)2014年9月 3 2" xfId="1461"/>
    <cellStyle name="好_2013见习培训经费表下半年(chen)2014年9月 4" xfId="1462"/>
    <cellStyle name="好_2013见习培训经费表下半年(chen)2014年9月 4 2" xfId="1463"/>
    <cellStyle name="好_2013见习培训经费表下半年(chen)2014年9月 5" xfId="1464"/>
    <cellStyle name="好_2014年聘用学校导师带教经费表" xfId="1465"/>
    <cellStyle name="好_2014年聘用学校导师带教经费表 2" xfId="1466"/>
    <cellStyle name="好_2014年聘用学校导师带教经费表 2 2" xfId="1467"/>
    <cellStyle name="好_2014年聘用学校导师带教经费表 2 2 2" xfId="1468"/>
    <cellStyle name="好_2014年聘用学校导师带教经费表 2 3" xfId="1469"/>
    <cellStyle name="好_2014年聘用学校导师带教经费表 3" xfId="1470"/>
    <cellStyle name="好_2014年聘用学校导师带教经费表 3 2" xfId="1471"/>
    <cellStyle name="好_2014年聘用学校导师带教经费表 3 2 2" xfId="1472"/>
    <cellStyle name="好_2014年聘用学校导师带教经费表 3 3" xfId="1473"/>
    <cellStyle name="好_2014年聘用学校导师带教经费表 4" xfId="1474"/>
    <cellStyle name="好_2014年聘用学校导师带教经费表 4 2" xfId="1475"/>
    <cellStyle name="好_2014年聘用学校导师带教经费表 4 2 2" xfId="1476"/>
    <cellStyle name="好_2014年聘用学校导师带教经费表 4 3" xfId="1477"/>
    <cellStyle name="好_2014年聘用学校导师带教经费表 5" xfId="1478"/>
    <cellStyle name="好_2014年聘用学校导师带教经费表 5 2" xfId="1479"/>
    <cellStyle name="好_2014年聘用学校导师带教经费表 6" xfId="1480"/>
    <cellStyle name="好_2014年聘用学校导师带教经费表 6 2" xfId="1481"/>
    <cellStyle name="好_2014年聘用学校导师带教经费表 7" xfId="1482"/>
    <cellStyle name="好_2014年终考核奖完整版-给核算中心" xfId="1483"/>
    <cellStyle name="好_2014年终考核奖完整版-给核算中心 2" xfId="1484"/>
    <cellStyle name="好_2014年终考核奖完整版-给核算中心 2 2" xfId="1485"/>
    <cellStyle name="好_2014年终考核奖完整版-给核算中心 2 2 2" xfId="1486"/>
    <cellStyle name="好_2014年终考核奖完整版-给核算中心 2 3" xfId="1487"/>
    <cellStyle name="好_2014年终考核奖完整版-给核算中心 3" xfId="1488"/>
    <cellStyle name="好_2014年终考核奖完整版-给核算中心 3 2" xfId="1489"/>
    <cellStyle name="好_2014年终考核奖完整版-给核算中心 4" xfId="1490"/>
    <cellStyle name="好_2014年终考核奖完整版-给核算中心 4 2" xfId="1491"/>
    <cellStyle name="好_2014年终考核奖完整版-给核算中心 5" xfId="1492"/>
    <cellStyle name="好_2014优秀学校奖励测算表" xfId="1493"/>
    <cellStyle name="好_2014优秀学校奖励测算表 2" xfId="1494"/>
    <cellStyle name="好_2014优秀学校奖励测算表 2 2" xfId="1495"/>
    <cellStyle name="好_2014优秀学校奖励测算表 2 2 2" xfId="1496"/>
    <cellStyle name="好_2014优秀学校奖励测算表 2 3" xfId="1497"/>
    <cellStyle name="好_2014优秀学校奖励测算表 3" xfId="1498"/>
    <cellStyle name="好_2014优秀学校奖励测算表 3 2" xfId="1499"/>
    <cellStyle name="好_2014优秀学校奖励测算表 4" xfId="1500"/>
    <cellStyle name="好_2014优秀学校奖励测算表 4 2" xfId="1501"/>
    <cellStyle name="好_2014优秀学校奖励测算表 5" xfId="1502"/>
    <cellStyle name="好_2015年年终奖预发表-给核算中心" xfId="1503"/>
    <cellStyle name="好_2015年年终奖预发表-给核算中心 2" xfId="1504"/>
    <cellStyle name="好_2015年年终奖预发表-给核算中心 2 2" xfId="1505"/>
    <cellStyle name="好_2015年年终奖预发表-给核算中心 2 2 2" xfId="1506"/>
    <cellStyle name="好_2015年年终奖预发表-给核算中心 2 3" xfId="1507"/>
    <cellStyle name="好_2015年年终奖预发表-给核算中心 3" xfId="1508"/>
    <cellStyle name="好_2015年年终奖预发表-给核算中心 3 2" xfId="1509"/>
    <cellStyle name="好_2015年年终奖预发表-给核算中心 4" xfId="1510"/>
    <cellStyle name="好_2015年年终奖预发表-给核算中心 4 2" xfId="1511"/>
    <cellStyle name="好_2015年年终奖预发表-给核算中心 5" xfId="1512"/>
    <cellStyle name="好_2016年3月校长职级工资（核算中心）" xfId="1513"/>
    <cellStyle name="好_2016年3月校长职级工资（核算中心） 2" xfId="1514"/>
    <cellStyle name="好_2016年3月校长职级工资（核算中心） 2 2" xfId="1515"/>
    <cellStyle name="好_2016年3月校长职级工资（核算中心） 2 2 2" xfId="1516"/>
    <cellStyle name="好_2016年3月校长职级工资（核算中心） 2 3" xfId="1517"/>
    <cellStyle name="好_2016年3月校长职级工资（核算中心） 3" xfId="1518"/>
    <cellStyle name="好_2016年3月校长职级工资（核算中心） 3 2" xfId="1519"/>
    <cellStyle name="好_2016年3月校长职级工资（核算中心） 4" xfId="1520"/>
    <cellStyle name="好_2016年3月校长职级工资（核算中心） 4 2" xfId="1521"/>
    <cellStyle name="好_2016年3月校长职级工资（核算中心） 5" xfId="1522"/>
    <cellStyle name="好_A0汇总表（报计财科：项目津贴发放）" xfId="1523"/>
    <cellStyle name="好_A0汇总表（报计财科：项目津贴发放） 2" xfId="1524"/>
    <cellStyle name="好_A0汇总表（报计财科：项目津贴发放） 2 2" xfId="1525"/>
    <cellStyle name="好_A0汇总表（报计财科：项目津贴发放） 2 2 2" xfId="1526"/>
    <cellStyle name="好_A0汇总表（报计财科：项目津贴发放） 2 3" xfId="1527"/>
    <cellStyle name="好_A0汇总表（报计财科：项目津贴发放） 3" xfId="1528"/>
    <cellStyle name="好_A0汇总表（报计财科：项目津贴发放） 3 2" xfId="1529"/>
    <cellStyle name="好_A0汇总表（报计财科：项目津贴发放） 4" xfId="1530"/>
    <cellStyle name="好_A0汇总表（报计财科：项目津贴发放） 4 2" xfId="1531"/>
    <cellStyle name="好_A0汇总表（报计财科：项目津贴发放） 5" xfId="1532"/>
    <cellStyle name="好_统筹-校长（暂估）" xfId="1533"/>
    <cellStyle name="好_统筹-校长（暂估） 2" xfId="1534"/>
    <cellStyle name="好_统筹-校长（暂估） 2 2" xfId="1535"/>
    <cellStyle name="好_统筹-校长（暂估） 2 2 2" xfId="1536"/>
    <cellStyle name="好_统筹-校长（暂估） 2 3" xfId="1537"/>
    <cellStyle name="好_统筹-校长（暂估） 3" xfId="1538"/>
    <cellStyle name="好_统筹-校长（暂估） 3 2" xfId="1539"/>
    <cellStyle name="好_统筹-校长（暂估） 4" xfId="1540"/>
    <cellStyle name="好_统筹-校长（暂估） 4 2" xfId="1541"/>
    <cellStyle name="好_统筹-校长（暂估） 5" xfId="1542"/>
    <cellStyle name="好_校长、书记2015年增量部分发放清单" xfId="1543"/>
    <cellStyle name="好_校长、书记2015年增量部分发放清单 2" xfId="1544"/>
    <cellStyle name="好_校长、书记2015年增量部分发放清单 2 2" xfId="1545"/>
    <cellStyle name="好_校长、书记2015年增量部分发放清单 2 2 2" xfId="1546"/>
    <cellStyle name="好_校长、书记2015年增量部分发放清单 2 3" xfId="1547"/>
    <cellStyle name="好_校长、书记2015年增量部分发放清单 3" xfId="1548"/>
    <cellStyle name="好_校长、书记2015年增量部分发放清单 3 2" xfId="1549"/>
    <cellStyle name="好_校长、书记2015年增量部分发放清单 4" xfId="1550"/>
    <cellStyle name="好_校长、书记2015年增量部分发放清单 4 2" xfId="1551"/>
    <cellStyle name="好_校长、书记2015年增量部分发放清单 5" xfId="1552"/>
    <cellStyle name="好_校长职级、亚信会奖励、教师节奖励镇管" xfId="1553"/>
    <cellStyle name="好_校长职级、亚信会奖励、教师节奖励镇管 2" xfId="1554"/>
    <cellStyle name="好_校长职级、亚信会奖励、教师节奖励镇管 2 2" xfId="1555"/>
    <cellStyle name="好_校长职级、亚信会奖励、教师节奖励镇管 2 2 2" xfId="1556"/>
    <cellStyle name="好_校长职级、亚信会奖励、教师节奖励镇管 2 3" xfId="1557"/>
    <cellStyle name="好_校长职级、亚信会奖励、教师节奖励镇管 3" xfId="1558"/>
    <cellStyle name="好_校长职级、亚信会奖励、教师节奖励镇管 3 2" xfId="1559"/>
    <cellStyle name="好_校长职级、亚信会奖励、教师节奖励镇管 4" xfId="1560"/>
    <cellStyle name="好_校长职级、亚信会奖励、教师节奖励镇管 4 2" xfId="1561"/>
    <cellStyle name="好_校长职级、亚信会奖励、教师节奖励镇管 5" xfId="1562"/>
    <cellStyle name="好_镇管汇总" xfId="1563"/>
    <cellStyle name="好_镇管汇总 2" xfId="1564"/>
    <cellStyle name="好_镇管汇总 2 2" xfId="1565"/>
    <cellStyle name="好_镇管汇总 2 2 2" xfId="1566"/>
    <cellStyle name="好_镇管汇总 2 3" xfId="1567"/>
    <cellStyle name="好_镇管汇总 3" xfId="1568"/>
    <cellStyle name="好_镇管汇总 3 2" xfId="1569"/>
    <cellStyle name="好_镇管汇总 4" xfId="1570"/>
    <cellStyle name="好_镇管汇总 4 2" xfId="1571"/>
    <cellStyle name="好_镇管汇总 5" xfId="1572"/>
    <cellStyle name="汇总 2" xfId="1573"/>
    <cellStyle name="汇总 2 2" xfId="1574"/>
    <cellStyle name="汇总 2 2 2" xfId="1575"/>
    <cellStyle name="汇总 2 3" xfId="1576"/>
    <cellStyle name="汇总 3" xfId="1577"/>
    <cellStyle name="汇总 3 2" xfId="1578"/>
    <cellStyle name="汇总 3 2 2" xfId="1579"/>
    <cellStyle name="汇总 3 3" xfId="1580"/>
    <cellStyle name="汇总 4" xfId="1581"/>
    <cellStyle name="汇总 4 2" xfId="1582"/>
    <cellStyle name="汇总 4 2 2" xfId="1583"/>
    <cellStyle name="汇总 4 3" xfId="1584"/>
    <cellStyle name="汇总 5" xfId="1585"/>
    <cellStyle name="汇总 5 2" xfId="1586"/>
    <cellStyle name="汇总 6" xfId="1587"/>
    <cellStyle name="汇总 6 2" xfId="1588"/>
    <cellStyle name="计算 2" xfId="1589"/>
    <cellStyle name="计算 2 2" xfId="1590"/>
    <cellStyle name="计算 2 2 2" xfId="1591"/>
    <cellStyle name="计算 2 3" xfId="1592"/>
    <cellStyle name="计算 3" xfId="1593"/>
    <cellStyle name="计算 3 2" xfId="1594"/>
    <cellStyle name="计算 3 2 2" xfId="1595"/>
    <cellStyle name="计算 3 3" xfId="1596"/>
    <cellStyle name="计算 4" xfId="1597"/>
    <cellStyle name="计算 4 2" xfId="1598"/>
    <cellStyle name="计算 4 2 2" xfId="1599"/>
    <cellStyle name="计算 4 3" xfId="1600"/>
    <cellStyle name="计算 5" xfId="1601"/>
    <cellStyle name="计算 5 2" xfId="1602"/>
    <cellStyle name="计算 6" xfId="1603"/>
    <cellStyle name="计算 6 2" xfId="1604"/>
    <cellStyle name="计算 7" xfId="1605"/>
    <cellStyle name="计算 7 2" xfId="1606"/>
    <cellStyle name="检查单元格 2" xfId="1607"/>
    <cellStyle name="检查单元格 2 2" xfId="1608"/>
    <cellStyle name="检查单元格 2 2 2" xfId="1609"/>
    <cellStyle name="检查单元格 2 3" xfId="1610"/>
    <cellStyle name="检查单元格 3" xfId="1611"/>
    <cellStyle name="检查单元格 3 2" xfId="1612"/>
    <cellStyle name="检查单元格 3 2 2" xfId="1613"/>
    <cellStyle name="检查单元格 3 3" xfId="1614"/>
    <cellStyle name="检查单元格 4" xfId="1615"/>
    <cellStyle name="检查单元格 4 2" xfId="1616"/>
    <cellStyle name="检查单元格 4 2 2" xfId="1617"/>
    <cellStyle name="检查单元格 4 3" xfId="1618"/>
    <cellStyle name="检查单元格 5" xfId="1619"/>
    <cellStyle name="检查单元格 5 2" xfId="1620"/>
    <cellStyle name="检查单元格 6" xfId="1621"/>
    <cellStyle name="检查单元格 6 2" xfId="1622"/>
    <cellStyle name="检查单元格 7" xfId="1623"/>
    <cellStyle name="检查单元格 7 2" xfId="1624"/>
    <cellStyle name="解释性文本 2" xfId="1625"/>
    <cellStyle name="解释性文本 2 2" xfId="1626"/>
    <cellStyle name="解释性文本 2 2 2" xfId="1627"/>
    <cellStyle name="解释性文本 2 3" xfId="1628"/>
    <cellStyle name="解释性文本 3" xfId="1629"/>
    <cellStyle name="解释性文本 3 2" xfId="1630"/>
    <cellStyle name="解释性文本 3 2 2" xfId="1631"/>
    <cellStyle name="解释性文本 3 3" xfId="1632"/>
    <cellStyle name="解释性文本 4" xfId="1633"/>
    <cellStyle name="解释性文本 4 2" xfId="1634"/>
    <cellStyle name="解释性文本 4 2 2" xfId="1635"/>
    <cellStyle name="解释性文本 4 3" xfId="1636"/>
    <cellStyle name="解释性文本 5" xfId="1637"/>
    <cellStyle name="解释性文本 5 2" xfId="1638"/>
    <cellStyle name="解释性文本 6" xfId="1639"/>
    <cellStyle name="解释性文本 6 2" xfId="1640"/>
    <cellStyle name="警告文本 2" xfId="1641"/>
    <cellStyle name="警告文本 2 2" xfId="1642"/>
    <cellStyle name="警告文本 2 2 2" xfId="1643"/>
    <cellStyle name="警告文本 2 3" xfId="1644"/>
    <cellStyle name="警告文本 3" xfId="1645"/>
    <cellStyle name="警告文本 3 2" xfId="1646"/>
    <cellStyle name="警告文本 3 2 2" xfId="1647"/>
    <cellStyle name="警告文本 3 3" xfId="1648"/>
    <cellStyle name="警告文本 4" xfId="1649"/>
    <cellStyle name="警告文本 4 2" xfId="1650"/>
    <cellStyle name="警告文本 4 2 2" xfId="1651"/>
    <cellStyle name="警告文本 4 3" xfId="1652"/>
    <cellStyle name="警告文本 5" xfId="1653"/>
    <cellStyle name="警告文本 5 2" xfId="1654"/>
    <cellStyle name="警告文本 6" xfId="1655"/>
    <cellStyle name="警告文本 6 2" xfId="1656"/>
    <cellStyle name="链接单元格 2" xfId="1657"/>
    <cellStyle name="链接单元格 2 2" xfId="1658"/>
    <cellStyle name="链接单元格 2 2 2" xfId="1659"/>
    <cellStyle name="链接单元格 2 3" xfId="1660"/>
    <cellStyle name="链接单元格 3" xfId="1661"/>
    <cellStyle name="链接单元格 3 2" xfId="1662"/>
    <cellStyle name="链接单元格 3 2 2" xfId="1663"/>
    <cellStyle name="链接单元格 3 3" xfId="1664"/>
    <cellStyle name="链接单元格 4" xfId="1665"/>
    <cellStyle name="链接单元格 4 2" xfId="1666"/>
    <cellStyle name="链接单元格 4 2 2" xfId="1667"/>
    <cellStyle name="链接单元格 4 3" xfId="1668"/>
    <cellStyle name="链接单元格 5" xfId="1669"/>
    <cellStyle name="链接单元格 5 2" xfId="1670"/>
    <cellStyle name="链接单元格 6" xfId="1671"/>
    <cellStyle name="链接单元格 6 2" xfId="1672"/>
    <cellStyle name="千位分隔" xfId="2020" builtinId="3"/>
    <cellStyle name="千位分隔 10" xfId="1673"/>
    <cellStyle name="千位分隔 10 2" xfId="1674"/>
    <cellStyle name="千位分隔 11" xfId="1675"/>
    <cellStyle name="千位分隔 12" xfId="1676"/>
    <cellStyle name="千位分隔 12 2" xfId="1677"/>
    <cellStyle name="千位分隔 13" xfId="1678"/>
    <cellStyle name="千位分隔 14" xfId="1679"/>
    <cellStyle name="千位分隔 14 2" xfId="1680"/>
    <cellStyle name="千位分隔 2" xfId="1681"/>
    <cellStyle name="千位分隔 2 2" xfId="1682"/>
    <cellStyle name="千位分隔 2 2 2" xfId="1683"/>
    <cellStyle name="千位分隔 2 2 2 2" xfId="1684"/>
    <cellStyle name="千位分隔 2 2 3" xfId="1685"/>
    <cellStyle name="千位分隔 2 2 4" xfId="1686"/>
    <cellStyle name="千位分隔 2 3" xfId="1687"/>
    <cellStyle name="千位分隔 2 3 2" xfId="1688"/>
    <cellStyle name="千位分隔 2 3 3" xfId="1689"/>
    <cellStyle name="千位分隔 2 4" xfId="1690"/>
    <cellStyle name="千位分隔 2 4 2" xfId="1691"/>
    <cellStyle name="千位分隔 2 4 2 2" xfId="1692"/>
    <cellStyle name="千位分隔 2 4 3" xfId="1693"/>
    <cellStyle name="千位分隔 2 5" xfId="1694"/>
    <cellStyle name="千位分隔 2 5 2" xfId="1695"/>
    <cellStyle name="千位分隔 2 6" xfId="1696"/>
    <cellStyle name="千位分隔 2 6 2" xfId="1697"/>
    <cellStyle name="千位分隔 2 7" xfId="1698"/>
    <cellStyle name="千位分隔 2 7 2" xfId="1699"/>
    <cellStyle name="千位分隔 2 8" xfId="1700"/>
    <cellStyle name="千位分隔 2 8 2" xfId="1701"/>
    <cellStyle name="千位分隔 2 9" xfId="1702"/>
    <cellStyle name="千位分隔 3" xfId="1703"/>
    <cellStyle name="千位分隔 3 2" xfId="1704"/>
    <cellStyle name="千位分隔 3 2 2" xfId="1705"/>
    <cellStyle name="千位分隔 3 2 2 2" xfId="1706"/>
    <cellStyle name="千位分隔 3 2 3" xfId="1707"/>
    <cellStyle name="千位分隔 3 3" xfId="1708"/>
    <cellStyle name="千位分隔 3 3 2" xfId="1709"/>
    <cellStyle name="千位分隔 3 4" xfId="1710"/>
    <cellStyle name="千位分隔 4" xfId="1711"/>
    <cellStyle name="千位分隔 4 2" xfId="1712"/>
    <cellStyle name="千位分隔 4 3" xfId="1713"/>
    <cellStyle name="千位分隔 5" xfId="1714"/>
    <cellStyle name="千位分隔 5 2" xfId="1715"/>
    <cellStyle name="千位分隔 5 2 2" xfId="1716"/>
    <cellStyle name="千位分隔 5 3" xfId="1717"/>
    <cellStyle name="千位分隔 6" xfId="1718"/>
    <cellStyle name="千位分隔 6 2" xfId="1719"/>
    <cellStyle name="千位分隔 6 2 2" xfId="1720"/>
    <cellStyle name="千位分隔 6 3" xfId="1721"/>
    <cellStyle name="千位分隔 7" xfId="1722"/>
    <cellStyle name="千位分隔 7 2" xfId="1723"/>
    <cellStyle name="千位分隔 8" xfId="1724"/>
    <cellStyle name="千位分隔 8 2" xfId="1725"/>
    <cellStyle name="千位分隔 9" xfId="1726"/>
    <cellStyle name="千位分隔[0]" xfId="2011" builtinId="6"/>
    <cellStyle name="千位分隔[0] 2" xfId="2007"/>
    <cellStyle name="千位分隔[0] 3" xfId="2014"/>
    <cellStyle name="强调文字颜色 1 2" xfId="1727"/>
    <cellStyle name="强调文字颜色 1 2 2" xfId="1728"/>
    <cellStyle name="强调文字颜色 1 2 2 2" xfId="1729"/>
    <cellStyle name="强调文字颜色 1 2 3" xfId="1730"/>
    <cellStyle name="强调文字颜色 1 3" xfId="1731"/>
    <cellStyle name="强调文字颜色 1 3 2" xfId="1732"/>
    <cellStyle name="强调文字颜色 1 3 2 2" xfId="1733"/>
    <cellStyle name="强调文字颜色 1 3 3" xfId="1734"/>
    <cellStyle name="强调文字颜色 1 4" xfId="1735"/>
    <cellStyle name="强调文字颜色 1 4 2" xfId="1736"/>
    <cellStyle name="强调文字颜色 1 4 2 2" xfId="1737"/>
    <cellStyle name="强调文字颜色 1 4 3" xfId="1738"/>
    <cellStyle name="强调文字颜色 1 5" xfId="1739"/>
    <cellStyle name="强调文字颜色 1 5 2" xfId="1740"/>
    <cellStyle name="强调文字颜色 1 6" xfId="1741"/>
    <cellStyle name="强调文字颜色 1 6 2" xfId="1742"/>
    <cellStyle name="强调文字颜色 1 7" xfId="1743"/>
    <cellStyle name="强调文字颜色 1 7 2" xfId="1744"/>
    <cellStyle name="强调文字颜色 2 2" xfId="1745"/>
    <cellStyle name="强调文字颜色 2 2 2" xfId="1746"/>
    <cellStyle name="强调文字颜色 2 2 2 2" xfId="1747"/>
    <cellStyle name="强调文字颜色 2 2 3" xfId="1748"/>
    <cellStyle name="强调文字颜色 2 3" xfId="1749"/>
    <cellStyle name="强调文字颜色 2 3 2" xfId="1750"/>
    <cellStyle name="强调文字颜色 2 3 2 2" xfId="1751"/>
    <cellStyle name="强调文字颜色 2 3 3" xfId="1752"/>
    <cellStyle name="强调文字颜色 2 4" xfId="1753"/>
    <cellStyle name="强调文字颜色 2 4 2" xfId="1754"/>
    <cellStyle name="强调文字颜色 2 4 2 2" xfId="1755"/>
    <cellStyle name="强调文字颜色 2 4 3" xfId="1756"/>
    <cellStyle name="强调文字颜色 2 5" xfId="1757"/>
    <cellStyle name="强调文字颜色 2 5 2" xfId="1758"/>
    <cellStyle name="强调文字颜色 2 6" xfId="1759"/>
    <cellStyle name="强调文字颜色 2 6 2" xfId="1760"/>
    <cellStyle name="强调文字颜色 2 7" xfId="1761"/>
    <cellStyle name="强调文字颜色 2 7 2" xfId="1762"/>
    <cellStyle name="强调文字颜色 3 2" xfId="1763"/>
    <cellStyle name="强调文字颜色 3 2 2" xfId="1764"/>
    <cellStyle name="强调文字颜色 3 2 2 2" xfId="1765"/>
    <cellStyle name="强调文字颜色 3 2 3" xfId="1766"/>
    <cellStyle name="强调文字颜色 3 3" xfId="1767"/>
    <cellStyle name="强调文字颜色 3 3 2" xfId="1768"/>
    <cellStyle name="强调文字颜色 3 3 2 2" xfId="1769"/>
    <cellStyle name="强调文字颜色 3 3 3" xfId="1770"/>
    <cellStyle name="强调文字颜色 3 4" xfId="1771"/>
    <cellStyle name="强调文字颜色 3 4 2" xfId="1772"/>
    <cellStyle name="强调文字颜色 3 4 2 2" xfId="1773"/>
    <cellStyle name="强调文字颜色 3 4 3" xfId="1774"/>
    <cellStyle name="强调文字颜色 3 5" xfId="1775"/>
    <cellStyle name="强调文字颜色 3 5 2" xfId="1776"/>
    <cellStyle name="强调文字颜色 3 6" xfId="1777"/>
    <cellStyle name="强调文字颜色 3 6 2" xfId="1778"/>
    <cellStyle name="强调文字颜色 3 7" xfId="1779"/>
    <cellStyle name="强调文字颜色 3 7 2" xfId="1780"/>
    <cellStyle name="强调文字颜色 4 2" xfId="1781"/>
    <cellStyle name="强调文字颜色 4 2 2" xfId="1782"/>
    <cellStyle name="强调文字颜色 4 2 2 2" xfId="1783"/>
    <cellStyle name="强调文字颜色 4 2 3" xfId="1784"/>
    <cellStyle name="强调文字颜色 4 3" xfId="1785"/>
    <cellStyle name="强调文字颜色 4 3 2" xfId="1786"/>
    <cellStyle name="强调文字颜色 4 3 2 2" xfId="1787"/>
    <cellStyle name="强调文字颜色 4 3 3" xfId="1788"/>
    <cellStyle name="强调文字颜色 4 4" xfId="1789"/>
    <cellStyle name="强调文字颜色 4 4 2" xfId="1790"/>
    <cellStyle name="强调文字颜色 4 4 2 2" xfId="1791"/>
    <cellStyle name="强调文字颜色 4 4 3" xfId="1792"/>
    <cellStyle name="强调文字颜色 4 5" xfId="1793"/>
    <cellStyle name="强调文字颜色 4 5 2" xfId="1794"/>
    <cellStyle name="强调文字颜色 4 6" xfId="1795"/>
    <cellStyle name="强调文字颜色 4 6 2" xfId="1796"/>
    <cellStyle name="强调文字颜色 4 7" xfId="1797"/>
    <cellStyle name="强调文字颜色 4 7 2" xfId="1798"/>
    <cellStyle name="强调文字颜色 5 2" xfId="1799"/>
    <cellStyle name="强调文字颜色 5 2 2" xfId="1800"/>
    <cellStyle name="强调文字颜色 5 2 2 2" xfId="1801"/>
    <cellStyle name="强调文字颜色 5 2 3" xfId="1802"/>
    <cellStyle name="强调文字颜色 5 3" xfId="1803"/>
    <cellStyle name="强调文字颜色 5 3 2" xfId="1804"/>
    <cellStyle name="强调文字颜色 5 3 2 2" xfId="1805"/>
    <cellStyle name="强调文字颜色 5 3 3" xfId="1806"/>
    <cellStyle name="强调文字颜色 5 4" xfId="1807"/>
    <cellStyle name="强调文字颜色 5 4 2" xfId="1808"/>
    <cellStyle name="强调文字颜色 5 4 2 2" xfId="1809"/>
    <cellStyle name="强调文字颜色 5 4 3" xfId="1810"/>
    <cellStyle name="强调文字颜色 5 5" xfId="1811"/>
    <cellStyle name="强调文字颜色 5 5 2" xfId="1812"/>
    <cellStyle name="强调文字颜色 5 6" xfId="1813"/>
    <cellStyle name="强调文字颜色 5 6 2" xfId="1814"/>
    <cellStyle name="强调文字颜色 5 7" xfId="1815"/>
    <cellStyle name="强调文字颜色 5 7 2" xfId="1816"/>
    <cellStyle name="强调文字颜色 6 2" xfId="1817"/>
    <cellStyle name="强调文字颜色 6 2 2" xfId="1818"/>
    <cellStyle name="强调文字颜色 6 2 2 2" xfId="1819"/>
    <cellStyle name="强调文字颜色 6 2 3" xfId="1820"/>
    <cellStyle name="强调文字颜色 6 3" xfId="1821"/>
    <cellStyle name="强调文字颜色 6 3 2" xfId="1822"/>
    <cellStyle name="强调文字颜色 6 3 2 2" xfId="1823"/>
    <cellStyle name="强调文字颜色 6 3 3" xfId="1824"/>
    <cellStyle name="强调文字颜色 6 4" xfId="1825"/>
    <cellStyle name="强调文字颜色 6 4 2" xfId="1826"/>
    <cellStyle name="强调文字颜色 6 4 2 2" xfId="1827"/>
    <cellStyle name="强调文字颜色 6 4 3" xfId="1828"/>
    <cellStyle name="强调文字颜色 6 5" xfId="1829"/>
    <cellStyle name="强调文字颜色 6 5 2" xfId="1830"/>
    <cellStyle name="强调文字颜色 6 6" xfId="1831"/>
    <cellStyle name="强调文字颜色 6 6 2" xfId="1832"/>
    <cellStyle name="强调文字颜色 6 7" xfId="1833"/>
    <cellStyle name="强调文字颜色 6 7 2" xfId="1834"/>
    <cellStyle name="适中 2" xfId="1835"/>
    <cellStyle name="适中 2 2" xfId="1836"/>
    <cellStyle name="适中 2 2 2" xfId="1837"/>
    <cellStyle name="适中 2 3" xfId="1838"/>
    <cellStyle name="适中 3" xfId="1839"/>
    <cellStyle name="适中 3 2" xfId="1840"/>
    <cellStyle name="适中 3 2 2" xfId="1841"/>
    <cellStyle name="适中 3 3" xfId="1842"/>
    <cellStyle name="适中 4" xfId="1843"/>
    <cellStyle name="适中 4 2" xfId="1844"/>
    <cellStyle name="适中 4 2 2" xfId="1845"/>
    <cellStyle name="适中 4 3" xfId="1846"/>
    <cellStyle name="适中 5" xfId="1847"/>
    <cellStyle name="适中 5 2" xfId="1848"/>
    <cellStyle name="适中 6" xfId="1849"/>
    <cellStyle name="适中 6 2" xfId="1850"/>
    <cellStyle name="适中 7" xfId="1851"/>
    <cellStyle name="适中 7 2" xfId="1852"/>
    <cellStyle name="输出 2" xfId="1853"/>
    <cellStyle name="输出 2 2" xfId="1854"/>
    <cellStyle name="输出 2 2 2" xfId="1855"/>
    <cellStyle name="输出 2 3" xfId="1856"/>
    <cellStyle name="输出 3" xfId="1857"/>
    <cellStyle name="输出 3 2" xfId="1858"/>
    <cellStyle name="输出 3 2 2" xfId="1859"/>
    <cellStyle name="输出 3 3" xfId="1860"/>
    <cellStyle name="输出 4" xfId="1861"/>
    <cellStyle name="输出 4 2" xfId="1862"/>
    <cellStyle name="输出 4 2 2" xfId="1863"/>
    <cellStyle name="输出 4 3" xfId="1864"/>
    <cellStyle name="输出 5" xfId="1865"/>
    <cellStyle name="输出 5 2" xfId="1866"/>
    <cellStyle name="输出 6" xfId="1867"/>
    <cellStyle name="输出 6 2" xfId="1868"/>
    <cellStyle name="输出 7" xfId="1869"/>
    <cellStyle name="输出 7 2" xfId="1870"/>
    <cellStyle name="输入 2" xfId="1871"/>
    <cellStyle name="输入 2 2" xfId="1872"/>
    <cellStyle name="输入 2 2 2" xfId="1873"/>
    <cellStyle name="输入 2 3" xfId="1874"/>
    <cellStyle name="输入 3" xfId="1875"/>
    <cellStyle name="输入 3 2" xfId="1876"/>
    <cellStyle name="输入 3 2 2" xfId="1877"/>
    <cellStyle name="输入 3 3" xfId="1878"/>
    <cellStyle name="输入 4" xfId="1879"/>
    <cellStyle name="输入 4 2" xfId="1880"/>
    <cellStyle name="输入 4 2 2" xfId="1881"/>
    <cellStyle name="输入 4 3" xfId="1882"/>
    <cellStyle name="输入 5" xfId="1883"/>
    <cellStyle name="输入 5 2" xfId="1884"/>
    <cellStyle name="输入 6" xfId="1885"/>
    <cellStyle name="输入 6 2" xfId="1886"/>
    <cellStyle name="输入 7" xfId="1887"/>
    <cellStyle name="输入 7 2" xfId="1888"/>
    <cellStyle name="说明文本" xfId="1889"/>
    <cellStyle name="说明文本 2" xfId="1890"/>
    <cellStyle name="说明文本 2 2" xfId="1891"/>
    <cellStyle name="说明文本 2 2 2" xfId="1892"/>
    <cellStyle name="说明文本 2 3" xfId="1893"/>
    <cellStyle name="说明文本 3" xfId="1894"/>
    <cellStyle name="说明文本 3 2" xfId="1895"/>
    <cellStyle name="说明文本 4" xfId="1896"/>
    <cellStyle name="说明文本 4 2" xfId="1897"/>
    <cellStyle name="说明文本 5" xfId="1898"/>
    <cellStyle name="无色" xfId="1899"/>
    <cellStyle name="无色 2" xfId="1900"/>
    <cellStyle name="无色 2 2" xfId="1901"/>
    <cellStyle name="无色 2 2 2" xfId="1902"/>
    <cellStyle name="无色 2 3" xfId="1903"/>
    <cellStyle name="无色 3" xfId="1904"/>
    <cellStyle name="无色 3 2" xfId="1905"/>
    <cellStyle name="无色 4" xfId="1906"/>
    <cellStyle name="无色 4 2" xfId="1907"/>
    <cellStyle name="无色 5" xfId="1908"/>
    <cellStyle name="样式 1" xfId="1909"/>
    <cellStyle name="着色 1 2" xfId="1910"/>
    <cellStyle name="着色 1 2 2" xfId="1911"/>
    <cellStyle name="着色 1 2 2 2" xfId="1912"/>
    <cellStyle name="着色 1 2 3" xfId="1913"/>
    <cellStyle name="着色 1 3" xfId="1914"/>
    <cellStyle name="着色 1 3 2" xfId="1915"/>
    <cellStyle name="着色 1 4" xfId="1916"/>
    <cellStyle name="着色 1 4 2" xfId="1917"/>
    <cellStyle name="着色 1 5" xfId="1918"/>
    <cellStyle name="着色 2 2" xfId="1919"/>
    <cellStyle name="着色 2 2 2" xfId="1920"/>
    <cellStyle name="着色 2 2 2 2" xfId="1921"/>
    <cellStyle name="着色 2 2 3" xfId="1922"/>
    <cellStyle name="着色 2 3" xfId="1923"/>
    <cellStyle name="着色 2 3 2" xfId="1924"/>
    <cellStyle name="着色 2 4" xfId="1925"/>
    <cellStyle name="着色 2 4 2" xfId="1926"/>
    <cellStyle name="着色 2 5" xfId="1927"/>
    <cellStyle name="着色 3 2" xfId="1928"/>
    <cellStyle name="着色 3 2 2" xfId="1929"/>
    <cellStyle name="着色 3 2 2 2" xfId="1930"/>
    <cellStyle name="着色 3 2 3" xfId="1931"/>
    <cellStyle name="着色 3 3" xfId="1932"/>
    <cellStyle name="着色 3 3 2" xfId="1933"/>
    <cellStyle name="着色 3 4" xfId="1934"/>
    <cellStyle name="着色 3 4 2" xfId="1935"/>
    <cellStyle name="着色 3 5" xfId="1936"/>
    <cellStyle name="着色 4 2" xfId="1937"/>
    <cellStyle name="着色 4 2 2" xfId="1938"/>
    <cellStyle name="着色 4 2 2 2" xfId="1939"/>
    <cellStyle name="着色 4 2 3" xfId="1940"/>
    <cellStyle name="着色 4 3" xfId="1941"/>
    <cellStyle name="着色 4 3 2" xfId="1942"/>
    <cellStyle name="着色 4 4" xfId="1943"/>
    <cellStyle name="着色 4 4 2" xfId="1944"/>
    <cellStyle name="着色 4 5" xfId="1945"/>
    <cellStyle name="着色 5 2" xfId="1946"/>
    <cellStyle name="着色 5 2 2" xfId="1947"/>
    <cellStyle name="着色 5 2 2 2" xfId="1948"/>
    <cellStyle name="着色 5 2 3" xfId="1949"/>
    <cellStyle name="着色 5 3" xfId="1950"/>
    <cellStyle name="着色 5 3 2" xfId="1951"/>
    <cellStyle name="着色 5 4" xfId="1952"/>
    <cellStyle name="着色 5 4 2" xfId="1953"/>
    <cellStyle name="着色 5 5" xfId="1954"/>
    <cellStyle name="着色 6 2" xfId="1955"/>
    <cellStyle name="着色 6 2 2" xfId="1956"/>
    <cellStyle name="着色 6 2 2 2" xfId="1957"/>
    <cellStyle name="着色 6 2 3" xfId="1958"/>
    <cellStyle name="着色 6 3" xfId="1959"/>
    <cellStyle name="着色 6 3 2" xfId="1960"/>
    <cellStyle name="着色 6 4" xfId="1961"/>
    <cellStyle name="着色 6 4 2" xfId="1962"/>
    <cellStyle name="着色 6 5" xfId="1963"/>
    <cellStyle name="注释 2" xfId="1964"/>
    <cellStyle name="注释 2 2" xfId="1965"/>
    <cellStyle name="注释 2 2 2" xfId="1966"/>
    <cellStyle name="注释 2 2 2 2" xfId="1967"/>
    <cellStyle name="注释 2 2 3" xfId="1968"/>
    <cellStyle name="注释 2 3" xfId="1969"/>
    <cellStyle name="注释 2 3 2" xfId="1970"/>
    <cellStyle name="注释 2 4" xfId="1971"/>
    <cellStyle name="注释 3" xfId="1972"/>
    <cellStyle name="注释 3 2" xfId="1973"/>
    <cellStyle name="注释 3 2 2" xfId="1974"/>
    <cellStyle name="注释 3 2 2 2" xfId="1975"/>
    <cellStyle name="注释 3 2 3" xfId="1976"/>
    <cellStyle name="注释 3 3" xfId="1977"/>
    <cellStyle name="注释 3 3 2" xfId="1978"/>
    <cellStyle name="注释 3 4" xfId="1979"/>
    <cellStyle name="注释 4" xfId="1980"/>
    <cellStyle name="注释 4 2" xfId="1981"/>
    <cellStyle name="注释 4 2 2" xfId="1982"/>
    <cellStyle name="注释 4 2 2 2" xfId="1983"/>
    <cellStyle name="注释 4 2 3" xfId="1984"/>
    <cellStyle name="注释 4 3" xfId="1985"/>
    <cellStyle name="注释 4 3 2" xfId="1986"/>
    <cellStyle name="注释 4 4" xfId="1987"/>
    <cellStyle name="注释 5" xfId="1988"/>
    <cellStyle name="注释 5 2" xfId="1989"/>
    <cellStyle name="注释 5 2 2" xfId="1990"/>
    <cellStyle name="注释 5 3" xfId="1991"/>
    <cellStyle name="注释 6" xfId="1992"/>
    <cellStyle name="注释 6 2" xfId="1993"/>
    <cellStyle name="注释 6 2 2" xfId="1994"/>
    <cellStyle name="注释 6 3" xfId="1995"/>
    <cellStyle name="注释 7" xfId="1996"/>
    <cellStyle name="注释 7 2" xfId="1997"/>
    <cellStyle name="注释 7 2 2" xfId="1998"/>
    <cellStyle name="注释 7 3" xfId="1999"/>
  </cellStyles>
  <dxfs count="4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723900</xdr:colOff>
      <xdr:row>54</xdr:row>
      <xdr:rowOff>19050</xdr:rowOff>
    </xdr:from>
    <xdr:to>
      <xdr:col>12</xdr:col>
      <xdr:colOff>723900</xdr:colOff>
      <xdr:row>54</xdr:row>
      <xdr:rowOff>66675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86400" y="14058900"/>
          <a:ext cx="0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723900</xdr:colOff>
      <xdr:row>55</xdr:row>
      <xdr:rowOff>19050</xdr:rowOff>
    </xdr:from>
    <xdr:to>
      <xdr:col>7</xdr:col>
      <xdr:colOff>723900</xdr:colOff>
      <xdr:row>55</xdr:row>
      <xdr:rowOff>66675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91650" y="901065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723900</xdr:colOff>
      <xdr:row>55</xdr:row>
      <xdr:rowOff>19050</xdr:rowOff>
    </xdr:from>
    <xdr:to>
      <xdr:col>7</xdr:col>
      <xdr:colOff>723900</xdr:colOff>
      <xdr:row>55</xdr:row>
      <xdr:rowOff>66675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91650" y="901065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676275</xdr:colOff>
      <xdr:row>50</xdr:row>
      <xdr:rowOff>57150</xdr:rowOff>
    </xdr:from>
    <xdr:to>
      <xdr:col>6</xdr:col>
      <xdr:colOff>685800</xdr:colOff>
      <xdr:row>50</xdr:row>
      <xdr:rowOff>104775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153400" y="790575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723900</xdr:colOff>
      <xdr:row>55</xdr:row>
      <xdr:rowOff>19050</xdr:rowOff>
    </xdr:from>
    <xdr:to>
      <xdr:col>7</xdr:col>
      <xdr:colOff>723900</xdr:colOff>
      <xdr:row>55</xdr:row>
      <xdr:rowOff>66675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91650" y="901065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723900</xdr:colOff>
      <xdr:row>55</xdr:row>
      <xdr:rowOff>19050</xdr:rowOff>
    </xdr:from>
    <xdr:to>
      <xdr:col>8</xdr:col>
      <xdr:colOff>76200</xdr:colOff>
      <xdr:row>55</xdr:row>
      <xdr:rowOff>66675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7267575" y="14487525"/>
          <a:ext cx="0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723900</xdr:colOff>
      <xdr:row>55</xdr:row>
      <xdr:rowOff>19050</xdr:rowOff>
    </xdr:from>
    <xdr:to>
      <xdr:col>7</xdr:col>
      <xdr:colOff>723900</xdr:colOff>
      <xdr:row>55</xdr:row>
      <xdr:rowOff>66675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391650" y="9010650"/>
          <a:ext cx="47625" cy="476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3"/>
  <sheetViews>
    <sheetView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A37" sqref="A37:XFD37"/>
    </sheetView>
  </sheetViews>
  <sheetFormatPr defaultRowHeight="11.25"/>
  <cols>
    <col min="1" max="1" width="4.625" style="13" customWidth="1"/>
    <col min="2" max="2" width="24.125" style="1" customWidth="1"/>
    <col min="3" max="3" width="5.625" style="1" customWidth="1"/>
    <col min="4" max="4" width="6.125" style="14" customWidth="1"/>
    <col min="5" max="5" width="11.375" style="1" bestFit="1" customWidth="1"/>
    <col min="6" max="6" width="10.5" style="1" bestFit="1" customWidth="1"/>
    <col min="7" max="13" width="11.375" style="1" bestFit="1" customWidth="1"/>
    <col min="14" max="14" width="14.75" style="1" customWidth="1"/>
    <col min="15" max="15" width="13.75" style="1" customWidth="1"/>
    <col min="16" max="16" width="10.5" style="1" bestFit="1" customWidth="1"/>
    <col min="17" max="16384" width="9" style="1"/>
  </cols>
  <sheetData>
    <row r="1" spans="1:16" ht="20.100000000000001" customHeight="1">
      <c r="A1" s="787" t="s">
        <v>270</v>
      </c>
      <c r="B1" s="788"/>
      <c r="C1" s="788"/>
      <c r="D1" s="788"/>
      <c r="E1" s="788"/>
      <c r="F1" s="788"/>
      <c r="G1" s="788"/>
      <c r="H1" s="788"/>
      <c r="I1" s="788"/>
      <c r="J1" s="788"/>
      <c r="K1" s="788"/>
      <c r="L1" s="788"/>
      <c r="M1" s="788"/>
      <c r="N1" s="788"/>
      <c r="O1" s="788"/>
    </row>
    <row r="2" spans="1:16" ht="24.95" customHeight="1">
      <c r="A2" s="32" t="s">
        <v>12</v>
      </c>
      <c r="B2" s="32" t="s">
        <v>13</v>
      </c>
      <c r="C2" s="32" t="s">
        <v>14</v>
      </c>
      <c r="D2" s="33" t="s">
        <v>15</v>
      </c>
      <c r="E2" s="33" t="s">
        <v>451</v>
      </c>
      <c r="F2" s="33" t="s">
        <v>452</v>
      </c>
      <c r="G2" s="33" t="s">
        <v>453</v>
      </c>
      <c r="H2" s="33" t="s">
        <v>454</v>
      </c>
      <c r="I2" s="33" t="s">
        <v>455</v>
      </c>
      <c r="J2" s="33" t="s">
        <v>456</v>
      </c>
      <c r="K2" s="33" t="s">
        <v>457</v>
      </c>
      <c r="L2" s="33" t="s">
        <v>458</v>
      </c>
      <c r="M2" s="33" t="s">
        <v>459</v>
      </c>
      <c r="N2" s="33" t="s">
        <v>17</v>
      </c>
      <c r="O2" s="34" t="s">
        <v>825</v>
      </c>
      <c r="P2" s="115" t="s">
        <v>826</v>
      </c>
    </row>
    <row r="3" spans="1:16" ht="15" customHeight="1">
      <c r="A3" s="35" t="s">
        <v>19</v>
      </c>
      <c r="B3" s="36" t="s">
        <v>20</v>
      </c>
      <c r="C3" s="36"/>
      <c r="D3" s="37" t="s">
        <v>21</v>
      </c>
      <c r="E3" s="38">
        <f>莘庄!J4</f>
        <v>111810962.47999999</v>
      </c>
      <c r="F3" s="38">
        <f>吴泾!J4</f>
        <v>68838300.350000009</v>
      </c>
      <c r="G3" s="38">
        <f>七宝!Y4</f>
        <v>778555191.93999994</v>
      </c>
      <c r="H3" s="38" t="e">
        <f>#REF!</f>
        <v>#REF!</v>
      </c>
      <c r="I3" s="38" t="e">
        <f>#REF!</f>
        <v>#REF!</v>
      </c>
      <c r="J3" s="38">
        <f>马桥!Q4</f>
        <v>305232463.39000005</v>
      </c>
      <c r="K3" s="38">
        <f>华漕!N4</f>
        <v>261143962.02000001</v>
      </c>
      <c r="L3" s="38">
        <f>颛桥!T4</f>
        <v>452653130.88999999</v>
      </c>
      <c r="M3" s="38">
        <f>虹桥!P4</f>
        <v>243943373.20000002</v>
      </c>
      <c r="N3" s="38" t="e">
        <f t="shared" ref="N3:N34" si="0">SUM(E3:M3)</f>
        <v>#REF!</v>
      </c>
      <c r="O3" s="110">
        <v>3052299499.0499997</v>
      </c>
      <c r="P3" s="53" t="e">
        <f>N3-O3</f>
        <v>#REF!</v>
      </c>
    </row>
    <row r="4" spans="1:16" ht="15" customHeight="1">
      <c r="A4" s="35" t="s">
        <v>22</v>
      </c>
      <c r="B4" s="36" t="s">
        <v>0</v>
      </c>
      <c r="C4" s="36"/>
      <c r="D4" s="37" t="s">
        <v>21</v>
      </c>
      <c r="E4" s="38">
        <f>莘庄!J5</f>
        <v>94358154.689999998</v>
      </c>
      <c r="F4" s="38">
        <f>吴泾!J5</f>
        <v>56821312.580000006</v>
      </c>
      <c r="G4" s="38">
        <f>七宝!Y5</f>
        <v>654113368.06999993</v>
      </c>
      <c r="H4" s="38" t="e">
        <f>#REF!</f>
        <v>#REF!</v>
      </c>
      <c r="I4" s="38" t="e">
        <f>#REF!</f>
        <v>#REF!</v>
      </c>
      <c r="J4" s="38">
        <f>马桥!Q5</f>
        <v>255739161.99000001</v>
      </c>
      <c r="K4" s="38">
        <f>华漕!N5</f>
        <v>215176225.18000001</v>
      </c>
      <c r="L4" s="38">
        <f>颛桥!T5</f>
        <v>378352672.86999995</v>
      </c>
      <c r="M4" s="38">
        <f>虹桥!P5</f>
        <v>203705680</v>
      </c>
      <c r="N4" s="38" t="e">
        <f t="shared" si="0"/>
        <v>#REF!</v>
      </c>
      <c r="O4" s="110">
        <v>2546217287.71</v>
      </c>
      <c r="P4" s="53" t="e">
        <f t="shared" ref="P4:P67" si="1">N4-O4</f>
        <v>#REF!</v>
      </c>
    </row>
    <row r="5" spans="1:16" ht="15" customHeight="1">
      <c r="A5" s="35" t="s">
        <v>23</v>
      </c>
      <c r="B5" s="36" t="s">
        <v>24</v>
      </c>
      <c r="C5" s="36"/>
      <c r="D5" s="37" t="s">
        <v>21</v>
      </c>
      <c r="E5" s="38">
        <f>莘庄!J6</f>
        <v>12809883</v>
      </c>
      <c r="F5" s="38">
        <f>吴泾!J6</f>
        <v>7826969.7300000004</v>
      </c>
      <c r="G5" s="38">
        <f>七宝!Y6</f>
        <v>84132277.75</v>
      </c>
      <c r="H5" s="38" t="e">
        <f>#REF!</f>
        <v>#REF!</v>
      </c>
      <c r="I5" s="38" t="e">
        <f>#REF!</f>
        <v>#REF!</v>
      </c>
      <c r="J5" s="38">
        <f>马桥!Q6</f>
        <v>32050044</v>
      </c>
      <c r="K5" s="38">
        <f>华漕!N6</f>
        <v>29628132</v>
      </c>
      <c r="L5" s="38">
        <f>颛桥!T6</f>
        <v>48741024</v>
      </c>
      <c r="M5" s="38">
        <f>虹桥!P6</f>
        <v>27775860</v>
      </c>
      <c r="N5" s="38" t="e">
        <f t="shared" si="0"/>
        <v>#REF!</v>
      </c>
      <c r="O5" s="110">
        <v>334483423.57999998</v>
      </c>
      <c r="P5" s="53" t="e">
        <f t="shared" si="1"/>
        <v>#REF!</v>
      </c>
    </row>
    <row r="6" spans="1:16" ht="15" customHeight="1">
      <c r="A6" s="35" t="s">
        <v>25</v>
      </c>
      <c r="B6" s="36" t="s">
        <v>26</v>
      </c>
      <c r="C6" s="36" t="s">
        <v>27</v>
      </c>
      <c r="D6" s="37" t="s">
        <v>28</v>
      </c>
      <c r="E6" s="38">
        <f>莘庄!J7</f>
        <v>7052732</v>
      </c>
      <c r="F6" s="38">
        <f>吴泾!J7</f>
        <v>4446945.93</v>
      </c>
      <c r="G6" s="38">
        <f>七宝!Y7</f>
        <v>48593135</v>
      </c>
      <c r="H6" s="38" t="e">
        <f>#REF!</f>
        <v>#REF!</v>
      </c>
      <c r="I6" s="38" t="e">
        <f>#REF!</f>
        <v>#REF!</v>
      </c>
      <c r="J6" s="38">
        <f>马桥!Q7</f>
        <v>18370728</v>
      </c>
      <c r="K6" s="38">
        <f>华漕!N7</f>
        <v>16045872</v>
      </c>
      <c r="L6" s="38">
        <f>颛桥!T7</f>
        <v>28287144</v>
      </c>
      <c r="M6" s="38">
        <f>虹桥!P7</f>
        <v>15341680</v>
      </c>
      <c r="N6" s="38" t="e">
        <f t="shared" si="0"/>
        <v>#REF!</v>
      </c>
      <c r="O6" s="114">
        <v>191273369.87</v>
      </c>
      <c r="P6" s="53" t="e">
        <f t="shared" si="1"/>
        <v>#REF!</v>
      </c>
    </row>
    <row r="7" spans="1:16" ht="15" customHeight="1">
      <c r="A7" s="35" t="s">
        <v>29</v>
      </c>
      <c r="B7" s="36" t="s">
        <v>30</v>
      </c>
      <c r="C7" s="36" t="s">
        <v>27</v>
      </c>
      <c r="D7" s="37" t="s">
        <v>28</v>
      </c>
      <c r="E7" s="38">
        <f>莘庄!J8</f>
        <v>5757151</v>
      </c>
      <c r="F7" s="38">
        <f>吴泾!J8</f>
        <v>3380023.8</v>
      </c>
      <c r="G7" s="38">
        <f>七宝!Y8</f>
        <v>35539142.75</v>
      </c>
      <c r="H7" s="38" t="e">
        <f>#REF!</f>
        <v>#REF!</v>
      </c>
      <c r="I7" s="38" t="e">
        <f>#REF!</f>
        <v>#REF!</v>
      </c>
      <c r="J7" s="38">
        <f>马桥!Q8</f>
        <v>13679316</v>
      </c>
      <c r="K7" s="38">
        <f>华漕!N8</f>
        <v>13582260</v>
      </c>
      <c r="L7" s="38">
        <f>颛桥!T8</f>
        <v>20453880</v>
      </c>
      <c r="M7" s="38">
        <f>虹桥!P8</f>
        <v>12434180</v>
      </c>
      <c r="N7" s="38" t="e">
        <f t="shared" si="0"/>
        <v>#REF!</v>
      </c>
      <c r="O7" s="114">
        <v>143210053.70999998</v>
      </c>
      <c r="P7" s="53" t="e">
        <f t="shared" si="1"/>
        <v>#REF!</v>
      </c>
    </row>
    <row r="8" spans="1:16" ht="15" customHeight="1">
      <c r="A8" s="35" t="s">
        <v>31</v>
      </c>
      <c r="B8" s="36" t="s">
        <v>32</v>
      </c>
      <c r="C8" s="36"/>
      <c r="D8" s="37" t="s">
        <v>21</v>
      </c>
      <c r="E8" s="38">
        <f>莘庄!J9</f>
        <v>1450548</v>
      </c>
      <c r="F8" s="38">
        <f>吴泾!J9</f>
        <v>898734</v>
      </c>
      <c r="G8" s="38">
        <f>七宝!Y9</f>
        <v>9677636</v>
      </c>
      <c r="H8" s="38" t="e">
        <f>#REF!</f>
        <v>#REF!</v>
      </c>
      <c r="I8" s="38" t="e">
        <f>#REF!</f>
        <v>#REF!</v>
      </c>
      <c r="J8" s="38">
        <f>马桥!Q9</f>
        <v>3820128</v>
      </c>
      <c r="K8" s="38">
        <f>华漕!N9</f>
        <v>3158994</v>
      </c>
      <c r="L8" s="38">
        <f>颛桥!T9</f>
        <v>5574600</v>
      </c>
      <c r="M8" s="38">
        <f>虹桥!P9</f>
        <v>3540756</v>
      </c>
      <c r="N8" s="38" t="e">
        <f t="shared" si="0"/>
        <v>#REF!</v>
      </c>
      <c r="O8" s="110">
        <v>37965028.340000004</v>
      </c>
      <c r="P8" s="53" t="e">
        <f t="shared" si="1"/>
        <v>#REF!</v>
      </c>
    </row>
    <row r="9" spans="1:16" ht="15" customHeight="1">
      <c r="A9" s="35" t="s">
        <v>33</v>
      </c>
      <c r="B9" s="36" t="s">
        <v>34</v>
      </c>
      <c r="C9" s="36" t="s">
        <v>27</v>
      </c>
      <c r="D9" s="37" t="s">
        <v>28</v>
      </c>
      <c r="E9" s="38">
        <f>莘庄!J10</f>
        <v>30228</v>
      </c>
      <c r="F9" s="38">
        <f>吴泾!J10</f>
        <v>16974</v>
      </c>
      <c r="G9" s="38">
        <f>七宝!Y10</f>
        <v>120836</v>
      </c>
      <c r="H9" s="38" t="e">
        <f>#REF!</f>
        <v>#REF!</v>
      </c>
      <c r="I9" s="38" t="e">
        <f>#REF!</f>
        <v>#REF!</v>
      </c>
      <c r="J9" s="38">
        <f>马桥!Q10</f>
        <v>50208</v>
      </c>
      <c r="K9" s="38">
        <f>华漕!N10</f>
        <v>59634</v>
      </c>
      <c r="L9" s="38">
        <f>颛桥!T10</f>
        <v>67560</v>
      </c>
      <c r="M9" s="38">
        <f>虹桥!P10</f>
        <v>578676</v>
      </c>
      <c r="N9" s="38" t="e">
        <f t="shared" si="0"/>
        <v>#REF!</v>
      </c>
      <c r="O9" s="110">
        <v>639058.34</v>
      </c>
      <c r="P9" s="53" t="e">
        <f t="shared" si="1"/>
        <v>#REF!</v>
      </c>
    </row>
    <row r="10" spans="1:16" ht="15" customHeight="1">
      <c r="A10" s="35" t="s">
        <v>35</v>
      </c>
      <c r="B10" s="36" t="s">
        <v>36</v>
      </c>
      <c r="C10" s="36"/>
      <c r="D10" s="37" t="s">
        <v>21</v>
      </c>
      <c r="E10" s="38">
        <f>莘庄!J11</f>
        <v>1420320</v>
      </c>
      <c r="F10" s="38">
        <f>吴泾!J11</f>
        <v>881760</v>
      </c>
      <c r="G10" s="38">
        <f>七宝!Y11</f>
        <v>9556800</v>
      </c>
      <c r="H10" s="38" t="e">
        <f>#REF!</f>
        <v>#REF!</v>
      </c>
      <c r="I10" s="38" t="e">
        <f>#REF!</f>
        <v>#REF!</v>
      </c>
      <c r="J10" s="38">
        <f>马桥!Q11</f>
        <v>3769920</v>
      </c>
      <c r="K10" s="38">
        <f>华漕!N11</f>
        <v>3099360</v>
      </c>
      <c r="L10" s="38">
        <f>颛桥!T11</f>
        <v>5507040</v>
      </c>
      <c r="M10" s="38">
        <f>虹桥!P11</f>
        <v>2962080</v>
      </c>
      <c r="N10" s="38" t="e">
        <f t="shared" si="0"/>
        <v>#REF!</v>
      </c>
      <c r="O10" s="110">
        <v>37325970</v>
      </c>
      <c r="P10" s="53" t="e">
        <f t="shared" si="1"/>
        <v>#REF!</v>
      </c>
    </row>
    <row r="11" spans="1:16" s="2" customFormat="1" ht="15" customHeight="1">
      <c r="A11" s="35" t="s">
        <v>37</v>
      </c>
      <c r="B11" s="42" t="s">
        <v>195</v>
      </c>
      <c r="C11" s="42" t="s">
        <v>27</v>
      </c>
      <c r="D11" s="39" t="s">
        <v>21</v>
      </c>
      <c r="E11" s="38">
        <f>莘庄!J12</f>
        <v>1420320</v>
      </c>
      <c r="F11" s="38">
        <f>吴泾!J12</f>
        <v>881760</v>
      </c>
      <c r="G11" s="38">
        <f>七宝!Y12</f>
        <v>9556800</v>
      </c>
      <c r="H11" s="38" t="e">
        <f>#REF!</f>
        <v>#REF!</v>
      </c>
      <c r="I11" s="38" t="e">
        <f>#REF!</f>
        <v>#REF!</v>
      </c>
      <c r="J11" s="38">
        <f>马桥!Q12</f>
        <v>3769920</v>
      </c>
      <c r="K11" s="38">
        <f>华漕!N12</f>
        <v>3099360</v>
      </c>
      <c r="L11" s="38">
        <f>颛桥!T12</f>
        <v>5507040</v>
      </c>
      <c r="M11" s="38">
        <f>虹桥!P12</f>
        <v>2962080</v>
      </c>
      <c r="N11" s="38" t="e">
        <f t="shared" si="0"/>
        <v>#REF!</v>
      </c>
      <c r="O11" s="110">
        <v>37325970</v>
      </c>
      <c r="P11" s="53" t="e">
        <f t="shared" si="1"/>
        <v>#REF!</v>
      </c>
    </row>
    <row r="12" spans="1:16" ht="15" customHeight="1">
      <c r="A12" s="35" t="s">
        <v>39</v>
      </c>
      <c r="B12" s="36" t="s">
        <v>40</v>
      </c>
      <c r="C12" s="36"/>
      <c r="D12" s="37" t="s">
        <v>41</v>
      </c>
      <c r="E12" s="38">
        <f>莘庄!J13</f>
        <v>627560.54</v>
      </c>
      <c r="F12" s="38">
        <f>吴泾!J13</f>
        <v>378374.28</v>
      </c>
      <c r="G12" s="38">
        <f>七宝!Y13</f>
        <v>4397373.42</v>
      </c>
      <c r="H12" s="38" t="e">
        <f>#REF!</f>
        <v>#REF!</v>
      </c>
      <c r="I12" s="38" t="e">
        <f>#REF!</f>
        <v>#REF!</v>
      </c>
      <c r="J12" s="38">
        <f>马桥!Q13</f>
        <v>1718903.98</v>
      </c>
      <c r="K12" s="38">
        <f>华漕!N13</f>
        <v>1421725.7199999997</v>
      </c>
      <c r="L12" s="38">
        <f>颛桥!T13</f>
        <v>2555618.3200000003</v>
      </c>
      <c r="M12" s="38">
        <f>虹桥!P13</f>
        <v>1365804</v>
      </c>
      <c r="N12" s="38" t="e">
        <f t="shared" si="0"/>
        <v>#REF!</v>
      </c>
      <c r="O12" s="110">
        <v>12868042.990000002</v>
      </c>
      <c r="P12" s="53" t="e">
        <f t="shared" si="1"/>
        <v>#REF!</v>
      </c>
    </row>
    <row r="13" spans="1:16" s="2" customFormat="1" ht="15" customHeight="1">
      <c r="A13" s="35" t="s">
        <v>42</v>
      </c>
      <c r="B13" s="42" t="s">
        <v>275</v>
      </c>
      <c r="C13" s="42" t="s">
        <v>27</v>
      </c>
      <c r="D13" s="39" t="s">
        <v>43</v>
      </c>
      <c r="E13" s="38">
        <f>莘庄!J14</f>
        <v>313780.27</v>
      </c>
      <c r="F13" s="38">
        <f>吴泾!J14</f>
        <v>189187.14</v>
      </c>
      <c r="G13" s="38">
        <f>七宝!Y14</f>
        <v>2198686.71</v>
      </c>
      <c r="H13" s="38" t="e">
        <f>#REF!</f>
        <v>#REF!</v>
      </c>
      <c r="I13" s="38" t="e">
        <f>#REF!</f>
        <v>#REF!</v>
      </c>
      <c r="J13" s="38">
        <f>马桥!Q14</f>
        <v>859451.99</v>
      </c>
      <c r="K13" s="38">
        <f>华漕!N14</f>
        <v>710862.85999999987</v>
      </c>
      <c r="L13" s="38">
        <f>颛桥!T14</f>
        <v>1277809.1600000001</v>
      </c>
      <c r="M13" s="38">
        <f>虹桥!P14</f>
        <v>682902</v>
      </c>
      <c r="N13" s="38" t="e">
        <f t="shared" si="0"/>
        <v>#REF!</v>
      </c>
      <c r="O13" s="110">
        <v>4297277.2899999991</v>
      </c>
      <c r="P13" s="53" t="e">
        <f t="shared" si="1"/>
        <v>#REF!</v>
      </c>
    </row>
    <row r="14" spans="1:16" s="2" customFormat="1" ht="15" customHeight="1">
      <c r="A14" s="35" t="s">
        <v>44</v>
      </c>
      <c r="B14" s="42" t="s">
        <v>196</v>
      </c>
      <c r="C14" s="42" t="s">
        <v>27</v>
      </c>
      <c r="D14" s="39" t="s">
        <v>43</v>
      </c>
      <c r="E14" s="38">
        <f>莘庄!J15</f>
        <v>313780.27</v>
      </c>
      <c r="F14" s="38">
        <f>吴泾!J15</f>
        <v>189187.14</v>
      </c>
      <c r="G14" s="38">
        <f>七宝!Y15</f>
        <v>2198686.71</v>
      </c>
      <c r="H14" s="38" t="e">
        <f>#REF!</f>
        <v>#REF!</v>
      </c>
      <c r="I14" s="38" t="e">
        <f>#REF!</f>
        <v>#REF!</v>
      </c>
      <c r="J14" s="38">
        <f>马桥!Q15</f>
        <v>859451.99</v>
      </c>
      <c r="K14" s="38">
        <f>华漕!N15</f>
        <v>710862.85999999987</v>
      </c>
      <c r="L14" s="38">
        <f>颛桥!T15</f>
        <v>1277809.1600000001</v>
      </c>
      <c r="M14" s="38">
        <f>虹桥!P15</f>
        <v>682902</v>
      </c>
      <c r="N14" s="38" t="e">
        <f t="shared" si="0"/>
        <v>#REF!</v>
      </c>
      <c r="O14" s="110">
        <v>8570765.6999999993</v>
      </c>
      <c r="P14" s="53" t="e">
        <f t="shared" si="1"/>
        <v>#REF!</v>
      </c>
    </row>
    <row r="15" spans="1:16" ht="15" customHeight="1">
      <c r="A15" s="35" t="s">
        <v>46</v>
      </c>
      <c r="B15" s="36" t="s">
        <v>47</v>
      </c>
      <c r="C15" s="36"/>
      <c r="D15" s="37" t="s">
        <v>21</v>
      </c>
      <c r="E15" s="38">
        <f>莘庄!J16</f>
        <v>51857498</v>
      </c>
      <c r="F15" s="38">
        <f>吴泾!J16</f>
        <v>31068766</v>
      </c>
      <c r="G15" s="38">
        <f>七宝!Y16</f>
        <v>362421650</v>
      </c>
      <c r="H15" s="38" t="e">
        <f>#REF!</f>
        <v>#REF!</v>
      </c>
      <c r="I15" s="38" t="e">
        <f>#REF!</f>
        <v>#REF!</v>
      </c>
      <c r="J15" s="38">
        <f>马桥!Q16</f>
        <v>142518310</v>
      </c>
      <c r="K15" s="38">
        <f>华漕!N16</f>
        <v>118411442</v>
      </c>
      <c r="L15" s="38">
        <f>颛桥!T16</f>
        <v>209034226</v>
      </c>
      <c r="M15" s="38">
        <f>虹桥!P16</f>
        <v>110927884</v>
      </c>
      <c r="N15" s="38" t="e">
        <f t="shared" si="0"/>
        <v>#REF!</v>
      </c>
      <c r="O15" s="110">
        <v>1448775139.7</v>
      </c>
      <c r="P15" s="53" t="e">
        <f t="shared" si="1"/>
        <v>#REF!</v>
      </c>
    </row>
    <row r="16" spans="1:16" ht="15" customHeight="1">
      <c r="A16" s="35" t="s">
        <v>48</v>
      </c>
      <c r="B16" s="43" t="s">
        <v>49</v>
      </c>
      <c r="C16" s="43" t="s">
        <v>27</v>
      </c>
      <c r="D16" s="44" t="s">
        <v>197</v>
      </c>
      <c r="E16" s="38">
        <f>莘庄!J17</f>
        <v>47740744</v>
      </c>
      <c r="F16" s="38">
        <f>吴泾!J17</f>
        <v>28607416</v>
      </c>
      <c r="G16" s="38">
        <f>七宝!Y17</f>
        <v>331698686</v>
      </c>
      <c r="H16" s="38" t="e">
        <f>#REF!</f>
        <v>#REF!</v>
      </c>
      <c r="I16" s="38" t="e">
        <f>#REF!</f>
        <v>#REF!</v>
      </c>
      <c r="J16" s="38">
        <f>马桥!Q17</f>
        <v>129913874</v>
      </c>
      <c r="K16" s="38">
        <f>华漕!N17</f>
        <v>108207942</v>
      </c>
      <c r="L16" s="38">
        <f>颛桥!T17</f>
        <v>189783637</v>
      </c>
      <c r="M16" s="38">
        <f>虹桥!P17</f>
        <v>101029735</v>
      </c>
      <c r="N16" s="38" t="e">
        <f t="shared" si="0"/>
        <v>#REF!</v>
      </c>
      <c r="O16" s="111">
        <v>1303019139</v>
      </c>
      <c r="P16" s="53" t="e">
        <f t="shared" si="1"/>
        <v>#REF!</v>
      </c>
    </row>
    <row r="17" spans="1:16" ht="15" customHeight="1">
      <c r="A17" s="35" t="s">
        <v>51</v>
      </c>
      <c r="B17" s="43" t="s">
        <v>52</v>
      </c>
      <c r="C17" s="43" t="s">
        <v>27</v>
      </c>
      <c r="D17" s="44" t="s">
        <v>53</v>
      </c>
      <c r="E17" s="38">
        <f>莘庄!J18</f>
        <v>1272754</v>
      </c>
      <c r="F17" s="38">
        <f>吴泾!J18</f>
        <v>809350</v>
      </c>
      <c r="G17" s="38">
        <f>七宝!Y18</f>
        <v>5842964</v>
      </c>
      <c r="H17" s="38" t="e">
        <f>#REF!</f>
        <v>#REF!</v>
      </c>
      <c r="I17" s="38" t="e">
        <f>#REF!</f>
        <v>#REF!</v>
      </c>
      <c r="J17" s="38">
        <f>马桥!Q18</f>
        <v>3290436</v>
      </c>
      <c r="K17" s="38">
        <f>华漕!N18</f>
        <v>2601500</v>
      </c>
      <c r="L17" s="38">
        <f>颛桥!T18</f>
        <v>4912589</v>
      </c>
      <c r="M17" s="38">
        <f>虹桥!P18</f>
        <v>2762149</v>
      </c>
      <c r="N17" s="38" t="e">
        <f t="shared" si="0"/>
        <v>#REF!</v>
      </c>
      <c r="O17" s="111">
        <v>31421278</v>
      </c>
      <c r="P17" s="53" t="e">
        <f t="shared" si="1"/>
        <v>#REF!</v>
      </c>
    </row>
    <row r="18" spans="1:16" ht="15" customHeight="1">
      <c r="A18" s="35" t="s">
        <v>54</v>
      </c>
      <c r="B18" s="43" t="s">
        <v>198</v>
      </c>
      <c r="C18" s="43" t="s">
        <v>27</v>
      </c>
      <c r="D18" s="37" t="s">
        <v>21</v>
      </c>
      <c r="E18" s="38">
        <f>莘庄!J19</f>
        <v>1614000</v>
      </c>
      <c r="F18" s="38">
        <f>吴泾!J19</f>
        <v>1002000</v>
      </c>
      <c r="G18" s="38">
        <f>七宝!Y19</f>
        <v>10860000</v>
      </c>
      <c r="H18" s="38" t="e">
        <f>#REF!</f>
        <v>#REF!</v>
      </c>
      <c r="I18" s="38" t="e">
        <f>#REF!</f>
        <v>#REF!</v>
      </c>
      <c r="J18" s="38">
        <f>马桥!Q19</f>
        <v>4284000</v>
      </c>
      <c r="K18" s="38">
        <f>华漕!N19</f>
        <v>3522000</v>
      </c>
      <c r="L18" s="38">
        <f>颛桥!T19</f>
        <v>6258000</v>
      </c>
      <c r="M18" s="38">
        <f>虹桥!P19</f>
        <v>3366000</v>
      </c>
      <c r="N18" s="38" t="e">
        <f t="shared" si="0"/>
        <v>#REF!</v>
      </c>
      <c r="O18" s="111">
        <v>42996778.5</v>
      </c>
      <c r="P18" s="53" t="e">
        <f t="shared" si="1"/>
        <v>#REF!</v>
      </c>
    </row>
    <row r="19" spans="1:16" ht="15" customHeight="1">
      <c r="A19" s="35" t="s">
        <v>56</v>
      </c>
      <c r="B19" s="43" t="s">
        <v>199</v>
      </c>
      <c r="C19" s="43" t="s">
        <v>27</v>
      </c>
      <c r="D19" s="37" t="s">
        <v>28</v>
      </c>
      <c r="E19" s="38">
        <f>莘庄!J20</f>
        <v>1230000</v>
      </c>
      <c r="F19" s="38">
        <f>吴泾!J20</f>
        <v>650000</v>
      </c>
      <c r="G19" s="38">
        <f>七宝!Y20</f>
        <v>14020000</v>
      </c>
      <c r="H19" s="38" t="e">
        <f>#REF!</f>
        <v>#REF!</v>
      </c>
      <c r="I19" s="38" t="e">
        <f>#REF!</f>
        <v>#REF!</v>
      </c>
      <c r="J19" s="38">
        <f>马桥!Q20</f>
        <v>5030000</v>
      </c>
      <c r="K19" s="38">
        <f>华漕!N20</f>
        <v>4080000</v>
      </c>
      <c r="L19" s="38">
        <f>颛桥!T20</f>
        <v>8080000</v>
      </c>
      <c r="M19" s="38">
        <f>虹桥!P20</f>
        <v>3770000</v>
      </c>
      <c r="N19" s="38" t="e">
        <f t="shared" si="0"/>
        <v>#REF!</v>
      </c>
      <c r="O19" s="111">
        <v>71337944.200000003</v>
      </c>
      <c r="P19" s="53" t="e">
        <f t="shared" si="1"/>
        <v>#REF!</v>
      </c>
    </row>
    <row r="20" spans="1:16" ht="15" customHeight="1">
      <c r="A20" s="35" t="s">
        <v>58</v>
      </c>
      <c r="B20" s="36" t="s">
        <v>59</v>
      </c>
      <c r="C20" s="36"/>
      <c r="D20" s="44" t="s">
        <v>21</v>
      </c>
      <c r="E20" s="38">
        <f>莘庄!J21</f>
        <v>8158287.4199999999</v>
      </c>
      <c r="F20" s="38">
        <f>吴泾!J21</f>
        <v>4918865.71</v>
      </c>
      <c r="G20" s="38">
        <f>七宝!Y21</f>
        <v>57165854.609999999</v>
      </c>
      <c r="H20" s="38" t="e">
        <f>#REF!</f>
        <v>#REF!</v>
      </c>
      <c r="I20" s="38" t="e">
        <f>#REF!</f>
        <v>#REF!</v>
      </c>
      <c r="J20" s="38">
        <f>马桥!Q21</f>
        <v>22345752</v>
      </c>
      <c r="K20" s="38">
        <f>华漕!N21</f>
        <v>18482434.32</v>
      </c>
      <c r="L20" s="38">
        <f>颛桥!T21</f>
        <v>33223037.710000005</v>
      </c>
      <c r="M20" s="38">
        <f>虹桥!P21</f>
        <v>17755452</v>
      </c>
      <c r="N20" s="38" t="e">
        <f t="shared" si="0"/>
        <v>#REF!</v>
      </c>
      <c r="O20" s="111">
        <v>179020581.94999999</v>
      </c>
      <c r="P20" s="53" t="e">
        <f t="shared" si="1"/>
        <v>#REF!</v>
      </c>
    </row>
    <row r="21" spans="1:16" ht="15" customHeight="1">
      <c r="A21" s="35" t="s">
        <v>60</v>
      </c>
      <c r="B21" s="36" t="s">
        <v>276</v>
      </c>
      <c r="C21" s="36" t="s">
        <v>61</v>
      </c>
      <c r="D21" s="44" t="s">
        <v>21</v>
      </c>
      <c r="E21" s="38">
        <f>莘庄!J22</f>
        <v>5648045.1399999997</v>
      </c>
      <c r="F21" s="38">
        <f>吴泾!J22</f>
        <v>3405368.5700000003</v>
      </c>
      <c r="G21" s="38">
        <f>七宝!Y22</f>
        <v>39576360.869999997</v>
      </c>
      <c r="H21" s="38" t="e">
        <f>#REF!</f>
        <v>#REF!</v>
      </c>
      <c r="I21" s="38" t="e">
        <f>#REF!</f>
        <v>#REF!</v>
      </c>
      <c r="J21" s="38">
        <f>马桥!Q22</f>
        <v>15470136</v>
      </c>
      <c r="K21" s="38">
        <f>华漕!N22</f>
        <v>12795531.440000001</v>
      </c>
      <c r="L21" s="38">
        <f>颛桥!T22</f>
        <v>23000564.569999997</v>
      </c>
      <c r="M21" s="38">
        <f>虹桥!P22</f>
        <v>12292236</v>
      </c>
      <c r="N21" s="38" t="e">
        <f t="shared" si="0"/>
        <v>#REF!</v>
      </c>
      <c r="O21" s="111">
        <v>159858040.09999999</v>
      </c>
      <c r="P21" s="53" t="e">
        <f t="shared" si="1"/>
        <v>#REF!</v>
      </c>
    </row>
    <row r="22" spans="1:16" ht="15" customHeight="1">
      <c r="A22" s="35" t="s">
        <v>62</v>
      </c>
      <c r="B22" s="36" t="s">
        <v>200</v>
      </c>
      <c r="C22" s="36" t="s">
        <v>61</v>
      </c>
      <c r="D22" s="44" t="s">
        <v>43</v>
      </c>
      <c r="E22" s="38">
        <f>莘庄!J23</f>
        <v>2510242.2799999998</v>
      </c>
      <c r="F22" s="38">
        <f>吴泾!J23</f>
        <v>1513497.1400000001</v>
      </c>
      <c r="G22" s="38">
        <f>七宝!Y23</f>
        <v>17589493.740000006</v>
      </c>
      <c r="H22" s="38" t="e">
        <f>#REF!</f>
        <v>#REF!</v>
      </c>
      <c r="I22" s="38" t="e">
        <f>#REF!</f>
        <v>#REF!</v>
      </c>
      <c r="J22" s="38">
        <f>马桥!Q23</f>
        <v>6875616</v>
      </c>
      <c r="K22" s="38">
        <f>华漕!N23</f>
        <v>5686902.8799999999</v>
      </c>
      <c r="L22" s="38">
        <f>颛桥!T23</f>
        <v>10222473.140000001</v>
      </c>
      <c r="M22" s="38">
        <f>虹桥!P23</f>
        <v>5463216</v>
      </c>
      <c r="N22" s="38" t="e">
        <f t="shared" si="0"/>
        <v>#REF!</v>
      </c>
      <c r="O22" s="111">
        <v>19162541.850000001</v>
      </c>
      <c r="P22" s="53" t="e">
        <f t="shared" si="1"/>
        <v>#REF!</v>
      </c>
    </row>
    <row r="23" spans="1:16" ht="15" customHeight="1">
      <c r="A23" s="35" t="s">
        <v>64</v>
      </c>
      <c r="B23" s="36" t="s">
        <v>277</v>
      </c>
      <c r="C23" s="36" t="s">
        <v>61</v>
      </c>
      <c r="D23" s="44" t="s">
        <v>43</v>
      </c>
      <c r="E23" s="38">
        <f>莘庄!J24</f>
        <v>1255121.1399999999</v>
      </c>
      <c r="F23" s="38">
        <f>吴泾!J24</f>
        <v>756748.57000000007</v>
      </c>
      <c r="G23" s="38">
        <f>七宝!Y24</f>
        <v>8794746.8700000029</v>
      </c>
      <c r="H23" s="38" t="e">
        <f>#REF!</f>
        <v>#REF!</v>
      </c>
      <c r="I23" s="38" t="e">
        <f>#REF!</f>
        <v>#REF!</v>
      </c>
      <c r="J23" s="38">
        <f>马桥!Q24</f>
        <v>3437808</v>
      </c>
      <c r="K23" s="38">
        <f>华漕!N24</f>
        <v>2843451.44</v>
      </c>
      <c r="L23" s="38">
        <f>颛桥!T24</f>
        <v>5111236.57</v>
      </c>
      <c r="M23" s="38">
        <f>虹桥!P24</f>
        <v>2731608</v>
      </c>
      <c r="N23" s="38" t="e">
        <f t="shared" si="0"/>
        <v>#REF!</v>
      </c>
      <c r="O23" s="111">
        <v>3353226.1500000004</v>
      </c>
      <c r="P23" s="53" t="e">
        <f t="shared" si="1"/>
        <v>#REF!</v>
      </c>
    </row>
    <row r="24" spans="1:16" ht="15" customHeight="1">
      <c r="A24" s="35" t="s">
        <v>65</v>
      </c>
      <c r="B24" s="36" t="s">
        <v>278</v>
      </c>
      <c r="C24" s="36" t="s">
        <v>61</v>
      </c>
      <c r="D24" s="44" t="s">
        <v>43</v>
      </c>
      <c r="E24" s="38">
        <f>莘庄!J25</f>
        <v>1255121.1399999999</v>
      </c>
      <c r="F24" s="38">
        <f>吴泾!J25</f>
        <v>756748.57000000007</v>
      </c>
      <c r="G24" s="38">
        <f>七宝!Y25</f>
        <v>8794746.8700000029</v>
      </c>
      <c r="H24" s="38" t="e">
        <f>#REF!</f>
        <v>#REF!</v>
      </c>
      <c r="I24" s="38" t="e">
        <f>#REF!</f>
        <v>#REF!</v>
      </c>
      <c r="J24" s="38">
        <f>马桥!Q25</f>
        <v>3437808</v>
      </c>
      <c r="K24" s="38">
        <f>华漕!N25</f>
        <v>2843451.44</v>
      </c>
      <c r="L24" s="38">
        <f>颛桥!T25</f>
        <v>5111236.57</v>
      </c>
      <c r="M24" s="38">
        <f>虹桥!P25</f>
        <v>2731608</v>
      </c>
      <c r="N24" s="38" t="e">
        <f t="shared" si="0"/>
        <v>#REF!</v>
      </c>
      <c r="O24" s="111">
        <v>15809315.699999999</v>
      </c>
      <c r="P24" s="53" t="e">
        <f t="shared" si="1"/>
        <v>#REF!</v>
      </c>
    </row>
    <row r="25" spans="1:16" ht="15" customHeight="1">
      <c r="A25" s="35" t="s">
        <v>66</v>
      </c>
      <c r="B25" s="36" t="s">
        <v>67</v>
      </c>
      <c r="C25" s="36"/>
      <c r="D25" s="37" t="s">
        <v>21</v>
      </c>
      <c r="E25" s="38">
        <f>莘庄!J26</f>
        <v>10040969.140000001</v>
      </c>
      <c r="F25" s="38">
        <f>吴泾!J26</f>
        <v>6053988.5699999994</v>
      </c>
      <c r="G25" s="38">
        <f>七宝!Y26</f>
        <v>70357974.86999999</v>
      </c>
      <c r="H25" s="38" t="e">
        <f>#REF!</f>
        <v>#REF!</v>
      </c>
      <c r="I25" s="38" t="e">
        <f>#REF!</f>
        <v>#REF!</v>
      </c>
      <c r="J25" s="38">
        <f>马桥!Q26</f>
        <v>27502464</v>
      </c>
      <c r="K25" s="38">
        <f>华漕!N26</f>
        <v>22747611.439999998</v>
      </c>
      <c r="L25" s="38">
        <f>颛桥!T26</f>
        <v>40889892.57</v>
      </c>
      <c r="M25" s="38">
        <f>虹桥!P26</f>
        <v>21852864</v>
      </c>
      <c r="N25" s="38" t="e">
        <f t="shared" si="0"/>
        <v>#REF!</v>
      </c>
      <c r="O25" s="110">
        <v>273252719.83999997</v>
      </c>
      <c r="P25" s="53" t="e">
        <f t="shared" si="1"/>
        <v>#REF!</v>
      </c>
    </row>
    <row r="26" spans="1:16" s="2" customFormat="1" ht="15" customHeight="1">
      <c r="A26" s="35" t="s">
        <v>68</v>
      </c>
      <c r="B26" s="42" t="s">
        <v>201</v>
      </c>
      <c r="C26" s="42" t="s">
        <v>70</v>
      </c>
      <c r="D26" s="39" t="s">
        <v>43</v>
      </c>
      <c r="E26" s="38">
        <f>莘庄!J27</f>
        <v>10040969.140000001</v>
      </c>
      <c r="F26" s="38">
        <f>吴泾!J27</f>
        <v>6053988.5699999994</v>
      </c>
      <c r="G26" s="38">
        <f>七宝!Y27</f>
        <v>70357974.86999999</v>
      </c>
      <c r="H26" s="38" t="e">
        <f>#REF!</f>
        <v>#REF!</v>
      </c>
      <c r="I26" s="38" t="e">
        <f>#REF!</f>
        <v>#REF!</v>
      </c>
      <c r="J26" s="38">
        <f>马桥!Q27</f>
        <v>27502464</v>
      </c>
      <c r="K26" s="38">
        <f>华漕!N27</f>
        <v>22747611.439999998</v>
      </c>
      <c r="L26" s="38">
        <f>颛桥!T27</f>
        <v>40889892.57</v>
      </c>
      <c r="M26" s="38">
        <f>虹桥!P27</f>
        <v>21852864</v>
      </c>
      <c r="N26" s="38" t="e">
        <f t="shared" si="0"/>
        <v>#REF!</v>
      </c>
      <c r="O26" s="110">
        <v>273252719.83999997</v>
      </c>
      <c r="P26" s="53" t="e">
        <f t="shared" si="1"/>
        <v>#REF!</v>
      </c>
    </row>
    <row r="27" spans="1:16" ht="15" customHeight="1">
      <c r="A27" s="35" t="s">
        <v>71</v>
      </c>
      <c r="B27" s="36" t="s">
        <v>72</v>
      </c>
      <c r="C27" s="36"/>
      <c r="D27" s="37" t="s">
        <v>21</v>
      </c>
      <c r="E27" s="38">
        <f>莘庄!J28</f>
        <v>5020484.59</v>
      </c>
      <c r="F27" s="38">
        <f>吴泾!J28</f>
        <v>3026994.29</v>
      </c>
      <c r="G27" s="38">
        <f>七宝!Y28</f>
        <v>35178987.419999994</v>
      </c>
      <c r="H27" s="38" t="e">
        <f>#REF!</f>
        <v>#REF!</v>
      </c>
      <c r="I27" s="38" t="e">
        <f>#REF!</f>
        <v>#REF!</v>
      </c>
      <c r="J27" s="38">
        <f>马桥!Q28</f>
        <v>13751232.010000002</v>
      </c>
      <c r="K27" s="38">
        <f>华漕!N28</f>
        <v>11373805.700000001</v>
      </c>
      <c r="L27" s="38">
        <f>颛桥!T28</f>
        <v>20444946.270000003</v>
      </c>
      <c r="M27" s="38">
        <f>虹桥!P28</f>
        <v>10926432</v>
      </c>
      <c r="N27" s="38" t="e">
        <f t="shared" si="0"/>
        <v>#REF!</v>
      </c>
      <c r="O27" s="110">
        <v>137425610.02999997</v>
      </c>
      <c r="P27" s="53" t="e">
        <f t="shared" si="1"/>
        <v>#REF!</v>
      </c>
    </row>
    <row r="28" spans="1:16" s="2" customFormat="1" ht="15" customHeight="1">
      <c r="A28" s="35" t="s">
        <v>73</v>
      </c>
      <c r="B28" s="42" t="s">
        <v>74</v>
      </c>
      <c r="C28" s="42" t="s">
        <v>75</v>
      </c>
      <c r="D28" s="39" t="s">
        <v>43</v>
      </c>
      <c r="E28" s="38">
        <f>莘庄!J29</f>
        <v>5020484.59</v>
      </c>
      <c r="F28" s="38">
        <f>吴泾!J29</f>
        <v>3026994.29</v>
      </c>
      <c r="G28" s="38">
        <f>七宝!Y29</f>
        <v>35178987.419999994</v>
      </c>
      <c r="H28" s="38" t="e">
        <f>#REF!</f>
        <v>#REF!</v>
      </c>
      <c r="I28" s="38" t="e">
        <f>#REF!</f>
        <v>#REF!</v>
      </c>
      <c r="J28" s="38">
        <f>马桥!Q29</f>
        <v>13751232.010000002</v>
      </c>
      <c r="K28" s="38">
        <f>华漕!N29</f>
        <v>11373805.700000001</v>
      </c>
      <c r="L28" s="38">
        <f>颛桥!T29</f>
        <v>20444946.270000003</v>
      </c>
      <c r="M28" s="38">
        <f>虹桥!P29</f>
        <v>10926432</v>
      </c>
      <c r="N28" s="38" t="e">
        <f t="shared" si="0"/>
        <v>#REF!</v>
      </c>
      <c r="O28" s="110">
        <v>137425610.02999997</v>
      </c>
      <c r="P28" s="53" t="e">
        <f t="shared" si="1"/>
        <v>#REF!</v>
      </c>
    </row>
    <row r="29" spans="1:16" ht="15" customHeight="1">
      <c r="A29" s="35" t="s">
        <v>76</v>
      </c>
      <c r="B29" s="36" t="s">
        <v>202</v>
      </c>
      <c r="C29" s="36" t="s">
        <v>78</v>
      </c>
      <c r="D29" s="37" t="s">
        <v>28</v>
      </c>
      <c r="E29" s="38">
        <f>莘庄!J30</f>
        <v>4392924</v>
      </c>
      <c r="F29" s="38">
        <f>吴泾!J30</f>
        <v>2648620</v>
      </c>
      <c r="G29" s="38">
        <f>七宝!Y30</f>
        <v>30781614</v>
      </c>
      <c r="H29" s="38" t="e">
        <f>#REF!</f>
        <v>#REF!</v>
      </c>
      <c r="I29" s="38" t="e">
        <f>#REF!</f>
        <v>#REF!</v>
      </c>
      <c r="J29" s="38">
        <f>马桥!Q30</f>
        <v>12032328</v>
      </c>
      <c r="K29" s="38">
        <f>华漕!N30</f>
        <v>9952080</v>
      </c>
      <c r="L29" s="38">
        <f>颛桥!T30</f>
        <v>17889328</v>
      </c>
      <c r="M29" s="38">
        <f>虹桥!P30</f>
        <v>9560628</v>
      </c>
      <c r="N29" s="38" t="e">
        <f t="shared" si="0"/>
        <v>#REF!</v>
      </c>
      <c r="O29" s="111">
        <v>119892741.28</v>
      </c>
      <c r="P29" s="53" t="e">
        <f t="shared" si="1"/>
        <v>#REF!</v>
      </c>
    </row>
    <row r="30" spans="1:16" ht="15" customHeight="1">
      <c r="A30" s="35" t="s">
        <v>80</v>
      </c>
      <c r="B30" s="36" t="s">
        <v>203</v>
      </c>
      <c r="C30" s="43" t="s">
        <v>27</v>
      </c>
      <c r="D30" s="39" t="s">
        <v>204</v>
      </c>
      <c r="E30" s="38">
        <f>莘庄!J31</f>
        <v>0</v>
      </c>
      <c r="F30" s="38">
        <f>吴泾!J31</f>
        <v>0</v>
      </c>
      <c r="G30" s="38">
        <f>七宝!Y31</f>
        <v>0</v>
      </c>
      <c r="H30" s="38" t="e">
        <f>#REF!</f>
        <v>#REF!</v>
      </c>
      <c r="I30" s="38" t="e">
        <f>#REF!</f>
        <v>#REF!</v>
      </c>
      <c r="J30" s="38">
        <f>马桥!Q31</f>
        <v>0</v>
      </c>
      <c r="K30" s="38">
        <f>华漕!N31</f>
        <v>0</v>
      </c>
      <c r="L30" s="38">
        <f>颛桥!T31</f>
        <v>0</v>
      </c>
      <c r="M30" s="38">
        <f>虹桥!P31</f>
        <v>0</v>
      </c>
      <c r="N30" s="38" t="e">
        <f t="shared" si="0"/>
        <v>#REF!</v>
      </c>
      <c r="O30" s="111">
        <v>2534000</v>
      </c>
      <c r="P30" s="53" t="e">
        <f t="shared" si="1"/>
        <v>#REF!</v>
      </c>
    </row>
    <row r="31" spans="1:16" ht="15" customHeight="1">
      <c r="A31" s="35" t="s">
        <v>83</v>
      </c>
      <c r="B31" s="36" t="s">
        <v>84</v>
      </c>
      <c r="C31" s="36"/>
      <c r="D31" s="37" t="s">
        <v>21</v>
      </c>
      <c r="E31" s="38">
        <f>莘庄!J32</f>
        <v>2063800</v>
      </c>
      <c r="F31" s="38">
        <f>吴泾!J32</f>
        <v>1590815</v>
      </c>
      <c r="G31" s="38">
        <f>七宝!Y32</f>
        <v>10849089.199999999</v>
      </c>
      <c r="H31" s="38" t="e">
        <f>#REF!</f>
        <v>#REF!</v>
      </c>
      <c r="I31" s="38" t="e">
        <f>#REF!</f>
        <v>#REF!</v>
      </c>
      <c r="J31" s="38">
        <f>马桥!Q32</f>
        <v>4275345</v>
      </c>
      <c r="K31" s="38">
        <f>华漕!N32</f>
        <v>7512515</v>
      </c>
      <c r="L31" s="38">
        <f>颛桥!T32</f>
        <v>6566040</v>
      </c>
      <c r="M31" s="38">
        <f>虹桥!P32</f>
        <v>6731550</v>
      </c>
      <c r="N31" s="38" t="e">
        <f t="shared" si="0"/>
        <v>#REF!</v>
      </c>
      <c r="O31" s="110">
        <v>54545604.200000003</v>
      </c>
      <c r="P31" s="53" t="e">
        <f t="shared" si="1"/>
        <v>#REF!</v>
      </c>
    </row>
    <row r="32" spans="1:16" ht="15" customHeight="1">
      <c r="A32" s="35" t="s">
        <v>85</v>
      </c>
      <c r="B32" s="36" t="s">
        <v>205</v>
      </c>
      <c r="C32" s="36" t="s">
        <v>87</v>
      </c>
      <c r="D32" s="44" t="s">
        <v>206</v>
      </c>
      <c r="E32" s="38">
        <f>莘庄!J33</f>
        <v>2051920</v>
      </c>
      <c r="F32" s="38">
        <f>吴泾!J33</f>
        <v>1578905</v>
      </c>
      <c r="G32" s="38">
        <f>七宝!Y33</f>
        <v>10756329.199999999</v>
      </c>
      <c r="H32" s="38" t="e">
        <f>#REF!</f>
        <v>#REF!</v>
      </c>
      <c r="I32" s="38" t="e">
        <f>#REF!</f>
        <v>#REF!</v>
      </c>
      <c r="J32" s="38">
        <f>马桥!Q33</f>
        <v>4253505</v>
      </c>
      <c r="K32" s="38">
        <f>华漕!N33</f>
        <v>7490915</v>
      </c>
      <c r="L32" s="38">
        <f>颛桥!T33</f>
        <v>6525300</v>
      </c>
      <c r="M32" s="38">
        <f>虹桥!P33</f>
        <v>6704970</v>
      </c>
      <c r="N32" s="38" t="e">
        <f t="shared" si="0"/>
        <v>#REF!</v>
      </c>
      <c r="O32" s="111">
        <v>54229324.200000003</v>
      </c>
      <c r="P32" s="53" t="e">
        <f t="shared" si="1"/>
        <v>#REF!</v>
      </c>
    </row>
    <row r="33" spans="1:16" ht="15" customHeight="1">
      <c r="A33" s="35" t="s">
        <v>89</v>
      </c>
      <c r="B33" s="36" t="s">
        <v>207</v>
      </c>
      <c r="C33" s="36" t="s">
        <v>87</v>
      </c>
      <c r="D33" s="44" t="s">
        <v>206</v>
      </c>
      <c r="E33" s="38">
        <f>莘庄!J34</f>
        <v>2051920</v>
      </c>
      <c r="F33" s="38">
        <f>吴泾!J34</f>
        <v>1578905</v>
      </c>
      <c r="G33" s="38">
        <f>七宝!Y34</f>
        <v>10756329.199999999</v>
      </c>
      <c r="H33" s="38" t="e">
        <f>#REF!</f>
        <v>#REF!</v>
      </c>
      <c r="I33" s="38" t="e">
        <f>#REF!</f>
        <v>#REF!</v>
      </c>
      <c r="J33" s="38">
        <f>马桥!Q34</f>
        <v>4253505</v>
      </c>
      <c r="K33" s="38">
        <f>华漕!N34</f>
        <v>7490915</v>
      </c>
      <c r="L33" s="38">
        <f>颛桥!T34</f>
        <v>6525300</v>
      </c>
      <c r="M33" s="38">
        <f>虹桥!P34</f>
        <v>6704970</v>
      </c>
      <c r="N33" s="38" t="e">
        <f t="shared" si="0"/>
        <v>#REF!</v>
      </c>
      <c r="O33" s="110">
        <v>54229324.200000003</v>
      </c>
      <c r="P33" s="53" t="e">
        <f t="shared" si="1"/>
        <v>#REF!</v>
      </c>
    </row>
    <row r="34" spans="1:16" ht="15" customHeight="1">
      <c r="A34" s="35" t="s">
        <v>91</v>
      </c>
      <c r="B34" s="36" t="s">
        <v>92</v>
      </c>
      <c r="C34" s="36"/>
      <c r="D34" s="37" t="s">
        <v>21</v>
      </c>
      <c r="E34" s="38">
        <f>莘庄!J35</f>
        <v>11880</v>
      </c>
      <c r="F34" s="38">
        <f>吴泾!J35</f>
        <v>11910</v>
      </c>
      <c r="G34" s="38">
        <f>七宝!Y35</f>
        <v>92760</v>
      </c>
      <c r="H34" s="38" t="e">
        <f>#REF!</f>
        <v>#REF!</v>
      </c>
      <c r="I34" s="38" t="e">
        <f>#REF!</f>
        <v>#REF!</v>
      </c>
      <c r="J34" s="38">
        <f>马桥!Q35</f>
        <v>21840</v>
      </c>
      <c r="K34" s="38">
        <f>华漕!N35</f>
        <v>21600</v>
      </c>
      <c r="L34" s="38">
        <f>颛桥!T35</f>
        <v>40740</v>
      </c>
      <c r="M34" s="38">
        <f>虹桥!P35</f>
        <v>26580</v>
      </c>
      <c r="N34" s="38" t="e">
        <f t="shared" si="0"/>
        <v>#REF!</v>
      </c>
      <c r="O34" s="110">
        <v>316280</v>
      </c>
      <c r="P34" s="53" t="e">
        <f t="shared" si="1"/>
        <v>#REF!</v>
      </c>
    </row>
    <row r="35" spans="1:16" ht="15" customHeight="1">
      <c r="A35" s="35" t="s">
        <v>93</v>
      </c>
      <c r="B35" s="36" t="s">
        <v>94</v>
      </c>
      <c r="C35" s="36" t="s">
        <v>27</v>
      </c>
      <c r="D35" s="37" t="s">
        <v>28</v>
      </c>
      <c r="E35" s="38">
        <f>莘庄!J36</f>
        <v>11880</v>
      </c>
      <c r="F35" s="38">
        <f>吴泾!J36</f>
        <v>11910</v>
      </c>
      <c r="G35" s="38">
        <f>七宝!Y36</f>
        <v>92760</v>
      </c>
      <c r="H35" s="38" t="e">
        <f>#REF!</f>
        <v>#REF!</v>
      </c>
      <c r="I35" s="38" t="e">
        <f>#REF!</f>
        <v>#REF!</v>
      </c>
      <c r="J35" s="38">
        <f>马桥!Q36</f>
        <v>21840</v>
      </c>
      <c r="K35" s="38">
        <f>华漕!N36</f>
        <v>21600</v>
      </c>
      <c r="L35" s="38">
        <f>颛桥!T36</f>
        <v>40740</v>
      </c>
      <c r="M35" s="38">
        <f>虹桥!P36</f>
        <v>26580</v>
      </c>
      <c r="N35" s="38" t="e">
        <f t="shared" ref="N35:N66" si="2">SUM(E35:M35)</f>
        <v>#REF!</v>
      </c>
      <c r="O35" s="110">
        <v>316280</v>
      </c>
      <c r="P35" s="53" t="e">
        <f t="shared" si="1"/>
        <v>#REF!</v>
      </c>
    </row>
    <row r="36" spans="1:16" ht="15" customHeight="1">
      <c r="A36" s="35" t="s">
        <v>95</v>
      </c>
      <c r="B36" s="36" t="s">
        <v>98</v>
      </c>
      <c r="C36" s="36"/>
      <c r="D36" s="37" t="s">
        <v>21</v>
      </c>
      <c r="E36" s="38">
        <f>莘庄!J37</f>
        <v>15389007.789999999</v>
      </c>
      <c r="F36" s="38">
        <f>吴泾!J37</f>
        <v>10426172.770000001</v>
      </c>
      <c r="G36" s="38">
        <f>七宝!Y37</f>
        <v>113592734.67000002</v>
      </c>
      <c r="H36" s="38" t="e">
        <f>#REF!</f>
        <v>#REF!</v>
      </c>
      <c r="I36" s="38" t="e">
        <f>#REF!</f>
        <v>#REF!</v>
      </c>
      <c r="J36" s="38">
        <f>马桥!Q37</f>
        <v>45217956.400000006</v>
      </c>
      <c r="K36" s="38">
        <f>华漕!N37</f>
        <v>38455221.839999996</v>
      </c>
      <c r="L36" s="38">
        <f>颛桥!T37</f>
        <v>67734418.019999996</v>
      </c>
      <c r="M36" s="38">
        <f>虹桥!P37</f>
        <v>33506143.199999999</v>
      </c>
      <c r="N36" s="38" t="e">
        <f t="shared" si="2"/>
        <v>#REF!</v>
      </c>
      <c r="O36" s="110">
        <v>451536607.13999999</v>
      </c>
      <c r="P36" s="53" t="e">
        <f t="shared" si="1"/>
        <v>#REF!</v>
      </c>
    </row>
    <row r="37" spans="1:16" ht="15" customHeight="1">
      <c r="A37" s="35" t="s">
        <v>96</v>
      </c>
      <c r="B37" s="36" t="s">
        <v>100</v>
      </c>
      <c r="C37" s="36"/>
      <c r="D37" s="37" t="s">
        <v>101</v>
      </c>
      <c r="E37" s="38">
        <f>莘庄!J38</f>
        <v>11071560</v>
      </c>
      <c r="F37" s="38">
        <f>吴泾!J38</f>
        <v>7666290</v>
      </c>
      <c r="G37" s="38">
        <f>七宝!Y38</f>
        <v>87901620</v>
      </c>
      <c r="H37" s="38" t="e">
        <f>#REF!</f>
        <v>#REF!</v>
      </c>
      <c r="I37" s="38" t="e">
        <f>#REF!</f>
        <v>#REF!</v>
      </c>
      <c r="J37" s="38">
        <f>马桥!Q38</f>
        <v>34003670</v>
      </c>
      <c r="K37" s="38">
        <f>华漕!N38</f>
        <v>28546330</v>
      </c>
      <c r="L37" s="38">
        <f>颛桥!T38</f>
        <v>51093920</v>
      </c>
      <c r="M37" s="38">
        <f>虹桥!P38</f>
        <v>24096420</v>
      </c>
      <c r="N37" s="38" t="e">
        <f t="shared" si="2"/>
        <v>#REF!</v>
      </c>
      <c r="O37" s="110">
        <v>340003822.5</v>
      </c>
      <c r="P37" s="53" t="e">
        <f t="shared" si="1"/>
        <v>#REF!</v>
      </c>
    </row>
    <row r="38" spans="1:16" ht="15" customHeight="1">
      <c r="A38" s="35" t="s">
        <v>97</v>
      </c>
      <c r="B38" s="36" t="s">
        <v>208</v>
      </c>
      <c r="C38" s="36" t="s">
        <v>27</v>
      </c>
      <c r="D38" s="47" t="s">
        <v>209</v>
      </c>
      <c r="E38" s="38">
        <f>莘庄!J39</f>
        <v>493284</v>
      </c>
      <c r="F38" s="38">
        <f>吴泾!J39</f>
        <v>357169.5</v>
      </c>
      <c r="G38" s="38">
        <f>七宝!Y39</f>
        <v>4301130</v>
      </c>
      <c r="H38" s="38" t="e">
        <f>#REF!</f>
        <v>#REF!</v>
      </c>
      <c r="I38" s="38" t="e">
        <f>#REF!</f>
        <v>#REF!</v>
      </c>
      <c r="J38" s="38">
        <f>马桥!Q39</f>
        <v>1658713.5</v>
      </c>
      <c r="K38" s="38">
        <f>华漕!N39</f>
        <v>1370831.5</v>
      </c>
      <c r="L38" s="38">
        <f>颛桥!T39</f>
        <v>2456741</v>
      </c>
      <c r="M38" s="38">
        <f>虹桥!P39</f>
        <v>1097782</v>
      </c>
      <c r="N38" s="38" t="e">
        <f t="shared" si="2"/>
        <v>#REF!</v>
      </c>
      <c r="O38" s="110">
        <v>16270013.25</v>
      </c>
      <c r="P38" s="53" t="e">
        <f t="shared" si="1"/>
        <v>#REF!</v>
      </c>
    </row>
    <row r="39" spans="1:16" ht="15" customHeight="1">
      <c r="A39" s="35" t="s">
        <v>99</v>
      </c>
      <c r="B39" s="36" t="s">
        <v>107</v>
      </c>
      <c r="C39" s="36"/>
      <c r="D39" s="37"/>
      <c r="E39" s="38">
        <f>莘庄!J40</f>
        <v>107600</v>
      </c>
      <c r="F39" s="38">
        <f>吴泾!J40</f>
        <v>66800</v>
      </c>
      <c r="G39" s="38">
        <f>七宝!Y40</f>
        <v>724000</v>
      </c>
      <c r="H39" s="38" t="e">
        <f>#REF!</f>
        <v>#REF!</v>
      </c>
      <c r="I39" s="38" t="e">
        <f>#REF!</f>
        <v>#REF!</v>
      </c>
      <c r="J39" s="38">
        <f>马桥!Q40</f>
        <v>285600</v>
      </c>
      <c r="K39" s="38">
        <f>华漕!N40</f>
        <v>234800</v>
      </c>
      <c r="L39" s="38">
        <f>颛桥!T40</f>
        <v>417200</v>
      </c>
      <c r="M39" s="38">
        <f>虹桥!P40</f>
        <v>224400</v>
      </c>
      <c r="N39" s="38" t="e">
        <f t="shared" si="2"/>
        <v>#REF!</v>
      </c>
      <c r="O39" s="110">
        <v>2658353.56</v>
      </c>
      <c r="P39" s="53" t="e">
        <f t="shared" si="1"/>
        <v>#REF!</v>
      </c>
    </row>
    <row r="40" spans="1:16" s="2" customFormat="1" ht="15" customHeight="1">
      <c r="A40" s="35" t="s">
        <v>102</v>
      </c>
      <c r="B40" s="42" t="s">
        <v>109</v>
      </c>
      <c r="C40" s="42" t="s">
        <v>27</v>
      </c>
      <c r="D40" s="48" t="s">
        <v>110</v>
      </c>
      <c r="E40" s="38">
        <f>莘庄!J41</f>
        <v>107600</v>
      </c>
      <c r="F40" s="38">
        <f>吴泾!J41</f>
        <v>66800</v>
      </c>
      <c r="G40" s="38">
        <f>七宝!Y41</f>
        <v>724000</v>
      </c>
      <c r="H40" s="38" t="e">
        <f>#REF!</f>
        <v>#REF!</v>
      </c>
      <c r="I40" s="38" t="e">
        <f>#REF!</f>
        <v>#REF!</v>
      </c>
      <c r="J40" s="38">
        <f>马桥!Q41</f>
        <v>285600</v>
      </c>
      <c r="K40" s="38">
        <f>华漕!N41</f>
        <v>234800</v>
      </c>
      <c r="L40" s="38">
        <f>颛桥!T41</f>
        <v>417200</v>
      </c>
      <c r="M40" s="38">
        <f>虹桥!P41</f>
        <v>224400</v>
      </c>
      <c r="N40" s="38" t="e">
        <f t="shared" si="2"/>
        <v>#REF!</v>
      </c>
      <c r="O40" s="110">
        <v>2658353.56</v>
      </c>
      <c r="P40" s="53" t="e">
        <f t="shared" si="1"/>
        <v>#REF!</v>
      </c>
    </row>
    <row r="41" spans="1:16" ht="15" customHeight="1">
      <c r="A41" s="35" t="s">
        <v>106</v>
      </c>
      <c r="B41" s="36" t="s">
        <v>112</v>
      </c>
      <c r="C41" s="36"/>
      <c r="D41" s="37" t="s">
        <v>21</v>
      </c>
      <c r="E41" s="38">
        <f>莘庄!J42</f>
        <v>849034.65</v>
      </c>
      <c r="F41" s="38">
        <f>吴泾!J42</f>
        <v>479626.2</v>
      </c>
      <c r="G41" s="38">
        <f>七宝!Y42</f>
        <v>3768234.5999999996</v>
      </c>
      <c r="H41" s="38" t="e">
        <f>#REF!</f>
        <v>#REF!</v>
      </c>
      <c r="I41" s="38" t="e">
        <f>#REF!</f>
        <v>#REF!</v>
      </c>
      <c r="J41" s="38">
        <f>马桥!Q42</f>
        <v>2185488</v>
      </c>
      <c r="K41" s="38">
        <f>华漕!N42</f>
        <v>1488219.6</v>
      </c>
      <c r="L41" s="38">
        <f>颛桥!T42</f>
        <v>3308947.05</v>
      </c>
      <c r="M41" s="38">
        <f>虹桥!P42</f>
        <v>1609180.8</v>
      </c>
      <c r="N41" s="38" t="e">
        <f t="shared" si="2"/>
        <v>#REF!</v>
      </c>
      <c r="O41" s="110">
        <v>20412472.050000001</v>
      </c>
      <c r="P41" s="53" t="e">
        <f t="shared" si="1"/>
        <v>#REF!</v>
      </c>
    </row>
    <row r="42" spans="1:16" s="2" customFormat="1" ht="15" customHeight="1">
      <c r="A42" s="35" t="s">
        <v>108</v>
      </c>
      <c r="B42" s="42" t="s">
        <v>114</v>
      </c>
      <c r="C42" s="42" t="s">
        <v>27</v>
      </c>
      <c r="D42" s="48" t="s">
        <v>115</v>
      </c>
      <c r="E42" s="38">
        <f>莘庄!J43</f>
        <v>849034.65</v>
      </c>
      <c r="F42" s="38">
        <f>吴泾!J43</f>
        <v>479626.2</v>
      </c>
      <c r="G42" s="38">
        <f>七宝!Y43</f>
        <v>3768234.5999999996</v>
      </c>
      <c r="H42" s="38" t="e">
        <f>#REF!</f>
        <v>#REF!</v>
      </c>
      <c r="I42" s="38" t="e">
        <f>#REF!</f>
        <v>#REF!</v>
      </c>
      <c r="J42" s="38">
        <f>马桥!Q43</f>
        <v>2185488</v>
      </c>
      <c r="K42" s="38">
        <f>华漕!N43</f>
        <v>1488219.6</v>
      </c>
      <c r="L42" s="38">
        <f>颛桥!T43</f>
        <v>3308947.05</v>
      </c>
      <c r="M42" s="38">
        <f>虹桥!P43</f>
        <v>1609180.8</v>
      </c>
      <c r="N42" s="38" t="e">
        <f t="shared" si="2"/>
        <v>#REF!</v>
      </c>
      <c r="O42" s="110">
        <v>20412472.050000001</v>
      </c>
      <c r="P42" s="53" t="e">
        <f t="shared" si="1"/>
        <v>#REF!</v>
      </c>
    </row>
    <row r="43" spans="1:16" ht="15" customHeight="1">
      <c r="A43" s="35" t="s">
        <v>111</v>
      </c>
      <c r="B43" s="36" t="s">
        <v>117</v>
      </c>
      <c r="C43" s="36"/>
      <c r="D43" s="37" t="s">
        <v>21</v>
      </c>
      <c r="E43" s="38">
        <f>莘庄!J44</f>
        <v>222832</v>
      </c>
      <c r="F43" s="38">
        <f>吴泾!J44</f>
        <v>160568</v>
      </c>
      <c r="G43" s="38">
        <f>七宝!Y44</f>
        <v>937693.20000000007</v>
      </c>
      <c r="H43" s="38" t="e">
        <f>#REF!</f>
        <v>#REF!</v>
      </c>
      <c r="I43" s="38" t="e">
        <f>#REF!</f>
        <v>#REF!</v>
      </c>
      <c r="J43" s="38">
        <f>马桥!Q44</f>
        <v>634370.4</v>
      </c>
      <c r="K43" s="38">
        <f>华漕!N44</f>
        <v>563260.80000000005</v>
      </c>
      <c r="L43" s="38">
        <f>颛桥!T44</f>
        <v>1052974.3999999999</v>
      </c>
      <c r="M43" s="38">
        <f>虹桥!P44</f>
        <v>357474.4</v>
      </c>
      <c r="N43" s="38" t="e">
        <f t="shared" si="2"/>
        <v>#REF!</v>
      </c>
      <c r="O43" s="110">
        <v>5989655.7999999998</v>
      </c>
      <c r="P43" s="53" t="e">
        <f t="shared" si="1"/>
        <v>#REF!</v>
      </c>
    </row>
    <row r="44" spans="1:16" s="2" customFormat="1" ht="15" customHeight="1">
      <c r="A44" s="35" t="s">
        <v>113</v>
      </c>
      <c r="B44" s="42" t="s">
        <v>119</v>
      </c>
      <c r="C44" s="42" t="s">
        <v>27</v>
      </c>
      <c r="D44" s="48" t="s">
        <v>120</v>
      </c>
      <c r="E44" s="38">
        <f>莘庄!J45</f>
        <v>222832</v>
      </c>
      <c r="F44" s="38">
        <f>吴泾!J45</f>
        <v>160568</v>
      </c>
      <c r="G44" s="38">
        <f>七宝!Y45</f>
        <v>937693.20000000007</v>
      </c>
      <c r="H44" s="38" t="e">
        <f>#REF!</f>
        <v>#REF!</v>
      </c>
      <c r="I44" s="38" t="e">
        <f>#REF!</f>
        <v>#REF!</v>
      </c>
      <c r="J44" s="38">
        <f>马桥!Q45</f>
        <v>634370.4</v>
      </c>
      <c r="K44" s="38">
        <f>华漕!N45</f>
        <v>563260.80000000005</v>
      </c>
      <c r="L44" s="38">
        <f>颛桥!T45</f>
        <v>1052974.3999999999</v>
      </c>
      <c r="M44" s="38">
        <f>虹桥!P45</f>
        <v>357474.4</v>
      </c>
      <c r="N44" s="38" t="e">
        <f t="shared" si="2"/>
        <v>#REF!</v>
      </c>
      <c r="O44" s="110">
        <v>5989655.7999999998</v>
      </c>
      <c r="P44" s="53" t="e">
        <f t="shared" si="1"/>
        <v>#REF!</v>
      </c>
    </row>
    <row r="45" spans="1:16" ht="15" customHeight="1">
      <c r="A45" s="35" t="s">
        <v>116</v>
      </c>
      <c r="B45" s="36" t="s">
        <v>210</v>
      </c>
      <c r="C45" s="36"/>
      <c r="D45" s="37" t="s">
        <v>21</v>
      </c>
      <c r="E45" s="38">
        <f>莘庄!J46</f>
        <v>1654560</v>
      </c>
      <c r="F45" s="38">
        <f>吴泾!J46</f>
        <v>1088640</v>
      </c>
      <c r="G45" s="38">
        <f>七宝!Y46</f>
        <v>10463040</v>
      </c>
      <c r="H45" s="38" t="e">
        <f>#REF!</f>
        <v>#REF!</v>
      </c>
      <c r="I45" s="38" t="e">
        <f>#REF!</f>
        <v>#REF!</v>
      </c>
      <c r="J45" s="38">
        <f>马桥!Q46</f>
        <v>4108320</v>
      </c>
      <c r="K45" s="38">
        <f>华漕!N46</f>
        <v>4289760</v>
      </c>
      <c r="L45" s="38">
        <f>颛桥!T46</f>
        <v>6056640</v>
      </c>
      <c r="M45" s="38">
        <f>虹桥!P46</f>
        <v>3987360</v>
      </c>
      <c r="N45" s="38" t="e">
        <f t="shared" si="2"/>
        <v>#REF!</v>
      </c>
      <c r="O45" s="110">
        <v>43725620</v>
      </c>
      <c r="P45" s="53" t="e">
        <f t="shared" si="1"/>
        <v>#REF!</v>
      </c>
    </row>
    <row r="46" spans="1:16" s="2" customFormat="1" ht="15" customHeight="1">
      <c r="A46" s="35" t="s">
        <v>118</v>
      </c>
      <c r="B46" s="42" t="s">
        <v>211</v>
      </c>
      <c r="C46" s="42" t="s">
        <v>27</v>
      </c>
      <c r="D46" s="48" t="s">
        <v>124</v>
      </c>
      <c r="E46" s="38">
        <f>莘庄!J47</f>
        <v>1162080</v>
      </c>
      <c r="F46" s="38">
        <f>吴泾!J47</f>
        <v>721440</v>
      </c>
      <c r="G46" s="38">
        <f>七宝!Y47</f>
        <v>7819200</v>
      </c>
      <c r="H46" s="38" t="e">
        <f>#REF!</f>
        <v>#REF!</v>
      </c>
      <c r="I46" s="38" t="e">
        <f>#REF!</f>
        <v>#REF!</v>
      </c>
      <c r="J46" s="38">
        <f>马桥!Q47</f>
        <v>3084480</v>
      </c>
      <c r="K46" s="38">
        <f>华漕!N47</f>
        <v>2535840</v>
      </c>
      <c r="L46" s="38">
        <f>颛桥!T47</f>
        <v>4505760</v>
      </c>
      <c r="M46" s="38">
        <f>虹桥!P47</f>
        <v>2423520</v>
      </c>
      <c r="N46" s="38" t="e">
        <f t="shared" si="2"/>
        <v>#REF!</v>
      </c>
      <c r="O46" s="110">
        <v>30978780</v>
      </c>
      <c r="P46" s="53" t="e">
        <f t="shared" si="1"/>
        <v>#REF!</v>
      </c>
    </row>
    <row r="47" spans="1:16" s="2" customFormat="1" ht="15" customHeight="1">
      <c r="A47" s="35" t="s">
        <v>121</v>
      </c>
      <c r="B47" s="42" t="s">
        <v>212</v>
      </c>
      <c r="C47" s="42" t="s">
        <v>27</v>
      </c>
      <c r="D47" s="48" t="s">
        <v>213</v>
      </c>
      <c r="E47" s="38">
        <f>莘庄!J48</f>
        <v>492480</v>
      </c>
      <c r="F47" s="38">
        <f>吴泾!J48</f>
        <v>367200</v>
      </c>
      <c r="G47" s="38">
        <f>七宝!Y48</f>
        <v>2643840</v>
      </c>
      <c r="H47" s="38" t="e">
        <f>#REF!</f>
        <v>#REF!</v>
      </c>
      <c r="I47" s="38" t="e">
        <f>#REF!</f>
        <v>#REF!</v>
      </c>
      <c r="J47" s="38">
        <f>马桥!Q48</f>
        <v>1023840</v>
      </c>
      <c r="K47" s="38">
        <f>华漕!N48</f>
        <v>1753920</v>
      </c>
      <c r="L47" s="38">
        <f>颛桥!T48</f>
        <v>1550880</v>
      </c>
      <c r="M47" s="38">
        <f>虹桥!P48</f>
        <v>1563840</v>
      </c>
      <c r="N47" s="38" t="e">
        <f t="shared" si="2"/>
        <v>#REF!</v>
      </c>
      <c r="O47" s="110">
        <v>12746840</v>
      </c>
      <c r="P47" s="53" t="e">
        <f t="shared" si="1"/>
        <v>#REF!</v>
      </c>
    </row>
    <row r="48" spans="1:16" ht="15" customHeight="1">
      <c r="A48" s="35" t="s">
        <v>123</v>
      </c>
      <c r="B48" s="36" t="s">
        <v>214</v>
      </c>
      <c r="C48" s="36"/>
      <c r="D48" s="37" t="s">
        <v>21</v>
      </c>
      <c r="E48" s="38">
        <f>莘庄!J49</f>
        <v>1255121.1399999999</v>
      </c>
      <c r="F48" s="38">
        <f>吴泾!J49</f>
        <v>756748.57000000007</v>
      </c>
      <c r="G48" s="38">
        <f>七宝!Y49</f>
        <v>8794746.8700000029</v>
      </c>
      <c r="H48" s="38" t="e">
        <f>#REF!</f>
        <v>#REF!</v>
      </c>
      <c r="I48" s="38" t="e">
        <f>#REF!</f>
        <v>#REF!</v>
      </c>
      <c r="J48" s="38">
        <f>马桥!Q49</f>
        <v>3437808</v>
      </c>
      <c r="K48" s="38">
        <f>华漕!N49</f>
        <v>2843451.44</v>
      </c>
      <c r="L48" s="38">
        <f>颛桥!T49</f>
        <v>5111236.57</v>
      </c>
      <c r="M48" s="38">
        <f>虹桥!P49</f>
        <v>2731608</v>
      </c>
      <c r="N48" s="38" t="e">
        <f t="shared" si="2"/>
        <v>#REF!</v>
      </c>
      <c r="O48" s="110">
        <v>34410744.18</v>
      </c>
      <c r="P48" s="53" t="e">
        <f t="shared" si="1"/>
        <v>#REF!</v>
      </c>
    </row>
    <row r="49" spans="1:16" s="2" customFormat="1" ht="15" customHeight="1">
      <c r="A49" s="35" t="s">
        <v>125</v>
      </c>
      <c r="B49" s="42" t="s">
        <v>129</v>
      </c>
      <c r="C49" s="42" t="s">
        <v>27</v>
      </c>
      <c r="D49" s="39" t="s">
        <v>43</v>
      </c>
      <c r="E49" s="38">
        <f>莘庄!J50</f>
        <v>1255121.1399999999</v>
      </c>
      <c r="F49" s="38">
        <f>吴泾!J50</f>
        <v>756748.57000000007</v>
      </c>
      <c r="G49" s="38">
        <f>七宝!Y50</f>
        <v>8794746.8700000029</v>
      </c>
      <c r="H49" s="38" t="e">
        <f>#REF!</f>
        <v>#REF!</v>
      </c>
      <c r="I49" s="38" t="e">
        <f>#REF!</f>
        <v>#REF!</v>
      </c>
      <c r="J49" s="38">
        <f>马桥!Q50</f>
        <v>3437808</v>
      </c>
      <c r="K49" s="38">
        <f>华漕!N50</f>
        <v>2843451.44</v>
      </c>
      <c r="L49" s="38">
        <f>颛桥!T50</f>
        <v>5111236.57</v>
      </c>
      <c r="M49" s="38">
        <f>虹桥!P50</f>
        <v>2731608</v>
      </c>
      <c r="N49" s="38" t="e">
        <f t="shared" si="2"/>
        <v>#REF!</v>
      </c>
      <c r="O49" s="110">
        <v>34410744.18</v>
      </c>
      <c r="P49" s="53" t="e">
        <f t="shared" si="1"/>
        <v>#REF!</v>
      </c>
    </row>
    <row r="50" spans="1:16" ht="15" customHeight="1">
      <c r="A50" s="35" t="s">
        <v>126</v>
      </c>
      <c r="B50" s="36" t="s">
        <v>215</v>
      </c>
      <c r="C50" s="36"/>
      <c r="D50" s="37" t="s">
        <v>21</v>
      </c>
      <c r="E50" s="38">
        <f>莘庄!J51</f>
        <v>64000</v>
      </c>
      <c r="F50" s="38">
        <f>吴泾!J51</f>
        <v>32000</v>
      </c>
      <c r="G50" s="38">
        <f>七宝!Y51</f>
        <v>306000</v>
      </c>
      <c r="H50" s="38" t="e">
        <f>#REF!</f>
        <v>#REF!</v>
      </c>
      <c r="I50" s="38" t="e">
        <f>#REF!</f>
        <v>#REF!</v>
      </c>
      <c r="J50" s="38">
        <f>马桥!Q51</f>
        <v>89000</v>
      </c>
      <c r="K50" s="38">
        <f>华漕!N51</f>
        <v>121000</v>
      </c>
      <c r="L50" s="38">
        <f>颛桥!T51</f>
        <v>306000</v>
      </c>
      <c r="M50" s="38">
        <f>虹桥!P51</f>
        <v>217000</v>
      </c>
      <c r="N50" s="38" t="e">
        <f t="shared" si="2"/>
        <v>#REF!</v>
      </c>
      <c r="O50" s="110">
        <v>1163010.32</v>
      </c>
      <c r="P50" s="53" t="e">
        <f t="shared" si="1"/>
        <v>#REF!</v>
      </c>
    </row>
    <row r="51" spans="1:16" ht="15" customHeight="1">
      <c r="A51" s="35" t="s">
        <v>128</v>
      </c>
      <c r="B51" s="36" t="s">
        <v>132</v>
      </c>
      <c r="C51" s="36" t="s">
        <v>27</v>
      </c>
      <c r="D51" s="47" t="s">
        <v>133</v>
      </c>
      <c r="E51" s="38">
        <f>莘庄!J52</f>
        <v>64000</v>
      </c>
      <c r="F51" s="38">
        <f>吴泾!J52</f>
        <v>32000</v>
      </c>
      <c r="G51" s="38">
        <f>七宝!Y52</f>
        <v>306000</v>
      </c>
      <c r="H51" s="38" t="e">
        <f>#REF!</f>
        <v>#REF!</v>
      </c>
      <c r="I51" s="38" t="e">
        <f>#REF!</f>
        <v>#REF!</v>
      </c>
      <c r="J51" s="38">
        <f>马桥!Q52</f>
        <v>89000</v>
      </c>
      <c r="K51" s="38">
        <f>华漕!N52</f>
        <v>121000</v>
      </c>
      <c r="L51" s="38">
        <f>颛桥!T52</f>
        <v>306000</v>
      </c>
      <c r="M51" s="38">
        <f>虹桥!P52</f>
        <v>217000</v>
      </c>
      <c r="N51" s="38" t="e">
        <f t="shared" si="2"/>
        <v>#REF!</v>
      </c>
      <c r="O51" s="110">
        <v>1163010.32</v>
      </c>
      <c r="P51" s="53" t="e">
        <f t="shared" si="1"/>
        <v>#REF!</v>
      </c>
    </row>
    <row r="52" spans="1:16" ht="15" customHeight="1">
      <c r="A52" s="35" t="s">
        <v>130</v>
      </c>
      <c r="B52" s="36" t="s">
        <v>279</v>
      </c>
      <c r="C52" s="36"/>
      <c r="D52" s="37" t="s">
        <v>21</v>
      </c>
      <c r="E52" s="38">
        <f>莘庄!J53</f>
        <v>45600</v>
      </c>
      <c r="F52" s="38">
        <f>吴泾!J53</f>
        <v>34000</v>
      </c>
      <c r="G52" s="38">
        <f>七宝!Y53</f>
        <v>244800</v>
      </c>
      <c r="H52" s="38" t="e">
        <f>#REF!</f>
        <v>#REF!</v>
      </c>
      <c r="I52" s="38" t="e">
        <f>#REF!</f>
        <v>#REF!</v>
      </c>
      <c r="J52" s="38">
        <f>马桥!Q53</f>
        <v>94800</v>
      </c>
      <c r="K52" s="38">
        <f>华漕!N53</f>
        <v>162400</v>
      </c>
      <c r="L52" s="38">
        <f>颛桥!T53</f>
        <v>143600</v>
      </c>
      <c r="M52" s="38">
        <f>虹桥!P53</f>
        <v>144800</v>
      </c>
      <c r="N52" s="38" t="e">
        <f t="shared" si="2"/>
        <v>#REF!</v>
      </c>
      <c r="O52" s="110">
        <v>1179818.99</v>
      </c>
      <c r="P52" s="53" t="e">
        <f t="shared" si="1"/>
        <v>#REF!</v>
      </c>
    </row>
    <row r="53" spans="1:16" s="2" customFormat="1" ht="15" customHeight="1">
      <c r="A53" s="35" t="s">
        <v>131</v>
      </c>
      <c r="B53" s="42" t="s">
        <v>280</v>
      </c>
      <c r="C53" s="42" t="s">
        <v>27</v>
      </c>
      <c r="D53" s="48" t="s">
        <v>216</v>
      </c>
      <c r="E53" s="38">
        <f>莘庄!J54</f>
        <v>45600</v>
      </c>
      <c r="F53" s="38">
        <f>吴泾!J54</f>
        <v>34000</v>
      </c>
      <c r="G53" s="38">
        <f>七宝!Y54</f>
        <v>244800</v>
      </c>
      <c r="H53" s="38" t="e">
        <f>#REF!</f>
        <v>#REF!</v>
      </c>
      <c r="I53" s="38" t="e">
        <f>#REF!</f>
        <v>#REF!</v>
      </c>
      <c r="J53" s="38">
        <f>马桥!Q54</f>
        <v>94800</v>
      </c>
      <c r="K53" s="38">
        <f>华漕!N54</f>
        <v>162400</v>
      </c>
      <c r="L53" s="38">
        <f>颛桥!T54</f>
        <v>143600</v>
      </c>
      <c r="M53" s="38">
        <f>虹桥!P54</f>
        <v>144800</v>
      </c>
      <c r="N53" s="38" t="e">
        <f t="shared" si="2"/>
        <v>#REF!</v>
      </c>
      <c r="O53" s="110">
        <v>1179818.99</v>
      </c>
      <c r="P53" s="53" t="e">
        <f t="shared" si="1"/>
        <v>#REF!</v>
      </c>
    </row>
    <row r="54" spans="1:16" s="2" customFormat="1" ht="15" customHeight="1">
      <c r="A54" s="35" t="s">
        <v>134</v>
      </c>
      <c r="B54" s="36" t="s">
        <v>281</v>
      </c>
      <c r="C54" s="42"/>
      <c r="D54" s="48"/>
      <c r="E54" s="38">
        <f>莘庄!J55</f>
        <v>12700</v>
      </c>
      <c r="F54" s="38">
        <f>吴泾!J55</f>
        <v>13500</v>
      </c>
      <c r="G54" s="38">
        <f>七宝!Y55</f>
        <v>72600</v>
      </c>
      <c r="H54" s="38" t="e">
        <f>#REF!</f>
        <v>#REF!</v>
      </c>
      <c r="I54" s="38" t="e">
        <f>#REF!</f>
        <v>#REF!</v>
      </c>
      <c r="J54" s="38">
        <f>马桥!Q55</f>
        <v>58900</v>
      </c>
      <c r="K54" s="38">
        <f>华漕!N55</f>
        <v>14000</v>
      </c>
      <c r="L54" s="38">
        <f>颛桥!T55</f>
        <v>51900</v>
      </c>
      <c r="M54" s="38">
        <f>虹桥!P55</f>
        <v>31900</v>
      </c>
      <c r="N54" s="38" t="e">
        <f t="shared" si="2"/>
        <v>#REF!</v>
      </c>
      <c r="O54" s="110">
        <v>390546.3</v>
      </c>
      <c r="P54" s="53" t="e">
        <f t="shared" si="1"/>
        <v>#REF!</v>
      </c>
    </row>
    <row r="55" spans="1:16" ht="15" customHeight="1">
      <c r="A55" s="35" t="s">
        <v>135</v>
      </c>
      <c r="B55" s="36" t="s">
        <v>282</v>
      </c>
      <c r="C55" s="36" t="s">
        <v>27</v>
      </c>
      <c r="D55" s="47" t="s">
        <v>140</v>
      </c>
      <c r="E55" s="38">
        <f>莘庄!J56</f>
        <v>12700</v>
      </c>
      <c r="F55" s="38">
        <f>吴泾!J56</f>
        <v>13500</v>
      </c>
      <c r="G55" s="38">
        <f>七宝!Y56</f>
        <v>72600</v>
      </c>
      <c r="H55" s="38" t="e">
        <f>#REF!</f>
        <v>#REF!</v>
      </c>
      <c r="I55" s="38" t="e">
        <f>#REF!</f>
        <v>#REF!</v>
      </c>
      <c r="J55" s="38">
        <f>马桥!Q56</f>
        <v>58900</v>
      </c>
      <c r="K55" s="38">
        <f>华漕!N56</f>
        <v>14000</v>
      </c>
      <c r="L55" s="38">
        <f>颛桥!T56</f>
        <v>51900</v>
      </c>
      <c r="M55" s="38">
        <f>虹桥!P56</f>
        <v>31900</v>
      </c>
      <c r="N55" s="38" t="e">
        <f t="shared" si="2"/>
        <v>#REF!</v>
      </c>
      <c r="O55" s="111">
        <v>390546.3</v>
      </c>
      <c r="P55" s="53" t="e">
        <f t="shared" si="1"/>
        <v>#REF!</v>
      </c>
    </row>
    <row r="56" spans="1:16" ht="15" customHeight="1">
      <c r="A56" s="35" t="s">
        <v>136</v>
      </c>
      <c r="B56" s="36" t="s">
        <v>283</v>
      </c>
      <c r="C56" s="36"/>
      <c r="D56" s="37" t="s">
        <v>21</v>
      </c>
      <c r="E56" s="38">
        <f>莘庄!J57</f>
        <v>106000</v>
      </c>
      <c r="F56" s="38">
        <f>吴泾!J57</f>
        <v>128000</v>
      </c>
      <c r="G56" s="38">
        <f>七宝!Y57</f>
        <v>380000</v>
      </c>
      <c r="H56" s="38" t="e">
        <f>#REF!</f>
        <v>#REF!</v>
      </c>
      <c r="I56" s="38" t="e">
        <f>#REF!</f>
        <v>#REF!</v>
      </c>
      <c r="J56" s="38">
        <f>马桥!Q57</f>
        <v>320000</v>
      </c>
      <c r="K56" s="38">
        <f>华漕!N57</f>
        <v>192000</v>
      </c>
      <c r="L56" s="38">
        <f>颛桥!T57</f>
        <v>192000</v>
      </c>
      <c r="M56" s="38">
        <f>虹桥!P57</f>
        <v>106000</v>
      </c>
      <c r="N56" s="38" t="e">
        <f t="shared" si="2"/>
        <v>#REF!</v>
      </c>
      <c r="O56" s="110">
        <v>1602563.44</v>
      </c>
      <c r="P56" s="53" t="e">
        <f t="shared" si="1"/>
        <v>#REF!</v>
      </c>
    </row>
    <row r="57" spans="1:16" ht="15" customHeight="1" thickBot="1">
      <c r="A57" s="35" t="s">
        <v>139</v>
      </c>
      <c r="B57" s="4" t="s">
        <v>284</v>
      </c>
      <c r="C57" s="36" t="s">
        <v>27</v>
      </c>
      <c r="D57" s="5" t="s">
        <v>217</v>
      </c>
      <c r="E57" s="38">
        <f>莘庄!J58</f>
        <v>106000</v>
      </c>
      <c r="F57" s="38">
        <f>吴泾!J58</f>
        <v>128000</v>
      </c>
      <c r="G57" s="38">
        <f>七宝!Y58</f>
        <v>380000</v>
      </c>
      <c r="H57" s="38" t="e">
        <f>#REF!</f>
        <v>#REF!</v>
      </c>
      <c r="I57" s="38" t="e">
        <f>#REF!</f>
        <v>#REF!</v>
      </c>
      <c r="J57" s="38">
        <f>马桥!Q58</f>
        <v>320000</v>
      </c>
      <c r="K57" s="38">
        <f>华漕!N58</f>
        <v>192000</v>
      </c>
      <c r="L57" s="38">
        <f>颛桥!T58</f>
        <v>192000</v>
      </c>
      <c r="M57" s="38">
        <f>虹桥!P58</f>
        <v>106000</v>
      </c>
      <c r="N57" s="38" t="e">
        <f t="shared" si="2"/>
        <v>#REF!</v>
      </c>
      <c r="O57" s="112">
        <v>1602563.44</v>
      </c>
      <c r="P57" s="53" t="e">
        <f t="shared" si="1"/>
        <v>#REF!</v>
      </c>
    </row>
    <row r="58" spans="1:16" ht="15" customHeight="1" thickTop="1">
      <c r="A58" s="35" t="s">
        <v>141</v>
      </c>
      <c r="B58" s="9" t="s">
        <v>145</v>
      </c>
      <c r="C58" s="9"/>
      <c r="D58" s="10"/>
      <c r="E58" s="38">
        <f>莘庄!J59</f>
        <v>0</v>
      </c>
      <c r="F58" s="38">
        <f>吴泾!J59</f>
        <v>0</v>
      </c>
      <c r="G58" s="38">
        <f>七宝!Y59</f>
        <v>0</v>
      </c>
      <c r="H58" s="38" t="e">
        <f>#REF!</f>
        <v>#REF!</v>
      </c>
      <c r="I58" s="38" t="e">
        <f>#REF!</f>
        <v>#REF!</v>
      </c>
      <c r="J58" s="38">
        <f>马桥!Q59</f>
        <v>0</v>
      </c>
      <c r="K58" s="38">
        <f>华漕!N59</f>
        <v>0</v>
      </c>
      <c r="L58" s="38">
        <f>颛桥!T59</f>
        <v>0</v>
      </c>
      <c r="M58" s="38">
        <f>虹桥!P59</f>
        <v>0</v>
      </c>
      <c r="N58" s="38" t="e">
        <f t="shared" si="2"/>
        <v>#REF!</v>
      </c>
      <c r="O58" s="113"/>
      <c r="P58" s="53" t="e">
        <f t="shared" si="1"/>
        <v>#REF!</v>
      </c>
    </row>
    <row r="59" spans="1:16" ht="15" customHeight="1">
      <c r="A59" s="35" t="s">
        <v>142</v>
      </c>
      <c r="B59" s="36" t="s">
        <v>147</v>
      </c>
      <c r="C59" s="36"/>
      <c r="D59" s="37" t="s">
        <v>285</v>
      </c>
      <c r="E59" s="38">
        <f>莘庄!J60</f>
        <v>269</v>
      </c>
      <c r="F59" s="38">
        <f>吴泾!J60</f>
        <v>167</v>
      </c>
      <c r="G59" s="38">
        <f>七宝!Y60</f>
        <v>1810</v>
      </c>
      <c r="H59" s="38" t="e">
        <f>#REF!</f>
        <v>#REF!</v>
      </c>
      <c r="I59" s="38" t="e">
        <f>#REF!</f>
        <v>#REF!</v>
      </c>
      <c r="J59" s="38">
        <f>马桥!Q60</f>
        <v>714</v>
      </c>
      <c r="K59" s="38">
        <f>华漕!N60</f>
        <v>587</v>
      </c>
      <c r="L59" s="38">
        <f>颛桥!T60</f>
        <v>1043</v>
      </c>
      <c r="M59" s="38">
        <f>虹桥!P60</f>
        <v>561</v>
      </c>
      <c r="N59" s="38" t="e">
        <f t="shared" si="2"/>
        <v>#REF!</v>
      </c>
      <c r="O59" s="110">
        <v>7227</v>
      </c>
      <c r="P59" s="53" t="e">
        <f t="shared" si="1"/>
        <v>#REF!</v>
      </c>
    </row>
    <row r="60" spans="1:16" ht="15" customHeight="1">
      <c r="A60" s="35" t="s">
        <v>144</v>
      </c>
      <c r="B60" s="50" t="s">
        <v>149</v>
      </c>
      <c r="C60" s="50"/>
      <c r="D60" s="44"/>
      <c r="E60" s="38">
        <f>莘庄!J61</f>
        <v>61</v>
      </c>
      <c r="F60" s="38">
        <f>吴泾!J61</f>
        <v>0</v>
      </c>
      <c r="G60" s="38">
        <f>七宝!Y61</f>
        <v>629</v>
      </c>
      <c r="H60" s="38" t="e">
        <f>#REF!</f>
        <v>#REF!</v>
      </c>
      <c r="I60" s="38" t="e">
        <f>#REF!</f>
        <v>#REF!</v>
      </c>
      <c r="J60" s="38">
        <f>马桥!Q61</f>
        <v>191</v>
      </c>
      <c r="K60" s="38">
        <f>华漕!N61</f>
        <v>195</v>
      </c>
      <c r="L60" s="38">
        <f>颛桥!T61</f>
        <v>328</v>
      </c>
      <c r="M60" s="38">
        <f>虹桥!P61</f>
        <v>176</v>
      </c>
      <c r="N60" s="38" t="e">
        <f t="shared" si="2"/>
        <v>#REF!</v>
      </c>
      <c r="O60" s="110">
        <v>2199</v>
      </c>
      <c r="P60" s="53" t="e">
        <f t="shared" si="1"/>
        <v>#REF!</v>
      </c>
    </row>
    <row r="61" spans="1:16" ht="15" customHeight="1">
      <c r="A61" s="35" t="s">
        <v>146</v>
      </c>
      <c r="B61" s="50" t="s">
        <v>151</v>
      </c>
      <c r="C61" s="50"/>
      <c r="D61" s="37"/>
      <c r="E61" s="38">
        <f>莘庄!J62</f>
        <v>62</v>
      </c>
      <c r="F61" s="38">
        <f>吴泾!J62</f>
        <v>65</v>
      </c>
      <c r="G61" s="38">
        <f>七宝!Y62</f>
        <v>773</v>
      </c>
      <c r="H61" s="38" t="e">
        <f>#REF!</f>
        <v>#REF!</v>
      </c>
      <c r="I61" s="38" t="e">
        <f>#REF!</f>
        <v>#REF!</v>
      </c>
      <c r="J61" s="38">
        <f>马桥!Q62</f>
        <v>312</v>
      </c>
      <c r="K61" s="38">
        <f>华漕!N62</f>
        <v>213</v>
      </c>
      <c r="L61" s="38">
        <f>颛桥!T62</f>
        <v>480</v>
      </c>
      <c r="M61" s="38">
        <f>虹桥!P62</f>
        <v>201</v>
      </c>
      <c r="N61" s="38" t="e">
        <f t="shared" si="2"/>
        <v>#REF!</v>
      </c>
      <c r="O61" s="110">
        <v>2899</v>
      </c>
      <c r="P61" s="53" t="e">
        <f t="shared" si="1"/>
        <v>#REF!</v>
      </c>
    </row>
    <row r="62" spans="1:16" ht="15" customHeight="1">
      <c r="A62" s="35" t="s">
        <v>148</v>
      </c>
      <c r="B62" s="50" t="s">
        <v>153</v>
      </c>
      <c r="C62" s="50"/>
      <c r="D62" s="44"/>
      <c r="E62" s="38">
        <f>莘庄!J63</f>
        <v>140</v>
      </c>
      <c r="F62" s="38">
        <f>吴泾!J63</f>
        <v>98</v>
      </c>
      <c r="G62" s="38">
        <f>七宝!Y63</f>
        <v>401</v>
      </c>
      <c r="H62" s="38" t="e">
        <f>#REF!</f>
        <v>#REF!</v>
      </c>
      <c r="I62" s="38" t="e">
        <f>#REF!</f>
        <v>#REF!</v>
      </c>
      <c r="J62" s="38">
        <f>马桥!Q63</f>
        <v>201</v>
      </c>
      <c r="K62" s="38">
        <f>华漕!N63</f>
        <v>172</v>
      </c>
      <c r="L62" s="38">
        <f>颛桥!T63</f>
        <v>230</v>
      </c>
      <c r="M62" s="38">
        <f>虹桥!P63</f>
        <v>183</v>
      </c>
      <c r="N62" s="38" t="e">
        <f t="shared" si="2"/>
        <v>#REF!</v>
      </c>
      <c r="O62" s="110">
        <v>2079</v>
      </c>
      <c r="P62" s="53" t="e">
        <f t="shared" si="1"/>
        <v>#REF!</v>
      </c>
    </row>
    <row r="63" spans="1:16" ht="15" customHeight="1">
      <c r="A63" s="35" t="s">
        <v>150</v>
      </c>
      <c r="B63" s="50" t="s">
        <v>155</v>
      </c>
      <c r="C63" s="50"/>
      <c r="D63" s="44"/>
      <c r="E63" s="38">
        <f>莘庄!J64</f>
        <v>6</v>
      </c>
      <c r="F63" s="38">
        <f>吴泾!J64</f>
        <v>4</v>
      </c>
      <c r="G63" s="38">
        <f>七宝!Y64</f>
        <v>7</v>
      </c>
      <c r="H63" s="38" t="e">
        <f>#REF!</f>
        <v>#REF!</v>
      </c>
      <c r="I63" s="38" t="e">
        <f>#REF!</f>
        <v>#REF!</v>
      </c>
      <c r="J63" s="38">
        <f>马桥!Q64</f>
        <v>10</v>
      </c>
      <c r="K63" s="38">
        <f>华漕!N64</f>
        <v>7</v>
      </c>
      <c r="L63" s="38">
        <f>颛桥!T64</f>
        <v>5</v>
      </c>
      <c r="M63" s="38">
        <f>虹桥!P64</f>
        <v>1</v>
      </c>
      <c r="N63" s="38" t="e">
        <f t="shared" si="2"/>
        <v>#REF!</v>
      </c>
      <c r="O63" s="110">
        <v>50</v>
      </c>
      <c r="P63" s="53" t="e">
        <f t="shared" si="1"/>
        <v>#REF!</v>
      </c>
    </row>
    <row r="64" spans="1:16" ht="15" customHeight="1">
      <c r="A64" s="35" t="s">
        <v>152</v>
      </c>
      <c r="B64" s="36" t="s">
        <v>157</v>
      </c>
      <c r="C64" s="36"/>
      <c r="D64" s="37" t="s">
        <v>286</v>
      </c>
      <c r="E64" s="38">
        <f>莘庄!J65</f>
        <v>2972</v>
      </c>
      <c r="F64" s="38">
        <f>吴泾!J65</f>
        <v>2319</v>
      </c>
      <c r="G64" s="38">
        <f>七宝!Y65</f>
        <v>25262</v>
      </c>
      <c r="H64" s="38" t="e">
        <f>#REF!</f>
        <v>#REF!</v>
      </c>
      <c r="I64" s="38" t="e">
        <f>#REF!</f>
        <v>#REF!</v>
      </c>
      <c r="J64" s="38">
        <f>马桥!Q65</f>
        <v>9955</v>
      </c>
      <c r="K64" s="38">
        <f>华漕!N65</f>
        <v>8178</v>
      </c>
      <c r="L64" s="38">
        <f>颛桥!T65</f>
        <v>14677</v>
      </c>
      <c r="M64" s="38">
        <f>虹桥!P65</f>
        <v>6529</v>
      </c>
      <c r="N64" s="38" t="e">
        <f t="shared" si="2"/>
        <v>#REF!</v>
      </c>
      <c r="O64" s="110">
        <v>99872</v>
      </c>
      <c r="P64" s="53" t="e">
        <f t="shared" si="1"/>
        <v>#REF!</v>
      </c>
    </row>
    <row r="65" spans="1:16" ht="15" customHeight="1">
      <c r="A65" s="35" t="s">
        <v>154</v>
      </c>
      <c r="B65" s="50" t="s">
        <v>149</v>
      </c>
      <c r="C65" s="50"/>
      <c r="D65" s="44"/>
      <c r="E65" s="38">
        <f>莘庄!J66</f>
        <v>854</v>
      </c>
      <c r="F65" s="38">
        <f>吴泾!J66</f>
        <v>0</v>
      </c>
      <c r="G65" s="38">
        <f>七宝!Y66</f>
        <v>8962</v>
      </c>
      <c r="H65" s="38" t="e">
        <f>#REF!</f>
        <v>#REF!</v>
      </c>
      <c r="I65" s="38" t="e">
        <f>#REF!</f>
        <v>#REF!</v>
      </c>
      <c r="J65" s="38">
        <f>马桥!Q66</f>
        <v>2893</v>
      </c>
      <c r="K65" s="38">
        <f>华漕!N66</f>
        <v>2705</v>
      </c>
      <c r="L65" s="38">
        <f>颛桥!T66</f>
        <v>4555</v>
      </c>
      <c r="M65" s="38">
        <f>虹桥!P66</f>
        <v>2105</v>
      </c>
      <c r="N65" s="38" t="e">
        <f t="shared" si="2"/>
        <v>#REF!</v>
      </c>
      <c r="O65" s="110">
        <v>30739</v>
      </c>
      <c r="P65" s="53" t="e">
        <f t="shared" si="1"/>
        <v>#REF!</v>
      </c>
    </row>
    <row r="66" spans="1:16" ht="15" customHeight="1">
      <c r="A66" s="35" t="s">
        <v>156</v>
      </c>
      <c r="B66" s="50" t="s">
        <v>151</v>
      </c>
      <c r="C66" s="50"/>
      <c r="D66" s="37"/>
      <c r="E66" s="38">
        <f>莘庄!J67</f>
        <v>818</v>
      </c>
      <c r="F66" s="38">
        <f>吴泾!J67</f>
        <v>1035</v>
      </c>
      <c r="G66" s="38">
        <f>七宝!Y67</f>
        <v>12528</v>
      </c>
      <c r="H66" s="38" t="e">
        <f>#REF!</f>
        <v>#REF!</v>
      </c>
      <c r="I66" s="38" t="e">
        <f>#REF!</f>
        <v>#REF!</v>
      </c>
      <c r="J66" s="38">
        <f>马桥!Q67</f>
        <v>4614</v>
      </c>
      <c r="K66" s="38">
        <f>华漕!N67</f>
        <v>3408</v>
      </c>
      <c r="L66" s="38">
        <f>颛桥!T67</f>
        <v>7249</v>
      </c>
      <c r="M66" s="38">
        <f>虹桥!P67</f>
        <v>2945</v>
      </c>
      <c r="N66" s="38" t="e">
        <f t="shared" si="2"/>
        <v>#REF!</v>
      </c>
      <c r="O66" s="110">
        <v>45364</v>
      </c>
      <c r="P66" s="53" t="e">
        <f t="shared" si="1"/>
        <v>#REF!</v>
      </c>
    </row>
    <row r="67" spans="1:16" ht="15" customHeight="1">
      <c r="A67" s="35" t="s">
        <v>158</v>
      </c>
      <c r="B67" s="50" t="s">
        <v>153</v>
      </c>
      <c r="C67" s="50"/>
      <c r="D67" s="44"/>
      <c r="E67" s="38">
        <f>莘庄!J68</f>
        <v>1300</v>
      </c>
      <c r="F67" s="38">
        <f>吴泾!J68</f>
        <v>1284</v>
      </c>
      <c r="G67" s="38">
        <f>七宝!Y68</f>
        <v>3772</v>
      </c>
      <c r="H67" s="38" t="e">
        <f>#REF!</f>
        <v>#REF!</v>
      </c>
      <c r="I67" s="38" t="e">
        <f>#REF!</f>
        <v>#REF!</v>
      </c>
      <c r="J67" s="38">
        <f>马桥!Q68</f>
        <v>2448</v>
      </c>
      <c r="K67" s="38">
        <f>华漕!N68</f>
        <v>2065</v>
      </c>
      <c r="L67" s="38">
        <f>颛桥!T68</f>
        <v>2873</v>
      </c>
      <c r="M67" s="38">
        <f>虹桥!P68</f>
        <v>1479</v>
      </c>
      <c r="N67" s="38" t="e">
        <f t="shared" ref="N67:N71" si="3">SUM(E67:M67)</f>
        <v>#REF!</v>
      </c>
      <c r="O67" s="110">
        <v>23769</v>
      </c>
      <c r="P67" s="53" t="e">
        <f t="shared" si="1"/>
        <v>#REF!</v>
      </c>
    </row>
    <row r="68" spans="1:16" ht="15" customHeight="1">
      <c r="A68" s="35" t="s">
        <v>159</v>
      </c>
      <c r="B68" s="50" t="s">
        <v>155</v>
      </c>
      <c r="C68" s="50"/>
      <c r="D68" s="44"/>
      <c r="E68" s="38">
        <f>莘庄!J69</f>
        <v>0</v>
      </c>
      <c r="F68" s="38">
        <f>吴泾!J69</f>
        <v>0</v>
      </c>
      <c r="G68" s="38">
        <f>七宝!Y69</f>
        <v>0</v>
      </c>
      <c r="H68" s="38" t="e">
        <f>#REF!</f>
        <v>#REF!</v>
      </c>
      <c r="I68" s="38" t="e">
        <f>#REF!</f>
        <v>#REF!</v>
      </c>
      <c r="J68" s="38">
        <f>马桥!Q69</f>
        <v>0</v>
      </c>
      <c r="K68" s="38">
        <f>华漕!N69</f>
        <v>0</v>
      </c>
      <c r="L68" s="38">
        <f>颛桥!T69</f>
        <v>0</v>
      </c>
      <c r="M68" s="38">
        <f>虹桥!P69</f>
        <v>0</v>
      </c>
      <c r="N68" s="38" t="e">
        <f t="shared" si="3"/>
        <v>#REF!</v>
      </c>
      <c r="O68" s="110">
        <v>0</v>
      </c>
      <c r="P68" s="53" t="e">
        <f t="shared" ref="P68:P71" si="4">N68-O68</f>
        <v>#REF!</v>
      </c>
    </row>
    <row r="69" spans="1:16" ht="15" customHeight="1">
      <c r="A69" s="35" t="s">
        <v>160</v>
      </c>
      <c r="B69" s="36" t="s">
        <v>218</v>
      </c>
      <c r="C69" s="36"/>
      <c r="D69" s="37"/>
      <c r="E69" s="38">
        <f>莘庄!J70</f>
        <v>114</v>
      </c>
      <c r="F69" s="38">
        <f>吴泾!J70</f>
        <v>85</v>
      </c>
      <c r="G69" s="38">
        <f>七宝!Y70</f>
        <v>612</v>
      </c>
      <c r="H69" s="38" t="e">
        <f>#REF!</f>
        <v>#REF!</v>
      </c>
      <c r="I69" s="38" t="e">
        <f>#REF!</f>
        <v>#REF!</v>
      </c>
      <c r="J69" s="38">
        <f>马桥!Q70</f>
        <v>237</v>
      </c>
      <c r="K69" s="38">
        <f>华漕!N70</f>
        <v>406</v>
      </c>
      <c r="L69" s="38">
        <f>颛桥!T70</f>
        <v>359</v>
      </c>
      <c r="M69" s="38">
        <f>虹桥!P70</f>
        <v>362</v>
      </c>
      <c r="N69" s="38" t="e">
        <f t="shared" si="3"/>
        <v>#REF!</v>
      </c>
      <c r="O69" s="110">
        <v>2999</v>
      </c>
      <c r="P69" s="53" t="e">
        <f t="shared" si="4"/>
        <v>#REF!</v>
      </c>
    </row>
    <row r="70" spans="1:16" ht="15" customHeight="1">
      <c r="A70" s="35" t="s">
        <v>161</v>
      </c>
      <c r="B70" s="50" t="s">
        <v>219</v>
      </c>
      <c r="C70" s="50"/>
      <c r="D70" s="47"/>
      <c r="E70" s="38">
        <f>莘庄!J71</f>
        <v>56602.310000000005</v>
      </c>
      <c r="F70" s="38">
        <f>吴泾!J71</f>
        <v>31975.08</v>
      </c>
      <c r="G70" s="38">
        <f>七宝!Y71</f>
        <v>251215.64</v>
      </c>
      <c r="H70" s="38" t="e">
        <f>#REF!</f>
        <v>#REF!</v>
      </c>
      <c r="I70" s="38" t="e">
        <f>#REF!</f>
        <v>#REF!</v>
      </c>
      <c r="J70" s="38">
        <f>马桥!Q71</f>
        <v>145699.20000000001</v>
      </c>
      <c r="K70" s="38">
        <f>华漕!N71</f>
        <v>99214.64</v>
      </c>
      <c r="L70" s="38">
        <f>颛桥!T71</f>
        <v>220596.47000000003</v>
      </c>
      <c r="M70" s="38">
        <f>虹桥!P71</f>
        <v>107278.72</v>
      </c>
      <c r="N70" s="38" t="e">
        <f t="shared" si="3"/>
        <v>#REF!</v>
      </c>
      <c r="O70" s="110">
        <v>1398014.0099999998</v>
      </c>
      <c r="P70" s="53" t="e">
        <f t="shared" si="4"/>
        <v>#REF!</v>
      </c>
    </row>
    <row r="71" spans="1:16" ht="15" customHeight="1">
      <c r="A71" s="35" t="s">
        <v>162</v>
      </c>
      <c r="B71" s="50" t="s">
        <v>220</v>
      </c>
      <c r="C71" s="50"/>
      <c r="D71" s="47"/>
      <c r="E71" s="38">
        <f>莘庄!J72</f>
        <v>27854</v>
      </c>
      <c r="F71" s="38">
        <f>吴泾!J72</f>
        <v>20071</v>
      </c>
      <c r="G71" s="38">
        <f>七宝!Y72</f>
        <v>117211.65000000001</v>
      </c>
      <c r="H71" s="38" t="e">
        <f>#REF!</f>
        <v>#REF!</v>
      </c>
      <c r="I71" s="38" t="e">
        <f>#REF!</f>
        <v>#REF!</v>
      </c>
      <c r="J71" s="38">
        <f>马桥!Q72</f>
        <v>79296.3</v>
      </c>
      <c r="K71" s="38">
        <f>华漕!N72</f>
        <v>70407.600000000006</v>
      </c>
      <c r="L71" s="38">
        <f>颛桥!T72</f>
        <v>131621.79999999999</v>
      </c>
      <c r="M71" s="38">
        <f>虹桥!P72</f>
        <v>44684.3</v>
      </c>
      <c r="N71" s="38" t="e">
        <f t="shared" si="3"/>
        <v>#REF!</v>
      </c>
      <c r="O71" s="110">
        <v>755564.14000000013</v>
      </c>
      <c r="P71" s="53" t="e">
        <f t="shared" si="4"/>
        <v>#REF!</v>
      </c>
    </row>
    <row r="72" spans="1:16">
      <c r="N72" s="1" t="e">
        <f t="shared" ref="N72" si="5">N4/N59</f>
        <v>#REF!</v>
      </c>
    </row>
    <row r="73" spans="1:16">
      <c r="N73" s="1" t="e">
        <f>N33/N69</f>
        <v>#REF!</v>
      </c>
    </row>
  </sheetData>
  <protectedRanges>
    <protectedRange password="E9C1" sqref="D29 C30 A4:D5 B6:D28 B31:D71 A6:A71 A2:O3 E4:O71" name="区域1_1"/>
    <protectedRange password="E9C1" sqref="B29:C29 B30" name="区域1_1_1"/>
    <protectedRange password="E9C1" sqref="D30" name="区域1_2"/>
  </protectedRanges>
  <mergeCells count="1">
    <mergeCell ref="A1:O1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85" orientation="landscape" r:id="rId1"/>
  <headerFooter>
    <oddFooter>第 &amp;P 页，共 &amp;N 页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workbookViewId="0">
      <selection activeCell="C16" sqref="C16"/>
    </sheetView>
  </sheetViews>
  <sheetFormatPr defaultRowHeight="13.5" outlineLevelRow="2"/>
  <cols>
    <col min="1" max="1" width="28.125" customWidth="1"/>
    <col min="2" max="2" width="21.25" customWidth="1"/>
    <col min="3" max="3" width="15.875" customWidth="1"/>
    <col min="4" max="4" width="16.25" customWidth="1"/>
    <col min="11" max="11" width="9.5" bestFit="1" customWidth="1"/>
  </cols>
  <sheetData>
    <row r="1" spans="1:4" ht="30" customHeight="1">
      <c r="A1" s="806" t="s">
        <v>1240</v>
      </c>
      <c r="B1" s="807"/>
      <c r="C1" s="807"/>
      <c r="D1" s="807"/>
    </row>
    <row r="2" spans="1:4" s="183" customFormat="1" ht="30" customHeight="1">
      <c r="A2" s="222" t="s">
        <v>1234</v>
      </c>
      <c r="B2" s="224" t="s">
        <v>253</v>
      </c>
      <c r="C2" s="223" t="s">
        <v>1235</v>
      </c>
      <c r="D2" s="223" t="s">
        <v>1236</v>
      </c>
    </row>
    <row r="3" spans="1:4" s="183" customFormat="1" ht="30" customHeight="1" outlineLevel="2">
      <c r="A3" s="223" t="s">
        <v>1237</v>
      </c>
      <c r="B3" s="223" t="s">
        <v>1238</v>
      </c>
      <c r="C3" s="223">
        <v>9600</v>
      </c>
      <c r="D3" s="223">
        <v>0</v>
      </c>
    </row>
    <row r="4" spans="1:4" s="183" customFormat="1" ht="30" customHeight="1" outlineLevel="1">
      <c r="A4" s="223"/>
      <c r="B4" s="225" t="s">
        <v>256</v>
      </c>
      <c r="C4" s="223">
        <f>SUBTOTAL(9,C3:C3)</f>
        <v>9600</v>
      </c>
      <c r="D4" s="223">
        <f>SUBTOTAL(9,D3:D3)</f>
        <v>0</v>
      </c>
    </row>
    <row r="5" spans="1:4" s="183" customFormat="1" ht="30" customHeight="1" outlineLevel="2">
      <c r="A5" s="223" t="s">
        <v>802</v>
      </c>
      <c r="B5" s="223" t="s">
        <v>1239</v>
      </c>
      <c r="C5" s="223">
        <v>40000</v>
      </c>
      <c r="D5" s="223">
        <v>0</v>
      </c>
    </row>
    <row r="6" spans="1:4" s="183" customFormat="1" ht="30" customHeight="1" outlineLevel="1">
      <c r="A6" s="223"/>
      <c r="B6" s="223" t="s">
        <v>260</v>
      </c>
      <c r="C6" s="223">
        <f>SUBTOTAL(9,C5:C5)</f>
        <v>40000</v>
      </c>
      <c r="D6" s="223">
        <f>SUBTOTAL(9,D5:D5)</f>
        <v>0</v>
      </c>
    </row>
    <row r="7" spans="1:4" s="183" customFormat="1" ht="30" customHeight="1">
      <c r="A7" s="223"/>
      <c r="B7" s="223" t="s">
        <v>252</v>
      </c>
      <c r="C7" s="223">
        <f>SUBTOTAL(9,C3:C5)</f>
        <v>49600</v>
      </c>
      <c r="D7" s="223">
        <f>SUBTOTAL(9,D3:D5)</f>
        <v>0</v>
      </c>
    </row>
  </sheetData>
  <mergeCells count="1">
    <mergeCell ref="A1:D1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第 &amp;P 页，共 &amp;N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50"/>
  <sheetViews>
    <sheetView topLeftCell="B28" workbookViewId="0">
      <selection activeCell="L53" sqref="L53"/>
    </sheetView>
  </sheetViews>
  <sheetFormatPr defaultRowHeight="14.25"/>
  <cols>
    <col min="1" max="1" width="0" style="195" hidden="1" customWidth="1"/>
    <col min="2" max="2" width="28.5" style="195" customWidth="1"/>
    <col min="3" max="3" width="10.25" style="195" customWidth="1"/>
    <col min="4" max="4" width="7.5" style="195" customWidth="1"/>
    <col min="5" max="5" width="21.375" style="195" customWidth="1"/>
    <col min="6" max="6" width="13.625" style="195" customWidth="1"/>
    <col min="7" max="7" width="9" style="195"/>
    <col min="8" max="8" width="6.375" style="195" customWidth="1"/>
    <col min="9" max="9" width="6.75" style="195" customWidth="1"/>
    <col min="10" max="10" width="12.5" style="220" customWidth="1"/>
    <col min="11" max="11" width="9" style="195"/>
    <col min="12" max="12" width="21.25" style="195" customWidth="1"/>
    <col min="13" max="16384" width="9" style="195"/>
  </cols>
  <sheetData>
    <row r="1" spans="1:10" ht="18.75">
      <c r="A1" s="808" t="s">
        <v>1076</v>
      </c>
      <c r="B1" s="808"/>
      <c r="C1" s="808"/>
      <c r="D1" s="808"/>
      <c r="E1" s="808"/>
      <c r="F1" s="808"/>
      <c r="G1" s="808"/>
      <c r="H1" s="808"/>
      <c r="I1" s="808"/>
      <c r="J1" s="808"/>
    </row>
    <row r="2" spans="1:10" s="199" customFormat="1" ht="85.5">
      <c r="A2" s="196" t="s">
        <v>12</v>
      </c>
      <c r="B2" s="196" t="s">
        <v>1077</v>
      </c>
      <c r="C2" s="196" t="s">
        <v>1078</v>
      </c>
      <c r="D2" s="196" t="s">
        <v>1079</v>
      </c>
      <c r="E2" s="197" t="s">
        <v>1080</v>
      </c>
      <c r="F2" s="198" t="s">
        <v>1081</v>
      </c>
      <c r="G2" s="196" t="s">
        <v>1082</v>
      </c>
      <c r="H2" s="196" t="s">
        <v>1083</v>
      </c>
      <c r="I2" s="196" t="s">
        <v>1084</v>
      </c>
      <c r="J2" s="197" t="s">
        <v>1085</v>
      </c>
    </row>
    <row r="3" spans="1:10" s="199" customFormat="1">
      <c r="A3" s="200">
        <v>3</v>
      </c>
      <c r="B3" s="201" t="s">
        <v>167</v>
      </c>
      <c r="C3" s="201" t="s">
        <v>1086</v>
      </c>
      <c r="D3" s="200" t="s">
        <v>1087</v>
      </c>
      <c r="E3" s="202" t="s">
        <v>1088</v>
      </c>
      <c r="F3" s="203">
        <v>43831</v>
      </c>
      <c r="G3" s="200" t="s">
        <v>1089</v>
      </c>
      <c r="H3" s="200" t="s">
        <v>1090</v>
      </c>
      <c r="I3" s="200" t="s">
        <v>1091</v>
      </c>
      <c r="J3" s="204">
        <v>32412</v>
      </c>
    </row>
    <row r="4" spans="1:10" s="199" customFormat="1">
      <c r="A4" s="200"/>
      <c r="B4" s="201"/>
      <c r="C4" s="201" t="s">
        <v>1092</v>
      </c>
      <c r="D4" s="200"/>
      <c r="E4" s="202"/>
      <c r="F4" s="203"/>
      <c r="G4" s="200"/>
      <c r="H4" s="200"/>
      <c r="I4" s="200"/>
      <c r="J4" s="204">
        <f>J3</f>
        <v>32412</v>
      </c>
    </row>
    <row r="5" spans="1:10" s="199" customFormat="1">
      <c r="A5" s="200">
        <v>4</v>
      </c>
      <c r="B5" s="201" t="s">
        <v>716</v>
      </c>
      <c r="C5" s="201" t="s">
        <v>1093</v>
      </c>
      <c r="D5" s="200" t="s">
        <v>1094</v>
      </c>
      <c r="E5" s="201" t="s">
        <v>1095</v>
      </c>
      <c r="F5" s="203">
        <v>42125</v>
      </c>
      <c r="G5" s="200" t="s">
        <v>1089</v>
      </c>
      <c r="H5" s="200" t="s">
        <v>1096</v>
      </c>
      <c r="I5" s="200" t="s">
        <v>1097</v>
      </c>
      <c r="J5" s="205">
        <v>136968.69</v>
      </c>
    </row>
    <row r="6" spans="1:10" s="199" customFormat="1">
      <c r="A6" s="200">
        <v>5</v>
      </c>
      <c r="B6" s="201" t="s">
        <v>716</v>
      </c>
      <c r="C6" s="201" t="s">
        <v>1093</v>
      </c>
      <c r="D6" s="200" t="s">
        <v>1098</v>
      </c>
      <c r="E6" s="201" t="s">
        <v>1099</v>
      </c>
      <c r="F6" s="203">
        <v>43374</v>
      </c>
      <c r="G6" s="200" t="s">
        <v>1089</v>
      </c>
      <c r="H6" s="200" t="s">
        <v>1100</v>
      </c>
      <c r="I6" s="200" t="s">
        <v>1101</v>
      </c>
      <c r="J6" s="205">
        <v>126591.16</v>
      </c>
    </row>
    <row r="7" spans="1:10" s="199" customFormat="1">
      <c r="A7" s="200"/>
      <c r="B7" s="201"/>
      <c r="C7" s="201" t="s">
        <v>1102</v>
      </c>
      <c r="D7" s="200"/>
      <c r="E7" s="201"/>
      <c r="F7" s="203"/>
      <c r="G7" s="200"/>
      <c r="H7" s="200"/>
      <c r="I7" s="200"/>
      <c r="J7" s="205">
        <f>SUM(J5:J6)</f>
        <v>263559.84999999998</v>
      </c>
    </row>
    <row r="8" spans="1:10" s="199" customFormat="1">
      <c r="A8" s="200">
        <v>6</v>
      </c>
      <c r="B8" s="201" t="s">
        <v>1002</v>
      </c>
      <c r="C8" s="201" t="s">
        <v>1103</v>
      </c>
      <c r="D8" s="200" t="s">
        <v>1104</v>
      </c>
      <c r="E8" s="201" t="s">
        <v>1105</v>
      </c>
      <c r="F8" s="203">
        <v>43160</v>
      </c>
      <c r="G8" s="200" t="s">
        <v>1089</v>
      </c>
      <c r="H8" s="200" t="s">
        <v>1106</v>
      </c>
      <c r="I8" s="200" t="s">
        <v>1107</v>
      </c>
      <c r="J8" s="204">
        <v>157133.14000000001</v>
      </c>
    </row>
    <row r="9" spans="1:10" s="199" customFormat="1">
      <c r="A9" s="200">
        <v>7</v>
      </c>
      <c r="B9" s="201" t="s">
        <v>1005</v>
      </c>
      <c r="C9" s="201" t="s">
        <v>1103</v>
      </c>
      <c r="D9" s="200" t="s">
        <v>1108</v>
      </c>
      <c r="E9" s="202" t="s">
        <v>1109</v>
      </c>
      <c r="F9" s="203">
        <v>43525</v>
      </c>
      <c r="G9" s="200" t="s">
        <v>1089</v>
      </c>
      <c r="H9" s="200" t="s">
        <v>1110</v>
      </c>
      <c r="I9" s="200" t="s">
        <v>1111</v>
      </c>
      <c r="J9" s="204">
        <v>372457.01</v>
      </c>
    </row>
    <row r="10" spans="1:10" s="199" customFormat="1">
      <c r="A10" s="200"/>
      <c r="B10" s="201"/>
      <c r="C10" s="201" t="s">
        <v>1112</v>
      </c>
      <c r="D10" s="200"/>
      <c r="E10" s="202"/>
      <c r="F10" s="203"/>
      <c r="G10" s="200"/>
      <c r="H10" s="200"/>
      <c r="I10" s="200"/>
      <c r="J10" s="204">
        <f>SUM(J8:J9)</f>
        <v>529590.15</v>
      </c>
    </row>
    <row r="11" spans="1:10" s="199" customFormat="1" ht="54">
      <c r="A11" s="200">
        <v>8</v>
      </c>
      <c r="B11" s="201" t="s">
        <v>1013</v>
      </c>
      <c r="C11" s="201" t="s">
        <v>1113</v>
      </c>
      <c r="D11" s="206" t="s">
        <v>1114</v>
      </c>
      <c r="E11" s="202" t="s">
        <v>1115</v>
      </c>
      <c r="F11" s="203">
        <v>42826</v>
      </c>
      <c r="G11" s="200" t="s">
        <v>1089</v>
      </c>
      <c r="H11" s="201" t="s">
        <v>1116</v>
      </c>
      <c r="I11" s="200" t="s">
        <v>1117</v>
      </c>
      <c r="J11" s="205">
        <v>29639.82</v>
      </c>
    </row>
    <row r="12" spans="1:10" s="199" customFormat="1" ht="54">
      <c r="A12" s="200">
        <v>9</v>
      </c>
      <c r="B12" s="201" t="s">
        <v>1013</v>
      </c>
      <c r="C12" s="201" t="s">
        <v>1113</v>
      </c>
      <c r="D12" s="206" t="s">
        <v>1118</v>
      </c>
      <c r="E12" s="202" t="s">
        <v>1119</v>
      </c>
      <c r="F12" s="203">
        <v>43466</v>
      </c>
      <c r="G12" s="200" t="s">
        <v>1089</v>
      </c>
      <c r="H12" s="201" t="s">
        <v>1120</v>
      </c>
      <c r="I12" s="200" t="s">
        <v>1121</v>
      </c>
      <c r="J12" s="205">
        <v>65273.27</v>
      </c>
    </row>
    <row r="13" spans="1:10" s="199" customFormat="1">
      <c r="A13" s="200"/>
      <c r="B13" s="201"/>
      <c r="C13" s="201" t="s">
        <v>1122</v>
      </c>
      <c r="D13" s="206"/>
      <c r="E13" s="202"/>
      <c r="F13" s="203"/>
      <c r="G13" s="200"/>
      <c r="H13" s="201"/>
      <c r="I13" s="200"/>
      <c r="J13" s="205">
        <f>SUM(J11:J12)</f>
        <v>94913.09</v>
      </c>
    </row>
    <row r="14" spans="1:10" s="199" customFormat="1">
      <c r="A14" s="200">
        <v>10</v>
      </c>
      <c r="B14" s="201" t="s">
        <v>1023</v>
      </c>
      <c r="C14" s="201" t="s">
        <v>1123</v>
      </c>
      <c r="D14" s="200" t="s">
        <v>1124</v>
      </c>
      <c r="E14" s="202" t="s">
        <v>1125</v>
      </c>
      <c r="F14" s="203">
        <v>41974</v>
      </c>
      <c r="G14" s="200" t="s">
        <v>1089</v>
      </c>
      <c r="H14" s="200" t="s">
        <v>1126</v>
      </c>
      <c r="I14" s="200" t="s">
        <v>1127</v>
      </c>
      <c r="J14" s="205">
        <v>17332.73</v>
      </c>
    </row>
    <row r="15" spans="1:10" s="199" customFormat="1">
      <c r="A15" s="200">
        <v>11</v>
      </c>
      <c r="B15" s="201" t="s">
        <v>1128</v>
      </c>
      <c r="C15" s="201" t="s">
        <v>1123</v>
      </c>
      <c r="D15" s="200" t="s">
        <v>1129</v>
      </c>
      <c r="E15" s="201" t="s">
        <v>1130</v>
      </c>
      <c r="F15" s="203">
        <v>44621</v>
      </c>
      <c r="G15" s="200" t="s">
        <v>1089</v>
      </c>
      <c r="H15" s="200" t="s">
        <v>1131</v>
      </c>
      <c r="I15" s="200" t="s">
        <v>1132</v>
      </c>
      <c r="J15" s="207">
        <v>19212.62</v>
      </c>
    </row>
    <row r="16" spans="1:10" s="199" customFormat="1">
      <c r="A16" s="200">
        <v>12</v>
      </c>
      <c r="B16" s="201" t="s">
        <v>1128</v>
      </c>
      <c r="C16" s="201" t="s">
        <v>1123</v>
      </c>
      <c r="D16" s="200" t="s">
        <v>1133</v>
      </c>
      <c r="E16" s="201" t="s">
        <v>1134</v>
      </c>
      <c r="F16" s="203">
        <v>44287</v>
      </c>
      <c r="G16" s="200" t="s">
        <v>1089</v>
      </c>
      <c r="H16" s="200" t="s">
        <v>1135</v>
      </c>
      <c r="I16" s="200" t="s">
        <v>1136</v>
      </c>
      <c r="J16" s="207">
        <v>1567.08</v>
      </c>
    </row>
    <row r="17" spans="1:10" s="199" customFormat="1">
      <c r="A17" s="200">
        <v>13</v>
      </c>
      <c r="B17" s="201" t="s">
        <v>1024</v>
      </c>
      <c r="C17" s="201" t="s">
        <v>1123</v>
      </c>
      <c r="D17" s="200" t="s">
        <v>1137</v>
      </c>
      <c r="E17" s="201" t="s">
        <v>1138</v>
      </c>
      <c r="F17" s="203">
        <v>44805</v>
      </c>
      <c r="G17" s="200" t="s">
        <v>1089</v>
      </c>
      <c r="H17" s="200" t="s">
        <v>1126</v>
      </c>
      <c r="I17" s="200" t="s">
        <v>1127</v>
      </c>
      <c r="J17" s="207">
        <v>16593.939999999999</v>
      </c>
    </row>
    <row r="18" spans="1:10" s="199" customFormat="1">
      <c r="A18" s="200">
        <v>14</v>
      </c>
      <c r="B18" s="208" t="s">
        <v>1026</v>
      </c>
      <c r="C18" s="208" t="s">
        <v>1123</v>
      </c>
      <c r="D18" s="209" t="s">
        <v>1139</v>
      </c>
      <c r="E18" s="208" t="s">
        <v>1140</v>
      </c>
      <c r="F18" s="210">
        <v>45352</v>
      </c>
      <c r="G18" s="209" t="s">
        <v>1089</v>
      </c>
      <c r="H18" s="209" t="s">
        <v>1120</v>
      </c>
      <c r="I18" s="209" t="s">
        <v>1121</v>
      </c>
      <c r="J18" s="205">
        <v>83185.45</v>
      </c>
    </row>
    <row r="19" spans="1:10" s="199" customFormat="1">
      <c r="A19" s="200">
        <v>15</v>
      </c>
      <c r="B19" s="201" t="s">
        <v>469</v>
      </c>
      <c r="C19" s="201" t="s">
        <v>1123</v>
      </c>
      <c r="D19" s="200" t="s">
        <v>1141</v>
      </c>
      <c r="E19" s="202" t="s">
        <v>1142</v>
      </c>
      <c r="F19" s="203">
        <v>42430</v>
      </c>
      <c r="G19" s="200" t="s">
        <v>1089</v>
      </c>
      <c r="H19" s="200" t="s">
        <v>1143</v>
      </c>
      <c r="I19" s="200" t="s">
        <v>1144</v>
      </c>
      <c r="J19" s="204">
        <v>268233.62</v>
      </c>
    </row>
    <row r="20" spans="1:10" s="199" customFormat="1">
      <c r="A20" s="200">
        <v>16</v>
      </c>
      <c r="B20" s="201" t="s">
        <v>469</v>
      </c>
      <c r="C20" s="201" t="s">
        <v>1123</v>
      </c>
      <c r="D20" s="200" t="s">
        <v>1145</v>
      </c>
      <c r="E20" s="201" t="s">
        <v>1146</v>
      </c>
      <c r="F20" s="203">
        <v>44835</v>
      </c>
      <c r="G20" s="200" t="s">
        <v>1089</v>
      </c>
      <c r="H20" s="209" t="s">
        <v>1147</v>
      </c>
      <c r="I20" s="200" t="s">
        <v>1148</v>
      </c>
      <c r="J20" s="204">
        <v>160150.79999999999</v>
      </c>
    </row>
    <row r="21" spans="1:10" s="199" customFormat="1" ht="54">
      <c r="A21" s="200">
        <v>17</v>
      </c>
      <c r="B21" s="201" t="s">
        <v>470</v>
      </c>
      <c r="C21" s="201" t="s">
        <v>1123</v>
      </c>
      <c r="D21" s="208" t="s">
        <v>1149</v>
      </c>
      <c r="E21" s="208" t="s">
        <v>1150</v>
      </c>
      <c r="F21" s="203">
        <v>42948</v>
      </c>
      <c r="G21" s="200" t="s">
        <v>1089</v>
      </c>
      <c r="H21" s="208" t="s">
        <v>1151</v>
      </c>
      <c r="I21" s="208" t="s">
        <v>1152</v>
      </c>
      <c r="J21" s="204">
        <v>152096.51</v>
      </c>
    </row>
    <row r="22" spans="1:10" s="199" customFormat="1" ht="54">
      <c r="A22" s="200">
        <v>18</v>
      </c>
      <c r="B22" s="201" t="s">
        <v>470</v>
      </c>
      <c r="C22" s="201" t="s">
        <v>1123</v>
      </c>
      <c r="D22" s="208" t="s">
        <v>1153</v>
      </c>
      <c r="E22" s="208" t="s">
        <v>1154</v>
      </c>
      <c r="F22" s="203">
        <v>42767</v>
      </c>
      <c r="G22" s="200" t="s">
        <v>1089</v>
      </c>
      <c r="H22" s="208" t="s">
        <v>1090</v>
      </c>
      <c r="I22" s="208" t="s">
        <v>1091</v>
      </c>
      <c r="J22" s="204">
        <v>38120.769999999997</v>
      </c>
    </row>
    <row r="23" spans="1:10" s="199" customFormat="1" ht="54">
      <c r="A23" s="200">
        <v>20</v>
      </c>
      <c r="B23" s="201" t="s">
        <v>470</v>
      </c>
      <c r="C23" s="201" t="s">
        <v>1123</v>
      </c>
      <c r="D23" s="208" t="s">
        <v>1155</v>
      </c>
      <c r="E23" s="211" t="s">
        <v>1156</v>
      </c>
      <c r="F23" s="203">
        <v>42826</v>
      </c>
      <c r="G23" s="200" t="s">
        <v>1089</v>
      </c>
      <c r="H23" s="208" t="s">
        <v>1157</v>
      </c>
      <c r="I23" s="208" t="s">
        <v>1158</v>
      </c>
      <c r="J23" s="204">
        <v>27448.54</v>
      </c>
    </row>
    <row r="24" spans="1:10" s="199" customFormat="1" ht="27">
      <c r="A24" s="200">
        <v>22</v>
      </c>
      <c r="B24" s="201" t="s">
        <v>470</v>
      </c>
      <c r="C24" s="201" t="s">
        <v>1123</v>
      </c>
      <c r="D24" s="200" t="s">
        <v>1159</v>
      </c>
      <c r="E24" s="202" t="s">
        <v>1160</v>
      </c>
      <c r="F24" s="203">
        <v>44409</v>
      </c>
      <c r="G24" s="200" t="s">
        <v>1089</v>
      </c>
      <c r="H24" s="200" t="s">
        <v>1161</v>
      </c>
      <c r="I24" s="208" t="s">
        <v>1162</v>
      </c>
      <c r="J24" s="212">
        <v>148719.6</v>
      </c>
    </row>
    <row r="25" spans="1:10" s="199" customFormat="1">
      <c r="A25" s="200">
        <v>23</v>
      </c>
      <c r="B25" s="201" t="s">
        <v>470</v>
      </c>
      <c r="C25" s="201" t="s">
        <v>1123</v>
      </c>
      <c r="D25" s="200" t="s">
        <v>1163</v>
      </c>
      <c r="E25" s="202" t="s">
        <v>1164</v>
      </c>
      <c r="F25" s="203">
        <v>45108</v>
      </c>
      <c r="G25" s="200" t="s">
        <v>1089</v>
      </c>
      <c r="H25" s="200" t="s">
        <v>1135</v>
      </c>
      <c r="I25" s="208" t="s">
        <v>1136</v>
      </c>
      <c r="J25" s="204">
        <v>1660.86</v>
      </c>
    </row>
    <row r="26" spans="1:10" s="199" customFormat="1" ht="40.5">
      <c r="A26" s="200">
        <v>27</v>
      </c>
      <c r="B26" s="201" t="s">
        <v>1027</v>
      </c>
      <c r="C26" s="201" t="s">
        <v>1123</v>
      </c>
      <c r="D26" s="213" t="s">
        <v>1165</v>
      </c>
      <c r="E26" s="202" t="s">
        <v>1166</v>
      </c>
      <c r="F26" s="203">
        <v>44986</v>
      </c>
      <c r="G26" s="200" t="s">
        <v>1089</v>
      </c>
      <c r="H26" s="209" t="s">
        <v>1116</v>
      </c>
      <c r="I26" s="201" t="s">
        <v>1167</v>
      </c>
      <c r="J26" s="204">
        <v>25643.24</v>
      </c>
    </row>
    <row r="27" spans="1:10" s="199" customFormat="1">
      <c r="A27" s="200"/>
      <c r="B27" s="201"/>
      <c r="C27" s="201" t="s">
        <v>1168</v>
      </c>
      <c r="D27" s="213"/>
      <c r="E27" s="202"/>
      <c r="F27" s="203"/>
      <c r="G27" s="200"/>
      <c r="H27" s="209"/>
      <c r="I27" s="201"/>
      <c r="J27" s="204">
        <f>SUM(J14:J26)</f>
        <v>959965.76</v>
      </c>
    </row>
    <row r="28" spans="1:10" s="199" customFormat="1" ht="54">
      <c r="A28" s="200">
        <v>28</v>
      </c>
      <c r="B28" s="201" t="s">
        <v>1036</v>
      </c>
      <c r="C28" s="201" t="s">
        <v>1169</v>
      </c>
      <c r="D28" s="200" t="s">
        <v>1170</v>
      </c>
      <c r="E28" s="201" t="s">
        <v>1171</v>
      </c>
      <c r="F28" s="203" t="s">
        <v>1172</v>
      </c>
      <c r="G28" s="200" t="s">
        <v>1089</v>
      </c>
      <c r="H28" s="201" t="s">
        <v>1173</v>
      </c>
      <c r="I28" s="200" t="s">
        <v>1174</v>
      </c>
      <c r="J28" s="204">
        <v>416402.6</v>
      </c>
    </row>
    <row r="29" spans="1:10" s="199" customFormat="1" ht="54">
      <c r="A29" s="200">
        <v>29</v>
      </c>
      <c r="B29" s="201" t="s">
        <v>1036</v>
      </c>
      <c r="C29" s="201" t="s">
        <v>1169</v>
      </c>
      <c r="D29" s="200" t="s">
        <v>1175</v>
      </c>
      <c r="E29" s="201" t="s">
        <v>1176</v>
      </c>
      <c r="F29" s="203" t="s">
        <v>1177</v>
      </c>
      <c r="G29" s="200" t="s">
        <v>1089</v>
      </c>
      <c r="H29" s="201" t="s">
        <v>1090</v>
      </c>
      <c r="I29" s="200" t="s">
        <v>1091</v>
      </c>
      <c r="J29" s="204">
        <v>35309.379999999997</v>
      </c>
    </row>
    <row r="30" spans="1:10" s="199" customFormat="1">
      <c r="A30" s="200">
        <v>30</v>
      </c>
      <c r="B30" s="201" t="s">
        <v>1034</v>
      </c>
      <c r="C30" s="201" t="s">
        <v>1169</v>
      </c>
      <c r="D30" s="200" t="s">
        <v>1178</v>
      </c>
      <c r="E30" s="201" t="s">
        <v>1179</v>
      </c>
      <c r="F30" s="203">
        <v>44228</v>
      </c>
      <c r="G30" s="200" t="s">
        <v>1089</v>
      </c>
      <c r="H30" s="200" t="s">
        <v>1157</v>
      </c>
      <c r="I30" s="200" t="s">
        <v>1158</v>
      </c>
      <c r="J30" s="205">
        <v>34784.74</v>
      </c>
    </row>
    <row r="31" spans="1:10" s="199" customFormat="1">
      <c r="A31" s="200">
        <v>31</v>
      </c>
      <c r="B31" s="201" t="s">
        <v>1033</v>
      </c>
      <c r="C31" s="201" t="s">
        <v>1169</v>
      </c>
      <c r="D31" s="200" t="s">
        <v>1180</v>
      </c>
      <c r="E31" s="201" t="s">
        <v>1181</v>
      </c>
      <c r="F31" s="203">
        <v>41760</v>
      </c>
      <c r="G31" s="200" t="s">
        <v>1089</v>
      </c>
      <c r="H31" s="200" t="s">
        <v>1173</v>
      </c>
      <c r="I31" s="200" t="s">
        <v>1182</v>
      </c>
      <c r="J31" s="204">
        <v>444795.77</v>
      </c>
    </row>
    <row r="32" spans="1:10" s="199" customFormat="1">
      <c r="A32" s="200"/>
      <c r="B32" s="201"/>
      <c r="C32" s="201" t="s">
        <v>1183</v>
      </c>
      <c r="D32" s="200"/>
      <c r="E32" s="201"/>
      <c r="F32" s="203"/>
      <c r="G32" s="200"/>
      <c r="H32" s="214"/>
      <c r="I32" s="200"/>
      <c r="J32" s="204">
        <f>SUM(J28:J31)</f>
        <v>931292.49</v>
      </c>
    </row>
    <row r="33" spans="1:12" s="199" customFormat="1" ht="20.100000000000001" customHeight="1">
      <c r="A33" s="200">
        <v>32</v>
      </c>
      <c r="B33" s="201" t="s">
        <v>659</v>
      </c>
      <c r="C33" s="201" t="s">
        <v>1184</v>
      </c>
      <c r="D33" s="200" t="s">
        <v>1185</v>
      </c>
      <c r="E33" s="201" t="s">
        <v>1186</v>
      </c>
      <c r="F33" s="203">
        <v>43709</v>
      </c>
      <c r="G33" s="200" t="s">
        <v>1089</v>
      </c>
      <c r="H33" s="215" t="s">
        <v>1090</v>
      </c>
      <c r="I33" s="200" t="s">
        <v>1091</v>
      </c>
      <c r="J33" s="207">
        <v>32774</v>
      </c>
    </row>
    <row r="34" spans="1:12" s="199" customFormat="1" ht="20.100000000000001" customHeight="1">
      <c r="A34" s="200">
        <v>33</v>
      </c>
      <c r="B34" s="201" t="s">
        <v>1043</v>
      </c>
      <c r="C34" s="201" t="s">
        <v>1184</v>
      </c>
      <c r="D34" s="200" t="s">
        <v>1187</v>
      </c>
      <c r="E34" s="202" t="s">
        <v>1188</v>
      </c>
      <c r="F34" s="203">
        <v>43282</v>
      </c>
      <c r="G34" s="200" t="s">
        <v>1089</v>
      </c>
      <c r="H34" s="200" t="s">
        <v>1157</v>
      </c>
      <c r="I34" s="200" t="s">
        <v>1189</v>
      </c>
      <c r="J34" s="204">
        <v>28002.05</v>
      </c>
    </row>
    <row r="35" spans="1:12" s="199" customFormat="1" ht="20.100000000000001" customHeight="1">
      <c r="A35" s="200"/>
      <c r="B35" s="201"/>
      <c r="C35" s="201" t="s">
        <v>1190</v>
      </c>
      <c r="D35" s="200"/>
      <c r="E35" s="202"/>
      <c r="F35" s="203"/>
      <c r="G35" s="200"/>
      <c r="H35" s="200"/>
      <c r="I35" s="200"/>
      <c r="J35" s="204">
        <f>SUM(J33:J34)</f>
        <v>60776.05</v>
      </c>
    </row>
    <row r="36" spans="1:12" s="199" customFormat="1" ht="20.100000000000001" customHeight="1">
      <c r="A36" s="200">
        <v>34</v>
      </c>
      <c r="B36" s="201" t="s">
        <v>648</v>
      </c>
      <c r="C36" s="201" t="s">
        <v>1191</v>
      </c>
      <c r="D36" s="200" t="s">
        <v>1192</v>
      </c>
      <c r="E36" s="201" t="s">
        <v>1193</v>
      </c>
      <c r="F36" s="203">
        <v>43282</v>
      </c>
      <c r="G36" s="200" t="s">
        <v>1089</v>
      </c>
      <c r="H36" s="201" t="s">
        <v>1194</v>
      </c>
      <c r="I36" s="200" t="s">
        <v>1195</v>
      </c>
      <c r="J36" s="204">
        <v>278212.69</v>
      </c>
    </row>
    <row r="37" spans="1:12" s="199" customFormat="1" ht="20.100000000000001" customHeight="1">
      <c r="A37" s="200">
        <v>35</v>
      </c>
      <c r="B37" s="201" t="s">
        <v>648</v>
      </c>
      <c r="C37" s="201" t="s">
        <v>1191</v>
      </c>
      <c r="D37" s="200" t="s">
        <v>1196</v>
      </c>
      <c r="E37" s="201" t="s">
        <v>1197</v>
      </c>
      <c r="F37" s="203">
        <v>42583</v>
      </c>
      <c r="G37" s="200" t="s">
        <v>1089</v>
      </c>
      <c r="H37" s="200" t="s">
        <v>1090</v>
      </c>
      <c r="I37" s="200" t="s">
        <v>1091</v>
      </c>
      <c r="J37" s="204">
        <v>24295.39</v>
      </c>
    </row>
    <row r="38" spans="1:12" s="199" customFormat="1" ht="20.100000000000001" customHeight="1">
      <c r="A38" s="200">
        <v>36</v>
      </c>
      <c r="B38" s="201" t="s">
        <v>648</v>
      </c>
      <c r="C38" s="201" t="s">
        <v>1191</v>
      </c>
      <c r="D38" s="200" t="s">
        <v>1198</v>
      </c>
      <c r="E38" s="201" t="s">
        <v>1199</v>
      </c>
      <c r="F38" s="203">
        <v>42767</v>
      </c>
      <c r="G38" s="200" t="s">
        <v>1089</v>
      </c>
      <c r="H38" s="200" t="s">
        <v>1090</v>
      </c>
      <c r="I38" s="200" t="s">
        <v>1091</v>
      </c>
      <c r="J38" s="204">
        <v>27639.05</v>
      </c>
    </row>
    <row r="39" spans="1:12" s="199" customFormat="1" ht="20.100000000000001" customHeight="1">
      <c r="A39" s="200">
        <v>37</v>
      </c>
      <c r="B39" s="201" t="s">
        <v>650</v>
      </c>
      <c r="C39" s="201" t="s">
        <v>1191</v>
      </c>
      <c r="D39" s="200" t="s">
        <v>1200</v>
      </c>
      <c r="E39" s="201" t="s">
        <v>1201</v>
      </c>
      <c r="F39" s="203">
        <v>42186</v>
      </c>
      <c r="G39" s="200" t="s">
        <v>1089</v>
      </c>
      <c r="H39" s="201" t="s">
        <v>1202</v>
      </c>
      <c r="I39" s="200" t="s">
        <v>1203</v>
      </c>
      <c r="J39" s="204">
        <v>129738.63</v>
      </c>
    </row>
    <row r="40" spans="1:12" s="199" customFormat="1" ht="20.100000000000001" customHeight="1">
      <c r="A40" s="200">
        <v>24</v>
      </c>
      <c r="B40" s="201" t="s">
        <v>652</v>
      </c>
      <c r="C40" s="201" t="s">
        <v>1191</v>
      </c>
      <c r="D40" s="208" t="s">
        <v>1204</v>
      </c>
      <c r="E40" s="211" t="s">
        <v>1205</v>
      </c>
      <c r="F40" s="203">
        <v>42552</v>
      </c>
      <c r="G40" s="200" t="s">
        <v>1089</v>
      </c>
      <c r="H40" s="200" t="s">
        <v>1206</v>
      </c>
      <c r="I40" s="200" t="s">
        <v>1207</v>
      </c>
      <c r="J40" s="207">
        <v>64696.63</v>
      </c>
    </row>
    <row r="41" spans="1:12" s="199" customFormat="1" ht="20.100000000000001" customHeight="1">
      <c r="A41" s="200">
        <v>25</v>
      </c>
      <c r="B41" s="201" t="s">
        <v>652</v>
      </c>
      <c r="C41" s="201" t="s">
        <v>1191</v>
      </c>
      <c r="D41" s="208" t="s">
        <v>1208</v>
      </c>
      <c r="E41" s="211" t="s">
        <v>1209</v>
      </c>
      <c r="F41" s="203">
        <v>42644</v>
      </c>
      <c r="G41" s="200" t="s">
        <v>1089</v>
      </c>
      <c r="H41" s="209" t="s">
        <v>1210</v>
      </c>
      <c r="I41" s="200" t="s">
        <v>1211</v>
      </c>
      <c r="J41" s="207">
        <v>48779.55</v>
      </c>
    </row>
    <row r="42" spans="1:12" s="199" customFormat="1" ht="20.100000000000001" customHeight="1">
      <c r="A42" s="200">
        <v>26</v>
      </c>
      <c r="B42" s="216" t="s">
        <v>652</v>
      </c>
      <c r="C42" s="201" t="s">
        <v>1191</v>
      </c>
      <c r="D42" s="213" t="s">
        <v>1212</v>
      </c>
      <c r="E42" s="217" t="s">
        <v>1213</v>
      </c>
      <c r="F42" s="203">
        <v>44470</v>
      </c>
      <c r="G42" s="213" t="s">
        <v>1089</v>
      </c>
      <c r="H42" s="213" t="s">
        <v>1147</v>
      </c>
      <c r="I42" s="201" t="s">
        <v>1214</v>
      </c>
      <c r="J42" s="218">
        <v>180465.5</v>
      </c>
      <c r="K42" s="199">
        <v>180465.5</v>
      </c>
      <c r="L42" s="199" t="s">
        <v>1215</v>
      </c>
    </row>
    <row r="43" spans="1:12" s="199" customFormat="1" ht="20.100000000000001" customHeight="1">
      <c r="A43" s="200">
        <v>38</v>
      </c>
      <c r="B43" s="201" t="s">
        <v>1054</v>
      </c>
      <c r="C43" s="201" t="s">
        <v>1191</v>
      </c>
      <c r="D43" s="200" t="s">
        <v>1216</v>
      </c>
      <c r="E43" s="202" t="s">
        <v>1217</v>
      </c>
      <c r="F43" s="203">
        <v>42614</v>
      </c>
      <c r="G43" s="200" t="s">
        <v>1089</v>
      </c>
      <c r="H43" s="200" t="s">
        <v>1096</v>
      </c>
      <c r="I43" s="209" t="s">
        <v>1218</v>
      </c>
      <c r="J43" s="205">
        <v>206046.77</v>
      </c>
    </row>
    <row r="44" spans="1:12" s="199" customFormat="1" ht="20.100000000000001" customHeight="1">
      <c r="A44" s="200">
        <v>39</v>
      </c>
      <c r="B44" s="201" t="s">
        <v>1054</v>
      </c>
      <c r="C44" s="201" t="s">
        <v>1191</v>
      </c>
      <c r="D44" s="200" t="s">
        <v>1219</v>
      </c>
      <c r="E44" s="202" t="s">
        <v>1220</v>
      </c>
      <c r="F44" s="203">
        <v>42186</v>
      </c>
      <c r="G44" s="200" t="s">
        <v>1089</v>
      </c>
      <c r="H44" s="200" t="s">
        <v>1151</v>
      </c>
      <c r="I44" s="209" t="s">
        <v>1221</v>
      </c>
      <c r="J44" s="205">
        <v>153174.59</v>
      </c>
    </row>
    <row r="45" spans="1:12" s="199" customFormat="1" ht="20.100000000000001" customHeight="1">
      <c r="A45" s="200">
        <v>40</v>
      </c>
      <c r="B45" s="201" t="s">
        <v>1054</v>
      </c>
      <c r="C45" s="201" t="s">
        <v>1191</v>
      </c>
      <c r="D45" s="200" t="s">
        <v>1222</v>
      </c>
      <c r="E45" s="202" t="s">
        <v>1223</v>
      </c>
      <c r="F45" s="203">
        <v>43344</v>
      </c>
      <c r="G45" s="200" t="s">
        <v>1089</v>
      </c>
      <c r="H45" s="200" t="s">
        <v>1206</v>
      </c>
      <c r="I45" s="208" t="s">
        <v>1224</v>
      </c>
      <c r="J45" s="205">
        <v>69765.52</v>
      </c>
    </row>
    <row r="46" spans="1:12" s="199" customFormat="1" ht="20.100000000000001" customHeight="1">
      <c r="A46" s="200">
        <v>41</v>
      </c>
      <c r="B46" s="201" t="s">
        <v>1054</v>
      </c>
      <c r="C46" s="201" t="s">
        <v>1191</v>
      </c>
      <c r="D46" s="200" t="s">
        <v>1225</v>
      </c>
      <c r="E46" s="202" t="s">
        <v>1226</v>
      </c>
      <c r="F46" s="203">
        <v>42856</v>
      </c>
      <c r="G46" s="200" t="s">
        <v>1089</v>
      </c>
      <c r="H46" s="200" t="s">
        <v>1210</v>
      </c>
      <c r="I46" s="208" t="s">
        <v>1227</v>
      </c>
      <c r="J46" s="205">
        <v>51711.98</v>
      </c>
    </row>
    <row r="47" spans="1:12" s="199" customFormat="1" ht="20.100000000000001" customHeight="1">
      <c r="A47" s="200"/>
      <c r="B47" s="201"/>
      <c r="C47" s="201" t="s">
        <v>1228</v>
      </c>
      <c r="D47" s="200"/>
      <c r="E47" s="202"/>
      <c r="F47" s="203"/>
      <c r="G47" s="200"/>
      <c r="H47" s="200"/>
      <c r="I47" s="208"/>
      <c r="J47" s="205">
        <f>SUM(J36:J46)</f>
        <v>1234526.3</v>
      </c>
    </row>
    <row r="48" spans="1:12" s="199" customFormat="1" ht="20.100000000000001" customHeight="1">
      <c r="A48" s="219"/>
      <c r="B48" s="201" t="s">
        <v>719</v>
      </c>
      <c r="C48" s="201" t="s">
        <v>1229</v>
      </c>
      <c r="D48" s="200" t="s">
        <v>1230</v>
      </c>
      <c r="E48" s="202" t="s">
        <v>1231</v>
      </c>
      <c r="F48" s="203" t="s">
        <v>1158</v>
      </c>
      <c r="G48" s="200"/>
      <c r="H48" s="200" t="s">
        <v>1158</v>
      </c>
      <c r="I48" s="208"/>
      <c r="J48" s="205">
        <v>23988.42</v>
      </c>
    </row>
    <row r="49" spans="1:10" s="199" customFormat="1">
      <c r="A49" s="219"/>
      <c r="B49" s="201"/>
      <c r="C49" s="201" t="s">
        <v>1232</v>
      </c>
      <c r="D49" s="200"/>
      <c r="E49" s="202"/>
      <c r="F49" s="203"/>
      <c r="G49" s="200"/>
      <c r="H49" s="200"/>
      <c r="I49" s="208"/>
      <c r="J49" s="205">
        <f>J48</f>
        <v>23988.42</v>
      </c>
    </row>
    <row r="50" spans="1:10" s="199" customFormat="1">
      <c r="A50" s="219"/>
      <c r="B50" s="201"/>
      <c r="C50" s="201" t="s">
        <v>1233</v>
      </c>
      <c r="D50" s="200"/>
      <c r="E50" s="202"/>
      <c r="F50" s="203"/>
      <c r="G50" s="200"/>
      <c r="H50" s="200"/>
      <c r="I50" s="208"/>
      <c r="J50" s="205">
        <f>J4+J7+J10+J13+J27+J32+J35+J47+J49</f>
        <v>4131024.1099999994</v>
      </c>
    </row>
  </sheetData>
  <mergeCells count="1">
    <mergeCell ref="A1:J1"/>
  </mergeCells>
  <phoneticPr fontId="1" type="noConversion"/>
  <pageMargins left="0.7" right="0.7" top="0.75" bottom="0.75" header="0.3" footer="0.3"/>
  <legacy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3"/>
  <sheetViews>
    <sheetView topLeftCell="A34" workbookViewId="0">
      <selection activeCell="E9" sqref="E9:E115"/>
    </sheetView>
  </sheetViews>
  <sheetFormatPr defaultColWidth="9" defaultRowHeight="13.5" outlineLevelRow="2"/>
  <cols>
    <col min="1" max="1" width="20.875" style="109" customWidth="1"/>
    <col min="2" max="2" width="35" style="109" customWidth="1"/>
    <col min="3" max="3" width="15.625" style="109" customWidth="1"/>
    <col min="4" max="4" width="20.625" style="109" customWidth="1"/>
    <col min="5" max="5" width="24.75" style="109" customWidth="1"/>
    <col min="6" max="16384" width="9" style="109"/>
  </cols>
  <sheetData>
    <row r="1" spans="1:5" s="95" customFormat="1" ht="20.25">
      <c r="A1" s="809" t="s">
        <v>735</v>
      </c>
      <c r="B1" s="810"/>
      <c r="C1" s="810"/>
      <c r="D1" s="810"/>
      <c r="E1" s="810"/>
    </row>
    <row r="2" spans="1:5" s="97" customFormat="1" ht="17.100000000000001" customHeight="1">
      <c r="A2" s="96" t="s">
        <v>736</v>
      </c>
      <c r="B2" s="96" t="s">
        <v>737</v>
      </c>
      <c r="C2" s="96" t="s">
        <v>955</v>
      </c>
      <c r="D2" s="96" t="s">
        <v>738</v>
      </c>
      <c r="E2" s="96" t="s">
        <v>739</v>
      </c>
    </row>
    <row r="3" spans="1:5" s="97" customFormat="1" ht="17.100000000000001" customHeight="1" outlineLevel="2">
      <c r="A3" s="73" t="s">
        <v>740</v>
      </c>
      <c r="B3" s="98" t="s">
        <v>741</v>
      </c>
      <c r="C3" s="98" t="s">
        <v>956</v>
      </c>
      <c r="D3" s="99">
        <v>189518.7</v>
      </c>
      <c r="E3" s="99">
        <f>ROUND(D3*1.1,2)</f>
        <v>208470.57</v>
      </c>
    </row>
    <row r="4" spans="1:5" s="97" customFormat="1" ht="17.100000000000001" customHeight="1" outlineLevel="2">
      <c r="A4" s="73" t="s">
        <v>740</v>
      </c>
      <c r="B4" s="98" t="s">
        <v>742</v>
      </c>
      <c r="C4" s="98" t="s">
        <v>956</v>
      </c>
      <c r="D4" s="99">
        <v>129269.9</v>
      </c>
      <c r="E4" s="99">
        <f t="shared" ref="E4:E66" si="0">ROUND(D4*1.1,2)</f>
        <v>142196.89000000001</v>
      </c>
    </row>
    <row r="5" spans="1:5" s="97" customFormat="1" ht="17.100000000000001" customHeight="1" outlineLevel="2">
      <c r="A5" s="73" t="s">
        <v>740</v>
      </c>
      <c r="B5" s="98" t="s">
        <v>743</v>
      </c>
      <c r="C5" s="98" t="s">
        <v>956</v>
      </c>
      <c r="D5" s="99">
        <v>69546.2</v>
      </c>
      <c r="E5" s="99">
        <f t="shared" si="0"/>
        <v>76500.820000000007</v>
      </c>
    </row>
    <row r="6" spans="1:5" s="97" customFormat="1" ht="17.100000000000001" customHeight="1" outlineLevel="2">
      <c r="A6" s="73" t="s">
        <v>740</v>
      </c>
      <c r="B6" s="98" t="s">
        <v>744</v>
      </c>
      <c r="C6" s="98" t="s">
        <v>957</v>
      </c>
      <c r="D6" s="99"/>
      <c r="E6" s="99">
        <f t="shared" si="0"/>
        <v>0</v>
      </c>
    </row>
    <row r="7" spans="1:5" s="97" customFormat="1" ht="17.100000000000001" customHeight="1" outlineLevel="2">
      <c r="A7" s="73" t="s">
        <v>740</v>
      </c>
      <c r="B7" s="100" t="s">
        <v>244</v>
      </c>
      <c r="C7" s="100" t="s">
        <v>958</v>
      </c>
      <c r="D7" s="99">
        <v>396192.1</v>
      </c>
      <c r="E7" s="99">
        <f t="shared" si="0"/>
        <v>435811.31</v>
      </c>
    </row>
    <row r="8" spans="1:5" s="97" customFormat="1" ht="17.100000000000001" customHeight="1" outlineLevel="1">
      <c r="A8" s="101" t="s">
        <v>254</v>
      </c>
      <c r="B8" s="102"/>
      <c r="C8" s="102"/>
      <c r="D8" s="103">
        <f>SUM(D3:D7)</f>
        <v>784526.89999999991</v>
      </c>
      <c r="E8" s="103">
        <f>SUM(E3:E7)</f>
        <v>862979.59000000008</v>
      </c>
    </row>
    <row r="9" spans="1:5" s="97" customFormat="1" ht="17.100000000000001" customHeight="1" outlineLevel="2">
      <c r="A9" s="73" t="s">
        <v>745</v>
      </c>
      <c r="B9" s="104" t="s">
        <v>165</v>
      </c>
      <c r="C9" s="104" t="s">
        <v>959</v>
      </c>
      <c r="D9" s="99">
        <v>209862.5</v>
      </c>
      <c r="E9" s="99">
        <f t="shared" si="0"/>
        <v>230848.75</v>
      </c>
    </row>
    <row r="10" spans="1:5" s="97" customFormat="1" ht="17.100000000000001" customHeight="1" outlineLevel="2">
      <c r="A10" s="73" t="s">
        <v>745</v>
      </c>
      <c r="B10" s="104" t="s">
        <v>166</v>
      </c>
      <c r="C10" s="104" t="s">
        <v>960</v>
      </c>
      <c r="D10" s="99">
        <v>42995.4</v>
      </c>
      <c r="E10" s="99">
        <f t="shared" si="0"/>
        <v>47294.94</v>
      </c>
    </row>
    <row r="11" spans="1:5" s="97" customFormat="1" ht="17.100000000000001" customHeight="1" outlineLevel="2">
      <c r="A11" s="73" t="s">
        <v>745</v>
      </c>
      <c r="B11" s="104" t="s">
        <v>167</v>
      </c>
      <c r="C11" s="104" t="s">
        <v>960</v>
      </c>
      <c r="D11" s="99">
        <v>93588.800000000003</v>
      </c>
      <c r="E11" s="99">
        <f t="shared" si="0"/>
        <v>102947.68</v>
      </c>
    </row>
    <row r="12" spans="1:5" s="97" customFormat="1" ht="17.100000000000001" customHeight="1" outlineLevel="2">
      <c r="A12" s="73" t="s">
        <v>745</v>
      </c>
      <c r="B12" s="104" t="s">
        <v>168</v>
      </c>
      <c r="C12" s="104" t="s">
        <v>960</v>
      </c>
      <c r="D12" s="99">
        <v>131567.6</v>
      </c>
      <c r="E12" s="99">
        <f t="shared" si="0"/>
        <v>144724.35999999999</v>
      </c>
    </row>
    <row r="13" spans="1:5" s="97" customFormat="1" ht="17.100000000000001" customHeight="1" outlineLevel="2">
      <c r="A13" s="73" t="s">
        <v>745</v>
      </c>
      <c r="B13" s="104" t="s">
        <v>169</v>
      </c>
      <c r="C13" s="104" t="s">
        <v>957</v>
      </c>
      <c r="D13" s="99">
        <v>16092</v>
      </c>
      <c r="E13" s="99">
        <f t="shared" si="0"/>
        <v>17701.2</v>
      </c>
    </row>
    <row r="14" spans="1:5" s="97" customFormat="1" ht="17.100000000000001" customHeight="1" outlineLevel="1">
      <c r="A14" s="101" t="s">
        <v>255</v>
      </c>
      <c r="B14" s="102"/>
      <c r="C14" s="102"/>
      <c r="D14" s="103">
        <f>SUM(D9:D13)</f>
        <v>494106.30000000005</v>
      </c>
      <c r="E14" s="103">
        <f>SUM(E9:E13)</f>
        <v>543516.92999999993</v>
      </c>
    </row>
    <row r="15" spans="1:5" s="97" customFormat="1" ht="17.100000000000001" customHeight="1" outlineLevel="2">
      <c r="A15" s="73" t="s">
        <v>746</v>
      </c>
      <c r="B15" s="105" t="s">
        <v>237</v>
      </c>
      <c r="C15" s="105" t="s">
        <v>961</v>
      </c>
      <c r="D15" s="99">
        <v>865549.6</v>
      </c>
      <c r="E15" s="99">
        <f t="shared" si="0"/>
        <v>952104.56</v>
      </c>
    </row>
    <row r="16" spans="1:5" s="97" customFormat="1" ht="17.100000000000001" customHeight="1" outlineLevel="2">
      <c r="A16" s="73" t="s">
        <v>746</v>
      </c>
      <c r="B16" s="105" t="s">
        <v>238</v>
      </c>
      <c r="C16" s="105" t="s">
        <v>962</v>
      </c>
      <c r="D16" s="99">
        <v>295481.5</v>
      </c>
      <c r="E16" s="99">
        <f t="shared" si="0"/>
        <v>325029.65000000002</v>
      </c>
    </row>
    <row r="17" spans="1:5" s="97" customFormat="1" ht="17.100000000000001" customHeight="1" outlineLevel="2">
      <c r="A17" s="73" t="s">
        <v>746</v>
      </c>
      <c r="B17" s="105" t="s">
        <v>236</v>
      </c>
      <c r="C17" s="105" t="s">
        <v>962</v>
      </c>
      <c r="D17" s="99">
        <v>246474.3</v>
      </c>
      <c r="E17" s="99">
        <f t="shared" si="0"/>
        <v>271121.73</v>
      </c>
    </row>
    <row r="18" spans="1:5" s="97" customFormat="1" ht="17.100000000000001" customHeight="1" outlineLevel="2">
      <c r="A18" s="73" t="s">
        <v>746</v>
      </c>
      <c r="B18" s="105" t="s">
        <v>239</v>
      </c>
      <c r="C18" s="105" t="s">
        <v>962</v>
      </c>
      <c r="D18" s="99">
        <v>314137.90000000002</v>
      </c>
      <c r="E18" s="99">
        <f t="shared" si="0"/>
        <v>345551.69</v>
      </c>
    </row>
    <row r="19" spans="1:5" s="97" customFormat="1" ht="17.100000000000001" customHeight="1" outlineLevel="2">
      <c r="A19" s="73" t="s">
        <v>746</v>
      </c>
      <c r="B19" s="105" t="s">
        <v>241</v>
      </c>
      <c r="C19" s="105" t="s">
        <v>963</v>
      </c>
      <c r="D19" s="99">
        <v>1068709.5</v>
      </c>
      <c r="E19" s="99">
        <f t="shared" si="0"/>
        <v>1175580.45</v>
      </c>
    </row>
    <row r="20" spans="1:5" s="97" customFormat="1" ht="17.100000000000001" customHeight="1" outlineLevel="2">
      <c r="A20" s="73" t="s">
        <v>746</v>
      </c>
      <c r="B20" s="105" t="s">
        <v>242</v>
      </c>
      <c r="C20" s="105" t="s">
        <v>959</v>
      </c>
      <c r="D20" s="99">
        <v>190081.3</v>
      </c>
      <c r="E20" s="99">
        <f t="shared" si="0"/>
        <v>209089.43</v>
      </c>
    </row>
    <row r="21" spans="1:5" s="97" customFormat="1" ht="17.100000000000001" customHeight="1" outlineLevel="2">
      <c r="A21" s="73" t="s">
        <v>746</v>
      </c>
      <c r="B21" s="105" t="s">
        <v>243</v>
      </c>
      <c r="C21" s="105" t="s">
        <v>959</v>
      </c>
      <c r="D21" s="99">
        <v>415048.9</v>
      </c>
      <c r="E21" s="99">
        <f t="shared" si="0"/>
        <v>456553.79</v>
      </c>
    </row>
    <row r="22" spans="1:5" s="97" customFormat="1" ht="17.100000000000001" customHeight="1" outlineLevel="2">
      <c r="A22" s="73" t="s">
        <v>746</v>
      </c>
      <c r="B22" s="105" t="s">
        <v>240</v>
      </c>
      <c r="C22" s="105" t="s">
        <v>959</v>
      </c>
      <c r="D22" s="99">
        <v>179132.4</v>
      </c>
      <c r="E22" s="99">
        <f t="shared" si="0"/>
        <v>197045.64</v>
      </c>
    </row>
    <row r="23" spans="1:5" s="97" customFormat="1" ht="17.100000000000001" customHeight="1" outlineLevel="2">
      <c r="A23" s="73" t="s">
        <v>746</v>
      </c>
      <c r="B23" s="105" t="s">
        <v>747</v>
      </c>
      <c r="C23" s="105" t="s">
        <v>959</v>
      </c>
      <c r="D23" s="99">
        <v>384835.5</v>
      </c>
      <c r="E23" s="99">
        <f t="shared" si="0"/>
        <v>423319.05</v>
      </c>
    </row>
    <row r="24" spans="1:5" s="97" customFormat="1" ht="17.100000000000001" customHeight="1" outlineLevel="2">
      <c r="A24" s="73" t="s">
        <v>746</v>
      </c>
      <c r="B24" s="106" t="s">
        <v>748</v>
      </c>
      <c r="C24" s="106" t="s">
        <v>960</v>
      </c>
      <c r="D24" s="99">
        <v>267909</v>
      </c>
      <c r="E24" s="99">
        <f t="shared" si="0"/>
        <v>294699.90000000002</v>
      </c>
    </row>
    <row r="25" spans="1:5" s="97" customFormat="1" ht="17.100000000000001" customHeight="1" outlineLevel="2">
      <c r="A25" s="73" t="s">
        <v>746</v>
      </c>
      <c r="B25" s="106" t="s">
        <v>749</v>
      </c>
      <c r="C25" s="106" t="s">
        <v>960</v>
      </c>
      <c r="D25" s="99">
        <v>124082.2</v>
      </c>
      <c r="E25" s="99">
        <f t="shared" si="0"/>
        <v>136490.42000000001</v>
      </c>
    </row>
    <row r="26" spans="1:5" s="97" customFormat="1" ht="17.100000000000001" customHeight="1" outlineLevel="2">
      <c r="A26" s="73" t="s">
        <v>746</v>
      </c>
      <c r="B26" s="106" t="s">
        <v>750</v>
      </c>
      <c r="C26" s="106" t="s">
        <v>960</v>
      </c>
      <c r="D26" s="99">
        <v>125060.4</v>
      </c>
      <c r="E26" s="99">
        <f t="shared" si="0"/>
        <v>137566.44</v>
      </c>
    </row>
    <row r="27" spans="1:5" s="97" customFormat="1" ht="17.100000000000001" customHeight="1" outlineLevel="2">
      <c r="A27" s="73" t="s">
        <v>746</v>
      </c>
      <c r="B27" s="106" t="s">
        <v>751</v>
      </c>
      <c r="C27" s="106" t="s">
        <v>960</v>
      </c>
      <c r="D27" s="99">
        <v>82606.600000000006</v>
      </c>
      <c r="E27" s="99">
        <f t="shared" si="0"/>
        <v>90867.26</v>
      </c>
    </row>
    <row r="28" spans="1:5" s="97" customFormat="1" ht="17.100000000000001" customHeight="1" outlineLevel="2">
      <c r="A28" s="73" t="s">
        <v>746</v>
      </c>
      <c r="B28" s="106" t="s">
        <v>752</v>
      </c>
      <c r="C28" s="106" t="s">
        <v>960</v>
      </c>
      <c r="D28" s="99">
        <v>115195</v>
      </c>
      <c r="E28" s="99">
        <f t="shared" si="0"/>
        <v>126714.5</v>
      </c>
    </row>
    <row r="29" spans="1:5" s="97" customFormat="1" ht="17.100000000000001" customHeight="1" outlineLevel="2">
      <c r="A29" s="73" t="s">
        <v>746</v>
      </c>
      <c r="B29" s="106" t="s">
        <v>753</v>
      </c>
      <c r="C29" s="106" t="s">
        <v>960</v>
      </c>
      <c r="D29" s="99">
        <v>55772.3</v>
      </c>
      <c r="E29" s="99">
        <f t="shared" si="0"/>
        <v>61349.53</v>
      </c>
    </row>
    <row r="30" spans="1:5" s="97" customFormat="1" ht="17.100000000000001" customHeight="1" outlineLevel="2">
      <c r="A30" s="73" t="s">
        <v>746</v>
      </c>
      <c r="B30" s="106" t="s">
        <v>754</v>
      </c>
      <c r="C30" s="106" t="s">
        <v>960</v>
      </c>
      <c r="D30" s="99">
        <v>46494.9</v>
      </c>
      <c r="E30" s="99">
        <f t="shared" si="0"/>
        <v>51144.39</v>
      </c>
    </row>
    <row r="31" spans="1:5" s="97" customFormat="1" ht="17.100000000000001" customHeight="1" outlineLevel="2">
      <c r="A31" s="73" t="s">
        <v>746</v>
      </c>
      <c r="B31" s="106" t="s">
        <v>755</v>
      </c>
      <c r="C31" s="106" t="s">
        <v>960</v>
      </c>
      <c r="D31" s="99">
        <v>225245.2</v>
      </c>
      <c r="E31" s="99">
        <f t="shared" si="0"/>
        <v>247769.72</v>
      </c>
    </row>
    <row r="32" spans="1:5" s="97" customFormat="1" ht="17.100000000000001" customHeight="1" outlineLevel="2">
      <c r="A32" s="73" t="s">
        <v>746</v>
      </c>
      <c r="B32" s="106" t="s">
        <v>756</v>
      </c>
      <c r="C32" s="106" t="s">
        <v>960</v>
      </c>
      <c r="D32" s="99">
        <v>26357</v>
      </c>
      <c r="E32" s="99">
        <f t="shared" si="0"/>
        <v>28992.7</v>
      </c>
    </row>
    <row r="33" spans="1:5" s="97" customFormat="1" ht="17.100000000000001" customHeight="1" outlineLevel="2">
      <c r="A33" s="73" t="s">
        <v>746</v>
      </c>
      <c r="B33" s="106" t="s">
        <v>265</v>
      </c>
      <c r="C33" s="106" t="s">
        <v>958</v>
      </c>
      <c r="D33" s="99">
        <v>166267.35999999999</v>
      </c>
      <c r="E33" s="99">
        <f t="shared" si="0"/>
        <v>182894.1</v>
      </c>
    </row>
    <row r="34" spans="1:5" s="97" customFormat="1" ht="17.100000000000001" customHeight="1" outlineLevel="2">
      <c r="A34" s="73" t="s">
        <v>746</v>
      </c>
      <c r="B34" s="106" t="s">
        <v>757</v>
      </c>
      <c r="C34" s="106" t="s">
        <v>964</v>
      </c>
      <c r="D34" s="99">
        <v>23315</v>
      </c>
      <c r="E34" s="99">
        <f t="shared" si="0"/>
        <v>25646.5</v>
      </c>
    </row>
    <row r="35" spans="1:5" s="97" customFormat="1" ht="17.100000000000001" customHeight="1" outlineLevel="1">
      <c r="A35" s="101" t="s">
        <v>256</v>
      </c>
      <c r="B35" s="102"/>
      <c r="C35" s="102"/>
      <c r="D35" s="103">
        <f>SUM(D15:D34)</f>
        <v>5217755.8600000013</v>
      </c>
      <c r="E35" s="103">
        <f>SUM(E15:E34)</f>
        <v>5739531.4500000002</v>
      </c>
    </row>
    <row r="36" spans="1:5" s="97" customFormat="1" ht="17.100000000000001" customHeight="1" outlineLevel="2">
      <c r="A36" s="73" t="s">
        <v>758</v>
      </c>
      <c r="B36" s="100" t="s">
        <v>227</v>
      </c>
      <c r="C36" s="100" t="s">
        <v>962</v>
      </c>
      <c r="D36" s="99">
        <v>275160.5</v>
      </c>
      <c r="E36" s="99">
        <f t="shared" si="0"/>
        <v>302676.55</v>
      </c>
    </row>
    <row r="37" spans="1:5" s="97" customFormat="1" ht="17.100000000000001" customHeight="1" outlineLevel="2">
      <c r="A37" s="73" t="s">
        <v>758</v>
      </c>
      <c r="B37" s="100" t="s">
        <v>228</v>
      </c>
      <c r="C37" s="100" t="s">
        <v>962</v>
      </c>
      <c r="D37" s="99">
        <v>266052.40000000002</v>
      </c>
      <c r="E37" s="99">
        <f t="shared" si="0"/>
        <v>292657.64</v>
      </c>
    </row>
    <row r="38" spans="1:5" s="97" customFormat="1" ht="17.100000000000001" customHeight="1" outlineLevel="2">
      <c r="A38" s="73" t="s">
        <v>758</v>
      </c>
      <c r="B38" s="98" t="s">
        <v>230</v>
      </c>
      <c r="C38" s="98" t="s">
        <v>958</v>
      </c>
      <c r="D38" s="99">
        <v>190670.4</v>
      </c>
      <c r="E38" s="99">
        <f t="shared" si="0"/>
        <v>209737.44</v>
      </c>
    </row>
    <row r="39" spans="1:5" s="97" customFormat="1" ht="17.100000000000001" customHeight="1" outlineLevel="2">
      <c r="A39" s="73" t="s">
        <v>758</v>
      </c>
      <c r="B39" s="100" t="s">
        <v>229</v>
      </c>
      <c r="C39" s="100" t="s">
        <v>962</v>
      </c>
      <c r="D39" s="99">
        <v>229771.8</v>
      </c>
      <c r="E39" s="99">
        <f t="shared" si="0"/>
        <v>252748.98</v>
      </c>
    </row>
    <row r="40" spans="1:5" s="97" customFormat="1" ht="17.100000000000001" customHeight="1" outlineLevel="2">
      <c r="A40" s="73" t="s">
        <v>758</v>
      </c>
      <c r="B40" s="98" t="s">
        <v>235</v>
      </c>
      <c r="C40" s="98" t="s">
        <v>958</v>
      </c>
      <c r="D40" s="99">
        <v>37480</v>
      </c>
      <c r="E40" s="99">
        <f t="shared" si="0"/>
        <v>41228</v>
      </c>
    </row>
    <row r="41" spans="1:5" s="97" customFormat="1" ht="17.100000000000001" customHeight="1" outlineLevel="2">
      <c r="A41" s="73" t="s">
        <v>758</v>
      </c>
      <c r="B41" s="100" t="s">
        <v>231</v>
      </c>
      <c r="C41" s="100" t="s">
        <v>959</v>
      </c>
      <c r="D41" s="99">
        <v>264193.8</v>
      </c>
      <c r="E41" s="99">
        <f t="shared" si="0"/>
        <v>290613.18</v>
      </c>
    </row>
    <row r="42" spans="1:5" s="97" customFormat="1" ht="17.100000000000001" customHeight="1" outlineLevel="2">
      <c r="A42" s="73" t="s">
        <v>758</v>
      </c>
      <c r="B42" s="100" t="s">
        <v>232</v>
      </c>
      <c r="C42" s="100" t="s">
        <v>959</v>
      </c>
      <c r="D42" s="99">
        <v>242458.6</v>
      </c>
      <c r="E42" s="99">
        <f t="shared" si="0"/>
        <v>266704.46000000002</v>
      </c>
    </row>
    <row r="43" spans="1:5" s="97" customFormat="1" ht="17.100000000000001" customHeight="1" outlineLevel="2">
      <c r="A43" s="73" t="s">
        <v>758</v>
      </c>
      <c r="B43" s="100" t="s">
        <v>234</v>
      </c>
      <c r="C43" s="100" t="s">
        <v>959</v>
      </c>
      <c r="D43" s="99">
        <v>149211</v>
      </c>
      <c r="E43" s="99">
        <f t="shared" si="0"/>
        <v>164132.1</v>
      </c>
    </row>
    <row r="44" spans="1:5" s="97" customFormat="1" ht="17.100000000000001" customHeight="1" outlineLevel="2">
      <c r="A44" s="73" t="s">
        <v>758</v>
      </c>
      <c r="B44" s="100" t="s">
        <v>233</v>
      </c>
      <c r="C44" s="100" t="s">
        <v>959</v>
      </c>
      <c r="D44" s="99">
        <v>265218.40000000002</v>
      </c>
      <c r="E44" s="99">
        <f t="shared" si="0"/>
        <v>291740.24</v>
      </c>
    </row>
    <row r="45" spans="1:5" s="97" customFormat="1" ht="17.100000000000001" customHeight="1" outlineLevel="2">
      <c r="A45" s="73" t="s">
        <v>758</v>
      </c>
      <c r="B45" s="104" t="s">
        <v>759</v>
      </c>
      <c r="C45" s="104" t="s">
        <v>959</v>
      </c>
      <c r="D45" s="99">
        <v>176846.3</v>
      </c>
      <c r="E45" s="99">
        <f t="shared" si="0"/>
        <v>194530.93</v>
      </c>
    </row>
    <row r="46" spans="1:5" s="97" customFormat="1" ht="17.100000000000001" customHeight="1" outlineLevel="2">
      <c r="A46" s="73" t="s">
        <v>758</v>
      </c>
      <c r="B46" s="98" t="s">
        <v>760</v>
      </c>
      <c r="C46" s="98" t="s">
        <v>960</v>
      </c>
      <c r="D46" s="99">
        <v>161498.79999999999</v>
      </c>
      <c r="E46" s="99">
        <f t="shared" si="0"/>
        <v>177648.68</v>
      </c>
    </row>
    <row r="47" spans="1:5" s="97" customFormat="1" ht="17.100000000000001" customHeight="1" outlineLevel="2">
      <c r="A47" s="73" t="s">
        <v>758</v>
      </c>
      <c r="B47" s="98" t="s">
        <v>761</v>
      </c>
      <c r="C47" s="98" t="s">
        <v>960</v>
      </c>
      <c r="D47" s="99">
        <v>173582.7</v>
      </c>
      <c r="E47" s="99">
        <f t="shared" si="0"/>
        <v>190940.97</v>
      </c>
    </row>
    <row r="48" spans="1:5" s="97" customFormat="1" ht="17.100000000000001" customHeight="1" outlineLevel="2">
      <c r="A48" s="73" t="s">
        <v>758</v>
      </c>
      <c r="B48" s="98" t="s">
        <v>762</v>
      </c>
      <c r="C48" s="98" t="s">
        <v>960</v>
      </c>
      <c r="D48" s="99">
        <v>145546.4</v>
      </c>
      <c r="E48" s="99">
        <f t="shared" si="0"/>
        <v>160101.04</v>
      </c>
    </row>
    <row r="49" spans="1:5" s="97" customFormat="1" ht="17.100000000000001" customHeight="1" outlineLevel="2">
      <c r="A49" s="73" t="s">
        <v>758</v>
      </c>
      <c r="B49" s="98" t="s">
        <v>763</v>
      </c>
      <c r="C49" s="98" t="s">
        <v>960</v>
      </c>
      <c r="D49" s="99">
        <v>48239.5</v>
      </c>
      <c r="E49" s="99">
        <f t="shared" si="0"/>
        <v>53063.45</v>
      </c>
    </row>
    <row r="50" spans="1:5" s="97" customFormat="1" ht="17.100000000000001" customHeight="1" outlineLevel="2">
      <c r="A50" s="73" t="s">
        <v>758</v>
      </c>
      <c r="B50" s="98" t="s">
        <v>764</v>
      </c>
      <c r="C50" s="98" t="s">
        <v>960</v>
      </c>
      <c r="D50" s="99">
        <v>62856.6</v>
      </c>
      <c r="E50" s="99">
        <f t="shared" si="0"/>
        <v>69142.259999999995</v>
      </c>
    </row>
    <row r="51" spans="1:5" s="97" customFormat="1" ht="17.100000000000001" customHeight="1" outlineLevel="2">
      <c r="A51" s="73" t="s">
        <v>758</v>
      </c>
      <c r="B51" s="98" t="s">
        <v>765</v>
      </c>
      <c r="C51" s="98" t="s">
        <v>960</v>
      </c>
      <c r="D51" s="99">
        <v>60660.1</v>
      </c>
      <c r="E51" s="99">
        <f t="shared" si="0"/>
        <v>66726.11</v>
      </c>
    </row>
    <row r="52" spans="1:5" s="97" customFormat="1" ht="17.100000000000001" customHeight="1" outlineLevel="2">
      <c r="A52" s="73" t="s">
        <v>758</v>
      </c>
      <c r="B52" s="98" t="s">
        <v>766</v>
      </c>
      <c r="C52" s="98" t="s">
        <v>960</v>
      </c>
      <c r="D52" s="99">
        <v>104392.9</v>
      </c>
      <c r="E52" s="99">
        <f t="shared" si="0"/>
        <v>114832.19</v>
      </c>
    </row>
    <row r="53" spans="1:5" s="97" customFormat="1" ht="17.100000000000001" customHeight="1" outlineLevel="2">
      <c r="A53" s="73" t="s">
        <v>758</v>
      </c>
      <c r="B53" s="98" t="s">
        <v>767</v>
      </c>
      <c r="C53" s="98" t="s">
        <v>960</v>
      </c>
      <c r="D53" s="99">
        <v>99826.2</v>
      </c>
      <c r="E53" s="99">
        <f t="shared" si="0"/>
        <v>109808.82</v>
      </c>
    </row>
    <row r="54" spans="1:5" s="97" customFormat="1" ht="17.100000000000001" customHeight="1" outlineLevel="2">
      <c r="A54" s="73" t="s">
        <v>758</v>
      </c>
      <c r="B54" s="98" t="s">
        <v>768</v>
      </c>
      <c r="C54" s="98" t="s">
        <v>964</v>
      </c>
      <c r="D54" s="99">
        <v>18453.5</v>
      </c>
      <c r="E54" s="99">
        <f t="shared" si="0"/>
        <v>20298.849999999999</v>
      </c>
    </row>
    <row r="55" spans="1:5" s="97" customFormat="1" ht="17.100000000000001" customHeight="1" outlineLevel="1">
      <c r="A55" s="101" t="s">
        <v>257</v>
      </c>
      <c r="B55" s="102"/>
      <c r="C55" s="102"/>
      <c r="D55" s="103">
        <f>SUM(D36:D54)</f>
        <v>2972119.9000000008</v>
      </c>
      <c r="E55" s="103">
        <f>SUM(E36:E54)</f>
        <v>3269331.89</v>
      </c>
    </row>
    <row r="56" spans="1:5" s="97" customFormat="1" ht="17.100000000000001" customHeight="1" outlineLevel="2">
      <c r="A56" s="73" t="s">
        <v>769</v>
      </c>
      <c r="B56" s="104" t="s">
        <v>770</v>
      </c>
      <c r="C56" s="104" t="s">
        <v>958</v>
      </c>
      <c r="D56" s="99">
        <v>3192.6</v>
      </c>
      <c r="E56" s="99">
        <f t="shared" si="0"/>
        <v>3511.86</v>
      </c>
    </row>
    <row r="57" spans="1:5" s="97" customFormat="1" ht="17.100000000000001" customHeight="1" outlineLevel="2">
      <c r="A57" s="73" t="s">
        <v>769</v>
      </c>
      <c r="B57" s="104" t="s">
        <v>771</v>
      </c>
      <c r="C57" s="104" t="s">
        <v>962</v>
      </c>
      <c r="D57" s="99">
        <v>219612.6</v>
      </c>
      <c r="E57" s="99">
        <f t="shared" si="0"/>
        <v>241573.86</v>
      </c>
    </row>
    <row r="58" spans="1:5" s="97" customFormat="1" ht="17.100000000000001" customHeight="1" outlineLevel="2">
      <c r="A58" s="73" t="s">
        <v>769</v>
      </c>
      <c r="B58" s="104" t="s">
        <v>772</v>
      </c>
      <c r="C58" s="104" t="s">
        <v>962</v>
      </c>
      <c r="D58" s="99">
        <v>221121.5</v>
      </c>
      <c r="E58" s="99">
        <f t="shared" si="0"/>
        <v>243233.65</v>
      </c>
    </row>
    <row r="59" spans="1:5" s="97" customFormat="1" ht="17.100000000000001" customHeight="1" outlineLevel="2">
      <c r="A59" s="73" t="s">
        <v>769</v>
      </c>
      <c r="B59" s="104" t="s">
        <v>773</v>
      </c>
      <c r="C59" s="104" t="s">
        <v>962</v>
      </c>
      <c r="D59" s="99">
        <v>244049.3</v>
      </c>
      <c r="E59" s="99">
        <f t="shared" si="0"/>
        <v>268454.23</v>
      </c>
    </row>
    <row r="60" spans="1:5" s="97" customFormat="1" ht="17.100000000000001" customHeight="1" outlineLevel="2">
      <c r="A60" s="73" t="s">
        <v>769</v>
      </c>
      <c r="B60" s="104" t="s">
        <v>774</v>
      </c>
      <c r="C60" s="104" t="s">
        <v>959</v>
      </c>
      <c r="D60" s="99"/>
      <c r="E60" s="99">
        <f t="shared" si="0"/>
        <v>0</v>
      </c>
    </row>
    <row r="61" spans="1:5" s="97" customFormat="1" ht="17.100000000000001" customHeight="1" outlineLevel="2">
      <c r="A61" s="73" t="s">
        <v>769</v>
      </c>
      <c r="B61" s="104" t="s">
        <v>775</v>
      </c>
      <c r="C61" s="104" t="s">
        <v>959</v>
      </c>
      <c r="D61" s="99">
        <v>192547</v>
      </c>
      <c r="E61" s="99">
        <f t="shared" si="0"/>
        <v>211801.7</v>
      </c>
    </row>
    <row r="62" spans="1:5" s="97" customFormat="1" ht="17.100000000000001" customHeight="1" outlineLevel="2">
      <c r="A62" s="73" t="s">
        <v>769</v>
      </c>
      <c r="B62" s="104" t="s">
        <v>776</v>
      </c>
      <c r="C62" s="104" t="s">
        <v>959</v>
      </c>
      <c r="D62" s="99">
        <v>347807.6</v>
      </c>
      <c r="E62" s="99">
        <f t="shared" si="0"/>
        <v>382588.36</v>
      </c>
    </row>
    <row r="63" spans="1:5" s="97" customFormat="1" ht="17.100000000000001" customHeight="1" outlineLevel="2">
      <c r="A63" s="73" t="s">
        <v>769</v>
      </c>
      <c r="B63" s="104" t="s">
        <v>777</v>
      </c>
      <c r="C63" s="104" t="s">
        <v>960</v>
      </c>
      <c r="D63" s="99">
        <v>165588.1</v>
      </c>
      <c r="E63" s="99">
        <f t="shared" si="0"/>
        <v>182146.91</v>
      </c>
    </row>
    <row r="64" spans="1:5" s="97" customFormat="1" ht="17.100000000000001" customHeight="1" outlineLevel="2">
      <c r="A64" s="73" t="s">
        <v>769</v>
      </c>
      <c r="B64" s="104" t="s">
        <v>778</v>
      </c>
      <c r="C64" s="104" t="s">
        <v>960</v>
      </c>
      <c r="D64" s="99"/>
      <c r="E64" s="99">
        <f t="shared" si="0"/>
        <v>0</v>
      </c>
    </row>
    <row r="65" spans="1:5" s="97" customFormat="1" ht="17.100000000000001" customHeight="1" outlineLevel="2">
      <c r="A65" s="73" t="s">
        <v>769</v>
      </c>
      <c r="B65" s="104" t="s">
        <v>779</v>
      </c>
      <c r="C65" s="104" t="s">
        <v>960</v>
      </c>
      <c r="D65" s="99">
        <v>188546.3</v>
      </c>
      <c r="E65" s="99">
        <f t="shared" si="0"/>
        <v>207400.93</v>
      </c>
    </row>
    <row r="66" spans="1:5" s="97" customFormat="1" ht="17.100000000000001" customHeight="1" outlineLevel="2">
      <c r="A66" s="73" t="s">
        <v>769</v>
      </c>
      <c r="B66" s="104" t="s">
        <v>780</v>
      </c>
      <c r="C66" s="104" t="s">
        <v>960</v>
      </c>
      <c r="D66" s="99">
        <v>132932.79999999999</v>
      </c>
      <c r="E66" s="99">
        <f t="shared" si="0"/>
        <v>146226.07999999999</v>
      </c>
    </row>
    <row r="67" spans="1:5" s="97" customFormat="1" ht="17.100000000000001" customHeight="1" outlineLevel="2">
      <c r="A67" s="73" t="s">
        <v>769</v>
      </c>
      <c r="B67" s="104" t="s">
        <v>781</v>
      </c>
      <c r="C67" s="104" t="s">
        <v>960</v>
      </c>
      <c r="D67" s="99">
        <v>92065.5</v>
      </c>
      <c r="E67" s="99">
        <f t="shared" ref="E67:E120" si="1">ROUND(D67*1.1,2)</f>
        <v>101272.05</v>
      </c>
    </row>
    <row r="68" spans="1:5" s="97" customFormat="1" ht="17.100000000000001" customHeight="1" outlineLevel="2">
      <c r="A68" s="73" t="s">
        <v>769</v>
      </c>
      <c r="B68" s="104" t="s">
        <v>782</v>
      </c>
      <c r="C68" s="104" t="s">
        <v>960</v>
      </c>
      <c r="D68" s="99">
        <v>107874.6</v>
      </c>
      <c r="E68" s="99">
        <f t="shared" si="1"/>
        <v>118662.06</v>
      </c>
    </row>
    <row r="69" spans="1:5" s="97" customFormat="1" ht="17.100000000000001" customHeight="1" outlineLevel="2">
      <c r="A69" s="73" t="s">
        <v>769</v>
      </c>
      <c r="B69" s="104" t="s">
        <v>783</v>
      </c>
      <c r="C69" s="104" t="s">
        <v>960</v>
      </c>
      <c r="D69" s="99">
        <v>42524.1</v>
      </c>
      <c r="E69" s="99">
        <f t="shared" si="1"/>
        <v>46776.51</v>
      </c>
    </row>
    <row r="70" spans="1:5" s="97" customFormat="1" ht="17.100000000000001" customHeight="1" outlineLevel="2">
      <c r="A70" s="73" t="s">
        <v>769</v>
      </c>
      <c r="B70" s="104" t="s">
        <v>784</v>
      </c>
      <c r="C70" s="104" t="s">
        <v>960</v>
      </c>
      <c r="D70" s="99">
        <v>17997.7</v>
      </c>
      <c r="E70" s="99">
        <f t="shared" si="1"/>
        <v>19797.47</v>
      </c>
    </row>
    <row r="71" spans="1:5" s="97" customFormat="1" ht="17.100000000000001" customHeight="1" outlineLevel="2">
      <c r="A71" s="73" t="s">
        <v>769</v>
      </c>
      <c r="B71" s="104" t="s">
        <v>785</v>
      </c>
      <c r="C71" s="104" t="s">
        <v>964</v>
      </c>
      <c r="D71" s="99">
        <v>12787.7</v>
      </c>
      <c r="E71" s="99">
        <f t="shared" si="1"/>
        <v>14066.47</v>
      </c>
    </row>
    <row r="72" spans="1:5" s="97" customFormat="1" ht="17.100000000000001" customHeight="1" outlineLevel="1">
      <c r="A72" s="101" t="s">
        <v>258</v>
      </c>
      <c r="B72" s="102"/>
      <c r="C72" s="102"/>
      <c r="D72" s="103">
        <f>SUM(D56:D71)</f>
        <v>1988647.4000000004</v>
      </c>
      <c r="E72" s="103">
        <f>SUM(E56:E71)</f>
        <v>2187512.14</v>
      </c>
    </row>
    <row r="73" spans="1:5" s="97" customFormat="1" ht="17.100000000000001" customHeight="1" outlineLevel="2">
      <c r="A73" s="73" t="s">
        <v>786</v>
      </c>
      <c r="B73" s="98" t="s">
        <v>787</v>
      </c>
      <c r="C73" s="98" t="s">
        <v>957</v>
      </c>
      <c r="D73" s="99">
        <v>31608.51</v>
      </c>
      <c r="E73" s="99">
        <f t="shared" si="1"/>
        <v>34769.360000000001</v>
      </c>
    </row>
    <row r="74" spans="1:5" s="97" customFormat="1" ht="17.100000000000001" customHeight="1" outlineLevel="2">
      <c r="A74" s="73" t="s">
        <v>786</v>
      </c>
      <c r="B74" s="104" t="s">
        <v>788</v>
      </c>
      <c r="C74" s="104" t="s">
        <v>958</v>
      </c>
      <c r="D74" s="99">
        <v>298061.40000000002</v>
      </c>
      <c r="E74" s="99">
        <f t="shared" si="1"/>
        <v>327867.53999999998</v>
      </c>
    </row>
    <row r="75" spans="1:5" s="97" customFormat="1" ht="17.100000000000001" customHeight="1" outlineLevel="2">
      <c r="A75" s="73" t="s">
        <v>786</v>
      </c>
      <c r="B75" s="104" t="s">
        <v>789</v>
      </c>
      <c r="C75" s="104" t="s">
        <v>958</v>
      </c>
      <c r="D75" s="99">
        <v>545717.5</v>
      </c>
      <c r="E75" s="99">
        <f t="shared" si="1"/>
        <v>600289.25</v>
      </c>
    </row>
    <row r="76" spans="1:5" s="97" customFormat="1" ht="17.100000000000001" customHeight="1" outlineLevel="2">
      <c r="A76" s="73" t="s">
        <v>786</v>
      </c>
      <c r="B76" s="104" t="s">
        <v>790</v>
      </c>
      <c r="C76" s="104" t="s">
        <v>962</v>
      </c>
      <c r="D76" s="99">
        <v>232820.4</v>
      </c>
      <c r="E76" s="99">
        <f t="shared" si="1"/>
        <v>256102.44</v>
      </c>
    </row>
    <row r="77" spans="1:5" s="97" customFormat="1" ht="17.100000000000001" customHeight="1" outlineLevel="2">
      <c r="A77" s="73" t="s">
        <v>786</v>
      </c>
      <c r="B77" s="104" t="s">
        <v>791</v>
      </c>
      <c r="C77" s="104" t="s">
        <v>959</v>
      </c>
      <c r="D77" s="99">
        <v>266762.09999999998</v>
      </c>
      <c r="E77" s="99">
        <f t="shared" si="1"/>
        <v>293438.31</v>
      </c>
    </row>
    <row r="78" spans="1:5" s="97" customFormat="1" ht="17.100000000000001" customHeight="1" outlineLevel="2">
      <c r="A78" s="73" t="s">
        <v>786</v>
      </c>
      <c r="B78" s="104" t="s">
        <v>792</v>
      </c>
      <c r="C78" s="104" t="s">
        <v>960</v>
      </c>
      <c r="D78" s="99">
        <v>76232.100000000006</v>
      </c>
      <c r="E78" s="99">
        <f t="shared" si="1"/>
        <v>83855.31</v>
      </c>
    </row>
    <row r="79" spans="1:5" s="97" customFormat="1" ht="17.100000000000001" customHeight="1" outlineLevel="2">
      <c r="A79" s="73" t="s">
        <v>786</v>
      </c>
      <c r="B79" s="104" t="s">
        <v>793</v>
      </c>
      <c r="C79" s="104" t="s">
        <v>960</v>
      </c>
      <c r="D79" s="99">
        <v>60770.2</v>
      </c>
      <c r="E79" s="99">
        <f t="shared" si="1"/>
        <v>66847.22</v>
      </c>
    </row>
    <row r="80" spans="1:5" s="97" customFormat="1" ht="17.100000000000001" customHeight="1" outlineLevel="2">
      <c r="A80" s="73" t="s">
        <v>786</v>
      </c>
      <c r="B80" s="104" t="s">
        <v>794</v>
      </c>
      <c r="C80" s="104" t="s">
        <v>960</v>
      </c>
      <c r="D80" s="99">
        <v>78359.149999999994</v>
      </c>
      <c r="E80" s="99">
        <f t="shared" si="1"/>
        <v>86195.07</v>
      </c>
    </row>
    <row r="81" spans="1:5" s="97" customFormat="1" ht="17.100000000000001" customHeight="1" outlineLevel="2">
      <c r="A81" s="73" t="s">
        <v>786</v>
      </c>
      <c r="B81" s="104" t="s">
        <v>795</v>
      </c>
      <c r="C81" s="104" t="s">
        <v>960</v>
      </c>
      <c r="D81" s="99">
        <v>158913</v>
      </c>
      <c r="E81" s="99">
        <f t="shared" si="1"/>
        <v>174804.3</v>
      </c>
    </row>
    <row r="82" spans="1:5" s="97" customFormat="1" ht="17.100000000000001" customHeight="1" outlineLevel="2">
      <c r="A82" s="73" t="s">
        <v>786</v>
      </c>
      <c r="B82" s="104" t="s">
        <v>796</v>
      </c>
      <c r="C82" s="104" t="s">
        <v>960</v>
      </c>
      <c r="D82" s="99">
        <v>83760.2</v>
      </c>
      <c r="E82" s="99">
        <f t="shared" si="1"/>
        <v>92136.22</v>
      </c>
    </row>
    <row r="83" spans="1:5" s="97" customFormat="1" ht="17.100000000000001" customHeight="1" outlineLevel="2">
      <c r="A83" s="73" t="s">
        <v>786</v>
      </c>
      <c r="B83" s="104" t="s">
        <v>797</v>
      </c>
      <c r="C83" s="104" t="s">
        <v>960</v>
      </c>
      <c r="D83" s="99">
        <v>57413.3</v>
      </c>
      <c r="E83" s="99">
        <f t="shared" si="1"/>
        <v>63154.63</v>
      </c>
    </row>
    <row r="84" spans="1:5" s="97" customFormat="1" ht="17.100000000000001" customHeight="1" outlineLevel="2">
      <c r="A84" s="73" t="s">
        <v>786</v>
      </c>
      <c r="B84" s="104" t="s">
        <v>798</v>
      </c>
      <c r="C84" s="104" t="s">
        <v>960</v>
      </c>
      <c r="D84" s="99">
        <v>57821</v>
      </c>
      <c r="E84" s="99">
        <f t="shared" si="1"/>
        <v>63603.1</v>
      </c>
    </row>
    <row r="85" spans="1:5" s="97" customFormat="1" ht="17.100000000000001" customHeight="1" outlineLevel="1">
      <c r="A85" s="101" t="s">
        <v>259</v>
      </c>
      <c r="B85" s="102"/>
      <c r="C85" s="102"/>
      <c r="D85" s="103">
        <f>SUM(D73:D84)</f>
        <v>1948238.86</v>
      </c>
      <c r="E85" s="103">
        <f>SUM(E73:E84)</f>
        <v>2143062.75</v>
      </c>
    </row>
    <row r="86" spans="1:5" s="97" customFormat="1" ht="17.100000000000001" customHeight="1" outlineLevel="2">
      <c r="A86" s="73" t="s">
        <v>799</v>
      </c>
      <c r="B86" s="107" t="s">
        <v>800</v>
      </c>
      <c r="C86" s="107" t="s">
        <v>958</v>
      </c>
      <c r="D86" s="99">
        <v>458185.4</v>
      </c>
      <c r="E86" s="99">
        <f t="shared" si="1"/>
        <v>504003.94</v>
      </c>
    </row>
    <row r="87" spans="1:5" s="97" customFormat="1" ht="17.100000000000001" customHeight="1" outlineLevel="2">
      <c r="A87" s="73" t="s">
        <v>799</v>
      </c>
      <c r="B87" s="108" t="s">
        <v>801</v>
      </c>
      <c r="C87" s="107" t="s">
        <v>958</v>
      </c>
      <c r="D87" s="99">
        <v>460477.2</v>
      </c>
      <c r="E87" s="99">
        <f t="shared" si="1"/>
        <v>506524.92</v>
      </c>
    </row>
    <row r="88" spans="1:5" s="97" customFormat="1" ht="17.100000000000001" customHeight="1" outlineLevel="2">
      <c r="A88" s="73" t="s">
        <v>799</v>
      </c>
      <c r="B88" s="108" t="s">
        <v>802</v>
      </c>
      <c r="C88" s="107" t="s">
        <v>958</v>
      </c>
      <c r="D88" s="99"/>
      <c r="E88" s="99">
        <f t="shared" si="1"/>
        <v>0</v>
      </c>
    </row>
    <row r="89" spans="1:5" s="97" customFormat="1" ht="17.100000000000001" customHeight="1" outlineLevel="2">
      <c r="A89" s="73" t="s">
        <v>799</v>
      </c>
      <c r="B89" s="108" t="s">
        <v>803</v>
      </c>
      <c r="C89" s="108" t="s">
        <v>960</v>
      </c>
      <c r="D89" s="99"/>
      <c r="E89" s="99">
        <f t="shared" si="1"/>
        <v>0</v>
      </c>
    </row>
    <row r="90" spans="1:5" s="97" customFormat="1" ht="17.100000000000001" customHeight="1" outlineLevel="2">
      <c r="A90" s="73" t="s">
        <v>799</v>
      </c>
      <c r="B90" s="108" t="s">
        <v>804</v>
      </c>
      <c r="C90" s="108" t="s">
        <v>960</v>
      </c>
      <c r="D90" s="99"/>
      <c r="E90" s="99">
        <f t="shared" si="1"/>
        <v>0</v>
      </c>
    </row>
    <row r="91" spans="1:5" s="97" customFormat="1" ht="17.100000000000001" customHeight="1" outlineLevel="2">
      <c r="A91" s="73" t="s">
        <v>799</v>
      </c>
      <c r="B91" s="108" t="s">
        <v>805</v>
      </c>
      <c r="C91" s="108" t="s">
        <v>960</v>
      </c>
      <c r="D91" s="99">
        <v>89731.9</v>
      </c>
      <c r="E91" s="99">
        <f t="shared" si="1"/>
        <v>98705.09</v>
      </c>
    </row>
    <row r="92" spans="1:5" s="97" customFormat="1" ht="17.100000000000001" customHeight="1" outlineLevel="2">
      <c r="A92" s="73" t="s">
        <v>799</v>
      </c>
      <c r="B92" s="108" t="s">
        <v>806</v>
      </c>
      <c r="C92" s="108" t="s">
        <v>960</v>
      </c>
      <c r="D92" s="99">
        <v>55548.5</v>
      </c>
      <c r="E92" s="99">
        <f t="shared" si="1"/>
        <v>61103.35</v>
      </c>
    </row>
    <row r="93" spans="1:5" s="97" customFormat="1" ht="17.100000000000001" customHeight="1" outlineLevel="2">
      <c r="A93" s="73" t="s">
        <v>799</v>
      </c>
      <c r="B93" s="108" t="s">
        <v>807</v>
      </c>
      <c r="C93" s="108" t="s">
        <v>964</v>
      </c>
      <c r="D93" s="99">
        <v>22879.7</v>
      </c>
      <c r="E93" s="99">
        <f t="shared" si="1"/>
        <v>25167.67</v>
      </c>
    </row>
    <row r="94" spans="1:5" s="97" customFormat="1" ht="17.100000000000001" customHeight="1" outlineLevel="1">
      <c r="A94" s="101" t="s">
        <v>260</v>
      </c>
      <c r="B94" s="96"/>
      <c r="C94" s="96"/>
      <c r="D94" s="103">
        <f>SUM(D86:D93)</f>
        <v>1086822.7</v>
      </c>
      <c r="E94" s="103">
        <f>SUM(E86:E93)</f>
        <v>1195504.97</v>
      </c>
    </row>
    <row r="95" spans="1:5" s="97" customFormat="1" ht="17.100000000000001" customHeight="1" outlineLevel="2">
      <c r="A95" s="73" t="s">
        <v>808</v>
      </c>
      <c r="B95" s="100" t="s">
        <v>245</v>
      </c>
      <c r="C95" s="100" t="s">
        <v>962</v>
      </c>
      <c r="D95" s="99">
        <v>371833.1</v>
      </c>
      <c r="E95" s="99">
        <f t="shared" si="1"/>
        <v>409016.41</v>
      </c>
    </row>
    <row r="96" spans="1:5" s="97" customFormat="1" ht="17.100000000000001" customHeight="1" outlineLevel="2">
      <c r="A96" s="73" t="s">
        <v>808</v>
      </c>
      <c r="B96" s="100" t="s">
        <v>246</v>
      </c>
      <c r="C96" s="100" t="s">
        <v>962</v>
      </c>
      <c r="D96" s="99">
        <v>241920.9</v>
      </c>
      <c r="E96" s="99">
        <f t="shared" si="1"/>
        <v>266112.99</v>
      </c>
    </row>
    <row r="97" spans="1:5" s="97" customFormat="1" ht="17.100000000000001" customHeight="1" outlineLevel="2">
      <c r="A97" s="73" t="s">
        <v>808</v>
      </c>
      <c r="B97" s="100" t="s">
        <v>809</v>
      </c>
      <c r="C97" s="100" t="s">
        <v>959</v>
      </c>
      <c r="D97" s="99">
        <v>22838.9</v>
      </c>
      <c r="E97" s="99">
        <f t="shared" si="1"/>
        <v>25122.79</v>
      </c>
    </row>
    <row r="98" spans="1:5" s="97" customFormat="1" ht="17.100000000000001" customHeight="1" outlineLevel="2">
      <c r="A98" s="73" t="s">
        <v>808</v>
      </c>
      <c r="B98" s="100" t="s">
        <v>810</v>
      </c>
      <c r="C98" s="100" t="s">
        <v>959</v>
      </c>
      <c r="D98" s="99"/>
      <c r="E98" s="99">
        <f t="shared" si="1"/>
        <v>0</v>
      </c>
    </row>
    <row r="99" spans="1:5" s="97" customFormat="1" ht="17.100000000000001" customHeight="1" outlineLevel="2">
      <c r="A99" s="73" t="s">
        <v>808</v>
      </c>
      <c r="B99" s="100" t="s">
        <v>249</v>
      </c>
      <c r="C99" s="100" t="s">
        <v>959</v>
      </c>
      <c r="D99" s="99">
        <v>370255.4</v>
      </c>
      <c r="E99" s="99">
        <f t="shared" si="1"/>
        <v>407280.94</v>
      </c>
    </row>
    <row r="100" spans="1:5" s="97" customFormat="1" ht="17.100000000000001" customHeight="1" outlineLevel="2">
      <c r="A100" s="73" t="s">
        <v>808</v>
      </c>
      <c r="B100" s="100" t="s">
        <v>251</v>
      </c>
      <c r="C100" s="100" t="s">
        <v>959</v>
      </c>
      <c r="D100" s="99">
        <v>147109.4</v>
      </c>
      <c r="E100" s="99">
        <f t="shared" si="1"/>
        <v>161820.34</v>
      </c>
    </row>
    <row r="101" spans="1:5" s="97" customFormat="1" ht="17.100000000000001" customHeight="1" outlineLevel="2">
      <c r="A101" s="73" t="s">
        <v>808</v>
      </c>
      <c r="B101" s="98" t="s">
        <v>811</v>
      </c>
      <c r="C101" s="98" t="s">
        <v>960</v>
      </c>
      <c r="D101" s="99">
        <v>165579.1</v>
      </c>
      <c r="E101" s="99">
        <f t="shared" si="1"/>
        <v>182137.01</v>
      </c>
    </row>
    <row r="102" spans="1:5" s="97" customFormat="1" ht="17.100000000000001" customHeight="1" outlineLevel="2">
      <c r="A102" s="73" t="s">
        <v>808</v>
      </c>
      <c r="B102" s="98" t="s">
        <v>812</v>
      </c>
      <c r="C102" s="98" t="s">
        <v>960</v>
      </c>
      <c r="D102" s="99">
        <v>130448.4</v>
      </c>
      <c r="E102" s="99">
        <f t="shared" si="1"/>
        <v>143493.24</v>
      </c>
    </row>
    <row r="103" spans="1:5" s="97" customFormat="1" ht="17.100000000000001" customHeight="1" outlineLevel="2">
      <c r="A103" s="73" t="s">
        <v>808</v>
      </c>
      <c r="B103" s="98" t="s">
        <v>813</v>
      </c>
      <c r="C103" s="98" t="s">
        <v>960</v>
      </c>
      <c r="D103" s="99">
        <v>117479</v>
      </c>
      <c r="E103" s="99">
        <f t="shared" si="1"/>
        <v>129226.9</v>
      </c>
    </row>
    <row r="104" spans="1:5" s="97" customFormat="1" ht="17.100000000000001" customHeight="1" outlineLevel="2">
      <c r="A104" s="73" t="s">
        <v>808</v>
      </c>
      <c r="B104" s="98" t="s">
        <v>814</v>
      </c>
      <c r="C104" s="98" t="s">
        <v>960</v>
      </c>
      <c r="D104" s="99">
        <v>121738.8</v>
      </c>
      <c r="E104" s="99">
        <f t="shared" si="1"/>
        <v>133912.68</v>
      </c>
    </row>
    <row r="105" spans="1:5" s="97" customFormat="1" ht="17.100000000000001" customHeight="1" outlineLevel="2">
      <c r="A105" s="73" t="s">
        <v>808</v>
      </c>
      <c r="B105" s="100" t="s">
        <v>248</v>
      </c>
      <c r="C105" s="100" t="s">
        <v>958</v>
      </c>
      <c r="D105" s="99">
        <v>412146</v>
      </c>
      <c r="E105" s="99">
        <f t="shared" si="1"/>
        <v>453360.6</v>
      </c>
    </row>
    <row r="106" spans="1:5" s="97" customFormat="1" ht="17.100000000000001" customHeight="1" outlineLevel="2">
      <c r="A106" s="73" t="s">
        <v>808</v>
      </c>
      <c r="B106" s="98" t="s">
        <v>815</v>
      </c>
      <c r="C106" s="98" t="s">
        <v>957</v>
      </c>
      <c r="D106" s="99">
        <v>15132.3</v>
      </c>
      <c r="E106" s="99">
        <f t="shared" si="1"/>
        <v>16645.53</v>
      </c>
    </row>
    <row r="107" spans="1:5" s="97" customFormat="1" ht="17.100000000000001" customHeight="1" outlineLevel="2">
      <c r="A107" s="73" t="s">
        <v>808</v>
      </c>
      <c r="B107" s="98" t="s">
        <v>816</v>
      </c>
      <c r="C107" s="98" t="s">
        <v>960</v>
      </c>
      <c r="D107" s="99">
        <v>36493</v>
      </c>
      <c r="E107" s="99">
        <f t="shared" si="1"/>
        <v>40142.300000000003</v>
      </c>
    </row>
    <row r="108" spans="1:5" s="97" customFormat="1" ht="17.100000000000001" customHeight="1" outlineLevel="2">
      <c r="A108" s="73" t="s">
        <v>808</v>
      </c>
      <c r="B108" s="100" t="s">
        <v>247</v>
      </c>
      <c r="C108" s="100" t="s">
        <v>962</v>
      </c>
      <c r="D108" s="99">
        <v>217656.5</v>
      </c>
      <c r="E108" s="99">
        <f t="shared" si="1"/>
        <v>239422.15</v>
      </c>
    </row>
    <row r="109" spans="1:5" s="97" customFormat="1" ht="17.100000000000001" customHeight="1" outlineLevel="2">
      <c r="A109" s="73" t="s">
        <v>808</v>
      </c>
      <c r="B109" s="100" t="s">
        <v>817</v>
      </c>
      <c r="C109" s="100" t="s">
        <v>960</v>
      </c>
      <c r="D109" s="99">
        <v>80436</v>
      </c>
      <c r="E109" s="99">
        <f t="shared" si="1"/>
        <v>88479.6</v>
      </c>
    </row>
    <row r="110" spans="1:5" s="97" customFormat="1" ht="17.100000000000001" customHeight="1" outlineLevel="1">
      <c r="A110" s="101" t="s">
        <v>261</v>
      </c>
      <c r="B110" s="102"/>
      <c r="C110" s="102"/>
      <c r="D110" s="103">
        <f>SUM(D95:D109)</f>
        <v>2451066.7999999998</v>
      </c>
      <c r="E110" s="103">
        <f>SUM(E95:E109)</f>
        <v>2696173.4799999995</v>
      </c>
    </row>
    <row r="111" spans="1:5" s="97" customFormat="1" ht="17.100000000000001" customHeight="1" outlineLevel="2">
      <c r="A111" s="73" t="s">
        <v>818</v>
      </c>
      <c r="B111" s="100" t="s">
        <v>654</v>
      </c>
      <c r="C111" s="100" t="s">
        <v>962</v>
      </c>
      <c r="D111" s="99">
        <v>243099.6</v>
      </c>
      <c r="E111" s="99">
        <f t="shared" si="1"/>
        <v>267409.56</v>
      </c>
    </row>
    <row r="112" spans="1:5" s="97" customFormat="1" ht="17.100000000000001" customHeight="1" outlineLevel="2">
      <c r="A112" s="73" t="s">
        <v>818</v>
      </c>
      <c r="B112" s="100" t="s">
        <v>221</v>
      </c>
      <c r="C112" s="100" t="s">
        <v>962</v>
      </c>
      <c r="D112" s="99">
        <v>186346.3</v>
      </c>
      <c r="E112" s="99">
        <f t="shared" si="1"/>
        <v>204980.93</v>
      </c>
    </row>
    <row r="113" spans="1:5" s="97" customFormat="1" ht="17.100000000000001" customHeight="1" outlineLevel="2">
      <c r="A113" s="73" t="s">
        <v>818</v>
      </c>
      <c r="B113" s="100" t="s">
        <v>819</v>
      </c>
      <c r="C113" s="100" t="s">
        <v>958</v>
      </c>
      <c r="D113" s="99">
        <v>340722.3</v>
      </c>
      <c r="E113" s="99">
        <f t="shared" si="1"/>
        <v>374794.53</v>
      </c>
    </row>
    <row r="114" spans="1:5" s="97" customFormat="1" ht="17.100000000000001" customHeight="1" outlineLevel="2">
      <c r="A114" s="73" t="s">
        <v>818</v>
      </c>
      <c r="B114" s="100" t="s">
        <v>222</v>
      </c>
      <c r="C114" s="100" t="s">
        <v>959</v>
      </c>
      <c r="D114" s="99">
        <v>26131.9</v>
      </c>
      <c r="E114" s="99">
        <f t="shared" si="1"/>
        <v>28745.09</v>
      </c>
    </row>
    <row r="115" spans="1:5" s="97" customFormat="1" ht="17.100000000000001" customHeight="1" outlineLevel="2">
      <c r="A115" s="73" t="s">
        <v>818</v>
      </c>
      <c r="B115" s="100" t="s">
        <v>223</v>
      </c>
      <c r="C115" s="100" t="s">
        <v>959</v>
      </c>
      <c r="D115" s="99">
        <v>222994.8</v>
      </c>
      <c r="E115" s="99">
        <f t="shared" si="1"/>
        <v>245294.28</v>
      </c>
    </row>
    <row r="116" spans="1:5" s="97" customFormat="1" ht="17.100000000000001" customHeight="1" outlineLevel="2">
      <c r="A116" s="73" t="s">
        <v>818</v>
      </c>
      <c r="B116" s="98" t="s">
        <v>820</v>
      </c>
      <c r="C116" s="98" t="s">
        <v>960</v>
      </c>
      <c r="D116" s="99">
        <v>152137.4</v>
      </c>
      <c r="E116" s="99">
        <f t="shared" si="1"/>
        <v>167351.14000000001</v>
      </c>
    </row>
    <row r="117" spans="1:5" s="97" customFormat="1" ht="17.100000000000001" customHeight="1" outlineLevel="2">
      <c r="A117" s="73" t="s">
        <v>818</v>
      </c>
      <c r="B117" s="98" t="s">
        <v>821</v>
      </c>
      <c r="C117" s="98" t="s">
        <v>960</v>
      </c>
      <c r="D117" s="99">
        <v>140763.9</v>
      </c>
      <c r="E117" s="99">
        <f t="shared" si="1"/>
        <v>154840.29</v>
      </c>
    </row>
    <row r="118" spans="1:5" s="97" customFormat="1" ht="17.100000000000001" customHeight="1" outlineLevel="2">
      <c r="A118" s="73" t="s">
        <v>818</v>
      </c>
      <c r="B118" s="98" t="s">
        <v>822</v>
      </c>
      <c r="C118" s="98" t="s">
        <v>960</v>
      </c>
      <c r="D118" s="99">
        <v>102866.3</v>
      </c>
      <c r="E118" s="99">
        <f t="shared" si="1"/>
        <v>113152.93</v>
      </c>
    </row>
    <row r="119" spans="1:5" s="97" customFormat="1" ht="17.100000000000001" customHeight="1" outlineLevel="2">
      <c r="A119" s="73" t="s">
        <v>818</v>
      </c>
      <c r="B119" s="98" t="s">
        <v>823</v>
      </c>
      <c r="C119" s="98" t="s">
        <v>960</v>
      </c>
      <c r="D119" s="99">
        <v>128020.4</v>
      </c>
      <c r="E119" s="99">
        <f t="shared" si="1"/>
        <v>140822.44</v>
      </c>
    </row>
    <row r="120" spans="1:5" s="97" customFormat="1" ht="17.100000000000001" customHeight="1" outlineLevel="2">
      <c r="A120" s="73" t="s">
        <v>818</v>
      </c>
      <c r="B120" s="98" t="s">
        <v>824</v>
      </c>
      <c r="C120" s="98" t="s">
        <v>957</v>
      </c>
      <c r="D120" s="99">
        <v>3801.3</v>
      </c>
      <c r="E120" s="99">
        <f t="shared" si="1"/>
        <v>4181.43</v>
      </c>
    </row>
    <row r="121" spans="1:5" s="97" customFormat="1" ht="17.100000000000001" customHeight="1" outlineLevel="1">
      <c r="A121" s="101" t="s">
        <v>262</v>
      </c>
      <c r="B121" s="96"/>
      <c r="C121" s="96"/>
      <c r="D121" s="103">
        <f>SUM(D111:D120)</f>
        <v>1546884.1999999997</v>
      </c>
      <c r="E121" s="103">
        <f>SUM(E111:E120)</f>
        <v>1701572.6199999996</v>
      </c>
    </row>
    <row r="122" spans="1:5" s="97" customFormat="1" ht="17.100000000000001" customHeight="1">
      <c r="A122" s="101" t="s">
        <v>252</v>
      </c>
      <c r="B122" s="96"/>
      <c r="C122" s="96"/>
      <c r="D122" s="103">
        <f>SUM(D121,D110,D94,D85,D72,D55,D35,D14,D8)</f>
        <v>18490168.920000002</v>
      </c>
      <c r="E122" s="103">
        <f>SUM(E121,E110,E94,E85,E72,E55,E35,E14,E8)</f>
        <v>20339185.82</v>
      </c>
    </row>
    <row r="123" spans="1:5" s="97" customFormat="1" ht="11.25"/>
  </sheetData>
  <autoFilter ref="A2:E122"/>
  <mergeCells count="1">
    <mergeCell ref="A1:E1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85" orientation="landscape" verticalDpi="0" r:id="rId1"/>
  <headerFooter>
    <oddFooter>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"/>
  <sheetViews>
    <sheetView workbookViewId="0">
      <selection activeCell="C13" sqref="C13"/>
    </sheetView>
  </sheetViews>
  <sheetFormatPr defaultRowHeight="13.5"/>
  <cols>
    <col min="1" max="1" width="24.5" customWidth="1"/>
    <col min="2" max="2" width="25" customWidth="1"/>
    <col min="3" max="3" width="23.125" customWidth="1"/>
  </cols>
  <sheetData>
    <row r="1" spans="1:3" ht="20.25">
      <c r="A1" s="811" t="s">
        <v>833</v>
      </c>
      <c r="B1" s="811"/>
      <c r="C1" s="811"/>
    </row>
    <row r="2" spans="1:3" ht="24.95" customHeight="1">
      <c r="A2" s="27" t="s">
        <v>253</v>
      </c>
      <c r="B2" s="27" t="s">
        <v>268</v>
      </c>
      <c r="C2" s="27" t="s">
        <v>269</v>
      </c>
    </row>
    <row r="3" spans="1:3" ht="24.95" customHeight="1">
      <c r="A3" s="28" t="s">
        <v>2</v>
      </c>
      <c r="B3" s="29">
        <v>300101</v>
      </c>
      <c r="C3" s="26">
        <f>B3*3</f>
        <v>900303</v>
      </c>
    </row>
    <row r="4" spans="1:3" ht="24.95" customHeight="1">
      <c r="A4" s="28" t="s">
        <v>3</v>
      </c>
      <c r="B4" s="29">
        <v>145517</v>
      </c>
      <c r="C4" s="26">
        <f t="shared" ref="C4:C12" si="0">B4*3</f>
        <v>436551</v>
      </c>
    </row>
    <row r="5" spans="1:3" ht="24.95" customHeight="1">
      <c r="A5" s="28" t="s">
        <v>4</v>
      </c>
      <c r="B5" s="29">
        <v>276368</v>
      </c>
      <c r="C5" s="26">
        <f t="shared" si="0"/>
        <v>829104</v>
      </c>
    </row>
    <row r="6" spans="1:3" ht="24.95" customHeight="1">
      <c r="A6" s="28" t="s">
        <v>5</v>
      </c>
      <c r="B6" s="29">
        <v>308002</v>
      </c>
      <c r="C6" s="26">
        <f t="shared" si="0"/>
        <v>924006</v>
      </c>
    </row>
    <row r="7" spans="1:3" ht="24.95" customHeight="1">
      <c r="A7" s="28" t="s">
        <v>6</v>
      </c>
      <c r="B7" s="29">
        <v>293661</v>
      </c>
      <c r="C7" s="26">
        <f t="shared" si="0"/>
        <v>880983</v>
      </c>
    </row>
    <row r="8" spans="1:3" ht="24.95" customHeight="1">
      <c r="A8" s="28" t="s">
        <v>7</v>
      </c>
      <c r="B8" s="29">
        <v>142015</v>
      </c>
      <c r="C8" s="26">
        <f t="shared" si="0"/>
        <v>426045</v>
      </c>
    </row>
    <row r="9" spans="1:3" ht="24.95" customHeight="1">
      <c r="A9" s="28" t="s">
        <v>8</v>
      </c>
      <c r="B9" s="29">
        <v>187764</v>
      </c>
      <c r="C9" s="26">
        <f t="shared" si="0"/>
        <v>563292</v>
      </c>
    </row>
    <row r="10" spans="1:3" ht="24.95" customHeight="1">
      <c r="A10" s="28" t="s">
        <v>9</v>
      </c>
      <c r="B10" s="29">
        <v>216038</v>
      </c>
      <c r="C10" s="26">
        <f t="shared" si="0"/>
        <v>648114</v>
      </c>
    </row>
    <row r="11" spans="1:3" ht="24.95" customHeight="1">
      <c r="A11" s="28" t="s">
        <v>10</v>
      </c>
      <c r="B11" s="29">
        <v>171520</v>
      </c>
      <c r="C11" s="26">
        <f t="shared" si="0"/>
        <v>514560</v>
      </c>
    </row>
    <row r="12" spans="1:3" ht="24.95" customHeight="1">
      <c r="A12" s="28" t="s">
        <v>11</v>
      </c>
      <c r="B12" s="29">
        <v>64976</v>
      </c>
      <c r="C12" s="26">
        <f t="shared" si="0"/>
        <v>194928</v>
      </c>
    </row>
    <row r="13" spans="1:3" ht="24.95" customHeight="1">
      <c r="A13" s="30" t="s">
        <v>267</v>
      </c>
      <c r="B13" s="31">
        <f>SUM(B3:B12)</f>
        <v>2105962</v>
      </c>
      <c r="C13" s="31">
        <f>SUM(C3:C12)</f>
        <v>6317886</v>
      </c>
    </row>
  </sheetData>
  <mergeCells count="1">
    <mergeCell ref="A1:C1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verticalDpi="0" r:id="rId1"/>
  <headerFooter>
    <oddFooter>第 &amp;P 页，共 &amp;N 页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185"/>
  <sheetViews>
    <sheetView topLeftCell="A133" workbookViewId="0">
      <selection activeCell="B152" sqref="B152"/>
    </sheetView>
  </sheetViews>
  <sheetFormatPr defaultRowHeight="14.25" outlineLevelRow="2"/>
  <cols>
    <col min="1" max="1" width="37.5" style="124" customWidth="1"/>
    <col min="2" max="2" width="11.625" style="125" customWidth="1"/>
    <col min="3" max="3" width="13.5" style="25" customWidth="1"/>
    <col min="4" max="5" width="7.625" style="25" customWidth="1"/>
    <col min="6" max="6" width="12.625" style="129" customWidth="1"/>
    <col min="7" max="7" width="15.75" style="130" customWidth="1"/>
    <col min="8" max="8" width="6.25" style="25" hidden="1" customWidth="1"/>
    <col min="9" max="9" width="25.875" style="25" hidden="1" customWidth="1"/>
    <col min="10" max="10" width="31.25" style="128" customWidth="1"/>
    <col min="11" max="16384" width="9" style="25"/>
  </cols>
  <sheetData>
    <row r="1" spans="1:10" ht="32.1" customHeight="1">
      <c r="A1" s="812" t="s">
        <v>954</v>
      </c>
      <c r="B1" s="812"/>
      <c r="C1" s="812"/>
      <c r="D1" s="812"/>
      <c r="E1" s="812"/>
      <c r="F1" s="812"/>
      <c r="G1" s="812"/>
      <c r="H1" s="812"/>
      <c r="I1" s="812"/>
      <c r="J1" s="812"/>
    </row>
    <row r="2" spans="1:10" ht="14.1" customHeight="1">
      <c r="A2" s="131" t="s">
        <v>472</v>
      </c>
      <c r="B2" s="131" t="s">
        <v>473</v>
      </c>
      <c r="C2" s="132" t="s">
        <v>474</v>
      </c>
      <c r="D2" s="131" t="s">
        <v>475</v>
      </c>
      <c r="E2" s="131" t="s">
        <v>476</v>
      </c>
      <c r="F2" s="133" t="s">
        <v>477</v>
      </c>
      <c r="G2" s="134" t="s">
        <v>478</v>
      </c>
      <c r="H2" s="131" t="s">
        <v>479</v>
      </c>
      <c r="I2" s="135" t="s">
        <v>480</v>
      </c>
      <c r="J2" s="132" t="s">
        <v>480</v>
      </c>
    </row>
    <row r="3" spans="1:10" s="74" customFormat="1" ht="14.1" customHeight="1" outlineLevel="2">
      <c r="A3" s="136" t="s">
        <v>559</v>
      </c>
      <c r="B3" s="137" t="s">
        <v>560</v>
      </c>
      <c r="C3" s="138" t="s">
        <v>482</v>
      </c>
      <c r="D3" s="139">
        <v>2</v>
      </c>
      <c r="E3" s="139">
        <v>12</v>
      </c>
      <c r="F3" s="140">
        <v>105000</v>
      </c>
      <c r="G3" s="141">
        <f>ROUND(F3*E3,2)</f>
        <v>1260000</v>
      </c>
      <c r="H3" s="75" t="s">
        <v>483</v>
      </c>
      <c r="I3" s="142"/>
      <c r="J3" s="143" t="s">
        <v>561</v>
      </c>
    </row>
    <row r="4" spans="1:10" s="74" customFormat="1" ht="14.1" customHeight="1" outlineLevel="2">
      <c r="A4" s="144" t="s">
        <v>562</v>
      </c>
      <c r="B4" s="137" t="s">
        <v>560</v>
      </c>
      <c r="C4" s="138" t="s">
        <v>482</v>
      </c>
      <c r="D4" s="145">
        <v>1</v>
      </c>
      <c r="E4" s="145">
        <v>7</v>
      </c>
      <c r="F4" s="140">
        <v>105000</v>
      </c>
      <c r="G4" s="141">
        <f>ROUND(F4*E4,2)</f>
        <v>735000</v>
      </c>
      <c r="H4" s="75" t="s">
        <v>483</v>
      </c>
      <c r="I4" s="142"/>
      <c r="J4" s="76" t="s">
        <v>563</v>
      </c>
    </row>
    <row r="5" spans="1:10" s="74" customFormat="1" ht="14.1" customHeight="1" outlineLevel="2">
      <c r="A5" s="136" t="s">
        <v>564</v>
      </c>
      <c r="B5" s="137" t="s">
        <v>565</v>
      </c>
      <c r="C5" s="138" t="s">
        <v>482</v>
      </c>
      <c r="D5" s="145">
        <v>1</v>
      </c>
      <c r="E5" s="139">
        <v>5</v>
      </c>
      <c r="F5" s="140">
        <v>105000</v>
      </c>
      <c r="G5" s="141">
        <f>ROUND(F5*E5,2)</f>
        <v>525000</v>
      </c>
      <c r="H5" s="75" t="s">
        <v>483</v>
      </c>
      <c r="I5" s="142"/>
      <c r="J5" s="76"/>
    </row>
    <row r="6" spans="1:10" s="74" customFormat="1" ht="14.1" customHeight="1" outlineLevel="2">
      <c r="A6" s="144" t="s">
        <v>566</v>
      </c>
      <c r="B6" s="137" t="s">
        <v>565</v>
      </c>
      <c r="C6" s="138" t="s">
        <v>482</v>
      </c>
      <c r="D6" s="145">
        <v>1</v>
      </c>
      <c r="E6" s="139">
        <v>5</v>
      </c>
      <c r="F6" s="140">
        <v>105000</v>
      </c>
      <c r="G6" s="141">
        <f>ROUND(F6*E6,2)</f>
        <v>525000</v>
      </c>
      <c r="H6" s="75"/>
      <c r="I6" s="142"/>
      <c r="J6" s="146" t="s">
        <v>512</v>
      </c>
    </row>
    <row r="7" spans="1:10" s="74" customFormat="1" ht="14.1" customHeight="1" outlineLevel="2">
      <c r="A7" s="136" t="s">
        <v>567</v>
      </c>
      <c r="B7" s="137" t="s">
        <v>568</v>
      </c>
      <c r="C7" s="138" t="s">
        <v>482</v>
      </c>
      <c r="D7" s="139">
        <v>1</v>
      </c>
      <c r="E7" s="139">
        <v>5</v>
      </c>
      <c r="F7" s="140">
        <v>105000</v>
      </c>
      <c r="G7" s="141">
        <f>ROUND(F7*E7,2)</f>
        <v>525000</v>
      </c>
      <c r="H7" s="75" t="s">
        <v>483</v>
      </c>
      <c r="I7" s="139"/>
      <c r="J7" s="76"/>
    </row>
    <row r="8" spans="1:10" s="74" customFormat="1" ht="14.1" customHeight="1" outlineLevel="2">
      <c r="A8" s="144" t="s">
        <v>854</v>
      </c>
      <c r="B8" s="137" t="s">
        <v>855</v>
      </c>
      <c r="C8" s="138" t="s">
        <v>856</v>
      </c>
      <c r="D8" s="139">
        <v>1</v>
      </c>
      <c r="E8" s="139">
        <v>5</v>
      </c>
      <c r="F8" s="140">
        <v>105000</v>
      </c>
      <c r="G8" s="141">
        <f t="shared" ref="G8:G16" si="0">ROUND(F8*E8,2)</f>
        <v>525000</v>
      </c>
      <c r="H8" s="75" t="s">
        <v>857</v>
      </c>
      <c r="I8" s="142"/>
      <c r="J8" s="146"/>
    </row>
    <row r="9" spans="1:10" s="74" customFormat="1" ht="14.1" customHeight="1" outlineLevel="2">
      <c r="A9" s="136" t="s">
        <v>858</v>
      </c>
      <c r="B9" s="137" t="s">
        <v>855</v>
      </c>
      <c r="C9" s="138" t="s">
        <v>856</v>
      </c>
      <c r="D9" s="145">
        <v>1</v>
      </c>
      <c r="E9" s="139">
        <v>5</v>
      </c>
      <c r="F9" s="140">
        <v>105000</v>
      </c>
      <c r="G9" s="141">
        <f t="shared" si="0"/>
        <v>525000</v>
      </c>
      <c r="H9" s="75" t="s">
        <v>857</v>
      </c>
      <c r="I9" s="142"/>
      <c r="J9" s="76"/>
    </row>
    <row r="10" spans="1:10" s="74" customFormat="1" ht="14.1" customHeight="1" outlineLevel="2">
      <c r="A10" s="136" t="s">
        <v>859</v>
      </c>
      <c r="B10" s="137" t="s">
        <v>855</v>
      </c>
      <c r="C10" s="138" t="s">
        <v>856</v>
      </c>
      <c r="D10" s="145">
        <v>1</v>
      </c>
      <c r="E10" s="139">
        <v>5</v>
      </c>
      <c r="F10" s="140">
        <v>105000</v>
      </c>
      <c r="G10" s="141">
        <f t="shared" si="0"/>
        <v>525000</v>
      </c>
      <c r="H10" s="75" t="s">
        <v>857</v>
      </c>
      <c r="I10" s="142"/>
      <c r="J10" s="76"/>
    </row>
    <row r="11" spans="1:10" s="74" customFormat="1" ht="14.1" customHeight="1" outlineLevel="2">
      <c r="A11" s="136" t="s">
        <v>484</v>
      </c>
      <c r="B11" s="137" t="s">
        <v>855</v>
      </c>
      <c r="C11" s="138" t="s">
        <v>856</v>
      </c>
      <c r="D11" s="145">
        <v>1</v>
      </c>
      <c r="E11" s="145">
        <v>5</v>
      </c>
      <c r="F11" s="140">
        <v>105000</v>
      </c>
      <c r="G11" s="141">
        <f t="shared" si="0"/>
        <v>525000</v>
      </c>
      <c r="H11" s="75" t="s">
        <v>857</v>
      </c>
      <c r="I11" s="142"/>
      <c r="J11" s="76"/>
    </row>
    <row r="12" spans="1:10" s="74" customFormat="1" ht="14.1" customHeight="1" outlineLevel="2">
      <c r="A12" s="136" t="s">
        <v>485</v>
      </c>
      <c r="B12" s="137" t="s">
        <v>855</v>
      </c>
      <c r="C12" s="138" t="s">
        <v>856</v>
      </c>
      <c r="D12" s="145">
        <v>1</v>
      </c>
      <c r="E12" s="145">
        <v>5</v>
      </c>
      <c r="F12" s="140">
        <v>105000</v>
      </c>
      <c r="G12" s="141">
        <f t="shared" si="0"/>
        <v>525000</v>
      </c>
      <c r="H12" s="75" t="s">
        <v>857</v>
      </c>
      <c r="I12" s="142"/>
      <c r="J12" s="76"/>
    </row>
    <row r="13" spans="1:10" s="74" customFormat="1" ht="14.1" customHeight="1" outlineLevel="2">
      <c r="A13" s="136" t="s">
        <v>486</v>
      </c>
      <c r="B13" s="137" t="s">
        <v>855</v>
      </c>
      <c r="C13" s="138" t="s">
        <v>856</v>
      </c>
      <c r="D13" s="139">
        <v>1</v>
      </c>
      <c r="E13" s="139">
        <v>5</v>
      </c>
      <c r="F13" s="140">
        <v>105000</v>
      </c>
      <c r="G13" s="141">
        <f t="shared" si="0"/>
        <v>525000</v>
      </c>
      <c r="H13" s="75" t="s">
        <v>857</v>
      </c>
      <c r="I13" s="142"/>
      <c r="J13" s="76"/>
    </row>
    <row r="14" spans="1:10" s="74" customFormat="1" ht="14.1" customHeight="1" outlineLevel="2">
      <c r="A14" s="144" t="s">
        <v>860</v>
      </c>
      <c r="B14" s="137" t="s">
        <v>855</v>
      </c>
      <c r="C14" s="138" t="s">
        <v>856</v>
      </c>
      <c r="D14" s="139">
        <v>1</v>
      </c>
      <c r="E14" s="139">
        <v>5</v>
      </c>
      <c r="F14" s="140">
        <v>105000</v>
      </c>
      <c r="G14" s="141">
        <f t="shared" si="0"/>
        <v>525000</v>
      </c>
      <c r="H14" s="75"/>
      <c r="I14" s="139"/>
      <c r="J14" s="76"/>
    </row>
    <row r="15" spans="1:10" s="74" customFormat="1" ht="14.1" customHeight="1" outlineLevel="2">
      <c r="A15" s="144" t="s">
        <v>861</v>
      </c>
      <c r="B15" s="137" t="s">
        <v>855</v>
      </c>
      <c r="C15" s="138" t="s">
        <v>856</v>
      </c>
      <c r="D15" s="139">
        <v>1</v>
      </c>
      <c r="E15" s="139">
        <v>5</v>
      </c>
      <c r="F15" s="140">
        <v>105000</v>
      </c>
      <c r="G15" s="141">
        <f t="shared" si="0"/>
        <v>525000</v>
      </c>
      <c r="H15" s="75"/>
      <c r="I15" s="139"/>
      <c r="J15" s="76" t="s">
        <v>862</v>
      </c>
    </row>
    <row r="16" spans="1:10" s="74" customFormat="1" ht="14.1" customHeight="1" outlineLevel="2">
      <c r="A16" s="147" t="s">
        <v>622</v>
      </c>
      <c r="B16" s="137" t="s">
        <v>931</v>
      </c>
      <c r="C16" s="142" t="s">
        <v>930</v>
      </c>
      <c r="D16" s="142">
        <v>1</v>
      </c>
      <c r="E16" s="142">
        <v>5</v>
      </c>
      <c r="F16" s="141">
        <v>105000</v>
      </c>
      <c r="G16" s="141">
        <f t="shared" si="0"/>
        <v>525000</v>
      </c>
      <c r="H16" s="75"/>
      <c r="I16" s="139"/>
      <c r="J16" s="76"/>
    </row>
    <row r="17" spans="1:10" s="74" customFormat="1" ht="14.1" customHeight="1" outlineLevel="1">
      <c r="A17" s="147"/>
      <c r="B17" s="137"/>
      <c r="C17" s="148" t="s">
        <v>945</v>
      </c>
      <c r="D17" s="142">
        <f>SUBTOTAL(9,D3:D16)</f>
        <v>15</v>
      </c>
      <c r="E17" s="142">
        <f>SUBTOTAL(9,E3:E16)</f>
        <v>79</v>
      </c>
      <c r="F17" s="141"/>
      <c r="G17" s="141">
        <f>SUBTOTAL(9,G3:G16)</f>
        <v>8295000</v>
      </c>
      <c r="H17" s="75"/>
      <c r="I17" s="139"/>
      <c r="J17" s="76"/>
    </row>
    <row r="18" spans="1:10" s="74" customFormat="1" ht="14.1" customHeight="1" outlineLevel="2">
      <c r="A18" s="136" t="s">
        <v>569</v>
      </c>
      <c r="B18" s="137" t="s">
        <v>568</v>
      </c>
      <c r="C18" s="138" t="s">
        <v>459</v>
      </c>
      <c r="D18" s="139">
        <v>1</v>
      </c>
      <c r="E18" s="139">
        <v>5</v>
      </c>
      <c r="F18" s="140">
        <v>105000</v>
      </c>
      <c r="G18" s="140">
        <f>ROUND(F18*E18,2)</f>
        <v>525000</v>
      </c>
      <c r="H18" s="75" t="s">
        <v>501</v>
      </c>
      <c r="I18" s="142"/>
      <c r="J18" s="76"/>
    </row>
    <row r="19" spans="1:10" s="74" customFormat="1" ht="14.1" customHeight="1" outlineLevel="2">
      <c r="A19" s="136" t="s">
        <v>570</v>
      </c>
      <c r="B19" s="137" t="s">
        <v>565</v>
      </c>
      <c r="C19" s="138" t="s">
        <v>459</v>
      </c>
      <c r="D19" s="139">
        <v>1</v>
      </c>
      <c r="E19" s="139">
        <v>5</v>
      </c>
      <c r="F19" s="140">
        <v>105000</v>
      </c>
      <c r="G19" s="140">
        <f>ROUND(F19*E19,2)</f>
        <v>525000</v>
      </c>
      <c r="H19" s="75" t="s">
        <v>501</v>
      </c>
      <c r="I19" s="142"/>
      <c r="J19" s="76"/>
    </row>
    <row r="20" spans="1:10" s="74" customFormat="1" ht="14.1" customHeight="1" outlineLevel="2">
      <c r="A20" s="144" t="s">
        <v>571</v>
      </c>
      <c r="B20" s="137" t="s">
        <v>560</v>
      </c>
      <c r="C20" s="138" t="s">
        <v>459</v>
      </c>
      <c r="D20" s="139">
        <v>1</v>
      </c>
      <c r="E20" s="139">
        <v>6</v>
      </c>
      <c r="F20" s="140">
        <v>105000</v>
      </c>
      <c r="G20" s="140">
        <f>ROUND(F20*E20,2)</f>
        <v>630000</v>
      </c>
      <c r="H20" s="75" t="s">
        <v>487</v>
      </c>
      <c r="I20" s="142"/>
      <c r="J20" s="146" t="s">
        <v>572</v>
      </c>
    </row>
    <row r="21" spans="1:10" s="74" customFormat="1" ht="14.1" customHeight="1" outlineLevel="2">
      <c r="A21" s="136" t="s">
        <v>573</v>
      </c>
      <c r="B21" s="137" t="s">
        <v>568</v>
      </c>
      <c r="C21" s="138" t="s">
        <v>459</v>
      </c>
      <c r="D21" s="139">
        <v>1</v>
      </c>
      <c r="E21" s="139">
        <v>5</v>
      </c>
      <c r="F21" s="140">
        <v>105000</v>
      </c>
      <c r="G21" s="140">
        <f>ROUND(F21*E21,2)</f>
        <v>525000</v>
      </c>
      <c r="H21" s="75" t="s">
        <v>487</v>
      </c>
      <c r="I21" s="142"/>
      <c r="J21" s="76"/>
    </row>
    <row r="22" spans="1:10" s="74" customFormat="1" ht="14.1" customHeight="1" outlineLevel="2">
      <c r="A22" s="136" t="s">
        <v>574</v>
      </c>
      <c r="B22" s="137" t="s">
        <v>565</v>
      </c>
      <c r="C22" s="138" t="s">
        <v>459</v>
      </c>
      <c r="D22" s="139">
        <v>1</v>
      </c>
      <c r="E22" s="139">
        <v>5</v>
      </c>
      <c r="F22" s="140">
        <v>105000</v>
      </c>
      <c r="G22" s="140">
        <f>ROUND(F22*E22,2)</f>
        <v>525000</v>
      </c>
      <c r="H22" s="75" t="s">
        <v>487</v>
      </c>
      <c r="I22" s="142"/>
      <c r="J22" s="76"/>
    </row>
    <row r="23" spans="1:10" s="74" customFormat="1" ht="14.1" customHeight="1" outlineLevel="2">
      <c r="A23" s="136" t="s">
        <v>863</v>
      </c>
      <c r="B23" s="137" t="s">
        <v>855</v>
      </c>
      <c r="C23" s="138" t="s">
        <v>864</v>
      </c>
      <c r="D23" s="139">
        <v>1</v>
      </c>
      <c r="E23" s="139">
        <v>5</v>
      </c>
      <c r="F23" s="140">
        <v>105000</v>
      </c>
      <c r="G23" s="140">
        <f t="shared" ref="G23:G32" si="1">ROUND(F23*E23,2)</f>
        <v>525000</v>
      </c>
      <c r="H23" s="75" t="s">
        <v>487</v>
      </c>
      <c r="I23" s="142"/>
      <c r="J23" s="76"/>
    </row>
    <row r="24" spans="1:10" s="74" customFormat="1" ht="14.1" customHeight="1" outlineLevel="2">
      <c r="A24" s="136" t="s">
        <v>865</v>
      </c>
      <c r="B24" s="137" t="s">
        <v>855</v>
      </c>
      <c r="C24" s="138" t="s">
        <v>459</v>
      </c>
      <c r="D24" s="139">
        <v>1</v>
      </c>
      <c r="E24" s="139">
        <v>5</v>
      </c>
      <c r="F24" s="140">
        <v>105000</v>
      </c>
      <c r="G24" s="140">
        <f t="shared" si="1"/>
        <v>525000</v>
      </c>
      <c r="H24" s="75" t="s">
        <v>487</v>
      </c>
      <c r="I24" s="142"/>
      <c r="J24" s="76"/>
    </row>
    <row r="25" spans="1:10" s="74" customFormat="1" ht="14.1" customHeight="1" outlineLevel="2">
      <c r="A25" s="136" t="s">
        <v>488</v>
      </c>
      <c r="B25" s="137" t="s">
        <v>855</v>
      </c>
      <c r="C25" s="138" t="s">
        <v>864</v>
      </c>
      <c r="D25" s="139">
        <v>1</v>
      </c>
      <c r="E25" s="139">
        <v>5</v>
      </c>
      <c r="F25" s="140">
        <v>105000</v>
      </c>
      <c r="G25" s="140">
        <f t="shared" si="1"/>
        <v>525000</v>
      </c>
      <c r="H25" s="75" t="s">
        <v>487</v>
      </c>
      <c r="I25" s="142"/>
      <c r="J25" s="76"/>
    </row>
    <row r="26" spans="1:10" s="74" customFormat="1" ht="14.1" customHeight="1" outlineLevel="2">
      <c r="A26" s="144" t="s">
        <v>866</v>
      </c>
      <c r="B26" s="137" t="s">
        <v>855</v>
      </c>
      <c r="C26" s="138" t="s">
        <v>864</v>
      </c>
      <c r="D26" s="139">
        <v>1</v>
      </c>
      <c r="E26" s="139">
        <v>5</v>
      </c>
      <c r="F26" s="140">
        <v>105000</v>
      </c>
      <c r="G26" s="140">
        <f t="shared" si="1"/>
        <v>525000</v>
      </c>
      <c r="H26" s="75" t="s">
        <v>487</v>
      </c>
      <c r="I26" s="142"/>
      <c r="J26" s="76"/>
    </row>
    <row r="27" spans="1:10" s="74" customFormat="1" ht="14.1" customHeight="1" outlineLevel="2">
      <c r="A27" s="136" t="s">
        <v>867</v>
      </c>
      <c r="B27" s="137" t="s">
        <v>855</v>
      </c>
      <c r="C27" s="138" t="s">
        <v>864</v>
      </c>
      <c r="D27" s="139">
        <v>1</v>
      </c>
      <c r="E27" s="139">
        <v>5</v>
      </c>
      <c r="F27" s="140">
        <v>105000</v>
      </c>
      <c r="G27" s="140">
        <f t="shared" si="1"/>
        <v>525000</v>
      </c>
      <c r="H27" s="75" t="s">
        <v>487</v>
      </c>
      <c r="I27" s="142"/>
      <c r="J27" s="76"/>
    </row>
    <row r="28" spans="1:10" s="74" customFormat="1" ht="14.1" customHeight="1" outlineLevel="2">
      <c r="A28" s="144" t="s">
        <v>868</v>
      </c>
      <c r="B28" s="137" t="s">
        <v>855</v>
      </c>
      <c r="C28" s="138" t="s">
        <v>864</v>
      </c>
      <c r="D28" s="139">
        <v>1</v>
      </c>
      <c r="E28" s="139">
        <v>5</v>
      </c>
      <c r="F28" s="140">
        <v>105000</v>
      </c>
      <c r="G28" s="140">
        <f t="shared" si="1"/>
        <v>525000</v>
      </c>
      <c r="H28" s="75" t="s">
        <v>487</v>
      </c>
      <c r="I28" s="142"/>
      <c r="J28" s="76"/>
    </row>
    <row r="29" spans="1:10" s="74" customFormat="1" ht="14.1" customHeight="1" outlineLevel="2">
      <c r="A29" s="136" t="s">
        <v>869</v>
      </c>
      <c r="B29" s="137" t="s">
        <v>855</v>
      </c>
      <c r="C29" s="138" t="s">
        <v>864</v>
      </c>
      <c r="D29" s="139">
        <v>1</v>
      </c>
      <c r="E29" s="139">
        <v>5</v>
      </c>
      <c r="F29" s="140">
        <v>105000</v>
      </c>
      <c r="G29" s="140">
        <f t="shared" si="1"/>
        <v>525000</v>
      </c>
      <c r="H29" s="75" t="s">
        <v>487</v>
      </c>
      <c r="I29" s="142"/>
      <c r="J29" s="76"/>
    </row>
    <row r="30" spans="1:10" s="74" customFormat="1" ht="14.1" customHeight="1" outlineLevel="2">
      <c r="A30" s="144" t="s">
        <v>870</v>
      </c>
      <c r="B30" s="137" t="s">
        <v>855</v>
      </c>
      <c r="C30" s="138" t="s">
        <v>864</v>
      </c>
      <c r="D30" s="139">
        <v>1</v>
      </c>
      <c r="E30" s="139">
        <v>5</v>
      </c>
      <c r="F30" s="140">
        <v>105000</v>
      </c>
      <c r="G30" s="140">
        <f t="shared" si="1"/>
        <v>525000</v>
      </c>
      <c r="H30" s="75" t="s">
        <v>487</v>
      </c>
      <c r="I30" s="142"/>
      <c r="J30" s="76"/>
    </row>
    <row r="31" spans="1:10" s="74" customFormat="1" ht="14.1" customHeight="1" outlineLevel="2">
      <c r="A31" s="144" t="s">
        <v>871</v>
      </c>
      <c r="B31" s="137" t="s">
        <v>855</v>
      </c>
      <c r="C31" s="138" t="s">
        <v>459</v>
      </c>
      <c r="D31" s="139">
        <v>1</v>
      </c>
      <c r="E31" s="139">
        <v>5</v>
      </c>
      <c r="F31" s="140">
        <v>105000</v>
      </c>
      <c r="G31" s="140">
        <f t="shared" si="1"/>
        <v>525000</v>
      </c>
      <c r="H31" s="75"/>
      <c r="I31" s="142"/>
      <c r="J31" s="76" t="s">
        <v>489</v>
      </c>
    </row>
    <row r="32" spans="1:10" s="74" customFormat="1" ht="14.1" customHeight="1" outlineLevel="2">
      <c r="A32" s="149" t="s">
        <v>628</v>
      </c>
      <c r="B32" s="137" t="s">
        <v>931</v>
      </c>
      <c r="C32" s="145" t="s">
        <v>943</v>
      </c>
      <c r="D32" s="139">
        <v>1</v>
      </c>
      <c r="E32" s="139">
        <v>5</v>
      </c>
      <c r="F32" s="141">
        <v>105000</v>
      </c>
      <c r="G32" s="141">
        <f t="shared" si="1"/>
        <v>525000</v>
      </c>
      <c r="H32" s="75"/>
      <c r="I32" s="142"/>
      <c r="J32" s="76"/>
    </row>
    <row r="33" spans="1:10" s="74" customFormat="1" ht="14.1" customHeight="1" outlineLevel="1">
      <c r="A33" s="149"/>
      <c r="B33" s="137"/>
      <c r="C33" s="150" t="s">
        <v>946</v>
      </c>
      <c r="D33" s="139">
        <f>SUBTOTAL(9,D18:D32)</f>
        <v>15</v>
      </c>
      <c r="E33" s="139">
        <f>SUBTOTAL(9,E18:E32)</f>
        <v>76</v>
      </c>
      <c r="F33" s="141"/>
      <c r="G33" s="141">
        <f>SUBTOTAL(9,G18:G32)</f>
        <v>7980000</v>
      </c>
      <c r="H33" s="75"/>
      <c r="I33" s="142"/>
      <c r="J33" s="76"/>
    </row>
    <row r="34" spans="1:10" s="74" customFormat="1" ht="14.1" customHeight="1" outlineLevel="2">
      <c r="A34" s="144" t="s">
        <v>274</v>
      </c>
      <c r="B34" s="137" t="s">
        <v>560</v>
      </c>
      <c r="C34" s="138" t="s">
        <v>490</v>
      </c>
      <c r="D34" s="139">
        <v>1</v>
      </c>
      <c r="E34" s="139">
        <v>5</v>
      </c>
      <c r="F34" s="140">
        <v>105000</v>
      </c>
      <c r="G34" s="140">
        <f>ROUND(F34*E34,2)</f>
        <v>525000</v>
      </c>
      <c r="H34" s="75" t="s">
        <v>494</v>
      </c>
      <c r="I34" s="142"/>
      <c r="J34" s="76"/>
    </row>
    <row r="35" spans="1:10" s="74" customFormat="1" ht="14.1" customHeight="1" outlineLevel="2">
      <c r="A35" s="136" t="s">
        <v>872</v>
      </c>
      <c r="B35" s="137" t="s">
        <v>855</v>
      </c>
      <c r="C35" s="138" t="s">
        <v>873</v>
      </c>
      <c r="D35" s="139">
        <v>1</v>
      </c>
      <c r="E35" s="139">
        <v>5</v>
      </c>
      <c r="F35" s="140">
        <v>105000</v>
      </c>
      <c r="G35" s="140">
        <f t="shared" ref="G35:G40" si="2">ROUND(F35*E35,2)</f>
        <v>525000</v>
      </c>
      <c r="H35" s="75" t="s">
        <v>491</v>
      </c>
      <c r="I35" s="142"/>
      <c r="J35" s="76"/>
    </row>
    <row r="36" spans="1:10" s="74" customFormat="1" ht="14.1" customHeight="1" outlineLevel="2">
      <c r="A36" s="144" t="s">
        <v>874</v>
      </c>
      <c r="B36" s="137" t="s">
        <v>855</v>
      </c>
      <c r="C36" s="138" t="s">
        <v>873</v>
      </c>
      <c r="D36" s="139">
        <v>1</v>
      </c>
      <c r="E36" s="139">
        <v>5</v>
      </c>
      <c r="F36" s="140">
        <v>105000</v>
      </c>
      <c r="G36" s="140">
        <f t="shared" si="2"/>
        <v>525000</v>
      </c>
      <c r="H36" s="75" t="s">
        <v>875</v>
      </c>
      <c r="I36" s="142"/>
      <c r="J36" s="76"/>
    </row>
    <row r="37" spans="1:10" s="74" customFormat="1" ht="14.1" customHeight="1" outlineLevel="2">
      <c r="A37" s="144" t="s">
        <v>876</v>
      </c>
      <c r="B37" s="137" t="s">
        <v>855</v>
      </c>
      <c r="C37" s="138" t="s">
        <v>873</v>
      </c>
      <c r="D37" s="139">
        <v>1</v>
      </c>
      <c r="E37" s="139">
        <v>5</v>
      </c>
      <c r="F37" s="140">
        <v>105000</v>
      </c>
      <c r="G37" s="140">
        <f t="shared" si="2"/>
        <v>525000</v>
      </c>
      <c r="H37" s="75"/>
      <c r="I37" s="142"/>
      <c r="J37" s="76" t="s">
        <v>877</v>
      </c>
    </row>
    <row r="38" spans="1:10" s="74" customFormat="1" ht="14.1" customHeight="1" outlineLevel="2">
      <c r="A38" s="151" t="s">
        <v>878</v>
      </c>
      <c r="B38" s="152" t="s">
        <v>855</v>
      </c>
      <c r="C38" s="138" t="s">
        <v>490</v>
      </c>
      <c r="D38" s="139">
        <v>1</v>
      </c>
      <c r="E38" s="139">
        <v>5</v>
      </c>
      <c r="F38" s="140">
        <v>105000</v>
      </c>
      <c r="G38" s="140">
        <f t="shared" si="2"/>
        <v>525000</v>
      </c>
      <c r="H38" s="75" t="s">
        <v>491</v>
      </c>
      <c r="I38" s="142"/>
      <c r="J38" s="76"/>
    </row>
    <row r="39" spans="1:10" s="74" customFormat="1" ht="14.1" customHeight="1" outlineLevel="2">
      <c r="A39" s="153" t="s">
        <v>879</v>
      </c>
      <c r="B39" s="152" t="s">
        <v>855</v>
      </c>
      <c r="C39" s="138" t="s">
        <v>873</v>
      </c>
      <c r="D39" s="139">
        <v>1</v>
      </c>
      <c r="E39" s="139">
        <v>5</v>
      </c>
      <c r="F39" s="140">
        <v>105000</v>
      </c>
      <c r="G39" s="140">
        <f t="shared" si="2"/>
        <v>525000</v>
      </c>
      <c r="H39" s="75"/>
      <c r="I39" s="142"/>
      <c r="J39" s="146" t="s">
        <v>880</v>
      </c>
    </row>
    <row r="40" spans="1:10" s="74" customFormat="1" ht="14.1" customHeight="1" outlineLevel="2">
      <c r="A40" s="153" t="s">
        <v>881</v>
      </c>
      <c r="B40" s="152" t="s">
        <v>855</v>
      </c>
      <c r="C40" s="138" t="s">
        <v>873</v>
      </c>
      <c r="D40" s="139">
        <v>1</v>
      </c>
      <c r="E40" s="139">
        <v>5</v>
      </c>
      <c r="F40" s="140">
        <v>105000</v>
      </c>
      <c r="G40" s="140">
        <f t="shared" si="2"/>
        <v>525000</v>
      </c>
      <c r="H40" s="75"/>
      <c r="I40" s="142"/>
      <c r="J40" s="76"/>
    </row>
    <row r="41" spans="1:10" s="74" customFormat="1" ht="14.1" customHeight="1" outlineLevel="1">
      <c r="A41" s="153"/>
      <c r="B41" s="152"/>
      <c r="C41" s="154" t="s">
        <v>947</v>
      </c>
      <c r="D41" s="139">
        <f>SUBTOTAL(9,D34:D40)</f>
        <v>7</v>
      </c>
      <c r="E41" s="139">
        <f>SUBTOTAL(9,E34:E40)</f>
        <v>35</v>
      </c>
      <c r="F41" s="140"/>
      <c r="G41" s="140">
        <f>SUBTOTAL(9,G34:G40)</f>
        <v>3675000</v>
      </c>
      <c r="H41" s="75"/>
      <c r="I41" s="142"/>
      <c r="J41" s="76"/>
    </row>
    <row r="42" spans="1:10" s="74" customFormat="1" ht="14.1" customHeight="1" outlineLevel="2">
      <c r="A42" s="136" t="s">
        <v>575</v>
      </c>
      <c r="B42" s="137" t="s">
        <v>568</v>
      </c>
      <c r="C42" s="138" t="s">
        <v>493</v>
      </c>
      <c r="D42" s="139">
        <v>2</v>
      </c>
      <c r="E42" s="139">
        <v>10</v>
      </c>
      <c r="F42" s="140">
        <v>105000</v>
      </c>
      <c r="G42" s="140">
        <f t="shared" ref="G42:G72" si="3">ROUND(F42*E42,2)</f>
        <v>1050000</v>
      </c>
      <c r="H42" s="75" t="s">
        <v>494</v>
      </c>
      <c r="I42" s="142" t="s">
        <v>576</v>
      </c>
      <c r="J42" s="76"/>
    </row>
    <row r="43" spans="1:10" s="74" customFormat="1" ht="14.1" customHeight="1" outlineLevel="2">
      <c r="A43" s="136" t="s">
        <v>577</v>
      </c>
      <c r="B43" s="137" t="s">
        <v>568</v>
      </c>
      <c r="C43" s="138" t="s">
        <v>493</v>
      </c>
      <c r="D43" s="139">
        <v>1</v>
      </c>
      <c r="E43" s="139">
        <v>5</v>
      </c>
      <c r="F43" s="140">
        <v>105000</v>
      </c>
      <c r="G43" s="140">
        <f t="shared" si="3"/>
        <v>525000</v>
      </c>
      <c r="H43" s="75" t="s">
        <v>501</v>
      </c>
      <c r="I43" s="142"/>
      <c r="J43" s="76"/>
    </row>
    <row r="44" spans="1:10" s="74" customFormat="1" ht="14.1" customHeight="1" outlineLevel="2">
      <c r="A44" s="136" t="s">
        <v>578</v>
      </c>
      <c r="B44" s="137" t="s">
        <v>565</v>
      </c>
      <c r="C44" s="138" t="s">
        <v>493</v>
      </c>
      <c r="D44" s="139">
        <v>2</v>
      </c>
      <c r="E44" s="139">
        <v>11</v>
      </c>
      <c r="F44" s="140">
        <v>105000</v>
      </c>
      <c r="G44" s="140">
        <f t="shared" si="3"/>
        <v>1155000</v>
      </c>
      <c r="H44" s="75" t="s">
        <v>494</v>
      </c>
      <c r="I44" s="142" t="s">
        <v>579</v>
      </c>
      <c r="J44" s="76"/>
    </row>
    <row r="45" spans="1:10" s="74" customFormat="1" ht="14.1" customHeight="1" outlineLevel="2">
      <c r="A45" s="136" t="s">
        <v>580</v>
      </c>
      <c r="B45" s="137" t="s">
        <v>565</v>
      </c>
      <c r="C45" s="138" t="s">
        <v>493</v>
      </c>
      <c r="D45" s="139">
        <v>1</v>
      </c>
      <c r="E45" s="139">
        <v>7</v>
      </c>
      <c r="F45" s="140">
        <v>105000</v>
      </c>
      <c r="G45" s="140">
        <f t="shared" si="3"/>
        <v>735000</v>
      </c>
      <c r="H45" s="75" t="s">
        <v>494</v>
      </c>
      <c r="I45" s="142" t="s">
        <v>581</v>
      </c>
      <c r="J45" s="76"/>
    </row>
    <row r="46" spans="1:10" s="74" customFormat="1" ht="14.1" customHeight="1" outlineLevel="2">
      <c r="A46" s="144" t="s">
        <v>582</v>
      </c>
      <c r="B46" s="137" t="s">
        <v>565</v>
      </c>
      <c r="C46" s="138" t="s">
        <v>493</v>
      </c>
      <c r="D46" s="139">
        <v>1</v>
      </c>
      <c r="E46" s="139">
        <v>5</v>
      </c>
      <c r="F46" s="140">
        <v>105000</v>
      </c>
      <c r="G46" s="140">
        <f t="shared" si="3"/>
        <v>525000</v>
      </c>
      <c r="H46" s="75"/>
      <c r="I46" s="142"/>
      <c r="J46" s="76" t="s">
        <v>583</v>
      </c>
    </row>
    <row r="47" spans="1:10" s="74" customFormat="1" ht="14.1" customHeight="1" outlineLevel="2">
      <c r="A47" s="136" t="s">
        <v>584</v>
      </c>
      <c r="B47" s="137" t="s">
        <v>565</v>
      </c>
      <c r="C47" s="138" t="s">
        <v>493</v>
      </c>
      <c r="D47" s="139">
        <v>1</v>
      </c>
      <c r="E47" s="139">
        <v>5</v>
      </c>
      <c r="F47" s="140">
        <v>105000</v>
      </c>
      <c r="G47" s="140">
        <f t="shared" si="3"/>
        <v>525000</v>
      </c>
      <c r="H47" s="75" t="s">
        <v>494</v>
      </c>
      <c r="I47" s="142"/>
      <c r="J47" s="76"/>
    </row>
    <row r="48" spans="1:10" s="74" customFormat="1" ht="14.1" customHeight="1" outlineLevel="2">
      <c r="A48" s="136" t="s">
        <v>585</v>
      </c>
      <c r="B48" s="137" t="s">
        <v>565</v>
      </c>
      <c r="C48" s="138" t="s">
        <v>493</v>
      </c>
      <c r="D48" s="139">
        <v>1</v>
      </c>
      <c r="E48" s="139">
        <v>5</v>
      </c>
      <c r="F48" s="140">
        <v>105000</v>
      </c>
      <c r="G48" s="140">
        <f t="shared" si="3"/>
        <v>525000</v>
      </c>
      <c r="H48" s="75" t="s">
        <v>501</v>
      </c>
      <c r="I48" s="142"/>
      <c r="J48" s="76"/>
    </row>
    <row r="49" spans="1:10" s="74" customFormat="1" ht="14.1" customHeight="1" outlineLevel="2">
      <c r="A49" s="136" t="s">
        <v>586</v>
      </c>
      <c r="B49" s="137" t="s">
        <v>568</v>
      </c>
      <c r="C49" s="138" t="s">
        <v>493</v>
      </c>
      <c r="D49" s="139">
        <v>1</v>
      </c>
      <c r="E49" s="139">
        <v>5</v>
      </c>
      <c r="F49" s="140">
        <v>105000</v>
      </c>
      <c r="G49" s="140">
        <f t="shared" si="3"/>
        <v>525000</v>
      </c>
      <c r="H49" s="75" t="s">
        <v>516</v>
      </c>
      <c r="I49" s="142"/>
      <c r="J49" s="76"/>
    </row>
    <row r="50" spans="1:10" s="74" customFormat="1" ht="14.1" customHeight="1" outlineLevel="2">
      <c r="A50" s="136" t="s">
        <v>587</v>
      </c>
      <c r="B50" s="137" t="s">
        <v>568</v>
      </c>
      <c r="C50" s="138" t="s">
        <v>493</v>
      </c>
      <c r="D50" s="139">
        <v>1</v>
      </c>
      <c r="E50" s="139">
        <v>5</v>
      </c>
      <c r="F50" s="140">
        <v>105000</v>
      </c>
      <c r="G50" s="140">
        <f t="shared" si="3"/>
        <v>525000</v>
      </c>
      <c r="H50" s="75" t="s">
        <v>516</v>
      </c>
      <c r="I50" s="142"/>
      <c r="J50" s="76"/>
    </row>
    <row r="51" spans="1:10" s="74" customFormat="1" ht="14.1" customHeight="1" outlineLevel="2">
      <c r="A51" s="136" t="s">
        <v>588</v>
      </c>
      <c r="B51" s="137" t="s">
        <v>565</v>
      </c>
      <c r="C51" s="138" t="s">
        <v>493</v>
      </c>
      <c r="D51" s="139">
        <v>1</v>
      </c>
      <c r="E51" s="139">
        <v>5</v>
      </c>
      <c r="F51" s="140">
        <v>105000</v>
      </c>
      <c r="G51" s="140">
        <f t="shared" si="3"/>
        <v>525000</v>
      </c>
      <c r="H51" s="75" t="s">
        <v>516</v>
      </c>
      <c r="I51" s="142"/>
      <c r="J51" s="76"/>
    </row>
    <row r="52" spans="1:10" s="74" customFormat="1" ht="14.1" customHeight="1" outlineLevel="2">
      <c r="A52" s="136" t="s">
        <v>589</v>
      </c>
      <c r="B52" s="137" t="s">
        <v>565</v>
      </c>
      <c r="C52" s="138" t="s">
        <v>493</v>
      </c>
      <c r="D52" s="145">
        <v>1</v>
      </c>
      <c r="E52" s="145">
        <v>12</v>
      </c>
      <c r="F52" s="140">
        <v>105000</v>
      </c>
      <c r="G52" s="140">
        <f t="shared" si="3"/>
        <v>1260000</v>
      </c>
      <c r="H52" s="137" t="s">
        <v>516</v>
      </c>
      <c r="I52" s="142"/>
      <c r="J52" s="155" t="s">
        <v>590</v>
      </c>
    </row>
    <row r="53" spans="1:10" s="74" customFormat="1" ht="14.1" customHeight="1" outlineLevel="2">
      <c r="A53" s="136" t="s">
        <v>834</v>
      </c>
      <c r="B53" s="137" t="s">
        <v>568</v>
      </c>
      <c r="C53" s="138" t="s">
        <v>493</v>
      </c>
      <c r="D53" s="145">
        <v>2</v>
      </c>
      <c r="E53" s="145">
        <v>10</v>
      </c>
      <c r="F53" s="140">
        <v>105000</v>
      </c>
      <c r="G53" s="140">
        <f t="shared" si="3"/>
        <v>1050000</v>
      </c>
      <c r="H53" s="137" t="s">
        <v>494</v>
      </c>
      <c r="I53" s="142"/>
      <c r="J53" s="76" t="s">
        <v>835</v>
      </c>
    </row>
    <row r="54" spans="1:10" s="74" customFormat="1" ht="14.1" customHeight="1" outlineLevel="2">
      <c r="A54" s="144" t="s">
        <v>591</v>
      </c>
      <c r="B54" s="137" t="s">
        <v>568</v>
      </c>
      <c r="C54" s="138" t="s">
        <v>493</v>
      </c>
      <c r="D54" s="145">
        <v>1</v>
      </c>
      <c r="E54" s="145">
        <v>10</v>
      </c>
      <c r="F54" s="140">
        <v>105000</v>
      </c>
      <c r="G54" s="140">
        <f t="shared" si="3"/>
        <v>1050000</v>
      </c>
      <c r="H54" s="137"/>
      <c r="I54" s="142"/>
      <c r="J54" s="146" t="s">
        <v>592</v>
      </c>
    </row>
    <row r="55" spans="1:10" s="74" customFormat="1" ht="14.1" customHeight="1" outlineLevel="2">
      <c r="A55" s="144" t="s">
        <v>593</v>
      </c>
      <c r="B55" s="137" t="s">
        <v>565</v>
      </c>
      <c r="C55" s="138" t="s">
        <v>493</v>
      </c>
      <c r="D55" s="145">
        <v>1</v>
      </c>
      <c r="E55" s="145">
        <v>6</v>
      </c>
      <c r="F55" s="140">
        <v>105000</v>
      </c>
      <c r="G55" s="140">
        <f t="shared" si="3"/>
        <v>630000</v>
      </c>
      <c r="H55" s="137" t="s">
        <v>501</v>
      </c>
      <c r="I55" s="156" t="s">
        <v>836</v>
      </c>
      <c r="J55" s="146" t="s">
        <v>594</v>
      </c>
    </row>
    <row r="56" spans="1:10" s="74" customFormat="1" ht="14.1" customHeight="1" outlineLevel="2">
      <c r="A56" s="144" t="s">
        <v>265</v>
      </c>
      <c r="B56" s="137" t="s">
        <v>560</v>
      </c>
      <c r="C56" s="138" t="s">
        <v>493</v>
      </c>
      <c r="D56" s="145">
        <v>2</v>
      </c>
      <c r="E56" s="145">
        <v>10</v>
      </c>
      <c r="F56" s="140">
        <v>105000</v>
      </c>
      <c r="G56" s="140">
        <f t="shared" si="3"/>
        <v>1050000</v>
      </c>
      <c r="H56" s="137"/>
      <c r="I56" s="156"/>
      <c r="J56" s="146" t="s">
        <v>514</v>
      </c>
    </row>
    <row r="57" spans="1:10" s="74" customFormat="1" ht="14.1" customHeight="1" outlineLevel="2">
      <c r="A57" s="136" t="s">
        <v>882</v>
      </c>
      <c r="B57" s="137" t="s">
        <v>855</v>
      </c>
      <c r="C57" s="138" t="s">
        <v>883</v>
      </c>
      <c r="D57" s="139">
        <v>1</v>
      </c>
      <c r="E57" s="139">
        <v>7</v>
      </c>
      <c r="F57" s="140">
        <v>105000</v>
      </c>
      <c r="G57" s="140">
        <f t="shared" si="3"/>
        <v>735000</v>
      </c>
      <c r="H57" s="75" t="s">
        <v>494</v>
      </c>
      <c r="I57" s="156"/>
      <c r="J57" s="76"/>
    </row>
    <row r="58" spans="1:10" s="74" customFormat="1" ht="14.1" customHeight="1" outlineLevel="2">
      <c r="A58" s="144" t="s">
        <v>495</v>
      </c>
      <c r="B58" s="137" t="s">
        <v>481</v>
      </c>
      <c r="C58" s="138" t="s">
        <v>493</v>
      </c>
      <c r="D58" s="139">
        <v>1</v>
      </c>
      <c r="E58" s="139">
        <v>5</v>
      </c>
      <c r="F58" s="140">
        <v>105000</v>
      </c>
      <c r="G58" s="140">
        <f t="shared" si="3"/>
        <v>525000</v>
      </c>
      <c r="H58" s="75" t="s">
        <v>494</v>
      </c>
      <c r="I58" s="156"/>
      <c r="J58" s="76"/>
    </row>
    <row r="59" spans="1:10" s="74" customFormat="1" ht="14.1" customHeight="1" outlineLevel="2">
      <c r="A59" s="144" t="s">
        <v>496</v>
      </c>
      <c r="B59" s="137" t="s">
        <v>481</v>
      </c>
      <c r="C59" s="138" t="s">
        <v>493</v>
      </c>
      <c r="D59" s="139">
        <v>1</v>
      </c>
      <c r="E59" s="139">
        <v>5</v>
      </c>
      <c r="F59" s="140">
        <v>105000</v>
      </c>
      <c r="G59" s="140">
        <f t="shared" si="3"/>
        <v>525000</v>
      </c>
      <c r="H59" s="75" t="s">
        <v>494</v>
      </c>
      <c r="I59" s="156"/>
      <c r="J59" s="76"/>
    </row>
    <row r="60" spans="1:10" s="74" customFormat="1" ht="14.1" customHeight="1" outlineLevel="2">
      <c r="A60" s="144" t="s">
        <v>497</v>
      </c>
      <c r="B60" s="137" t="s">
        <v>481</v>
      </c>
      <c r="C60" s="138" t="s">
        <v>493</v>
      </c>
      <c r="D60" s="139">
        <v>1</v>
      </c>
      <c r="E60" s="139">
        <v>5</v>
      </c>
      <c r="F60" s="140">
        <v>105000</v>
      </c>
      <c r="G60" s="140">
        <f t="shared" si="3"/>
        <v>525000</v>
      </c>
      <c r="H60" s="75" t="s">
        <v>494</v>
      </c>
      <c r="I60" s="156"/>
      <c r="J60" s="76"/>
    </row>
    <row r="61" spans="1:10" s="74" customFormat="1" ht="14.1" customHeight="1" outlineLevel="2">
      <c r="A61" s="144" t="s">
        <v>498</v>
      </c>
      <c r="B61" s="137" t="s">
        <v>481</v>
      </c>
      <c r="C61" s="138" t="s">
        <v>493</v>
      </c>
      <c r="D61" s="139">
        <v>1</v>
      </c>
      <c r="E61" s="139">
        <v>5</v>
      </c>
      <c r="F61" s="140">
        <v>105000</v>
      </c>
      <c r="G61" s="140">
        <f t="shared" si="3"/>
        <v>525000</v>
      </c>
      <c r="H61" s="75" t="s">
        <v>494</v>
      </c>
      <c r="I61" s="156"/>
      <c r="J61" s="76"/>
    </row>
    <row r="62" spans="1:10" s="74" customFormat="1" ht="14.1" customHeight="1" outlineLevel="2">
      <c r="A62" s="144" t="s">
        <v>499</v>
      </c>
      <c r="B62" s="137" t="s">
        <v>481</v>
      </c>
      <c r="C62" s="138" t="s">
        <v>493</v>
      </c>
      <c r="D62" s="139">
        <v>1</v>
      </c>
      <c r="E62" s="139">
        <v>5</v>
      </c>
      <c r="F62" s="140">
        <v>105000</v>
      </c>
      <c r="G62" s="140">
        <f t="shared" si="3"/>
        <v>525000</v>
      </c>
      <c r="H62" s="75" t="s">
        <v>494</v>
      </c>
      <c r="I62" s="156"/>
      <c r="J62" s="76"/>
    </row>
    <row r="63" spans="1:10" s="74" customFormat="1" ht="14.1" customHeight="1" outlineLevel="2">
      <c r="A63" s="136" t="s">
        <v>500</v>
      </c>
      <c r="B63" s="137" t="s">
        <v>481</v>
      </c>
      <c r="C63" s="138" t="s">
        <v>493</v>
      </c>
      <c r="D63" s="139">
        <v>1</v>
      </c>
      <c r="E63" s="139">
        <v>5</v>
      </c>
      <c r="F63" s="140">
        <v>105000</v>
      </c>
      <c r="G63" s="140">
        <f t="shared" si="3"/>
        <v>525000</v>
      </c>
      <c r="H63" s="75" t="s">
        <v>501</v>
      </c>
      <c r="I63" s="142"/>
      <c r="J63" s="76"/>
    </row>
    <row r="64" spans="1:10" s="74" customFormat="1" ht="14.1" customHeight="1" outlineLevel="2">
      <c r="A64" s="136" t="s">
        <v>502</v>
      </c>
      <c r="B64" s="137" t="s">
        <v>481</v>
      </c>
      <c r="C64" s="138" t="s">
        <v>493</v>
      </c>
      <c r="D64" s="139">
        <v>1</v>
      </c>
      <c r="E64" s="139">
        <v>5</v>
      </c>
      <c r="F64" s="140">
        <v>105000</v>
      </c>
      <c r="G64" s="140">
        <f t="shared" si="3"/>
        <v>525000</v>
      </c>
      <c r="H64" s="75" t="s">
        <v>501</v>
      </c>
      <c r="I64" s="142"/>
      <c r="J64" s="76"/>
    </row>
    <row r="65" spans="1:10" s="74" customFormat="1" ht="14.1" customHeight="1" outlineLevel="2">
      <c r="A65" s="136" t="s">
        <v>503</v>
      </c>
      <c r="B65" s="137" t="s">
        <v>481</v>
      </c>
      <c r="C65" s="138" t="s">
        <v>493</v>
      </c>
      <c r="D65" s="139">
        <v>1</v>
      </c>
      <c r="E65" s="139">
        <v>5</v>
      </c>
      <c r="F65" s="140">
        <v>105000</v>
      </c>
      <c r="G65" s="140">
        <f t="shared" si="3"/>
        <v>525000</v>
      </c>
      <c r="H65" s="75" t="s">
        <v>494</v>
      </c>
      <c r="I65" s="142"/>
      <c r="J65" s="76"/>
    </row>
    <row r="66" spans="1:10" s="74" customFormat="1" ht="14.1" customHeight="1" outlineLevel="2">
      <c r="A66" s="144" t="s">
        <v>504</v>
      </c>
      <c r="B66" s="137" t="s">
        <v>481</v>
      </c>
      <c r="C66" s="138" t="s">
        <v>493</v>
      </c>
      <c r="D66" s="139">
        <v>2</v>
      </c>
      <c r="E66" s="139">
        <v>7</v>
      </c>
      <c r="F66" s="140">
        <v>105000</v>
      </c>
      <c r="G66" s="140">
        <f t="shared" si="3"/>
        <v>735000</v>
      </c>
      <c r="H66" s="75"/>
      <c r="I66" s="142"/>
      <c r="J66" s="76" t="s">
        <v>505</v>
      </c>
    </row>
    <row r="67" spans="1:10" s="74" customFormat="1" ht="14.1" customHeight="1" outlineLevel="2">
      <c r="A67" s="136" t="s">
        <v>506</v>
      </c>
      <c r="B67" s="137" t="s">
        <v>481</v>
      </c>
      <c r="C67" s="138" t="s">
        <v>493</v>
      </c>
      <c r="D67" s="139">
        <v>1</v>
      </c>
      <c r="E67" s="139">
        <v>5</v>
      </c>
      <c r="F67" s="140">
        <v>105000</v>
      </c>
      <c r="G67" s="140">
        <f t="shared" si="3"/>
        <v>525000</v>
      </c>
      <c r="H67" s="75" t="s">
        <v>494</v>
      </c>
      <c r="I67" s="142"/>
      <c r="J67" s="76"/>
    </row>
    <row r="68" spans="1:10" s="74" customFormat="1" ht="14.1" customHeight="1" outlineLevel="2">
      <c r="A68" s="144" t="s">
        <v>507</v>
      </c>
      <c r="B68" s="137" t="s">
        <v>481</v>
      </c>
      <c r="C68" s="138" t="s">
        <v>493</v>
      </c>
      <c r="D68" s="139">
        <v>1</v>
      </c>
      <c r="E68" s="139">
        <v>5</v>
      </c>
      <c r="F68" s="140">
        <v>105000</v>
      </c>
      <c r="G68" s="140">
        <f t="shared" si="3"/>
        <v>525000</v>
      </c>
      <c r="H68" s="75" t="s">
        <v>494</v>
      </c>
      <c r="I68" s="142"/>
      <c r="J68" s="76"/>
    </row>
    <row r="69" spans="1:10" s="74" customFormat="1" ht="14.1" customHeight="1" outlineLevel="2">
      <c r="A69" s="136" t="s">
        <v>508</v>
      </c>
      <c r="B69" s="137" t="s">
        <v>481</v>
      </c>
      <c r="C69" s="138" t="s">
        <v>493</v>
      </c>
      <c r="D69" s="145">
        <v>1</v>
      </c>
      <c r="E69" s="145">
        <v>5</v>
      </c>
      <c r="F69" s="140">
        <v>105000</v>
      </c>
      <c r="G69" s="140">
        <f t="shared" si="3"/>
        <v>525000</v>
      </c>
      <c r="H69" s="137" t="s">
        <v>501</v>
      </c>
      <c r="I69" s="142"/>
      <c r="J69" s="76"/>
    </row>
    <row r="70" spans="1:10" s="74" customFormat="1" ht="14.1" customHeight="1" outlineLevel="2">
      <c r="A70" s="144" t="s">
        <v>509</v>
      </c>
      <c r="B70" s="137" t="s">
        <v>481</v>
      </c>
      <c r="C70" s="138" t="s">
        <v>493</v>
      </c>
      <c r="D70" s="145">
        <v>1</v>
      </c>
      <c r="E70" s="145">
        <v>5</v>
      </c>
      <c r="F70" s="140">
        <v>105000</v>
      </c>
      <c r="G70" s="140">
        <f t="shared" si="3"/>
        <v>525000</v>
      </c>
      <c r="H70" s="137"/>
      <c r="I70" s="156"/>
      <c r="J70" s="146" t="s">
        <v>510</v>
      </c>
    </row>
    <row r="71" spans="1:10" s="74" customFormat="1" ht="14.1" customHeight="1" outlineLevel="2">
      <c r="A71" s="144" t="s">
        <v>511</v>
      </c>
      <c r="B71" s="137" t="s">
        <v>481</v>
      </c>
      <c r="C71" s="138" t="s">
        <v>493</v>
      </c>
      <c r="D71" s="145">
        <v>1</v>
      </c>
      <c r="E71" s="145">
        <v>5</v>
      </c>
      <c r="F71" s="140">
        <v>105000</v>
      </c>
      <c r="G71" s="140">
        <f t="shared" si="3"/>
        <v>525000</v>
      </c>
      <c r="H71" s="137"/>
      <c r="I71" s="156"/>
      <c r="J71" s="146" t="s">
        <v>512</v>
      </c>
    </row>
    <row r="72" spans="1:10" s="74" customFormat="1" ht="14.1" customHeight="1" outlineLevel="2">
      <c r="A72" s="144" t="s">
        <v>513</v>
      </c>
      <c r="B72" s="137" t="s">
        <v>481</v>
      </c>
      <c r="C72" s="138" t="s">
        <v>493</v>
      </c>
      <c r="D72" s="145">
        <v>1</v>
      </c>
      <c r="E72" s="145">
        <v>5</v>
      </c>
      <c r="F72" s="140">
        <v>105000</v>
      </c>
      <c r="G72" s="140">
        <f t="shared" si="3"/>
        <v>525000</v>
      </c>
      <c r="H72" s="137"/>
      <c r="I72" s="156"/>
      <c r="J72" s="146" t="s">
        <v>514</v>
      </c>
    </row>
    <row r="73" spans="1:10" s="74" customFormat="1" ht="14.1" customHeight="1" outlineLevel="1">
      <c r="A73" s="144"/>
      <c r="B73" s="137"/>
      <c r="C73" s="154" t="s">
        <v>948</v>
      </c>
      <c r="D73" s="145">
        <f>SUBTOTAL(9,D42:D72)</f>
        <v>36</v>
      </c>
      <c r="E73" s="145">
        <f>SUBTOTAL(9,E42:E72)</f>
        <v>195</v>
      </c>
      <c r="F73" s="140"/>
      <c r="G73" s="140">
        <f>SUBTOTAL(9,G42:G72)</f>
        <v>20475000</v>
      </c>
      <c r="H73" s="137"/>
      <c r="I73" s="156"/>
      <c r="J73" s="146"/>
    </row>
    <row r="74" spans="1:10" s="74" customFormat="1" ht="14.1" customHeight="1" outlineLevel="2">
      <c r="A74" s="136" t="s">
        <v>595</v>
      </c>
      <c r="B74" s="137" t="s">
        <v>560</v>
      </c>
      <c r="C74" s="138" t="s">
        <v>515</v>
      </c>
      <c r="D74" s="139">
        <v>2</v>
      </c>
      <c r="E74" s="139">
        <v>10</v>
      </c>
      <c r="F74" s="140">
        <v>105000</v>
      </c>
      <c r="G74" s="140">
        <f>ROUND(F74*E74,2)</f>
        <v>1050000</v>
      </c>
      <c r="H74" s="75" t="s">
        <v>516</v>
      </c>
      <c r="I74" s="142" t="s">
        <v>596</v>
      </c>
      <c r="J74" s="76"/>
    </row>
    <row r="75" spans="1:10" s="74" customFormat="1" ht="14.1" customHeight="1" outlineLevel="2">
      <c r="A75" s="136" t="s">
        <v>597</v>
      </c>
      <c r="B75" s="137" t="s">
        <v>560</v>
      </c>
      <c r="C75" s="138" t="s">
        <v>515</v>
      </c>
      <c r="D75" s="139">
        <v>2</v>
      </c>
      <c r="E75" s="139">
        <v>10</v>
      </c>
      <c r="F75" s="140">
        <v>105000</v>
      </c>
      <c r="G75" s="140">
        <f>ROUND(F75*E75,2)</f>
        <v>1050000</v>
      </c>
      <c r="H75" s="75" t="s">
        <v>516</v>
      </c>
      <c r="I75" s="142"/>
      <c r="J75" s="76"/>
    </row>
    <row r="76" spans="1:10" s="74" customFormat="1" ht="14.1" customHeight="1" outlineLevel="2">
      <c r="A76" s="136" t="s">
        <v>598</v>
      </c>
      <c r="B76" s="137" t="s">
        <v>560</v>
      </c>
      <c r="C76" s="138" t="s">
        <v>515</v>
      </c>
      <c r="D76" s="139">
        <v>2</v>
      </c>
      <c r="E76" s="139">
        <v>10</v>
      </c>
      <c r="F76" s="140">
        <v>105000</v>
      </c>
      <c r="G76" s="140">
        <f>ROUND(F76*E76,2)</f>
        <v>1050000</v>
      </c>
      <c r="H76" s="75" t="s">
        <v>516</v>
      </c>
      <c r="I76" s="142"/>
      <c r="J76" s="76"/>
    </row>
    <row r="77" spans="1:10" s="74" customFormat="1" ht="14.1" customHeight="1" outlineLevel="2">
      <c r="A77" s="136" t="s">
        <v>884</v>
      </c>
      <c r="B77" s="137" t="s">
        <v>855</v>
      </c>
      <c r="C77" s="138" t="s">
        <v>885</v>
      </c>
      <c r="D77" s="139">
        <v>1</v>
      </c>
      <c r="E77" s="139">
        <v>5</v>
      </c>
      <c r="F77" s="140">
        <v>105000</v>
      </c>
      <c r="G77" s="140">
        <f t="shared" ref="G77:G86" si="4">ROUND(F77*E77,2)</f>
        <v>525000</v>
      </c>
      <c r="H77" s="75" t="s">
        <v>516</v>
      </c>
      <c r="I77" s="142"/>
      <c r="J77" s="76"/>
    </row>
    <row r="78" spans="1:10" s="74" customFormat="1" ht="14.1" customHeight="1" outlineLevel="2">
      <c r="A78" s="144" t="s">
        <v>886</v>
      </c>
      <c r="B78" s="137" t="s">
        <v>855</v>
      </c>
      <c r="C78" s="138" t="s">
        <v>885</v>
      </c>
      <c r="D78" s="139">
        <v>1</v>
      </c>
      <c r="E78" s="139">
        <v>5</v>
      </c>
      <c r="F78" s="140">
        <v>105000</v>
      </c>
      <c r="G78" s="140">
        <f t="shared" si="4"/>
        <v>525000</v>
      </c>
      <c r="H78" s="75" t="s">
        <v>517</v>
      </c>
      <c r="I78" s="142"/>
      <c r="J78" s="76"/>
    </row>
    <row r="79" spans="1:10" s="74" customFormat="1" ht="14.1" customHeight="1" outlineLevel="2">
      <c r="A79" s="136" t="s">
        <v>887</v>
      </c>
      <c r="B79" s="137" t="s">
        <v>855</v>
      </c>
      <c r="C79" s="138" t="s">
        <v>885</v>
      </c>
      <c r="D79" s="139">
        <v>1</v>
      </c>
      <c r="E79" s="139">
        <v>5</v>
      </c>
      <c r="F79" s="140">
        <v>105000</v>
      </c>
      <c r="G79" s="140">
        <f t="shared" si="4"/>
        <v>525000</v>
      </c>
      <c r="H79" s="75" t="s">
        <v>517</v>
      </c>
      <c r="I79" s="142"/>
      <c r="J79" s="76"/>
    </row>
    <row r="80" spans="1:10" s="74" customFormat="1" ht="14.1" customHeight="1" outlineLevel="2">
      <c r="A80" s="144" t="s">
        <v>888</v>
      </c>
      <c r="B80" s="137" t="s">
        <v>855</v>
      </c>
      <c r="C80" s="138" t="s">
        <v>885</v>
      </c>
      <c r="D80" s="139">
        <v>1</v>
      </c>
      <c r="E80" s="139">
        <v>5</v>
      </c>
      <c r="F80" s="140">
        <v>105000</v>
      </c>
      <c r="G80" s="140">
        <f t="shared" si="4"/>
        <v>525000</v>
      </c>
      <c r="H80" s="75" t="s">
        <v>517</v>
      </c>
      <c r="I80" s="142"/>
      <c r="J80" s="76"/>
    </row>
    <row r="81" spans="1:10" s="74" customFormat="1" ht="14.1" customHeight="1" outlineLevel="2">
      <c r="A81" s="136" t="s">
        <v>889</v>
      </c>
      <c r="B81" s="137" t="s">
        <v>855</v>
      </c>
      <c r="C81" s="138" t="s">
        <v>885</v>
      </c>
      <c r="D81" s="139">
        <v>1</v>
      </c>
      <c r="E81" s="139">
        <v>5</v>
      </c>
      <c r="F81" s="140">
        <v>105000</v>
      </c>
      <c r="G81" s="140">
        <f t="shared" si="4"/>
        <v>525000</v>
      </c>
      <c r="H81" s="75" t="s">
        <v>890</v>
      </c>
      <c r="I81" s="142"/>
      <c r="J81" s="76"/>
    </row>
    <row r="82" spans="1:10" s="74" customFormat="1" ht="14.1" customHeight="1" outlineLevel="2">
      <c r="A82" s="136" t="s">
        <v>891</v>
      </c>
      <c r="B82" s="137" t="s">
        <v>855</v>
      </c>
      <c r="C82" s="138" t="s">
        <v>885</v>
      </c>
      <c r="D82" s="139">
        <v>1</v>
      </c>
      <c r="E82" s="139">
        <v>5</v>
      </c>
      <c r="F82" s="140">
        <v>105000</v>
      </c>
      <c r="G82" s="140">
        <f t="shared" si="4"/>
        <v>525000</v>
      </c>
      <c r="H82" s="75" t="s">
        <v>517</v>
      </c>
      <c r="I82" s="142"/>
      <c r="J82" s="76"/>
    </row>
    <row r="83" spans="1:10" s="74" customFormat="1" ht="14.1" customHeight="1" outlineLevel="2">
      <c r="A83" s="144" t="s">
        <v>892</v>
      </c>
      <c r="B83" s="137" t="s">
        <v>855</v>
      </c>
      <c r="C83" s="138" t="s">
        <v>885</v>
      </c>
      <c r="D83" s="139">
        <v>1</v>
      </c>
      <c r="E83" s="139">
        <v>5</v>
      </c>
      <c r="F83" s="140">
        <v>105000</v>
      </c>
      <c r="G83" s="140">
        <f t="shared" si="4"/>
        <v>525000</v>
      </c>
      <c r="H83" s="75" t="s">
        <v>890</v>
      </c>
      <c r="I83" s="142"/>
      <c r="J83" s="76"/>
    </row>
    <row r="84" spans="1:10" s="74" customFormat="1" ht="14.1" customHeight="1" outlineLevel="2">
      <c r="A84" s="144" t="s">
        <v>893</v>
      </c>
      <c r="B84" s="137" t="s">
        <v>855</v>
      </c>
      <c r="C84" s="138" t="s">
        <v>885</v>
      </c>
      <c r="D84" s="139">
        <v>1</v>
      </c>
      <c r="E84" s="139">
        <v>5</v>
      </c>
      <c r="F84" s="140">
        <v>105000</v>
      </c>
      <c r="G84" s="140">
        <f t="shared" si="4"/>
        <v>525000</v>
      </c>
      <c r="H84" s="75"/>
      <c r="I84" s="142"/>
      <c r="J84" s="76" t="s">
        <v>518</v>
      </c>
    </row>
    <row r="85" spans="1:10" s="74" customFormat="1" ht="14.1" customHeight="1" outlineLevel="2">
      <c r="A85" s="149" t="s">
        <v>629</v>
      </c>
      <c r="B85" s="137" t="s">
        <v>931</v>
      </c>
      <c r="C85" s="145" t="s">
        <v>944</v>
      </c>
      <c r="D85" s="139">
        <v>1</v>
      </c>
      <c r="E85" s="139">
        <v>7</v>
      </c>
      <c r="F85" s="141">
        <v>105000</v>
      </c>
      <c r="G85" s="141">
        <f t="shared" si="4"/>
        <v>735000</v>
      </c>
      <c r="H85" s="75"/>
      <c r="I85" s="142"/>
      <c r="J85" s="76"/>
    </row>
    <row r="86" spans="1:10" s="74" customFormat="1" ht="14.1" customHeight="1" outlineLevel="2">
      <c r="A86" s="149" t="s">
        <v>630</v>
      </c>
      <c r="B86" s="137" t="s">
        <v>931</v>
      </c>
      <c r="C86" s="145" t="s">
        <v>944</v>
      </c>
      <c r="D86" s="139">
        <v>1</v>
      </c>
      <c r="E86" s="139">
        <v>5</v>
      </c>
      <c r="F86" s="141">
        <v>105000</v>
      </c>
      <c r="G86" s="141">
        <f t="shared" si="4"/>
        <v>525000</v>
      </c>
      <c r="H86" s="75"/>
      <c r="I86" s="142"/>
      <c r="J86" s="76"/>
    </row>
    <row r="87" spans="1:10" s="74" customFormat="1" ht="14.1" customHeight="1" outlineLevel="1">
      <c r="A87" s="149"/>
      <c r="B87" s="137"/>
      <c r="C87" s="150" t="s">
        <v>949</v>
      </c>
      <c r="D87" s="139">
        <f>SUBTOTAL(9,D74:D86)</f>
        <v>16</v>
      </c>
      <c r="E87" s="139">
        <f>SUBTOTAL(9,E74:E86)</f>
        <v>82</v>
      </c>
      <c r="F87" s="141"/>
      <c r="G87" s="141">
        <f>SUBTOTAL(9,G74:G86)</f>
        <v>8610000</v>
      </c>
      <c r="H87" s="75"/>
      <c r="I87" s="142"/>
      <c r="J87" s="76"/>
    </row>
    <row r="88" spans="1:10" s="74" customFormat="1" ht="14.1" customHeight="1" outlineLevel="2">
      <c r="A88" s="136" t="s">
        <v>837</v>
      </c>
      <c r="B88" s="137" t="s">
        <v>568</v>
      </c>
      <c r="C88" s="138" t="s">
        <v>520</v>
      </c>
      <c r="D88" s="139">
        <v>2</v>
      </c>
      <c r="E88" s="139">
        <v>10</v>
      </c>
      <c r="F88" s="140">
        <v>105000</v>
      </c>
      <c r="G88" s="140">
        <f t="shared" ref="G88:G111" si="5">ROUND(F88*E88,2)</f>
        <v>1050000</v>
      </c>
      <c r="H88" s="75" t="s">
        <v>483</v>
      </c>
      <c r="I88" s="142" t="s">
        <v>838</v>
      </c>
      <c r="J88" s="76"/>
    </row>
    <row r="89" spans="1:10" s="74" customFormat="1" ht="14.1" customHeight="1" outlineLevel="2">
      <c r="A89" s="136" t="s">
        <v>599</v>
      </c>
      <c r="B89" s="137" t="s">
        <v>568</v>
      </c>
      <c r="C89" s="138" t="s">
        <v>520</v>
      </c>
      <c r="D89" s="139">
        <v>2</v>
      </c>
      <c r="E89" s="139">
        <v>8</v>
      </c>
      <c r="F89" s="140">
        <v>105000</v>
      </c>
      <c r="G89" s="140">
        <f t="shared" si="5"/>
        <v>840000</v>
      </c>
      <c r="H89" s="75" t="s">
        <v>483</v>
      </c>
      <c r="I89" s="142"/>
      <c r="J89" s="157" t="s">
        <v>839</v>
      </c>
    </row>
    <row r="90" spans="1:10" s="74" customFormat="1" ht="14.1" customHeight="1" outlineLevel="2">
      <c r="A90" s="136" t="s">
        <v>840</v>
      </c>
      <c r="B90" s="137" t="s">
        <v>565</v>
      </c>
      <c r="C90" s="138" t="s">
        <v>520</v>
      </c>
      <c r="D90" s="139">
        <v>1</v>
      </c>
      <c r="E90" s="139">
        <v>5</v>
      </c>
      <c r="F90" s="140">
        <v>105000</v>
      </c>
      <c r="G90" s="140">
        <f t="shared" si="5"/>
        <v>525000</v>
      </c>
      <c r="H90" s="75" t="s">
        <v>483</v>
      </c>
      <c r="I90" s="142"/>
      <c r="J90" s="76"/>
    </row>
    <row r="91" spans="1:10" s="74" customFormat="1" ht="14.1" customHeight="1" outlineLevel="2">
      <c r="A91" s="136" t="s">
        <v>600</v>
      </c>
      <c r="B91" s="137" t="s">
        <v>565</v>
      </c>
      <c r="C91" s="138" t="s">
        <v>520</v>
      </c>
      <c r="D91" s="139">
        <v>1</v>
      </c>
      <c r="E91" s="139">
        <v>5</v>
      </c>
      <c r="F91" s="140">
        <v>105000</v>
      </c>
      <c r="G91" s="140">
        <f t="shared" si="5"/>
        <v>525000</v>
      </c>
      <c r="H91" s="75" t="s">
        <v>483</v>
      </c>
      <c r="I91" s="142"/>
      <c r="J91" s="76"/>
    </row>
    <row r="92" spans="1:10" s="74" customFormat="1" ht="14.1" customHeight="1" outlineLevel="2">
      <c r="A92" s="144" t="s">
        <v>601</v>
      </c>
      <c r="B92" s="137" t="s">
        <v>565</v>
      </c>
      <c r="C92" s="138" t="s">
        <v>520</v>
      </c>
      <c r="D92" s="139">
        <v>1</v>
      </c>
      <c r="E92" s="139">
        <v>5</v>
      </c>
      <c r="F92" s="140">
        <v>105000</v>
      </c>
      <c r="G92" s="140">
        <f t="shared" si="5"/>
        <v>525000</v>
      </c>
      <c r="H92" s="75" t="s">
        <v>483</v>
      </c>
      <c r="I92" s="142"/>
      <c r="J92" s="146"/>
    </row>
    <row r="93" spans="1:10" s="74" customFormat="1" ht="14.1" customHeight="1" outlineLevel="2">
      <c r="A93" s="144" t="s">
        <v>841</v>
      </c>
      <c r="B93" s="137" t="s">
        <v>565</v>
      </c>
      <c r="C93" s="138" t="s">
        <v>520</v>
      </c>
      <c r="D93" s="145">
        <v>1</v>
      </c>
      <c r="E93" s="145">
        <v>5</v>
      </c>
      <c r="F93" s="140">
        <v>105000</v>
      </c>
      <c r="G93" s="140">
        <f t="shared" si="5"/>
        <v>525000</v>
      </c>
      <c r="H93" s="137" t="s">
        <v>483</v>
      </c>
      <c r="I93" s="142"/>
      <c r="J93" s="146"/>
    </row>
    <row r="94" spans="1:10" s="74" customFormat="1" ht="14.1" customHeight="1" outlineLevel="2">
      <c r="A94" s="136" t="s">
        <v>842</v>
      </c>
      <c r="B94" s="137" t="s">
        <v>560</v>
      </c>
      <c r="C94" s="138" t="s">
        <v>520</v>
      </c>
      <c r="D94" s="145">
        <v>1</v>
      </c>
      <c r="E94" s="145">
        <v>7</v>
      </c>
      <c r="F94" s="140">
        <v>105000</v>
      </c>
      <c r="G94" s="140">
        <f t="shared" si="5"/>
        <v>735000</v>
      </c>
      <c r="H94" s="137" t="s">
        <v>483</v>
      </c>
      <c r="I94" s="142"/>
      <c r="J94" s="146" t="s">
        <v>843</v>
      </c>
    </row>
    <row r="95" spans="1:10" s="74" customFormat="1" ht="14.1" customHeight="1" outlineLevel="2">
      <c r="A95" s="144" t="s">
        <v>602</v>
      </c>
      <c r="B95" s="137" t="s">
        <v>565</v>
      </c>
      <c r="C95" s="138" t="s">
        <v>520</v>
      </c>
      <c r="D95" s="139">
        <v>1</v>
      </c>
      <c r="E95" s="139">
        <v>5</v>
      </c>
      <c r="F95" s="140">
        <v>105000</v>
      </c>
      <c r="G95" s="140">
        <f t="shared" si="5"/>
        <v>525000</v>
      </c>
      <c r="H95" s="75" t="s">
        <v>483</v>
      </c>
      <c r="I95" s="75" t="s">
        <v>844</v>
      </c>
      <c r="J95" s="76"/>
    </row>
    <row r="96" spans="1:10" s="74" customFormat="1" ht="14.1" customHeight="1" outlineLevel="2">
      <c r="A96" s="144" t="s">
        <v>603</v>
      </c>
      <c r="B96" s="137" t="s">
        <v>568</v>
      </c>
      <c r="C96" s="138" t="s">
        <v>520</v>
      </c>
      <c r="D96" s="139">
        <v>1</v>
      </c>
      <c r="E96" s="139">
        <v>5</v>
      </c>
      <c r="F96" s="140">
        <v>105000</v>
      </c>
      <c r="G96" s="140">
        <f t="shared" si="5"/>
        <v>525000</v>
      </c>
      <c r="H96" s="75"/>
      <c r="I96" s="75"/>
      <c r="J96" s="76"/>
    </row>
    <row r="97" spans="1:10" s="74" customFormat="1" ht="14.1" customHeight="1" outlineLevel="2">
      <c r="A97" s="144" t="s">
        <v>519</v>
      </c>
      <c r="B97" s="137" t="s">
        <v>855</v>
      </c>
      <c r="C97" s="138" t="s">
        <v>894</v>
      </c>
      <c r="D97" s="139">
        <v>1</v>
      </c>
      <c r="E97" s="139">
        <v>6</v>
      </c>
      <c r="F97" s="140">
        <v>105000</v>
      </c>
      <c r="G97" s="140">
        <f t="shared" si="5"/>
        <v>630000</v>
      </c>
      <c r="H97" s="75" t="s">
        <v>857</v>
      </c>
      <c r="I97" s="156"/>
      <c r="J97" s="146" t="s">
        <v>895</v>
      </c>
    </row>
    <row r="98" spans="1:10" s="74" customFormat="1" ht="14.1" customHeight="1" outlineLevel="2">
      <c r="A98" s="144" t="s">
        <v>896</v>
      </c>
      <c r="B98" s="137" t="s">
        <v>855</v>
      </c>
      <c r="C98" s="138" t="s">
        <v>894</v>
      </c>
      <c r="D98" s="139">
        <v>1</v>
      </c>
      <c r="E98" s="139">
        <v>5</v>
      </c>
      <c r="F98" s="140">
        <v>105000</v>
      </c>
      <c r="G98" s="140">
        <f t="shared" si="5"/>
        <v>525000</v>
      </c>
      <c r="H98" s="75" t="s">
        <v>857</v>
      </c>
      <c r="I98" s="156"/>
      <c r="J98" s="146" t="s">
        <v>897</v>
      </c>
    </row>
    <row r="99" spans="1:10" s="74" customFormat="1" ht="14.1" customHeight="1" outlineLevel="2">
      <c r="A99" s="144" t="s">
        <v>898</v>
      </c>
      <c r="B99" s="137" t="s">
        <v>481</v>
      </c>
      <c r="C99" s="138" t="s">
        <v>894</v>
      </c>
      <c r="D99" s="139">
        <v>1</v>
      </c>
      <c r="E99" s="139">
        <v>5</v>
      </c>
      <c r="F99" s="140">
        <v>105000</v>
      </c>
      <c r="G99" s="140">
        <f t="shared" si="5"/>
        <v>525000</v>
      </c>
      <c r="H99" s="75" t="s">
        <v>857</v>
      </c>
      <c r="I99" s="142"/>
      <c r="J99" s="76"/>
    </row>
    <row r="100" spans="1:10" s="74" customFormat="1" ht="14.1" customHeight="1" outlineLevel="2">
      <c r="A100" s="144" t="s">
        <v>899</v>
      </c>
      <c r="B100" s="137" t="s">
        <v>855</v>
      </c>
      <c r="C100" s="138" t="s">
        <v>894</v>
      </c>
      <c r="D100" s="139">
        <v>1</v>
      </c>
      <c r="E100" s="139">
        <v>5</v>
      </c>
      <c r="F100" s="140">
        <v>105000</v>
      </c>
      <c r="G100" s="140">
        <f t="shared" si="5"/>
        <v>525000</v>
      </c>
      <c r="H100" s="75" t="s">
        <v>857</v>
      </c>
      <c r="I100" s="142"/>
      <c r="J100" s="76"/>
    </row>
    <row r="101" spans="1:10" s="74" customFormat="1" ht="14.1" customHeight="1" outlineLevel="2">
      <c r="A101" s="144" t="s">
        <v>900</v>
      </c>
      <c r="B101" s="137" t="s">
        <v>855</v>
      </c>
      <c r="C101" s="138" t="s">
        <v>894</v>
      </c>
      <c r="D101" s="139">
        <v>1</v>
      </c>
      <c r="E101" s="139">
        <v>5</v>
      </c>
      <c r="F101" s="140">
        <v>105000</v>
      </c>
      <c r="G101" s="140">
        <f t="shared" si="5"/>
        <v>525000</v>
      </c>
      <c r="H101" s="75" t="s">
        <v>491</v>
      </c>
      <c r="I101" s="142"/>
      <c r="J101" s="76"/>
    </row>
    <row r="102" spans="1:10" s="74" customFormat="1" ht="14.1" customHeight="1" outlineLevel="2">
      <c r="A102" s="144" t="s">
        <v>521</v>
      </c>
      <c r="B102" s="137" t="s">
        <v>855</v>
      </c>
      <c r="C102" s="138" t="s">
        <v>894</v>
      </c>
      <c r="D102" s="139">
        <v>1</v>
      </c>
      <c r="E102" s="139">
        <v>5</v>
      </c>
      <c r="F102" s="140">
        <v>105000</v>
      </c>
      <c r="G102" s="140">
        <f t="shared" si="5"/>
        <v>525000</v>
      </c>
      <c r="H102" s="75"/>
      <c r="I102" s="142"/>
      <c r="J102" s="76" t="s">
        <v>518</v>
      </c>
    </row>
    <row r="103" spans="1:10" s="74" customFormat="1" ht="14.1" customHeight="1" outlineLevel="2">
      <c r="A103" s="144" t="s">
        <v>901</v>
      </c>
      <c r="B103" s="137" t="s">
        <v>855</v>
      </c>
      <c r="C103" s="138" t="s">
        <v>894</v>
      </c>
      <c r="D103" s="139">
        <v>2</v>
      </c>
      <c r="E103" s="139">
        <v>6</v>
      </c>
      <c r="F103" s="140">
        <v>105000</v>
      </c>
      <c r="G103" s="140">
        <f t="shared" si="5"/>
        <v>630000</v>
      </c>
      <c r="H103" s="75"/>
      <c r="I103" s="142"/>
      <c r="J103" s="146" t="s">
        <v>902</v>
      </c>
    </row>
    <row r="104" spans="1:10" s="74" customFormat="1" ht="14.1" customHeight="1" outlineLevel="2">
      <c r="A104" s="144" t="s">
        <v>903</v>
      </c>
      <c r="B104" s="137" t="s">
        <v>855</v>
      </c>
      <c r="C104" s="138" t="s">
        <v>894</v>
      </c>
      <c r="D104" s="139">
        <v>1</v>
      </c>
      <c r="E104" s="139">
        <v>5</v>
      </c>
      <c r="F104" s="140">
        <v>105000</v>
      </c>
      <c r="G104" s="140">
        <f t="shared" si="5"/>
        <v>525000</v>
      </c>
      <c r="H104" s="75" t="s">
        <v>857</v>
      </c>
      <c r="I104" s="142"/>
      <c r="J104" s="146" t="s">
        <v>904</v>
      </c>
    </row>
    <row r="105" spans="1:10" s="74" customFormat="1" ht="14.1" customHeight="1" outlineLevel="2">
      <c r="A105" s="136" t="s">
        <v>905</v>
      </c>
      <c r="B105" s="137" t="s">
        <v>855</v>
      </c>
      <c r="C105" s="138" t="s">
        <v>894</v>
      </c>
      <c r="D105" s="145">
        <v>1</v>
      </c>
      <c r="E105" s="145">
        <v>5</v>
      </c>
      <c r="F105" s="140">
        <v>105000</v>
      </c>
      <c r="G105" s="140">
        <f t="shared" si="5"/>
        <v>525000</v>
      </c>
      <c r="H105" s="137" t="s">
        <v>906</v>
      </c>
      <c r="I105" s="142"/>
      <c r="J105" s="76"/>
    </row>
    <row r="106" spans="1:10" s="74" customFormat="1" ht="14.1" customHeight="1" outlineLevel="2">
      <c r="A106" s="144" t="s">
        <v>907</v>
      </c>
      <c r="B106" s="137" t="s">
        <v>855</v>
      </c>
      <c r="C106" s="138" t="s">
        <v>894</v>
      </c>
      <c r="D106" s="139">
        <v>1</v>
      </c>
      <c r="E106" s="139">
        <v>5</v>
      </c>
      <c r="F106" s="140">
        <v>105000</v>
      </c>
      <c r="G106" s="140">
        <f t="shared" si="5"/>
        <v>525000</v>
      </c>
      <c r="H106" s="75" t="s">
        <v>857</v>
      </c>
      <c r="I106" s="75" t="s">
        <v>908</v>
      </c>
      <c r="J106" s="76"/>
    </row>
    <row r="107" spans="1:10" s="74" customFormat="1" ht="14.1" customHeight="1" outlineLevel="2">
      <c r="A107" s="144" t="s">
        <v>909</v>
      </c>
      <c r="B107" s="137" t="s">
        <v>855</v>
      </c>
      <c r="C107" s="138" t="s">
        <v>894</v>
      </c>
      <c r="D107" s="145">
        <v>1</v>
      </c>
      <c r="E107" s="145">
        <v>5</v>
      </c>
      <c r="F107" s="140">
        <v>105000</v>
      </c>
      <c r="G107" s="140">
        <f t="shared" si="5"/>
        <v>525000</v>
      </c>
      <c r="H107" s="137" t="s">
        <v>857</v>
      </c>
      <c r="I107" s="142"/>
      <c r="J107" s="76"/>
    </row>
    <row r="108" spans="1:10" s="74" customFormat="1" ht="14.1" customHeight="1" outlineLevel="2">
      <c r="A108" s="144" t="s">
        <v>910</v>
      </c>
      <c r="B108" s="137" t="s">
        <v>855</v>
      </c>
      <c r="C108" s="138" t="s">
        <v>894</v>
      </c>
      <c r="D108" s="145">
        <v>1</v>
      </c>
      <c r="E108" s="145">
        <v>5</v>
      </c>
      <c r="F108" s="140">
        <v>105000</v>
      </c>
      <c r="G108" s="140">
        <f t="shared" si="5"/>
        <v>525000</v>
      </c>
      <c r="H108" s="137" t="s">
        <v>857</v>
      </c>
      <c r="I108" s="142"/>
      <c r="J108" s="76"/>
    </row>
    <row r="109" spans="1:10" s="74" customFormat="1" ht="14.1" customHeight="1" outlineLevel="2">
      <c r="A109" s="144" t="s">
        <v>911</v>
      </c>
      <c r="B109" s="137" t="s">
        <v>855</v>
      </c>
      <c r="C109" s="138" t="s">
        <v>894</v>
      </c>
      <c r="D109" s="139">
        <v>1</v>
      </c>
      <c r="E109" s="139">
        <v>5</v>
      </c>
      <c r="F109" s="140">
        <v>105000</v>
      </c>
      <c r="G109" s="140">
        <f t="shared" si="5"/>
        <v>525000</v>
      </c>
      <c r="H109" s="75"/>
      <c r="I109" s="75"/>
      <c r="J109" s="76" t="s">
        <v>912</v>
      </c>
    </row>
    <row r="110" spans="1:10" s="74" customFormat="1" ht="14.1" customHeight="1" outlineLevel="2">
      <c r="A110" s="158" t="s">
        <v>623</v>
      </c>
      <c r="B110" s="137" t="s">
        <v>931</v>
      </c>
      <c r="C110" s="142" t="s">
        <v>932</v>
      </c>
      <c r="D110" s="142">
        <v>1</v>
      </c>
      <c r="E110" s="142">
        <v>5</v>
      </c>
      <c r="F110" s="141">
        <v>105000</v>
      </c>
      <c r="G110" s="141">
        <f t="shared" si="5"/>
        <v>525000</v>
      </c>
      <c r="H110" s="75"/>
      <c r="I110" s="75"/>
      <c r="J110" s="76"/>
    </row>
    <row r="111" spans="1:10" s="74" customFormat="1" ht="14.1" customHeight="1" outlineLevel="2">
      <c r="A111" s="158" t="s">
        <v>624</v>
      </c>
      <c r="B111" s="137" t="s">
        <v>931</v>
      </c>
      <c r="C111" s="142" t="s">
        <v>932</v>
      </c>
      <c r="D111" s="142">
        <v>1</v>
      </c>
      <c r="E111" s="142">
        <v>5</v>
      </c>
      <c r="F111" s="141">
        <v>105000</v>
      </c>
      <c r="G111" s="141">
        <f t="shared" si="5"/>
        <v>525000</v>
      </c>
      <c r="H111" s="75"/>
      <c r="I111" s="75"/>
      <c r="J111" s="76"/>
    </row>
    <row r="112" spans="1:10" s="74" customFormat="1" ht="14.1" customHeight="1" outlineLevel="1">
      <c r="A112" s="158"/>
      <c r="B112" s="137"/>
      <c r="C112" s="159" t="s">
        <v>950</v>
      </c>
      <c r="D112" s="142">
        <f>SUBTOTAL(9,D88:D111)</f>
        <v>27</v>
      </c>
      <c r="E112" s="142">
        <f>SUBTOTAL(9,E88:E111)</f>
        <v>132</v>
      </c>
      <c r="F112" s="141"/>
      <c r="G112" s="141">
        <f>SUBTOTAL(9,G88:G111)</f>
        <v>13860000</v>
      </c>
      <c r="H112" s="75"/>
      <c r="I112" s="75"/>
      <c r="J112" s="76"/>
    </row>
    <row r="113" spans="1:10" s="74" customFormat="1" ht="14.1" customHeight="1" outlineLevel="2">
      <c r="A113" s="144" t="s">
        <v>845</v>
      </c>
      <c r="B113" s="137" t="s">
        <v>560</v>
      </c>
      <c r="C113" s="138" t="s">
        <v>525</v>
      </c>
      <c r="D113" s="139">
        <v>1</v>
      </c>
      <c r="E113" s="139">
        <v>5</v>
      </c>
      <c r="F113" s="140">
        <v>105000</v>
      </c>
      <c r="G113" s="140">
        <f t="shared" ref="G113:G140" si="6">ROUND(F113*E113,2)</f>
        <v>525000</v>
      </c>
      <c r="H113" s="75" t="s">
        <v>522</v>
      </c>
      <c r="I113" s="142"/>
      <c r="J113" s="76"/>
    </row>
    <row r="114" spans="1:10" s="74" customFormat="1" ht="14.1" customHeight="1" outlineLevel="2">
      <c r="A114" s="144" t="s">
        <v>380</v>
      </c>
      <c r="B114" s="137" t="s">
        <v>568</v>
      </c>
      <c r="C114" s="138" t="s">
        <v>525</v>
      </c>
      <c r="D114" s="139">
        <v>1</v>
      </c>
      <c r="E114" s="139">
        <v>7</v>
      </c>
      <c r="F114" s="140">
        <v>105000</v>
      </c>
      <c r="G114" s="140">
        <f t="shared" si="6"/>
        <v>735000</v>
      </c>
      <c r="H114" s="75" t="s">
        <v>522</v>
      </c>
      <c r="I114" s="142"/>
      <c r="J114" s="146" t="s">
        <v>846</v>
      </c>
    </row>
    <row r="115" spans="1:10" s="74" customFormat="1" ht="14.1" customHeight="1" outlineLevel="2">
      <c r="A115" s="136" t="s">
        <v>604</v>
      </c>
      <c r="B115" s="137" t="s">
        <v>568</v>
      </c>
      <c r="C115" s="138" t="s">
        <v>525</v>
      </c>
      <c r="D115" s="139">
        <v>1</v>
      </c>
      <c r="E115" s="139">
        <v>5</v>
      </c>
      <c r="F115" s="140">
        <v>105000</v>
      </c>
      <c r="G115" s="140">
        <f t="shared" si="6"/>
        <v>525000</v>
      </c>
      <c r="H115" s="75" t="s">
        <v>522</v>
      </c>
      <c r="I115" s="142"/>
      <c r="J115" s="76"/>
    </row>
    <row r="116" spans="1:10" s="74" customFormat="1" ht="14.1" customHeight="1" outlineLevel="2">
      <c r="A116" s="136" t="s">
        <v>605</v>
      </c>
      <c r="B116" s="137" t="s">
        <v>565</v>
      </c>
      <c r="C116" s="138" t="s">
        <v>525</v>
      </c>
      <c r="D116" s="139">
        <v>1</v>
      </c>
      <c r="E116" s="139">
        <v>5</v>
      </c>
      <c r="F116" s="140">
        <v>105000</v>
      </c>
      <c r="G116" s="140">
        <f t="shared" si="6"/>
        <v>525000</v>
      </c>
      <c r="H116" s="75" t="s">
        <v>522</v>
      </c>
      <c r="I116" s="142"/>
      <c r="J116" s="76"/>
    </row>
    <row r="117" spans="1:10" s="74" customFormat="1" ht="14.1" customHeight="1" outlineLevel="2">
      <c r="A117" s="144" t="s">
        <v>606</v>
      </c>
      <c r="B117" s="137" t="s">
        <v>565</v>
      </c>
      <c r="C117" s="138" t="s">
        <v>525</v>
      </c>
      <c r="D117" s="139">
        <v>1</v>
      </c>
      <c r="E117" s="139">
        <v>6</v>
      </c>
      <c r="F117" s="140">
        <v>105000</v>
      </c>
      <c r="G117" s="140">
        <f t="shared" si="6"/>
        <v>630000</v>
      </c>
      <c r="H117" s="75" t="s">
        <v>522</v>
      </c>
      <c r="I117" s="142"/>
      <c r="J117" s="76" t="s">
        <v>607</v>
      </c>
    </row>
    <row r="118" spans="1:10" s="74" customFormat="1" ht="14.1" customHeight="1" outlineLevel="2">
      <c r="A118" s="144" t="s">
        <v>847</v>
      </c>
      <c r="B118" s="137" t="s">
        <v>560</v>
      </c>
      <c r="C118" s="138" t="s">
        <v>525</v>
      </c>
      <c r="D118" s="139">
        <v>2</v>
      </c>
      <c r="E118" s="139">
        <v>10</v>
      </c>
      <c r="F118" s="140">
        <v>105000</v>
      </c>
      <c r="G118" s="140">
        <f t="shared" si="6"/>
        <v>1050000</v>
      </c>
      <c r="H118" s="75" t="s">
        <v>522</v>
      </c>
      <c r="I118" s="142"/>
      <c r="J118" s="76"/>
    </row>
    <row r="119" spans="1:10" s="74" customFormat="1" ht="14.1" customHeight="1" outlineLevel="2">
      <c r="A119" s="144" t="s">
        <v>381</v>
      </c>
      <c r="B119" s="137" t="s">
        <v>565</v>
      </c>
      <c r="C119" s="138" t="s">
        <v>525</v>
      </c>
      <c r="D119" s="139">
        <v>1</v>
      </c>
      <c r="E119" s="139">
        <v>5</v>
      </c>
      <c r="F119" s="140">
        <v>105000</v>
      </c>
      <c r="G119" s="140">
        <f t="shared" si="6"/>
        <v>525000</v>
      </c>
      <c r="H119" s="75" t="s">
        <v>522</v>
      </c>
      <c r="I119" s="142"/>
      <c r="J119" s="76"/>
    </row>
    <row r="120" spans="1:10" s="74" customFormat="1" ht="14.1" customHeight="1" outlineLevel="2">
      <c r="A120" s="144" t="s">
        <v>608</v>
      </c>
      <c r="B120" s="137" t="s">
        <v>565</v>
      </c>
      <c r="C120" s="138" t="s">
        <v>525</v>
      </c>
      <c r="D120" s="139">
        <v>1</v>
      </c>
      <c r="E120" s="139">
        <v>6</v>
      </c>
      <c r="F120" s="140">
        <v>105000</v>
      </c>
      <c r="G120" s="140">
        <f t="shared" si="6"/>
        <v>630000</v>
      </c>
      <c r="H120" s="75" t="s">
        <v>526</v>
      </c>
      <c r="I120" s="75"/>
      <c r="J120" s="76" t="s">
        <v>848</v>
      </c>
    </row>
    <row r="121" spans="1:10" s="74" customFormat="1" ht="14.1" customHeight="1" outlineLevel="2">
      <c r="A121" s="136" t="s">
        <v>609</v>
      </c>
      <c r="B121" s="137" t="s">
        <v>568</v>
      </c>
      <c r="C121" s="138" t="s">
        <v>525</v>
      </c>
      <c r="D121" s="139">
        <v>1</v>
      </c>
      <c r="E121" s="139">
        <v>7</v>
      </c>
      <c r="F121" s="140">
        <v>105000</v>
      </c>
      <c r="G121" s="140">
        <f t="shared" si="6"/>
        <v>735000</v>
      </c>
      <c r="H121" s="75" t="s">
        <v>526</v>
      </c>
      <c r="I121" s="139"/>
      <c r="J121" s="76" t="s">
        <v>610</v>
      </c>
    </row>
    <row r="122" spans="1:10" s="74" customFormat="1" ht="14.1" customHeight="1" outlineLevel="2">
      <c r="A122" s="144" t="s">
        <v>524</v>
      </c>
      <c r="B122" s="137" t="s">
        <v>855</v>
      </c>
      <c r="C122" s="138" t="s">
        <v>913</v>
      </c>
      <c r="D122" s="139">
        <v>1</v>
      </c>
      <c r="E122" s="139">
        <v>5</v>
      </c>
      <c r="F122" s="140">
        <v>105000</v>
      </c>
      <c r="G122" s="140">
        <f t="shared" si="6"/>
        <v>525000</v>
      </c>
      <c r="H122" s="75" t="s">
        <v>906</v>
      </c>
      <c r="I122" s="142"/>
      <c r="J122" s="76"/>
    </row>
    <row r="123" spans="1:10" s="74" customFormat="1" ht="14.1" customHeight="1" outlineLevel="2">
      <c r="A123" s="144" t="s">
        <v>914</v>
      </c>
      <c r="B123" s="137" t="s">
        <v>855</v>
      </c>
      <c r="C123" s="138" t="s">
        <v>913</v>
      </c>
      <c r="D123" s="139">
        <v>2</v>
      </c>
      <c r="E123" s="139">
        <v>10</v>
      </c>
      <c r="F123" s="140">
        <v>105000</v>
      </c>
      <c r="G123" s="140">
        <f t="shared" si="6"/>
        <v>1050000</v>
      </c>
      <c r="H123" s="75" t="s">
        <v>906</v>
      </c>
      <c r="I123" s="142" t="s">
        <v>915</v>
      </c>
      <c r="J123" s="76"/>
    </row>
    <row r="124" spans="1:10" s="74" customFormat="1" ht="14.1" customHeight="1" outlineLevel="2">
      <c r="A124" s="144" t="s">
        <v>916</v>
      </c>
      <c r="B124" s="137" t="s">
        <v>855</v>
      </c>
      <c r="C124" s="138" t="s">
        <v>525</v>
      </c>
      <c r="D124" s="139">
        <v>1</v>
      </c>
      <c r="E124" s="139">
        <v>5</v>
      </c>
      <c r="F124" s="140">
        <v>105000</v>
      </c>
      <c r="G124" s="140">
        <f t="shared" si="6"/>
        <v>525000</v>
      </c>
      <c r="H124" s="75" t="s">
        <v>492</v>
      </c>
      <c r="I124" s="142"/>
      <c r="J124" s="146"/>
    </row>
    <row r="125" spans="1:10" s="74" customFormat="1" ht="14.1" customHeight="1" outlineLevel="2">
      <c r="A125" s="136" t="s">
        <v>917</v>
      </c>
      <c r="B125" s="137" t="s">
        <v>855</v>
      </c>
      <c r="C125" s="138" t="s">
        <v>913</v>
      </c>
      <c r="D125" s="139">
        <v>1</v>
      </c>
      <c r="E125" s="139">
        <v>5</v>
      </c>
      <c r="F125" s="140">
        <v>105000</v>
      </c>
      <c r="G125" s="140">
        <f t="shared" si="6"/>
        <v>525000</v>
      </c>
      <c r="H125" s="75" t="s">
        <v>906</v>
      </c>
      <c r="I125" s="142"/>
      <c r="J125" s="76"/>
    </row>
    <row r="126" spans="1:10" s="74" customFormat="1" ht="14.1" customHeight="1" outlineLevel="2">
      <c r="A126" s="144" t="s">
        <v>918</v>
      </c>
      <c r="B126" s="137" t="s">
        <v>855</v>
      </c>
      <c r="C126" s="138" t="s">
        <v>913</v>
      </c>
      <c r="D126" s="139">
        <v>1</v>
      </c>
      <c r="E126" s="139">
        <v>5</v>
      </c>
      <c r="F126" s="140">
        <v>105000</v>
      </c>
      <c r="G126" s="140">
        <f t="shared" si="6"/>
        <v>525000</v>
      </c>
      <c r="H126" s="75" t="s">
        <v>906</v>
      </c>
      <c r="I126" s="142"/>
      <c r="J126" s="76"/>
    </row>
    <row r="127" spans="1:10" s="74" customFormat="1" ht="14.1" customHeight="1" outlineLevel="2">
      <c r="A127" s="144" t="s">
        <v>382</v>
      </c>
      <c r="B127" s="137" t="s">
        <v>855</v>
      </c>
      <c r="C127" s="138" t="s">
        <v>913</v>
      </c>
      <c r="D127" s="139">
        <v>1</v>
      </c>
      <c r="E127" s="139">
        <v>5</v>
      </c>
      <c r="F127" s="140">
        <v>105000</v>
      </c>
      <c r="G127" s="140">
        <f t="shared" si="6"/>
        <v>525000</v>
      </c>
      <c r="H127" s="75"/>
      <c r="I127" s="139"/>
      <c r="J127" s="76"/>
    </row>
    <row r="128" spans="1:10" s="74" customFormat="1" ht="14.1" customHeight="1" outlineLevel="2">
      <c r="A128" s="144" t="s">
        <v>919</v>
      </c>
      <c r="B128" s="137" t="s">
        <v>855</v>
      </c>
      <c r="C128" s="138" t="s">
        <v>913</v>
      </c>
      <c r="D128" s="139">
        <v>1</v>
      </c>
      <c r="E128" s="139">
        <v>5</v>
      </c>
      <c r="F128" s="140">
        <v>105000</v>
      </c>
      <c r="G128" s="140">
        <f t="shared" si="6"/>
        <v>525000</v>
      </c>
      <c r="H128" s="75" t="s">
        <v>526</v>
      </c>
      <c r="I128" s="142"/>
      <c r="J128" s="76"/>
    </row>
    <row r="129" spans="1:10" s="74" customFormat="1" ht="14.1" customHeight="1" outlineLevel="2">
      <c r="A129" s="144" t="s">
        <v>920</v>
      </c>
      <c r="B129" s="137" t="s">
        <v>855</v>
      </c>
      <c r="C129" s="138" t="s">
        <v>913</v>
      </c>
      <c r="D129" s="139">
        <v>1</v>
      </c>
      <c r="E129" s="139">
        <v>5</v>
      </c>
      <c r="F129" s="140">
        <v>105000</v>
      </c>
      <c r="G129" s="140">
        <f t="shared" si="6"/>
        <v>525000</v>
      </c>
      <c r="H129" s="75" t="s">
        <v>526</v>
      </c>
      <c r="I129" s="142"/>
      <c r="J129" s="76"/>
    </row>
    <row r="130" spans="1:10" s="74" customFormat="1" ht="14.1" customHeight="1" outlineLevel="2">
      <c r="A130" s="144" t="s">
        <v>921</v>
      </c>
      <c r="B130" s="137" t="s">
        <v>855</v>
      </c>
      <c r="C130" s="138" t="s">
        <v>525</v>
      </c>
      <c r="D130" s="139">
        <v>1</v>
      </c>
      <c r="E130" s="139">
        <v>5</v>
      </c>
      <c r="F130" s="140">
        <v>105000</v>
      </c>
      <c r="G130" s="140">
        <f t="shared" si="6"/>
        <v>525000</v>
      </c>
      <c r="H130" s="75" t="s">
        <v>526</v>
      </c>
      <c r="I130" s="142"/>
      <c r="J130" s="76"/>
    </row>
    <row r="131" spans="1:10" s="74" customFormat="1" ht="14.1" customHeight="1" outlineLevel="2">
      <c r="A131" s="144" t="s">
        <v>922</v>
      </c>
      <c r="B131" s="137" t="s">
        <v>855</v>
      </c>
      <c r="C131" s="138" t="s">
        <v>913</v>
      </c>
      <c r="D131" s="139">
        <v>1</v>
      </c>
      <c r="E131" s="139">
        <v>5</v>
      </c>
      <c r="F131" s="140">
        <v>105000</v>
      </c>
      <c r="G131" s="140">
        <f t="shared" si="6"/>
        <v>525000</v>
      </c>
      <c r="H131" s="75" t="s">
        <v>875</v>
      </c>
      <c r="I131" s="142"/>
      <c r="J131" s="76"/>
    </row>
    <row r="132" spans="1:10" s="74" customFormat="1" ht="14.1" customHeight="1" outlineLevel="2">
      <c r="A132" s="144" t="s">
        <v>923</v>
      </c>
      <c r="B132" s="137" t="s">
        <v>855</v>
      </c>
      <c r="C132" s="138" t="s">
        <v>913</v>
      </c>
      <c r="D132" s="139">
        <v>1</v>
      </c>
      <c r="E132" s="139">
        <v>5</v>
      </c>
      <c r="F132" s="140">
        <v>105000</v>
      </c>
      <c r="G132" s="140">
        <f t="shared" si="6"/>
        <v>525000</v>
      </c>
      <c r="H132" s="75"/>
      <c r="I132" s="142"/>
      <c r="J132" s="76" t="s">
        <v>924</v>
      </c>
    </row>
    <row r="133" spans="1:10" s="74" customFormat="1" ht="14.1" customHeight="1" outlineLevel="2">
      <c r="A133" s="136" t="s">
        <v>925</v>
      </c>
      <c r="B133" s="137" t="s">
        <v>855</v>
      </c>
      <c r="C133" s="138" t="s">
        <v>913</v>
      </c>
      <c r="D133" s="139">
        <v>1</v>
      </c>
      <c r="E133" s="139">
        <v>5</v>
      </c>
      <c r="F133" s="140">
        <v>105000</v>
      </c>
      <c r="G133" s="140">
        <f t="shared" si="6"/>
        <v>525000</v>
      </c>
      <c r="H133" s="75" t="s">
        <v>526</v>
      </c>
      <c r="I133" s="142"/>
      <c r="J133" s="76"/>
    </row>
    <row r="134" spans="1:10" s="74" customFormat="1" ht="14.1" customHeight="1" outlineLevel="2">
      <c r="A134" s="136" t="s">
        <v>926</v>
      </c>
      <c r="B134" s="137" t="s">
        <v>855</v>
      </c>
      <c r="C134" s="138" t="s">
        <v>913</v>
      </c>
      <c r="D134" s="139">
        <v>1</v>
      </c>
      <c r="E134" s="139">
        <v>5</v>
      </c>
      <c r="F134" s="140">
        <v>105000</v>
      </c>
      <c r="G134" s="140">
        <f t="shared" si="6"/>
        <v>525000</v>
      </c>
      <c r="H134" s="75" t="s">
        <v>526</v>
      </c>
      <c r="I134" s="142"/>
      <c r="J134" s="76"/>
    </row>
    <row r="135" spans="1:10" s="74" customFormat="1" ht="14.1" customHeight="1" outlineLevel="2">
      <c r="A135" s="144" t="s">
        <v>927</v>
      </c>
      <c r="B135" s="137" t="s">
        <v>855</v>
      </c>
      <c r="C135" s="138" t="s">
        <v>913</v>
      </c>
      <c r="D135" s="139">
        <v>1</v>
      </c>
      <c r="E135" s="139">
        <v>5</v>
      </c>
      <c r="F135" s="140">
        <v>105000</v>
      </c>
      <c r="G135" s="140">
        <f t="shared" si="6"/>
        <v>525000</v>
      </c>
      <c r="H135" s="75" t="s">
        <v>906</v>
      </c>
      <c r="I135" s="142"/>
      <c r="J135" s="76"/>
    </row>
    <row r="136" spans="1:10" s="74" customFormat="1" ht="14.1" customHeight="1" outlineLevel="2">
      <c r="A136" s="136" t="s">
        <v>527</v>
      </c>
      <c r="B136" s="137" t="s">
        <v>855</v>
      </c>
      <c r="C136" s="138" t="s">
        <v>913</v>
      </c>
      <c r="D136" s="139">
        <v>1</v>
      </c>
      <c r="E136" s="139">
        <v>5</v>
      </c>
      <c r="F136" s="140">
        <v>105000</v>
      </c>
      <c r="G136" s="140">
        <f t="shared" si="6"/>
        <v>525000</v>
      </c>
      <c r="H136" s="75" t="s">
        <v>526</v>
      </c>
      <c r="I136" s="139"/>
      <c r="J136" s="76"/>
    </row>
    <row r="137" spans="1:10" s="74" customFormat="1" ht="14.1" customHeight="1" outlineLevel="2">
      <c r="A137" s="144" t="s">
        <v>928</v>
      </c>
      <c r="B137" s="137" t="s">
        <v>855</v>
      </c>
      <c r="C137" s="138" t="s">
        <v>913</v>
      </c>
      <c r="D137" s="139">
        <v>1</v>
      </c>
      <c r="E137" s="139">
        <v>5</v>
      </c>
      <c r="F137" s="140">
        <v>105000</v>
      </c>
      <c r="G137" s="140">
        <f t="shared" si="6"/>
        <v>525000</v>
      </c>
      <c r="H137" s="75"/>
      <c r="I137" s="139"/>
      <c r="J137" s="76" t="s">
        <v>862</v>
      </c>
    </row>
    <row r="138" spans="1:10" s="74" customFormat="1" ht="14.1" customHeight="1" outlineLevel="2">
      <c r="A138" s="144" t="s">
        <v>528</v>
      </c>
      <c r="B138" s="137" t="s">
        <v>855</v>
      </c>
      <c r="C138" s="75" t="s">
        <v>913</v>
      </c>
      <c r="D138" s="139">
        <v>1</v>
      </c>
      <c r="E138" s="139">
        <v>5</v>
      </c>
      <c r="F138" s="140">
        <v>105000</v>
      </c>
      <c r="G138" s="140">
        <f t="shared" si="6"/>
        <v>525000</v>
      </c>
      <c r="H138" s="75"/>
      <c r="I138" s="139"/>
      <c r="J138" s="146" t="s">
        <v>929</v>
      </c>
    </row>
    <row r="139" spans="1:10" s="74" customFormat="1" ht="14.1" customHeight="1" outlineLevel="2">
      <c r="A139" s="146" t="s">
        <v>936</v>
      </c>
      <c r="B139" s="137" t="s">
        <v>931</v>
      </c>
      <c r="C139" s="156" t="s">
        <v>933</v>
      </c>
      <c r="D139" s="142">
        <v>1</v>
      </c>
      <c r="E139" s="142">
        <v>5</v>
      </c>
      <c r="F139" s="141">
        <v>105000</v>
      </c>
      <c r="G139" s="141">
        <f t="shared" si="6"/>
        <v>525000</v>
      </c>
      <c r="H139" s="75"/>
      <c r="I139" s="139"/>
      <c r="J139" s="76"/>
    </row>
    <row r="140" spans="1:10" s="74" customFormat="1" ht="14.1" customHeight="1" outlineLevel="2">
      <c r="A140" s="146" t="s">
        <v>937</v>
      </c>
      <c r="B140" s="137" t="s">
        <v>931</v>
      </c>
      <c r="C140" s="156" t="s">
        <v>934</v>
      </c>
      <c r="D140" s="142">
        <v>1</v>
      </c>
      <c r="E140" s="142">
        <v>5</v>
      </c>
      <c r="F140" s="160">
        <v>105000</v>
      </c>
      <c r="G140" s="141">
        <f t="shared" si="6"/>
        <v>525000</v>
      </c>
      <c r="H140" s="75"/>
      <c r="I140" s="139"/>
      <c r="J140" s="76"/>
    </row>
    <row r="141" spans="1:10" s="74" customFormat="1" ht="14.1" customHeight="1" outlineLevel="2">
      <c r="A141" s="161" t="s">
        <v>938</v>
      </c>
      <c r="B141" s="137" t="s">
        <v>931</v>
      </c>
      <c r="C141" s="145" t="s">
        <v>935</v>
      </c>
      <c r="D141" s="139">
        <v>1</v>
      </c>
      <c r="E141" s="139">
        <v>5</v>
      </c>
      <c r="F141" s="141">
        <v>105000</v>
      </c>
      <c r="G141" s="141">
        <f>ROUND(F141*E141,2)</f>
        <v>525000</v>
      </c>
      <c r="H141" s="75"/>
      <c r="I141" s="139"/>
      <c r="J141" s="76"/>
    </row>
    <row r="142" spans="1:10" s="74" customFormat="1" ht="14.1" customHeight="1" outlineLevel="1">
      <c r="A142" s="161"/>
      <c r="B142" s="137"/>
      <c r="C142" s="150" t="s">
        <v>951</v>
      </c>
      <c r="D142" s="139">
        <f>SUBTOTAL(9,D113:D141)</f>
        <v>31</v>
      </c>
      <c r="E142" s="139">
        <f>SUBTOTAL(9,E113:E141)</f>
        <v>161</v>
      </c>
      <c r="F142" s="141"/>
      <c r="G142" s="141">
        <f>SUBTOTAL(9,G113:G141)</f>
        <v>16905000</v>
      </c>
      <c r="H142" s="75"/>
      <c r="I142" s="139"/>
      <c r="J142" s="76"/>
    </row>
    <row r="143" spans="1:10" s="74" customFormat="1" ht="14.1" customHeight="1" outlineLevel="2">
      <c r="A143" s="136" t="s">
        <v>611</v>
      </c>
      <c r="B143" s="137" t="s">
        <v>568</v>
      </c>
      <c r="C143" s="145" t="s">
        <v>530</v>
      </c>
      <c r="D143" s="139">
        <v>1</v>
      </c>
      <c r="E143" s="145">
        <v>5</v>
      </c>
      <c r="F143" s="140">
        <v>105000</v>
      </c>
      <c r="G143" s="140">
        <f t="shared" ref="G143:G170" si="7">F143*E143</f>
        <v>525000</v>
      </c>
      <c r="H143" s="75" t="s">
        <v>531</v>
      </c>
      <c r="I143" s="139"/>
      <c r="J143" s="76"/>
    </row>
    <row r="144" spans="1:10" s="74" customFormat="1" ht="14.1" customHeight="1" outlineLevel="2">
      <c r="A144" s="136" t="s">
        <v>612</v>
      </c>
      <c r="B144" s="137" t="s">
        <v>568</v>
      </c>
      <c r="C144" s="145" t="s">
        <v>530</v>
      </c>
      <c r="D144" s="139">
        <v>1</v>
      </c>
      <c r="E144" s="145">
        <v>5</v>
      </c>
      <c r="F144" s="140">
        <v>105000</v>
      </c>
      <c r="G144" s="140">
        <f t="shared" si="7"/>
        <v>525000</v>
      </c>
      <c r="H144" s="75" t="s">
        <v>531</v>
      </c>
      <c r="I144" s="139"/>
      <c r="J144" s="76"/>
    </row>
    <row r="145" spans="1:10" s="74" customFormat="1" ht="14.1" customHeight="1" outlineLevel="2">
      <c r="A145" s="136" t="s">
        <v>613</v>
      </c>
      <c r="B145" s="137" t="s">
        <v>565</v>
      </c>
      <c r="C145" s="145" t="s">
        <v>530</v>
      </c>
      <c r="D145" s="139">
        <v>1</v>
      </c>
      <c r="E145" s="145">
        <v>5</v>
      </c>
      <c r="F145" s="140">
        <v>105000</v>
      </c>
      <c r="G145" s="140">
        <f t="shared" si="7"/>
        <v>525000</v>
      </c>
      <c r="H145" s="75" t="s">
        <v>531</v>
      </c>
      <c r="I145" s="139"/>
      <c r="J145" s="76"/>
    </row>
    <row r="146" spans="1:10" s="74" customFormat="1" ht="14.1" customHeight="1" outlineLevel="2">
      <c r="A146" s="144" t="s">
        <v>849</v>
      </c>
      <c r="B146" s="137" t="s">
        <v>565</v>
      </c>
      <c r="C146" s="145" t="s">
        <v>530</v>
      </c>
      <c r="D146" s="139">
        <v>1</v>
      </c>
      <c r="E146" s="145">
        <v>6</v>
      </c>
      <c r="F146" s="140">
        <v>105000</v>
      </c>
      <c r="G146" s="140">
        <f t="shared" si="7"/>
        <v>630000</v>
      </c>
      <c r="H146" s="75" t="s">
        <v>531</v>
      </c>
      <c r="I146" s="139" t="s">
        <v>541</v>
      </c>
      <c r="J146" s="76" t="s">
        <v>614</v>
      </c>
    </row>
    <row r="147" spans="1:10" s="74" customFormat="1" ht="14.1" customHeight="1" outlineLevel="2">
      <c r="A147" s="136" t="s">
        <v>615</v>
      </c>
      <c r="B147" s="137" t="s">
        <v>565</v>
      </c>
      <c r="C147" s="145" t="s">
        <v>530</v>
      </c>
      <c r="D147" s="139">
        <v>1</v>
      </c>
      <c r="E147" s="145">
        <v>5</v>
      </c>
      <c r="F147" s="140">
        <v>105000</v>
      </c>
      <c r="G147" s="140">
        <f t="shared" si="7"/>
        <v>525000</v>
      </c>
      <c r="H147" s="75" t="s">
        <v>531</v>
      </c>
      <c r="I147" s="139"/>
      <c r="J147" s="76"/>
    </row>
    <row r="148" spans="1:10" s="74" customFormat="1" ht="14.1" customHeight="1" outlineLevel="2">
      <c r="A148" s="144" t="s">
        <v>233</v>
      </c>
      <c r="B148" s="137" t="s">
        <v>565</v>
      </c>
      <c r="C148" s="145" t="s">
        <v>530</v>
      </c>
      <c r="D148" s="139">
        <v>2</v>
      </c>
      <c r="E148" s="145">
        <v>10</v>
      </c>
      <c r="F148" s="140">
        <v>105000</v>
      </c>
      <c r="G148" s="140">
        <f t="shared" si="7"/>
        <v>1050000</v>
      </c>
      <c r="H148" s="75" t="s">
        <v>531</v>
      </c>
      <c r="I148" s="75" t="s">
        <v>850</v>
      </c>
      <c r="J148" s="76"/>
    </row>
    <row r="149" spans="1:10" s="74" customFormat="1" ht="14.1" customHeight="1" outlineLevel="2">
      <c r="A149" s="144" t="s">
        <v>616</v>
      </c>
      <c r="B149" s="137" t="s">
        <v>568</v>
      </c>
      <c r="C149" s="145" t="s">
        <v>530</v>
      </c>
      <c r="D149" s="139">
        <v>2</v>
      </c>
      <c r="E149" s="145">
        <v>6</v>
      </c>
      <c r="F149" s="140">
        <v>105000</v>
      </c>
      <c r="G149" s="140">
        <f t="shared" si="7"/>
        <v>630000</v>
      </c>
      <c r="H149" s="75" t="s">
        <v>531</v>
      </c>
      <c r="I149" s="139"/>
      <c r="J149" s="76" t="s">
        <v>851</v>
      </c>
    </row>
    <row r="150" spans="1:10" s="74" customFormat="1" ht="14.1" customHeight="1" outlineLevel="2">
      <c r="A150" s="144" t="s">
        <v>617</v>
      </c>
      <c r="B150" s="137" t="s">
        <v>568</v>
      </c>
      <c r="C150" s="137" t="s">
        <v>544</v>
      </c>
      <c r="D150" s="139">
        <v>1</v>
      </c>
      <c r="E150" s="145">
        <v>5</v>
      </c>
      <c r="F150" s="140">
        <v>105000</v>
      </c>
      <c r="G150" s="140">
        <f t="shared" si="7"/>
        <v>525000</v>
      </c>
      <c r="H150" s="75"/>
      <c r="I150" s="139"/>
      <c r="J150" s="76" t="s">
        <v>518</v>
      </c>
    </row>
    <row r="151" spans="1:10" s="74" customFormat="1" ht="14.1" customHeight="1" outlineLevel="2">
      <c r="A151" s="136" t="s">
        <v>618</v>
      </c>
      <c r="B151" s="137" t="s">
        <v>565</v>
      </c>
      <c r="C151" s="145" t="s">
        <v>530</v>
      </c>
      <c r="D151" s="139">
        <v>1</v>
      </c>
      <c r="E151" s="145">
        <v>5</v>
      </c>
      <c r="F151" s="140">
        <v>105000</v>
      </c>
      <c r="G151" s="140">
        <f t="shared" si="7"/>
        <v>525000</v>
      </c>
      <c r="H151" s="75" t="s">
        <v>531</v>
      </c>
      <c r="I151" s="139"/>
      <c r="J151" s="76"/>
    </row>
    <row r="152" spans="1:10" s="74" customFormat="1" ht="14.1" customHeight="1" outlineLevel="2">
      <c r="A152" s="144" t="s">
        <v>619</v>
      </c>
      <c r="B152" s="137" t="s">
        <v>565</v>
      </c>
      <c r="C152" s="145" t="s">
        <v>530</v>
      </c>
      <c r="D152" s="139">
        <v>1</v>
      </c>
      <c r="E152" s="145">
        <v>5</v>
      </c>
      <c r="F152" s="140">
        <v>105000</v>
      </c>
      <c r="G152" s="140">
        <f t="shared" si="7"/>
        <v>525000</v>
      </c>
      <c r="H152" s="75" t="s">
        <v>531</v>
      </c>
      <c r="I152" s="139"/>
      <c r="J152" s="76"/>
    </row>
    <row r="153" spans="1:10" s="74" customFormat="1" ht="14.1" customHeight="1" outlineLevel="2">
      <c r="A153" s="144" t="s">
        <v>620</v>
      </c>
      <c r="B153" s="137" t="s">
        <v>560</v>
      </c>
      <c r="C153" s="145" t="s">
        <v>530</v>
      </c>
      <c r="D153" s="139">
        <v>3</v>
      </c>
      <c r="E153" s="145">
        <v>12</v>
      </c>
      <c r="F153" s="140">
        <v>105000</v>
      </c>
      <c r="G153" s="140">
        <f t="shared" si="7"/>
        <v>1260000</v>
      </c>
      <c r="H153" s="75"/>
      <c r="I153" s="139"/>
      <c r="J153" s="157" t="s">
        <v>852</v>
      </c>
    </row>
    <row r="154" spans="1:10" s="74" customFormat="1" ht="14.1" customHeight="1" outlineLevel="2">
      <c r="A154" s="144" t="s">
        <v>235</v>
      </c>
      <c r="B154" s="137" t="s">
        <v>560</v>
      </c>
      <c r="C154" s="137" t="s">
        <v>544</v>
      </c>
      <c r="D154" s="139">
        <v>1</v>
      </c>
      <c r="E154" s="145">
        <v>5</v>
      </c>
      <c r="F154" s="140">
        <v>105000</v>
      </c>
      <c r="G154" s="140">
        <f t="shared" si="7"/>
        <v>525000</v>
      </c>
      <c r="H154" s="75"/>
      <c r="I154" s="139"/>
      <c r="J154" s="76" t="s">
        <v>853</v>
      </c>
    </row>
    <row r="155" spans="1:10" s="74" customFormat="1" ht="14.1" customHeight="1" outlineLevel="2">
      <c r="A155" s="136" t="s">
        <v>529</v>
      </c>
      <c r="B155" s="137" t="s">
        <v>481</v>
      </c>
      <c r="C155" s="145" t="s">
        <v>530</v>
      </c>
      <c r="D155" s="139">
        <v>1</v>
      </c>
      <c r="E155" s="145">
        <v>5</v>
      </c>
      <c r="F155" s="140">
        <v>105000</v>
      </c>
      <c r="G155" s="140">
        <f t="shared" si="7"/>
        <v>525000</v>
      </c>
      <c r="H155" s="75" t="s">
        <v>531</v>
      </c>
      <c r="I155" s="139"/>
      <c r="J155" s="76"/>
    </row>
    <row r="156" spans="1:10" s="74" customFormat="1" ht="14.1" customHeight="1" outlineLevel="2">
      <c r="A156" s="144" t="s">
        <v>532</v>
      </c>
      <c r="B156" s="137" t="s">
        <v>481</v>
      </c>
      <c r="C156" s="145" t="s">
        <v>530</v>
      </c>
      <c r="D156" s="139">
        <v>1</v>
      </c>
      <c r="E156" s="145">
        <v>5</v>
      </c>
      <c r="F156" s="140">
        <v>105000</v>
      </c>
      <c r="G156" s="140">
        <f t="shared" si="7"/>
        <v>525000</v>
      </c>
      <c r="H156" s="75" t="s">
        <v>531</v>
      </c>
      <c r="I156" s="139"/>
      <c r="J156" s="76"/>
    </row>
    <row r="157" spans="1:10" s="74" customFormat="1" ht="14.1" customHeight="1" outlineLevel="2">
      <c r="A157" s="136" t="s">
        <v>533</v>
      </c>
      <c r="B157" s="137" t="s">
        <v>481</v>
      </c>
      <c r="C157" s="145" t="s">
        <v>530</v>
      </c>
      <c r="D157" s="139">
        <v>1</v>
      </c>
      <c r="E157" s="145">
        <v>5</v>
      </c>
      <c r="F157" s="140">
        <v>105000</v>
      </c>
      <c r="G157" s="140">
        <f t="shared" si="7"/>
        <v>525000</v>
      </c>
      <c r="H157" s="75" t="s">
        <v>531</v>
      </c>
      <c r="I157" s="139"/>
      <c r="J157" s="76"/>
    </row>
    <row r="158" spans="1:10" s="74" customFormat="1" ht="14.1" customHeight="1" outlineLevel="2">
      <c r="A158" s="144" t="s">
        <v>534</v>
      </c>
      <c r="B158" s="137" t="s">
        <v>481</v>
      </c>
      <c r="C158" s="145" t="s">
        <v>530</v>
      </c>
      <c r="D158" s="139">
        <v>1</v>
      </c>
      <c r="E158" s="145">
        <v>5</v>
      </c>
      <c r="F158" s="140">
        <v>105000</v>
      </c>
      <c r="G158" s="140">
        <f t="shared" si="7"/>
        <v>525000</v>
      </c>
      <c r="H158" s="75" t="s">
        <v>531</v>
      </c>
      <c r="I158" s="139"/>
      <c r="J158" s="76"/>
    </row>
    <row r="159" spans="1:10" s="74" customFormat="1" ht="14.1" customHeight="1" outlineLevel="2">
      <c r="A159" s="144" t="s">
        <v>535</v>
      </c>
      <c r="B159" s="137" t="s">
        <v>481</v>
      </c>
      <c r="C159" s="145" t="s">
        <v>530</v>
      </c>
      <c r="D159" s="139">
        <v>1</v>
      </c>
      <c r="E159" s="145">
        <v>5</v>
      </c>
      <c r="F159" s="140">
        <v>105000</v>
      </c>
      <c r="G159" s="140">
        <f t="shared" si="7"/>
        <v>525000</v>
      </c>
      <c r="H159" s="75" t="s">
        <v>531</v>
      </c>
      <c r="I159" s="139"/>
      <c r="J159" s="76"/>
    </row>
    <row r="160" spans="1:10" s="74" customFormat="1" ht="14.1" customHeight="1" outlineLevel="2">
      <c r="A160" s="144" t="s">
        <v>536</v>
      </c>
      <c r="B160" s="137" t="s">
        <v>481</v>
      </c>
      <c r="C160" s="145" t="s">
        <v>530</v>
      </c>
      <c r="D160" s="139">
        <v>1</v>
      </c>
      <c r="E160" s="145">
        <v>5</v>
      </c>
      <c r="F160" s="140">
        <v>105000</v>
      </c>
      <c r="G160" s="140">
        <f t="shared" si="7"/>
        <v>525000</v>
      </c>
      <c r="H160" s="75"/>
      <c r="I160" s="139"/>
      <c r="J160" s="76" t="s">
        <v>523</v>
      </c>
    </row>
    <row r="161" spans="1:10" s="74" customFormat="1" ht="14.1" customHeight="1" outlineLevel="2">
      <c r="A161" s="144" t="s">
        <v>537</v>
      </c>
      <c r="B161" s="137" t="s">
        <v>481</v>
      </c>
      <c r="C161" s="145" t="s">
        <v>530</v>
      </c>
      <c r="D161" s="139">
        <v>1</v>
      </c>
      <c r="E161" s="145">
        <v>5</v>
      </c>
      <c r="F161" s="140">
        <v>105000</v>
      </c>
      <c r="G161" s="140">
        <f t="shared" si="7"/>
        <v>525000</v>
      </c>
      <c r="H161" s="75" t="s">
        <v>531</v>
      </c>
      <c r="I161" s="139"/>
      <c r="J161" s="146"/>
    </row>
    <row r="162" spans="1:10" s="74" customFormat="1" ht="14.1" customHeight="1" outlineLevel="2">
      <c r="A162" s="144" t="s">
        <v>538</v>
      </c>
      <c r="B162" s="137" t="s">
        <v>481</v>
      </c>
      <c r="C162" s="145" t="s">
        <v>530</v>
      </c>
      <c r="D162" s="139">
        <v>1</v>
      </c>
      <c r="E162" s="145">
        <v>5</v>
      </c>
      <c r="F162" s="140">
        <v>105000</v>
      </c>
      <c r="G162" s="140">
        <f t="shared" si="7"/>
        <v>525000</v>
      </c>
      <c r="H162" s="75" t="s">
        <v>531</v>
      </c>
      <c r="I162" s="145"/>
      <c r="J162" s="146"/>
    </row>
    <row r="163" spans="1:10" s="74" customFormat="1" ht="14.1" customHeight="1" outlineLevel="2">
      <c r="A163" s="136" t="s">
        <v>539</v>
      </c>
      <c r="B163" s="137" t="s">
        <v>481</v>
      </c>
      <c r="C163" s="145" t="s">
        <v>530</v>
      </c>
      <c r="D163" s="139">
        <v>1</v>
      </c>
      <c r="E163" s="145">
        <v>5</v>
      </c>
      <c r="F163" s="140">
        <v>105000</v>
      </c>
      <c r="G163" s="140">
        <f t="shared" si="7"/>
        <v>525000</v>
      </c>
      <c r="H163" s="75" t="s">
        <v>531</v>
      </c>
      <c r="I163" s="139"/>
      <c r="J163" s="76"/>
    </row>
    <row r="164" spans="1:10" s="74" customFormat="1" ht="14.1" customHeight="1" outlineLevel="2">
      <c r="A164" s="144" t="s">
        <v>540</v>
      </c>
      <c r="B164" s="137" t="s">
        <v>481</v>
      </c>
      <c r="C164" s="145" t="s">
        <v>530</v>
      </c>
      <c r="D164" s="139">
        <v>1</v>
      </c>
      <c r="E164" s="145">
        <v>5</v>
      </c>
      <c r="F164" s="140">
        <v>105000</v>
      </c>
      <c r="G164" s="140">
        <f t="shared" si="7"/>
        <v>525000</v>
      </c>
      <c r="H164" s="75" t="s">
        <v>531</v>
      </c>
      <c r="I164" s="139" t="s">
        <v>541</v>
      </c>
      <c r="J164" s="76"/>
    </row>
    <row r="165" spans="1:10" s="74" customFormat="1" ht="14.1" customHeight="1" outlineLevel="2">
      <c r="A165" s="144" t="s">
        <v>542</v>
      </c>
      <c r="B165" s="137" t="s">
        <v>481</v>
      </c>
      <c r="C165" s="145" t="s">
        <v>530</v>
      </c>
      <c r="D165" s="139">
        <v>1</v>
      </c>
      <c r="E165" s="145">
        <v>5</v>
      </c>
      <c r="F165" s="140">
        <v>105000</v>
      </c>
      <c r="G165" s="140">
        <f t="shared" si="7"/>
        <v>525000</v>
      </c>
      <c r="H165" s="75" t="s">
        <v>531</v>
      </c>
      <c r="I165" s="139"/>
      <c r="J165" s="76"/>
    </row>
    <row r="166" spans="1:10" s="74" customFormat="1" ht="14.1" customHeight="1" outlineLevel="2">
      <c r="A166" s="144" t="s">
        <v>543</v>
      </c>
      <c r="B166" s="137" t="s">
        <v>481</v>
      </c>
      <c r="C166" s="137" t="s">
        <v>544</v>
      </c>
      <c r="D166" s="139">
        <v>1</v>
      </c>
      <c r="E166" s="145">
        <v>5</v>
      </c>
      <c r="F166" s="140">
        <v>105000</v>
      </c>
      <c r="G166" s="140">
        <f t="shared" si="7"/>
        <v>525000</v>
      </c>
      <c r="H166" s="75"/>
      <c r="I166" s="139"/>
      <c r="J166" s="76" t="s">
        <v>518</v>
      </c>
    </row>
    <row r="167" spans="1:10" s="74" customFormat="1" ht="14.1" customHeight="1" outlineLevel="2">
      <c r="A167" s="136" t="s">
        <v>545</v>
      </c>
      <c r="B167" s="137" t="s">
        <v>481</v>
      </c>
      <c r="C167" s="145" t="s">
        <v>530</v>
      </c>
      <c r="D167" s="139">
        <v>1</v>
      </c>
      <c r="E167" s="145">
        <v>5</v>
      </c>
      <c r="F167" s="140">
        <v>105000</v>
      </c>
      <c r="G167" s="140">
        <f t="shared" si="7"/>
        <v>525000</v>
      </c>
      <c r="H167" s="75" t="s">
        <v>531</v>
      </c>
      <c r="I167" s="139"/>
      <c r="J167" s="76"/>
    </row>
    <row r="168" spans="1:10" s="74" customFormat="1" ht="14.1" customHeight="1" outlineLevel="2">
      <c r="A168" s="144" t="s">
        <v>546</v>
      </c>
      <c r="B168" s="137" t="s">
        <v>481</v>
      </c>
      <c r="C168" s="145" t="s">
        <v>530</v>
      </c>
      <c r="D168" s="139">
        <v>1</v>
      </c>
      <c r="E168" s="145">
        <v>5</v>
      </c>
      <c r="F168" s="140">
        <v>105000</v>
      </c>
      <c r="G168" s="140">
        <f t="shared" si="7"/>
        <v>525000</v>
      </c>
      <c r="H168" s="75" t="s">
        <v>531</v>
      </c>
      <c r="I168" s="139"/>
      <c r="J168" s="76"/>
    </row>
    <row r="169" spans="1:10" s="74" customFormat="1" ht="14.1" customHeight="1" outlineLevel="2">
      <c r="A169" s="144" t="s">
        <v>547</v>
      </c>
      <c r="B169" s="137" t="s">
        <v>481</v>
      </c>
      <c r="C169" s="145" t="s">
        <v>530</v>
      </c>
      <c r="D169" s="139">
        <v>1</v>
      </c>
      <c r="E169" s="145">
        <v>5</v>
      </c>
      <c r="F169" s="140">
        <v>105000</v>
      </c>
      <c r="G169" s="140">
        <f t="shared" si="7"/>
        <v>525000</v>
      </c>
      <c r="H169" s="75" t="s">
        <v>531</v>
      </c>
      <c r="I169" s="139" t="s">
        <v>541</v>
      </c>
      <c r="J169" s="76"/>
    </row>
    <row r="170" spans="1:10" s="74" customFormat="1" ht="14.1" customHeight="1" outlineLevel="2">
      <c r="A170" s="144" t="s">
        <v>548</v>
      </c>
      <c r="B170" s="137" t="s">
        <v>549</v>
      </c>
      <c r="C170" s="145" t="s">
        <v>530</v>
      </c>
      <c r="D170" s="139">
        <v>1</v>
      </c>
      <c r="E170" s="145">
        <v>5</v>
      </c>
      <c r="F170" s="140">
        <v>105000</v>
      </c>
      <c r="G170" s="140">
        <f t="shared" si="7"/>
        <v>525000</v>
      </c>
      <c r="H170" s="75" t="s">
        <v>531</v>
      </c>
      <c r="I170" s="162" t="s">
        <v>550</v>
      </c>
      <c r="J170" s="76"/>
    </row>
    <row r="171" spans="1:10" s="74" customFormat="1" ht="14.1" customHeight="1" outlineLevel="2">
      <c r="A171" s="149" t="s">
        <v>625</v>
      </c>
      <c r="B171" s="137" t="s">
        <v>931</v>
      </c>
      <c r="C171" s="145" t="s">
        <v>939</v>
      </c>
      <c r="D171" s="139">
        <v>1</v>
      </c>
      <c r="E171" s="139">
        <v>5</v>
      </c>
      <c r="F171" s="141">
        <v>105000</v>
      </c>
      <c r="G171" s="141">
        <f t="shared" ref="G171:G172" si="8">ROUND(F171*E171,2)</f>
        <v>525000</v>
      </c>
      <c r="H171" s="75"/>
      <c r="I171" s="139"/>
      <c r="J171" s="76"/>
    </row>
    <row r="172" spans="1:10" s="74" customFormat="1" ht="14.1" customHeight="1" outlineLevel="2">
      <c r="A172" s="149" t="s">
        <v>626</v>
      </c>
      <c r="B172" s="137" t="s">
        <v>931</v>
      </c>
      <c r="C172" s="145" t="s">
        <v>939</v>
      </c>
      <c r="D172" s="139">
        <v>1</v>
      </c>
      <c r="E172" s="139">
        <v>5</v>
      </c>
      <c r="F172" s="141">
        <v>105000</v>
      </c>
      <c r="G172" s="141">
        <f t="shared" si="8"/>
        <v>525000</v>
      </c>
      <c r="H172" s="75"/>
      <c r="I172" s="139"/>
      <c r="J172" s="76"/>
    </row>
    <row r="173" spans="1:10" s="74" customFormat="1" ht="14.1" customHeight="1" outlineLevel="1">
      <c r="A173" s="149"/>
      <c r="B173" s="137"/>
      <c r="C173" s="150" t="s">
        <v>952</v>
      </c>
      <c r="D173" s="139">
        <f>SUBTOTAL(9,D143:D172)</f>
        <v>34</v>
      </c>
      <c r="E173" s="139">
        <f>SUBTOTAL(9,E143:E172)</f>
        <v>164</v>
      </c>
      <c r="F173" s="141"/>
      <c r="G173" s="141">
        <f>SUBTOTAL(9,G143:G172)</f>
        <v>17220000</v>
      </c>
      <c r="H173" s="75"/>
      <c r="I173" s="139"/>
      <c r="J173" s="76"/>
    </row>
    <row r="174" spans="1:10" s="74" customFormat="1" ht="14.1" customHeight="1" outlineLevel="2">
      <c r="A174" s="136" t="s">
        <v>621</v>
      </c>
      <c r="B174" s="137" t="s">
        <v>565</v>
      </c>
      <c r="C174" s="145" t="s">
        <v>552</v>
      </c>
      <c r="D174" s="139">
        <v>1</v>
      </c>
      <c r="E174" s="145">
        <v>5</v>
      </c>
      <c r="F174" s="140">
        <v>105000</v>
      </c>
      <c r="G174" s="140">
        <f t="shared" ref="G174:G179" si="9">F174*E174</f>
        <v>525000</v>
      </c>
      <c r="H174" s="137" t="s">
        <v>553</v>
      </c>
      <c r="I174" s="139"/>
      <c r="J174" s="76"/>
    </row>
    <row r="175" spans="1:10" s="74" customFormat="1" ht="14.1" customHeight="1" outlineLevel="2">
      <c r="A175" s="144" t="s">
        <v>551</v>
      </c>
      <c r="B175" s="137" t="s">
        <v>481</v>
      </c>
      <c r="C175" s="145" t="s">
        <v>552</v>
      </c>
      <c r="D175" s="139">
        <v>1</v>
      </c>
      <c r="E175" s="145">
        <v>5</v>
      </c>
      <c r="F175" s="140">
        <v>105000</v>
      </c>
      <c r="G175" s="140">
        <f t="shared" si="9"/>
        <v>525000</v>
      </c>
      <c r="H175" s="137" t="s">
        <v>553</v>
      </c>
      <c r="I175" s="139"/>
      <c r="J175" s="76"/>
    </row>
    <row r="176" spans="1:10" s="74" customFormat="1" ht="14.1" customHeight="1" outlineLevel="2">
      <c r="A176" s="136" t="s">
        <v>554</v>
      </c>
      <c r="B176" s="137" t="s">
        <v>481</v>
      </c>
      <c r="C176" s="145" t="s">
        <v>552</v>
      </c>
      <c r="D176" s="139">
        <v>1</v>
      </c>
      <c r="E176" s="145">
        <v>5</v>
      </c>
      <c r="F176" s="140">
        <v>105000</v>
      </c>
      <c r="G176" s="140">
        <f t="shared" si="9"/>
        <v>525000</v>
      </c>
      <c r="H176" s="137" t="s">
        <v>553</v>
      </c>
      <c r="I176" s="139"/>
      <c r="J176" s="76"/>
    </row>
    <row r="177" spans="1:10" s="74" customFormat="1" ht="14.1" customHeight="1" outlineLevel="2">
      <c r="A177" s="144" t="s">
        <v>555</v>
      </c>
      <c r="B177" s="137" t="s">
        <v>481</v>
      </c>
      <c r="C177" s="145" t="s">
        <v>552</v>
      </c>
      <c r="D177" s="139">
        <v>1</v>
      </c>
      <c r="E177" s="145">
        <v>5</v>
      </c>
      <c r="F177" s="140">
        <v>105000</v>
      </c>
      <c r="G177" s="140">
        <f t="shared" si="9"/>
        <v>525000</v>
      </c>
      <c r="H177" s="137" t="s">
        <v>553</v>
      </c>
      <c r="I177" s="139" t="s">
        <v>556</v>
      </c>
      <c r="J177" s="76"/>
    </row>
    <row r="178" spans="1:10" s="74" customFormat="1" ht="14.1" customHeight="1" outlineLevel="2">
      <c r="A178" s="144" t="s">
        <v>557</v>
      </c>
      <c r="B178" s="137" t="s">
        <v>481</v>
      </c>
      <c r="C178" s="145" t="s">
        <v>552</v>
      </c>
      <c r="D178" s="139">
        <v>1</v>
      </c>
      <c r="E178" s="145">
        <v>5</v>
      </c>
      <c r="F178" s="140">
        <v>105000</v>
      </c>
      <c r="G178" s="140">
        <f t="shared" si="9"/>
        <v>525000</v>
      </c>
      <c r="H178" s="137" t="s">
        <v>553</v>
      </c>
      <c r="I178" s="139"/>
      <c r="J178" s="146"/>
    </row>
    <row r="179" spans="1:10" s="74" customFormat="1" ht="14.1" customHeight="1" outlineLevel="2">
      <c r="A179" s="136" t="s">
        <v>558</v>
      </c>
      <c r="B179" s="137" t="s">
        <v>549</v>
      </c>
      <c r="C179" s="145" t="s">
        <v>552</v>
      </c>
      <c r="D179" s="139">
        <v>1</v>
      </c>
      <c r="E179" s="145">
        <v>5</v>
      </c>
      <c r="F179" s="140">
        <v>105000</v>
      </c>
      <c r="G179" s="140">
        <f t="shared" si="9"/>
        <v>525000</v>
      </c>
      <c r="H179" s="137" t="s">
        <v>553</v>
      </c>
      <c r="I179" s="162" t="s">
        <v>550</v>
      </c>
      <c r="J179" s="76"/>
    </row>
    <row r="180" spans="1:10" s="74" customFormat="1" ht="14.1" customHeight="1" outlineLevel="2">
      <c r="A180" s="161" t="s">
        <v>627</v>
      </c>
      <c r="B180" s="137" t="s">
        <v>931</v>
      </c>
      <c r="C180" s="145" t="s">
        <v>940</v>
      </c>
      <c r="D180" s="139">
        <v>1</v>
      </c>
      <c r="E180" s="139">
        <v>5</v>
      </c>
      <c r="F180" s="141">
        <v>105000</v>
      </c>
      <c r="G180" s="141">
        <f t="shared" ref="G180:G181" si="10">ROUND(F180*E180,2)</f>
        <v>525000</v>
      </c>
      <c r="H180" s="137"/>
      <c r="I180" s="139"/>
      <c r="J180" s="76"/>
    </row>
    <row r="181" spans="1:10" s="74" customFormat="1" ht="14.1" customHeight="1" outlineLevel="2">
      <c r="A181" s="161" t="s">
        <v>942</v>
      </c>
      <c r="B181" s="137" t="s">
        <v>931</v>
      </c>
      <c r="C181" s="137" t="s">
        <v>941</v>
      </c>
      <c r="D181" s="139">
        <v>1</v>
      </c>
      <c r="E181" s="139">
        <v>5</v>
      </c>
      <c r="F181" s="141">
        <v>105000</v>
      </c>
      <c r="G181" s="141">
        <f t="shared" si="10"/>
        <v>525000</v>
      </c>
      <c r="H181" s="137"/>
      <c r="I181" s="139"/>
      <c r="J181" s="76"/>
    </row>
    <row r="182" spans="1:10" s="74" customFormat="1" ht="14.1" customHeight="1" outlineLevel="1">
      <c r="A182" s="161"/>
      <c r="B182" s="137"/>
      <c r="C182" s="163" t="s">
        <v>953</v>
      </c>
      <c r="D182" s="139">
        <f>SUBTOTAL(9,D174:D181)</f>
        <v>8</v>
      </c>
      <c r="E182" s="139">
        <f>SUBTOTAL(9,E174:E181)</f>
        <v>40</v>
      </c>
      <c r="F182" s="141"/>
      <c r="G182" s="141">
        <f>SUBTOTAL(9,G174:G181)</f>
        <v>4200000</v>
      </c>
      <c r="H182" s="137"/>
      <c r="I182" s="139"/>
      <c r="J182" s="76"/>
    </row>
    <row r="183" spans="1:10" s="74" customFormat="1" ht="14.1" customHeight="1">
      <c r="A183" s="161"/>
      <c r="B183" s="137"/>
      <c r="C183" s="163" t="s">
        <v>252</v>
      </c>
      <c r="D183" s="139">
        <f>SUBTOTAL(9,D3:D181)</f>
        <v>189</v>
      </c>
      <c r="E183" s="139">
        <f>SUBTOTAL(9,E3:E181)</f>
        <v>964</v>
      </c>
      <c r="F183" s="141"/>
      <c r="G183" s="141">
        <f>SUBTOTAL(9,G3:G181)</f>
        <v>101220000</v>
      </c>
      <c r="H183" s="137"/>
      <c r="I183" s="139"/>
      <c r="J183" s="76"/>
    </row>
    <row r="184" spans="1:10">
      <c r="F184" s="126"/>
      <c r="G184" s="127"/>
    </row>
    <row r="185" spans="1:10">
      <c r="F185" s="126"/>
      <c r="G185" s="127"/>
    </row>
  </sheetData>
  <autoFilter ref="A2:J182"/>
  <mergeCells count="1">
    <mergeCell ref="A1:J1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95" orientation="landscape" r:id="rId1"/>
  <headerFooter>
    <oddFooter>第 &amp;P 页，共 &amp;N 页</oddFooter>
  </headerFooter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116"/>
  <sheetViews>
    <sheetView topLeftCell="B1" workbookViewId="0">
      <pane xSplit="2" ySplit="1" topLeftCell="D2" activePane="bottomRight" state="frozen"/>
      <selection activeCell="B1" sqref="B1"/>
      <selection pane="topRight" activeCell="D1" sqref="D1"/>
      <selection pane="bottomLeft" activeCell="B4" sqref="B4"/>
      <selection pane="bottomRight" activeCell="AC21" sqref="AC21"/>
    </sheetView>
  </sheetViews>
  <sheetFormatPr defaultColWidth="9" defaultRowHeight="11.25"/>
  <cols>
    <col min="1" max="1" width="8.125" style="77" hidden="1" customWidth="1"/>
    <col min="2" max="2" width="20.375" style="77" customWidth="1"/>
    <col min="3" max="3" width="5.75" style="77" customWidth="1"/>
    <col min="4" max="4" width="9.75" style="77" hidden="1" customWidth="1"/>
    <col min="5" max="18" width="9" style="77" hidden="1" customWidth="1"/>
    <col min="19" max="19" width="9" style="94" hidden="1" customWidth="1"/>
    <col min="20" max="23" width="9" style="77" hidden="1" customWidth="1"/>
    <col min="24" max="24" width="9" style="94" hidden="1" customWidth="1"/>
    <col min="25" max="25" width="8.375" style="77" customWidth="1"/>
    <col min="26" max="26" width="9.625" style="77" customWidth="1"/>
    <col min="27" max="27" width="9.375" style="77" customWidth="1"/>
    <col min="28" max="28" width="12.5" style="77" customWidth="1"/>
    <col min="29" max="29" width="9.875" style="77" customWidth="1"/>
    <col min="30" max="30" width="11.625" style="77" customWidth="1"/>
    <col min="31" max="31" width="10.5" style="77" customWidth="1"/>
    <col min="32" max="32" width="10.875" style="77" customWidth="1"/>
    <col min="33" max="33" width="11.375" style="77" customWidth="1"/>
    <col min="34" max="34" width="11.625" style="77" customWidth="1"/>
    <col min="35" max="35" width="11.375" style="77" customWidth="1"/>
    <col min="36" max="36" width="9.5" style="77" bestFit="1" customWidth="1"/>
    <col min="37" max="37" width="11" style="77" customWidth="1"/>
    <col min="38" max="38" width="12.125" style="77" customWidth="1"/>
    <col min="39" max="39" width="12.5" style="88" customWidth="1"/>
    <col min="40" max="40" width="10.5" style="122" customWidth="1"/>
    <col min="41" max="41" width="13" style="123" bestFit="1" customWidth="1"/>
    <col min="42" max="16384" width="9" style="77"/>
  </cols>
  <sheetData>
    <row r="1" spans="1:41" ht="18.75">
      <c r="A1" s="815" t="s">
        <v>965</v>
      </c>
      <c r="B1" s="816"/>
      <c r="C1" s="816"/>
      <c r="D1" s="816"/>
      <c r="E1" s="816"/>
      <c r="F1" s="816"/>
      <c r="G1" s="816"/>
      <c r="H1" s="816"/>
      <c r="I1" s="816"/>
      <c r="J1" s="816"/>
      <c r="K1" s="816"/>
      <c r="L1" s="816"/>
      <c r="M1" s="816"/>
      <c r="N1" s="816"/>
      <c r="O1" s="816"/>
      <c r="P1" s="816"/>
      <c r="Q1" s="816"/>
      <c r="R1" s="816"/>
      <c r="S1" s="816"/>
      <c r="T1" s="816"/>
      <c r="U1" s="816"/>
      <c r="V1" s="816"/>
      <c r="W1" s="816"/>
      <c r="X1" s="816"/>
      <c r="Y1" s="816"/>
      <c r="Z1" s="816"/>
      <c r="AA1" s="816"/>
      <c r="AB1" s="816"/>
      <c r="AC1" s="816"/>
      <c r="AD1" s="816"/>
      <c r="AE1" s="816"/>
      <c r="AF1" s="816"/>
      <c r="AG1" s="816"/>
      <c r="AH1" s="816"/>
      <c r="AI1" s="816"/>
      <c r="AJ1" s="816"/>
      <c r="AK1" s="816"/>
      <c r="AL1" s="816"/>
      <c r="AM1" s="816"/>
      <c r="AN1" s="817"/>
      <c r="AO1" s="817"/>
    </row>
    <row r="2" spans="1:41" ht="11.25" customHeight="1">
      <c r="A2" s="818" t="s">
        <v>631</v>
      </c>
      <c r="B2" s="818" t="s">
        <v>632</v>
      </c>
      <c r="C2" s="818" t="s">
        <v>955</v>
      </c>
      <c r="D2" s="818" t="s">
        <v>633</v>
      </c>
      <c r="E2" s="818" t="s">
        <v>634</v>
      </c>
      <c r="F2" s="818"/>
      <c r="G2" s="818"/>
      <c r="H2" s="818"/>
      <c r="I2" s="818"/>
      <c r="J2" s="818" t="s">
        <v>966</v>
      </c>
      <c r="K2" s="818"/>
      <c r="L2" s="818"/>
      <c r="M2" s="818"/>
      <c r="N2" s="818"/>
      <c r="O2" s="819" t="s">
        <v>635</v>
      </c>
      <c r="P2" s="819"/>
      <c r="Q2" s="819"/>
      <c r="R2" s="819"/>
      <c r="S2" s="819"/>
      <c r="T2" s="819" t="s">
        <v>636</v>
      </c>
      <c r="U2" s="819"/>
      <c r="V2" s="819"/>
      <c r="W2" s="819"/>
      <c r="X2" s="819"/>
      <c r="Y2" s="819" t="s">
        <v>637</v>
      </c>
      <c r="Z2" s="819"/>
      <c r="AA2" s="819"/>
      <c r="AB2" s="819"/>
      <c r="AC2" s="819"/>
      <c r="AD2" s="818" t="s">
        <v>967</v>
      </c>
      <c r="AE2" s="818"/>
      <c r="AF2" s="818"/>
      <c r="AG2" s="818"/>
      <c r="AH2" s="818"/>
      <c r="AI2" s="818"/>
      <c r="AJ2" s="818"/>
      <c r="AK2" s="818"/>
      <c r="AL2" s="818"/>
      <c r="AM2" s="818"/>
      <c r="AN2" s="813" t="s">
        <v>968</v>
      </c>
      <c r="AO2" s="813" t="s">
        <v>267</v>
      </c>
    </row>
    <row r="3" spans="1:41" ht="33.75">
      <c r="A3" s="818"/>
      <c r="B3" s="818"/>
      <c r="C3" s="818"/>
      <c r="D3" s="818"/>
      <c r="E3" s="78" t="s">
        <v>638</v>
      </c>
      <c r="F3" s="78" t="s">
        <v>639</v>
      </c>
      <c r="G3" s="78" t="s">
        <v>640</v>
      </c>
      <c r="H3" s="78" t="s">
        <v>641</v>
      </c>
      <c r="I3" s="165" t="s">
        <v>17</v>
      </c>
      <c r="J3" s="78" t="s">
        <v>638</v>
      </c>
      <c r="K3" s="78" t="s">
        <v>639</v>
      </c>
      <c r="L3" s="78" t="s">
        <v>640</v>
      </c>
      <c r="M3" s="78" t="s">
        <v>641</v>
      </c>
      <c r="N3" s="165" t="s">
        <v>17</v>
      </c>
      <c r="O3" s="78" t="s">
        <v>638</v>
      </c>
      <c r="P3" s="78" t="s">
        <v>639</v>
      </c>
      <c r="Q3" s="78" t="s">
        <v>640</v>
      </c>
      <c r="R3" s="78" t="s">
        <v>641</v>
      </c>
      <c r="S3" s="92" t="s">
        <v>17</v>
      </c>
      <c r="T3" s="78" t="s">
        <v>638</v>
      </c>
      <c r="U3" s="78" t="s">
        <v>639</v>
      </c>
      <c r="V3" s="78" t="s">
        <v>640</v>
      </c>
      <c r="W3" s="78" t="s">
        <v>641</v>
      </c>
      <c r="X3" s="92" t="s">
        <v>17</v>
      </c>
      <c r="Y3" s="78" t="s">
        <v>638</v>
      </c>
      <c r="Z3" s="78" t="s">
        <v>639</v>
      </c>
      <c r="AA3" s="78" t="s">
        <v>640</v>
      </c>
      <c r="AB3" s="78" t="s">
        <v>641</v>
      </c>
      <c r="AC3" s="165" t="s">
        <v>17</v>
      </c>
      <c r="AD3" s="78" t="s">
        <v>642</v>
      </c>
      <c r="AE3" s="78" t="s">
        <v>643</v>
      </c>
      <c r="AF3" s="78" t="s">
        <v>644</v>
      </c>
      <c r="AG3" s="78" t="s">
        <v>645</v>
      </c>
      <c r="AH3" s="78" t="s">
        <v>646</v>
      </c>
      <c r="AI3" s="78" t="s">
        <v>969</v>
      </c>
      <c r="AJ3" s="78" t="s">
        <v>970</v>
      </c>
      <c r="AK3" s="78" t="s">
        <v>733</v>
      </c>
      <c r="AL3" s="78" t="s">
        <v>647</v>
      </c>
      <c r="AM3" s="84" t="s">
        <v>971</v>
      </c>
      <c r="AN3" s="814"/>
      <c r="AO3" s="814"/>
    </row>
    <row r="4" spans="1:41" ht="18" customHeight="1">
      <c r="A4" s="79" t="s">
        <v>10</v>
      </c>
      <c r="B4" s="80" t="s">
        <v>648</v>
      </c>
      <c r="C4" s="80" t="s">
        <v>649</v>
      </c>
      <c r="D4" s="81">
        <v>2</v>
      </c>
      <c r="E4" s="166">
        <v>0</v>
      </c>
      <c r="F4" s="166">
        <v>2</v>
      </c>
      <c r="G4" s="166">
        <v>20.149999999999999</v>
      </c>
      <c r="H4" s="166">
        <v>3</v>
      </c>
      <c r="I4" s="82">
        <f>SUM(E4:H4)</f>
        <v>25.15</v>
      </c>
      <c r="J4" s="167">
        <v>0</v>
      </c>
      <c r="K4" s="167">
        <v>0</v>
      </c>
      <c r="L4" s="167">
        <v>0</v>
      </c>
      <c r="M4" s="167">
        <v>0</v>
      </c>
      <c r="N4" s="82">
        <f>SUM(J4:M4)</f>
        <v>0</v>
      </c>
      <c r="O4" s="82">
        <f>E4+J4</f>
        <v>0</v>
      </c>
      <c r="P4" s="82">
        <f t="shared" ref="P4:R13" si="0">F4+K4</f>
        <v>2</v>
      </c>
      <c r="Q4" s="82">
        <f t="shared" si="0"/>
        <v>20.149999999999999</v>
      </c>
      <c r="R4" s="82">
        <f t="shared" si="0"/>
        <v>3</v>
      </c>
      <c r="S4" s="93">
        <f>SUM(O4:R4)</f>
        <v>25.15</v>
      </c>
      <c r="T4" s="167">
        <v>0</v>
      </c>
      <c r="U4" s="167">
        <v>1</v>
      </c>
      <c r="V4" s="167">
        <v>20</v>
      </c>
      <c r="W4" s="167">
        <v>3</v>
      </c>
      <c r="X4" s="93">
        <f>SUM(T4:W4)</f>
        <v>24</v>
      </c>
      <c r="Y4" s="167">
        <v>0</v>
      </c>
      <c r="Z4" s="167">
        <v>1</v>
      </c>
      <c r="AA4" s="167">
        <v>20</v>
      </c>
      <c r="AB4" s="167">
        <v>3</v>
      </c>
      <c r="AC4" s="82">
        <f>SUM(Y4:AB4)</f>
        <v>24</v>
      </c>
      <c r="AD4" s="82">
        <f t="shared" ref="AD4:AD9" si="1">(Y4*7050+Z4*6485+AA4*5800+AB4*4900)*12</f>
        <v>1646220</v>
      </c>
      <c r="AE4" s="82">
        <f>AC4*4320</f>
        <v>103680</v>
      </c>
      <c r="AF4" s="82">
        <f>AC4*6000</f>
        <v>144000</v>
      </c>
      <c r="AG4" s="82">
        <f>AC4*2400</f>
        <v>57600</v>
      </c>
      <c r="AH4" s="82">
        <f>AC4*9400</f>
        <v>225600</v>
      </c>
      <c r="AI4" s="82">
        <f>AC4*800</f>
        <v>19200</v>
      </c>
      <c r="AJ4" s="82">
        <f>D4*50*200</f>
        <v>20000</v>
      </c>
      <c r="AK4" s="82">
        <f>AC4*960</f>
        <v>23040</v>
      </c>
      <c r="AL4" s="82">
        <f>ROUND((7384*0.34256*AC4*12),2)</f>
        <v>728485.36</v>
      </c>
      <c r="AM4" s="82">
        <f>ROUND(SUM(AD4:AL4),0)</f>
        <v>2967825</v>
      </c>
      <c r="AN4" s="119"/>
      <c r="AO4" s="121">
        <f>AM4+AN4</f>
        <v>2967825</v>
      </c>
    </row>
    <row r="5" spans="1:41" ht="18" customHeight="1">
      <c r="A5" s="79" t="s">
        <v>10</v>
      </c>
      <c r="B5" s="80" t="s">
        <v>650</v>
      </c>
      <c r="C5" s="80" t="s">
        <v>649</v>
      </c>
      <c r="D5" s="81">
        <v>2</v>
      </c>
      <c r="E5" s="166">
        <v>0</v>
      </c>
      <c r="F5" s="166">
        <v>0</v>
      </c>
      <c r="G5" s="166">
        <v>17.675000000000001</v>
      </c>
      <c r="H5" s="166">
        <v>3</v>
      </c>
      <c r="I5" s="82">
        <f t="shared" ref="I5:I68" si="2">SUM(E5:H5)</f>
        <v>20.675000000000001</v>
      </c>
      <c r="J5" s="167">
        <v>0</v>
      </c>
      <c r="K5" s="167">
        <v>0</v>
      </c>
      <c r="L5" s="167">
        <v>0</v>
      </c>
      <c r="M5" s="167">
        <v>0</v>
      </c>
      <c r="N5" s="82">
        <f t="shared" ref="N5:N68" si="3">SUM(J5:M5)</f>
        <v>0</v>
      </c>
      <c r="O5" s="82">
        <f t="shared" ref="O5:O13" si="4">E5+J5</f>
        <v>0</v>
      </c>
      <c r="P5" s="82">
        <f t="shared" si="0"/>
        <v>0</v>
      </c>
      <c r="Q5" s="82">
        <f t="shared" si="0"/>
        <v>17.675000000000001</v>
      </c>
      <c r="R5" s="82">
        <f t="shared" si="0"/>
        <v>3</v>
      </c>
      <c r="S5" s="93">
        <f t="shared" ref="S5:S68" si="5">SUM(O5:R5)</f>
        <v>20.675000000000001</v>
      </c>
      <c r="T5" s="167">
        <v>0</v>
      </c>
      <c r="U5" s="167">
        <v>0</v>
      </c>
      <c r="V5" s="167">
        <v>18</v>
      </c>
      <c r="W5" s="167">
        <v>2</v>
      </c>
      <c r="X5" s="93">
        <f t="shared" ref="X5:X68" si="6">SUM(T5:W5)</f>
        <v>20</v>
      </c>
      <c r="Y5" s="167">
        <v>0</v>
      </c>
      <c r="Z5" s="167">
        <v>0</v>
      </c>
      <c r="AA5" s="167">
        <v>18</v>
      </c>
      <c r="AB5" s="167">
        <v>2</v>
      </c>
      <c r="AC5" s="82">
        <f t="shared" ref="AC5:AC68" si="7">SUM(Y5:AB5)</f>
        <v>20</v>
      </c>
      <c r="AD5" s="82">
        <f t="shared" si="1"/>
        <v>1370400</v>
      </c>
      <c r="AE5" s="82">
        <f t="shared" ref="AE5:AE68" si="8">AC5*4320</f>
        <v>86400</v>
      </c>
      <c r="AF5" s="82">
        <f t="shared" ref="AF5:AF68" si="9">AC5*6000</f>
        <v>120000</v>
      </c>
      <c r="AG5" s="82">
        <f t="shared" ref="AG5:AG68" si="10">AC5*2400</f>
        <v>48000</v>
      </c>
      <c r="AH5" s="82">
        <f t="shared" ref="AH5:AH68" si="11">AC5*9400</f>
        <v>188000</v>
      </c>
      <c r="AI5" s="82">
        <f t="shared" ref="AI5:AI67" si="12">AC5*800</f>
        <v>16000</v>
      </c>
      <c r="AJ5" s="82">
        <f t="shared" ref="AJ5:AJ69" si="13">D5*50*200</f>
        <v>20000</v>
      </c>
      <c r="AK5" s="82">
        <f t="shared" ref="AK5:AK69" si="14">AC5*960</f>
        <v>19200</v>
      </c>
      <c r="AL5" s="82">
        <f t="shared" ref="AL5:AL68" si="15">ROUND((7384*0.34256*AC5*12),2)</f>
        <v>607071.13</v>
      </c>
      <c r="AM5" s="82">
        <f t="shared" ref="AM5:AM68" si="16">ROUND(SUM(AD5:AL5),0)</f>
        <v>2475071</v>
      </c>
      <c r="AN5" s="119"/>
      <c r="AO5" s="121">
        <f t="shared" ref="AO5:AO13" si="17">AM5+AN5</f>
        <v>2475071</v>
      </c>
    </row>
    <row r="6" spans="1:41" s="83" customFormat="1" ht="18" customHeight="1">
      <c r="A6" s="79" t="s">
        <v>10</v>
      </c>
      <c r="B6" s="80" t="s">
        <v>651</v>
      </c>
      <c r="C6" s="80" t="s">
        <v>649</v>
      </c>
      <c r="D6" s="81">
        <v>2</v>
      </c>
      <c r="E6" s="166">
        <v>0</v>
      </c>
      <c r="F6" s="166">
        <v>2</v>
      </c>
      <c r="G6" s="166">
        <v>20.512499999999999</v>
      </c>
      <c r="H6" s="166">
        <v>3</v>
      </c>
      <c r="I6" s="82">
        <f t="shared" si="2"/>
        <v>25.512499999999999</v>
      </c>
      <c r="J6" s="167">
        <v>1</v>
      </c>
      <c r="K6" s="167">
        <v>0</v>
      </c>
      <c r="L6" s="167">
        <v>1</v>
      </c>
      <c r="M6" s="167">
        <v>0</v>
      </c>
      <c r="N6" s="82">
        <f t="shared" si="3"/>
        <v>2</v>
      </c>
      <c r="O6" s="82">
        <f t="shared" si="4"/>
        <v>1</v>
      </c>
      <c r="P6" s="82">
        <f t="shared" si="0"/>
        <v>2</v>
      </c>
      <c r="Q6" s="82">
        <f t="shared" si="0"/>
        <v>21.512499999999999</v>
      </c>
      <c r="R6" s="82">
        <f t="shared" si="0"/>
        <v>3</v>
      </c>
      <c r="S6" s="93">
        <f t="shared" si="5"/>
        <v>27.512499999999999</v>
      </c>
      <c r="T6" s="167">
        <v>1</v>
      </c>
      <c r="U6" s="167">
        <v>2</v>
      </c>
      <c r="V6" s="167">
        <v>22</v>
      </c>
      <c r="W6" s="167">
        <v>3</v>
      </c>
      <c r="X6" s="93">
        <f t="shared" si="6"/>
        <v>28</v>
      </c>
      <c r="Y6" s="167">
        <v>1</v>
      </c>
      <c r="Z6" s="167">
        <v>2</v>
      </c>
      <c r="AA6" s="167">
        <v>21.512499999999999</v>
      </c>
      <c r="AB6" s="167">
        <v>3</v>
      </c>
      <c r="AC6" s="82">
        <f t="shared" si="7"/>
        <v>27.512499999999999</v>
      </c>
      <c r="AD6" s="82">
        <f t="shared" si="1"/>
        <v>1913910</v>
      </c>
      <c r="AE6" s="82">
        <f t="shared" si="8"/>
        <v>118854</v>
      </c>
      <c r="AF6" s="82">
        <f t="shared" si="9"/>
        <v>165075</v>
      </c>
      <c r="AG6" s="82">
        <f t="shared" si="10"/>
        <v>66030</v>
      </c>
      <c r="AH6" s="82">
        <f t="shared" si="11"/>
        <v>258617.5</v>
      </c>
      <c r="AI6" s="82">
        <f t="shared" si="12"/>
        <v>22010</v>
      </c>
      <c r="AJ6" s="82">
        <f t="shared" si="13"/>
        <v>20000</v>
      </c>
      <c r="AK6" s="82">
        <f t="shared" si="14"/>
        <v>26412</v>
      </c>
      <c r="AL6" s="82">
        <f t="shared" si="15"/>
        <v>835102.22</v>
      </c>
      <c r="AM6" s="82">
        <f t="shared" si="16"/>
        <v>3426011</v>
      </c>
      <c r="AN6" s="120"/>
      <c r="AO6" s="121">
        <f t="shared" si="17"/>
        <v>3426011</v>
      </c>
    </row>
    <row r="7" spans="1:41" ht="18" customHeight="1">
      <c r="A7" s="79" t="s">
        <v>10</v>
      </c>
      <c r="B7" s="80" t="s">
        <v>652</v>
      </c>
      <c r="C7" s="80" t="s">
        <v>649</v>
      </c>
      <c r="D7" s="81">
        <v>2</v>
      </c>
      <c r="E7" s="166">
        <v>0</v>
      </c>
      <c r="F7" s="166">
        <v>0</v>
      </c>
      <c r="G7" s="166">
        <v>25.712499999999999</v>
      </c>
      <c r="H7" s="166">
        <v>3</v>
      </c>
      <c r="I7" s="82">
        <f t="shared" si="2"/>
        <v>28.712499999999999</v>
      </c>
      <c r="J7" s="167">
        <v>1</v>
      </c>
      <c r="K7" s="167">
        <v>0</v>
      </c>
      <c r="L7" s="167">
        <v>0</v>
      </c>
      <c r="M7" s="167">
        <v>1</v>
      </c>
      <c r="N7" s="82">
        <f t="shared" si="3"/>
        <v>2</v>
      </c>
      <c r="O7" s="82">
        <f t="shared" si="4"/>
        <v>1</v>
      </c>
      <c r="P7" s="82">
        <f t="shared" si="0"/>
        <v>0</v>
      </c>
      <c r="Q7" s="82">
        <f t="shared" si="0"/>
        <v>25.712499999999999</v>
      </c>
      <c r="R7" s="82">
        <f t="shared" si="0"/>
        <v>4</v>
      </c>
      <c r="S7" s="93">
        <f t="shared" si="5"/>
        <v>30.712499999999999</v>
      </c>
      <c r="T7" s="167">
        <v>1</v>
      </c>
      <c r="U7" s="167">
        <v>0</v>
      </c>
      <c r="V7" s="167">
        <v>26</v>
      </c>
      <c r="W7" s="167">
        <v>3</v>
      </c>
      <c r="X7" s="93">
        <f t="shared" si="6"/>
        <v>30</v>
      </c>
      <c r="Y7" s="167">
        <v>1</v>
      </c>
      <c r="Z7" s="167">
        <v>0</v>
      </c>
      <c r="AA7" s="167">
        <v>26</v>
      </c>
      <c r="AB7" s="167">
        <v>3</v>
      </c>
      <c r="AC7" s="82">
        <f t="shared" si="7"/>
        <v>30</v>
      </c>
      <c r="AD7" s="82">
        <f t="shared" si="1"/>
        <v>2070600</v>
      </c>
      <c r="AE7" s="82">
        <f t="shared" si="8"/>
        <v>129600</v>
      </c>
      <c r="AF7" s="82">
        <f t="shared" si="9"/>
        <v>180000</v>
      </c>
      <c r="AG7" s="82">
        <f t="shared" si="10"/>
        <v>72000</v>
      </c>
      <c r="AH7" s="82">
        <f t="shared" si="11"/>
        <v>282000</v>
      </c>
      <c r="AI7" s="82">
        <f t="shared" si="12"/>
        <v>24000</v>
      </c>
      <c r="AJ7" s="82">
        <f t="shared" si="13"/>
        <v>20000</v>
      </c>
      <c r="AK7" s="82">
        <f t="shared" si="14"/>
        <v>28800</v>
      </c>
      <c r="AL7" s="82">
        <f t="shared" si="15"/>
        <v>910606.69</v>
      </c>
      <c r="AM7" s="82">
        <f t="shared" si="16"/>
        <v>3717607</v>
      </c>
      <c r="AN7" s="119"/>
      <c r="AO7" s="121">
        <f t="shared" si="17"/>
        <v>3717607</v>
      </c>
    </row>
    <row r="8" spans="1:41" ht="18" customHeight="1">
      <c r="A8" s="79" t="s">
        <v>10</v>
      </c>
      <c r="B8" s="80" t="s">
        <v>223</v>
      </c>
      <c r="C8" s="80" t="s">
        <v>959</v>
      </c>
      <c r="D8" s="81"/>
      <c r="E8" s="166">
        <v>1.2068965517240999</v>
      </c>
      <c r="F8" s="166">
        <v>9</v>
      </c>
      <c r="G8" s="166">
        <v>0</v>
      </c>
      <c r="H8" s="166">
        <v>5.5</v>
      </c>
      <c r="I8" s="82">
        <f t="shared" si="2"/>
        <v>15.7068965517241</v>
      </c>
      <c r="J8" s="167">
        <v>0</v>
      </c>
      <c r="K8" s="167">
        <v>0</v>
      </c>
      <c r="L8" s="167">
        <v>0</v>
      </c>
      <c r="M8" s="167">
        <v>0</v>
      </c>
      <c r="N8" s="82">
        <f t="shared" si="3"/>
        <v>0</v>
      </c>
      <c r="O8" s="82">
        <f t="shared" si="4"/>
        <v>1.2068965517240999</v>
      </c>
      <c r="P8" s="82">
        <f t="shared" si="0"/>
        <v>9</v>
      </c>
      <c r="Q8" s="82">
        <f t="shared" si="0"/>
        <v>0</v>
      </c>
      <c r="R8" s="82">
        <f t="shared" si="0"/>
        <v>5.5</v>
      </c>
      <c r="S8" s="93">
        <f t="shared" si="5"/>
        <v>15.7068965517241</v>
      </c>
      <c r="T8" s="167">
        <v>4</v>
      </c>
      <c r="U8" s="167">
        <v>3</v>
      </c>
      <c r="V8" s="167">
        <v>0</v>
      </c>
      <c r="W8" s="167">
        <v>1</v>
      </c>
      <c r="X8" s="93">
        <f t="shared" si="6"/>
        <v>8</v>
      </c>
      <c r="Y8" s="167">
        <v>4</v>
      </c>
      <c r="Z8" s="167">
        <v>3</v>
      </c>
      <c r="AA8" s="167">
        <v>0</v>
      </c>
      <c r="AB8" s="167">
        <v>1</v>
      </c>
      <c r="AC8" s="82">
        <f t="shared" si="7"/>
        <v>8</v>
      </c>
      <c r="AD8" s="82">
        <f t="shared" si="1"/>
        <v>630660</v>
      </c>
      <c r="AE8" s="82">
        <f t="shared" si="8"/>
        <v>34560</v>
      </c>
      <c r="AF8" s="82">
        <f t="shared" si="9"/>
        <v>48000</v>
      </c>
      <c r="AG8" s="82">
        <f t="shared" si="10"/>
        <v>19200</v>
      </c>
      <c r="AH8" s="82">
        <f t="shared" si="11"/>
        <v>75200</v>
      </c>
      <c r="AI8" s="82">
        <f t="shared" si="12"/>
        <v>6400</v>
      </c>
      <c r="AJ8" s="82">
        <f t="shared" si="13"/>
        <v>0</v>
      </c>
      <c r="AK8" s="82">
        <f t="shared" si="14"/>
        <v>7680</v>
      </c>
      <c r="AL8" s="82">
        <f t="shared" si="15"/>
        <v>242828.45</v>
      </c>
      <c r="AM8" s="82">
        <f t="shared" si="16"/>
        <v>1064528</v>
      </c>
      <c r="AN8" s="119">
        <v>40770</v>
      </c>
      <c r="AO8" s="119">
        <f t="shared" si="17"/>
        <v>1105298</v>
      </c>
    </row>
    <row r="9" spans="1:41" ht="18" customHeight="1">
      <c r="A9" s="79" t="s">
        <v>10</v>
      </c>
      <c r="B9" s="80" t="s">
        <v>653</v>
      </c>
      <c r="C9" s="80" t="s">
        <v>959</v>
      </c>
      <c r="D9" s="81"/>
      <c r="E9" s="166">
        <v>13.482758620689699</v>
      </c>
      <c r="F9" s="166">
        <v>9</v>
      </c>
      <c r="G9" s="166">
        <v>0</v>
      </c>
      <c r="H9" s="166">
        <v>5.5</v>
      </c>
      <c r="I9" s="82">
        <f t="shared" si="2"/>
        <v>27.982758620689701</v>
      </c>
      <c r="J9" s="167">
        <v>6</v>
      </c>
      <c r="K9" s="167">
        <v>0</v>
      </c>
      <c r="L9" s="167">
        <v>0</v>
      </c>
      <c r="M9" s="167">
        <v>0</v>
      </c>
      <c r="N9" s="82">
        <f t="shared" si="3"/>
        <v>6</v>
      </c>
      <c r="O9" s="82">
        <f t="shared" si="4"/>
        <v>19.482758620689701</v>
      </c>
      <c r="P9" s="82">
        <f t="shared" si="0"/>
        <v>9</v>
      </c>
      <c r="Q9" s="82">
        <f t="shared" si="0"/>
        <v>0</v>
      </c>
      <c r="R9" s="82">
        <f t="shared" si="0"/>
        <v>5.5</v>
      </c>
      <c r="S9" s="93">
        <f t="shared" si="5"/>
        <v>33.982758620689701</v>
      </c>
      <c r="T9" s="167">
        <v>6</v>
      </c>
      <c r="U9" s="167">
        <v>2</v>
      </c>
      <c r="V9" s="167">
        <v>0</v>
      </c>
      <c r="W9" s="167">
        <v>7</v>
      </c>
      <c r="X9" s="93">
        <f t="shared" si="6"/>
        <v>15</v>
      </c>
      <c r="Y9" s="167">
        <v>6</v>
      </c>
      <c r="Z9" s="167">
        <v>2</v>
      </c>
      <c r="AA9" s="167">
        <v>0</v>
      </c>
      <c r="AB9" s="167">
        <v>7</v>
      </c>
      <c r="AC9" s="82">
        <f t="shared" si="7"/>
        <v>15</v>
      </c>
      <c r="AD9" s="82">
        <f t="shared" si="1"/>
        <v>1074840</v>
      </c>
      <c r="AE9" s="82">
        <f t="shared" si="8"/>
        <v>64800</v>
      </c>
      <c r="AF9" s="82">
        <f t="shared" si="9"/>
        <v>90000</v>
      </c>
      <c r="AG9" s="82">
        <f t="shared" si="10"/>
        <v>36000</v>
      </c>
      <c r="AH9" s="82">
        <f t="shared" si="11"/>
        <v>141000</v>
      </c>
      <c r="AI9" s="82">
        <f t="shared" si="12"/>
        <v>12000</v>
      </c>
      <c r="AJ9" s="82">
        <f t="shared" si="13"/>
        <v>0</v>
      </c>
      <c r="AK9" s="82">
        <f t="shared" si="14"/>
        <v>14400</v>
      </c>
      <c r="AL9" s="82">
        <f t="shared" si="15"/>
        <v>455303.35</v>
      </c>
      <c r="AM9" s="82">
        <f t="shared" si="16"/>
        <v>1888343</v>
      </c>
      <c r="AN9" s="119">
        <v>52657.5</v>
      </c>
      <c r="AO9" s="119">
        <f t="shared" si="17"/>
        <v>1941000.5</v>
      </c>
    </row>
    <row r="10" spans="1:41" s="83" customFormat="1" ht="18" customHeight="1">
      <c r="A10" s="79" t="s">
        <v>10</v>
      </c>
      <c r="B10" s="80" t="s">
        <v>221</v>
      </c>
      <c r="C10" s="80" t="s">
        <v>464</v>
      </c>
      <c r="D10" s="81"/>
      <c r="E10" s="166">
        <v>6.1764705882352997</v>
      </c>
      <c r="F10" s="166">
        <v>9</v>
      </c>
      <c r="G10" s="166">
        <v>0</v>
      </c>
      <c r="H10" s="166">
        <v>5</v>
      </c>
      <c r="I10" s="82">
        <f t="shared" si="2"/>
        <v>20.176470588235301</v>
      </c>
      <c r="J10" s="167">
        <v>4</v>
      </c>
      <c r="K10" s="167">
        <v>2</v>
      </c>
      <c r="L10" s="167">
        <v>0</v>
      </c>
      <c r="M10" s="167">
        <v>0</v>
      </c>
      <c r="N10" s="82">
        <f t="shared" si="3"/>
        <v>6</v>
      </c>
      <c r="O10" s="82">
        <f t="shared" si="4"/>
        <v>10.176470588235301</v>
      </c>
      <c r="P10" s="82">
        <f t="shared" si="0"/>
        <v>11</v>
      </c>
      <c r="Q10" s="82">
        <f t="shared" si="0"/>
        <v>0</v>
      </c>
      <c r="R10" s="82">
        <f t="shared" si="0"/>
        <v>5</v>
      </c>
      <c r="S10" s="93">
        <f t="shared" si="5"/>
        <v>26.176470588235301</v>
      </c>
      <c r="T10" s="167">
        <v>4</v>
      </c>
      <c r="U10" s="167">
        <v>7</v>
      </c>
      <c r="V10" s="167">
        <v>0</v>
      </c>
      <c r="W10" s="167">
        <v>5</v>
      </c>
      <c r="X10" s="93">
        <f t="shared" si="6"/>
        <v>16</v>
      </c>
      <c r="Y10" s="167">
        <v>4</v>
      </c>
      <c r="Z10" s="167">
        <v>7</v>
      </c>
      <c r="AA10" s="167">
        <v>0</v>
      </c>
      <c r="AB10" s="167">
        <v>5</v>
      </c>
      <c r="AC10" s="82">
        <f t="shared" si="7"/>
        <v>16</v>
      </c>
      <c r="AD10" s="82">
        <f>(Y10*9230+Z10*7215+AA10*5800+AB10*5100)*12</f>
        <v>1355100</v>
      </c>
      <c r="AE10" s="82">
        <f t="shared" si="8"/>
        <v>69120</v>
      </c>
      <c r="AF10" s="82">
        <f t="shared" si="9"/>
        <v>96000</v>
      </c>
      <c r="AG10" s="82">
        <f t="shared" si="10"/>
        <v>38400</v>
      </c>
      <c r="AH10" s="82">
        <f>Y10*15400+(Z10+AA10+AB10)*9400</f>
        <v>174400</v>
      </c>
      <c r="AI10" s="82">
        <f t="shared" si="12"/>
        <v>12800</v>
      </c>
      <c r="AJ10" s="82">
        <f t="shared" si="13"/>
        <v>0</v>
      </c>
      <c r="AK10" s="82">
        <f t="shared" si="14"/>
        <v>15360</v>
      </c>
      <c r="AL10" s="82">
        <f t="shared" si="15"/>
        <v>485656.9</v>
      </c>
      <c r="AM10" s="82">
        <f t="shared" si="16"/>
        <v>2246837</v>
      </c>
      <c r="AN10" s="120">
        <v>13723.25</v>
      </c>
      <c r="AO10" s="119">
        <f t="shared" si="17"/>
        <v>2260560.25</v>
      </c>
    </row>
    <row r="11" spans="1:41" ht="18" customHeight="1">
      <c r="A11" s="79" t="s">
        <v>10</v>
      </c>
      <c r="B11" s="80" t="s">
        <v>654</v>
      </c>
      <c r="C11" s="80" t="s">
        <v>464</v>
      </c>
      <c r="D11" s="81"/>
      <c r="E11" s="166">
        <v>0</v>
      </c>
      <c r="F11" s="166">
        <v>9</v>
      </c>
      <c r="G11" s="166">
        <v>0</v>
      </c>
      <c r="H11" s="166">
        <v>5</v>
      </c>
      <c r="I11" s="82">
        <f t="shared" si="2"/>
        <v>14</v>
      </c>
      <c r="J11" s="167">
        <v>0</v>
      </c>
      <c r="K11" s="167">
        <v>0</v>
      </c>
      <c r="L11" s="167">
        <v>0</v>
      </c>
      <c r="M11" s="167">
        <v>0</v>
      </c>
      <c r="N11" s="82">
        <f t="shared" si="3"/>
        <v>0</v>
      </c>
      <c r="O11" s="82">
        <f t="shared" si="4"/>
        <v>0</v>
      </c>
      <c r="P11" s="82">
        <f t="shared" si="0"/>
        <v>9</v>
      </c>
      <c r="Q11" s="82">
        <f t="shared" si="0"/>
        <v>0</v>
      </c>
      <c r="R11" s="82">
        <f t="shared" si="0"/>
        <v>5</v>
      </c>
      <c r="S11" s="93">
        <f t="shared" si="5"/>
        <v>14</v>
      </c>
      <c r="T11" s="167">
        <v>0</v>
      </c>
      <c r="U11" s="167">
        <v>0</v>
      </c>
      <c r="V11" s="167">
        <v>0</v>
      </c>
      <c r="W11" s="167">
        <v>6</v>
      </c>
      <c r="X11" s="93">
        <f t="shared" si="6"/>
        <v>6</v>
      </c>
      <c r="Y11" s="167">
        <v>0</v>
      </c>
      <c r="Z11" s="167">
        <v>0</v>
      </c>
      <c r="AA11" s="167">
        <v>0</v>
      </c>
      <c r="AB11" s="167">
        <v>6</v>
      </c>
      <c r="AC11" s="82">
        <f t="shared" si="7"/>
        <v>6</v>
      </c>
      <c r="AD11" s="82">
        <f t="shared" ref="AD11:AD12" si="18">(Y11*9230+Z11*7215+AA11*5800+AB11*5100)*12</f>
        <v>367200</v>
      </c>
      <c r="AE11" s="82">
        <f t="shared" si="8"/>
        <v>25920</v>
      </c>
      <c r="AF11" s="82">
        <f t="shared" si="9"/>
        <v>36000</v>
      </c>
      <c r="AG11" s="82">
        <f t="shared" si="10"/>
        <v>14400</v>
      </c>
      <c r="AH11" s="82">
        <f t="shared" ref="AH11:AH12" si="19">Y11*15400+(Z11+AA11+AB11)*9400</f>
        <v>56400</v>
      </c>
      <c r="AI11" s="82">
        <f t="shared" si="12"/>
        <v>4800</v>
      </c>
      <c r="AJ11" s="82">
        <f t="shared" si="13"/>
        <v>0</v>
      </c>
      <c r="AK11" s="82">
        <f t="shared" si="14"/>
        <v>5760</v>
      </c>
      <c r="AL11" s="82">
        <f t="shared" si="15"/>
        <v>182121.34</v>
      </c>
      <c r="AM11" s="82">
        <f t="shared" si="16"/>
        <v>692601</v>
      </c>
      <c r="AN11" s="119">
        <v>7395</v>
      </c>
      <c r="AO11" s="119">
        <f t="shared" si="17"/>
        <v>699996</v>
      </c>
    </row>
    <row r="12" spans="1:41" s="83" customFormat="1" ht="18" customHeight="1">
      <c r="A12" s="79" t="s">
        <v>10</v>
      </c>
      <c r="B12" s="89" t="s">
        <v>734</v>
      </c>
      <c r="C12" s="80" t="s">
        <v>972</v>
      </c>
      <c r="D12" s="81"/>
      <c r="E12" s="166">
        <v>0</v>
      </c>
      <c r="F12" s="166">
        <v>11</v>
      </c>
      <c r="G12" s="166">
        <v>0</v>
      </c>
      <c r="H12" s="166">
        <v>6</v>
      </c>
      <c r="I12" s="82">
        <f t="shared" si="2"/>
        <v>17</v>
      </c>
      <c r="J12" s="167">
        <v>3</v>
      </c>
      <c r="K12" s="167">
        <v>0</v>
      </c>
      <c r="L12" s="167">
        <v>0</v>
      </c>
      <c r="M12" s="167">
        <v>0</v>
      </c>
      <c r="N12" s="82">
        <f t="shared" si="3"/>
        <v>3</v>
      </c>
      <c r="O12" s="82">
        <f t="shared" si="4"/>
        <v>3</v>
      </c>
      <c r="P12" s="82">
        <f t="shared" si="0"/>
        <v>11</v>
      </c>
      <c r="Q12" s="82">
        <f t="shared" si="0"/>
        <v>0</v>
      </c>
      <c r="R12" s="82">
        <f t="shared" si="0"/>
        <v>6</v>
      </c>
      <c r="S12" s="93">
        <f t="shared" si="5"/>
        <v>20</v>
      </c>
      <c r="T12" s="167">
        <v>0</v>
      </c>
      <c r="U12" s="166">
        <v>10</v>
      </c>
      <c r="V12" s="167">
        <v>0</v>
      </c>
      <c r="W12" s="167">
        <v>6</v>
      </c>
      <c r="X12" s="93">
        <f t="shared" si="6"/>
        <v>16</v>
      </c>
      <c r="Y12" s="167">
        <v>0</v>
      </c>
      <c r="Z12" s="166">
        <v>10</v>
      </c>
      <c r="AA12" s="167">
        <v>0</v>
      </c>
      <c r="AB12" s="167">
        <v>6</v>
      </c>
      <c r="AC12" s="82">
        <f t="shared" si="7"/>
        <v>16</v>
      </c>
      <c r="AD12" s="82">
        <f t="shared" si="18"/>
        <v>1233000</v>
      </c>
      <c r="AE12" s="82">
        <f t="shared" si="8"/>
        <v>69120</v>
      </c>
      <c r="AF12" s="82">
        <f t="shared" si="9"/>
        <v>96000</v>
      </c>
      <c r="AG12" s="82">
        <f t="shared" si="10"/>
        <v>38400</v>
      </c>
      <c r="AH12" s="82">
        <f t="shared" si="19"/>
        <v>150400</v>
      </c>
      <c r="AI12" s="82">
        <f t="shared" si="12"/>
        <v>12800</v>
      </c>
      <c r="AJ12" s="82">
        <f t="shared" si="13"/>
        <v>0</v>
      </c>
      <c r="AK12" s="82">
        <f t="shared" si="14"/>
        <v>15360</v>
      </c>
      <c r="AL12" s="82">
        <f t="shared" si="15"/>
        <v>485656.9</v>
      </c>
      <c r="AM12" s="82">
        <f t="shared" si="16"/>
        <v>2100737</v>
      </c>
      <c r="AN12" s="120">
        <v>4256</v>
      </c>
      <c r="AO12" s="119">
        <f t="shared" si="17"/>
        <v>2104993</v>
      </c>
    </row>
    <row r="13" spans="1:41" s="83" customFormat="1" ht="18" customHeight="1">
      <c r="A13" s="79"/>
      <c r="B13" s="80" t="s">
        <v>973</v>
      </c>
      <c r="C13" s="80" t="s">
        <v>649</v>
      </c>
      <c r="D13" s="81">
        <v>1</v>
      </c>
      <c r="E13" s="166">
        <v>0</v>
      </c>
      <c r="F13" s="166">
        <v>1</v>
      </c>
      <c r="G13" s="166">
        <v>2.4375</v>
      </c>
      <c r="H13" s="166">
        <v>1</v>
      </c>
      <c r="I13" s="82">
        <f t="shared" si="2"/>
        <v>4.4375</v>
      </c>
      <c r="J13" s="167">
        <v>3</v>
      </c>
      <c r="K13" s="167">
        <v>1</v>
      </c>
      <c r="L13" s="167">
        <v>3</v>
      </c>
      <c r="M13" s="167">
        <v>1</v>
      </c>
      <c r="N13" s="82">
        <f t="shared" si="3"/>
        <v>8</v>
      </c>
      <c r="O13" s="82">
        <f t="shared" si="4"/>
        <v>3</v>
      </c>
      <c r="P13" s="82">
        <f t="shared" si="0"/>
        <v>2</v>
      </c>
      <c r="Q13" s="82">
        <f t="shared" si="0"/>
        <v>5.4375</v>
      </c>
      <c r="R13" s="82">
        <f t="shared" si="0"/>
        <v>2</v>
      </c>
      <c r="S13" s="93">
        <f t="shared" si="5"/>
        <v>12.4375</v>
      </c>
      <c r="T13" s="167">
        <v>2</v>
      </c>
      <c r="U13" s="166">
        <v>0</v>
      </c>
      <c r="V13" s="167">
        <v>3</v>
      </c>
      <c r="W13" s="167">
        <v>1</v>
      </c>
      <c r="X13" s="93">
        <f t="shared" si="6"/>
        <v>6</v>
      </c>
      <c r="Y13" s="167">
        <v>2</v>
      </c>
      <c r="Z13" s="166">
        <v>0</v>
      </c>
      <c r="AA13" s="167">
        <v>3</v>
      </c>
      <c r="AB13" s="167">
        <v>1</v>
      </c>
      <c r="AC13" s="82">
        <f t="shared" si="7"/>
        <v>6</v>
      </c>
      <c r="AD13" s="82">
        <f>(Y13*7050+Z13*6485+AA13*5800+AB13*4900)*12</f>
        <v>436800</v>
      </c>
      <c r="AE13" s="82">
        <f t="shared" si="8"/>
        <v>25920</v>
      </c>
      <c r="AF13" s="82">
        <f t="shared" si="9"/>
        <v>36000</v>
      </c>
      <c r="AG13" s="82">
        <f t="shared" si="10"/>
        <v>14400</v>
      </c>
      <c r="AH13" s="82">
        <f t="shared" si="11"/>
        <v>56400</v>
      </c>
      <c r="AI13" s="82">
        <f>AC13*800</f>
        <v>4800</v>
      </c>
      <c r="AJ13" s="82">
        <f>D13*50*200/2</f>
        <v>5000</v>
      </c>
      <c r="AK13" s="82">
        <f t="shared" si="14"/>
        <v>5760</v>
      </c>
      <c r="AL13" s="82">
        <f t="shared" si="15"/>
        <v>182121.34</v>
      </c>
      <c r="AM13" s="82">
        <f t="shared" si="16"/>
        <v>767201</v>
      </c>
      <c r="AN13" s="120"/>
      <c r="AO13" s="121">
        <f t="shared" si="17"/>
        <v>767201</v>
      </c>
    </row>
    <row r="14" spans="1:41" s="85" customFormat="1" ht="18" customHeight="1">
      <c r="A14" s="164"/>
      <c r="B14" s="164" t="s">
        <v>655</v>
      </c>
      <c r="C14" s="164"/>
      <c r="D14" s="84">
        <f>SUM(D4:D13)</f>
        <v>9</v>
      </c>
      <c r="E14" s="84">
        <f t="shared" ref="E14:AO14" si="20">SUM(E4:E13)</f>
        <v>20.866125760649098</v>
      </c>
      <c r="F14" s="84">
        <f t="shared" si="20"/>
        <v>52</v>
      </c>
      <c r="G14" s="84">
        <f t="shared" si="20"/>
        <v>86.487500000000011</v>
      </c>
      <c r="H14" s="84">
        <f t="shared" si="20"/>
        <v>40</v>
      </c>
      <c r="I14" s="84">
        <f t="shared" si="20"/>
        <v>199.35362576064912</v>
      </c>
      <c r="J14" s="84">
        <f t="shared" si="20"/>
        <v>18</v>
      </c>
      <c r="K14" s="84">
        <f t="shared" si="20"/>
        <v>3</v>
      </c>
      <c r="L14" s="84">
        <f t="shared" si="20"/>
        <v>4</v>
      </c>
      <c r="M14" s="84">
        <f t="shared" si="20"/>
        <v>2</v>
      </c>
      <c r="N14" s="84">
        <f t="shared" si="20"/>
        <v>27</v>
      </c>
      <c r="O14" s="84">
        <f t="shared" si="20"/>
        <v>38.866125760649098</v>
      </c>
      <c r="P14" s="84">
        <f t="shared" si="20"/>
        <v>55</v>
      </c>
      <c r="Q14" s="84">
        <f t="shared" si="20"/>
        <v>90.487500000000011</v>
      </c>
      <c r="R14" s="84">
        <f t="shared" si="20"/>
        <v>42</v>
      </c>
      <c r="S14" s="84">
        <f t="shared" si="20"/>
        <v>226.35362576064912</v>
      </c>
      <c r="T14" s="84">
        <f t="shared" si="20"/>
        <v>18</v>
      </c>
      <c r="U14" s="84">
        <f t="shared" si="20"/>
        <v>25</v>
      </c>
      <c r="V14" s="84">
        <f t="shared" si="20"/>
        <v>89</v>
      </c>
      <c r="W14" s="84">
        <f t="shared" si="20"/>
        <v>37</v>
      </c>
      <c r="X14" s="84">
        <f t="shared" si="20"/>
        <v>169</v>
      </c>
      <c r="Y14" s="84">
        <f t="shared" si="20"/>
        <v>18</v>
      </c>
      <c r="Z14" s="84">
        <f t="shared" si="20"/>
        <v>25</v>
      </c>
      <c r="AA14" s="84">
        <f t="shared" si="20"/>
        <v>88.512500000000003</v>
      </c>
      <c r="AB14" s="84">
        <f t="shared" si="20"/>
        <v>37</v>
      </c>
      <c r="AC14" s="84">
        <f t="shared" si="20"/>
        <v>168.51249999999999</v>
      </c>
      <c r="AD14" s="84">
        <f t="shared" si="20"/>
        <v>12098730</v>
      </c>
      <c r="AE14" s="84">
        <f t="shared" si="20"/>
        <v>727974</v>
      </c>
      <c r="AF14" s="84">
        <f t="shared" si="20"/>
        <v>1011075</v>
      </c>
      <c r="AG14" s="84">
        <f t="shared" si="20"/>
        <v>404430</v>
      </c>
      <c r="AH14" s="84">
        <f t="shared" si="20"/>
        <v>1608017.5</v>
      </c>
      <c r="AI14" s="84">
        <f t="shared" si="20"/>
        <v>134810</v>
      </c>
      <c r="AJ14" s="84">
        <f t="shared" si="20"/>
        <v>85000</v>
      </c>
      <c r="AK14" s="84">
        <f t="shared" si="20"/>
        <v>161772</v>
      </c>
      <c r="AL14" s="84">
        <f t="shared" si="20"/>
        <v>5114953.6800000006</v>
      </c>
      <c r="AM14" s="84">
        <f t="shared" si="20"/>
        <v>21346761</v>
      </c>
      <c r="AN14" s="84">
        <f t="shared" si="20"/>
        <v>118801.75</v>
      </c>
      <c r="AO14" s="84">
        <f t="shared" si="20"/>
        <v>21465562.75</v>
      </c>
    </row>
    <row r="15" spans="1:41" ht="18" customHeight="1">
      <c r="A15" s="79" t="s">
        <v>8</v>
      </c>
      <c r="B15" s="80" t="s">
        <v>656</v>
      </c>
      <c r="C15" s="80" t="s">
        <v>649</v>
      </c>
      <c r="D15" s="81">
        <v>2</v>
      </c>
      <c r="E15" s="166">
        <v>2.9572649572649965</v>
      </c>
      <c r="F15" s="166">
        <v>3</v>
      </c>
      <c r="G15" s="166">
        <v>26.574999999999999</v>
      </c>
      <c r="H15" s="166">
        <v>3</v>
      </c>
      <c r="I15" s="82">
        <f t="shared" si="2"/>
        <v>35.532264957264999</v>
      </c>
      <c r="J15" s="167">
        <v>2</v>
      </c>
      <c r="K15" s="167">
        <v>0</v>
      </c>
      <c r="L15" s="167">
        <v>2</v>
      </c>
      <c r="M15" s="167">
        <v>0</v>
      </c>
      <c r="N15" s="82">
        <f t="shared" si="3"/>
        <v>4</v>
      </c>
      <c r="O15" s="82">
        <f>E15+J15</f>
        <v>4.9572649572649965</v>
      </c>
      <c r="P15" s="82">
        <f t="shared" ref="P15:R22" si="21">F15+K15</f>
        <v>3</v>
      </c>
      <c r="Q15" s="82">
        <f t="shared" si="21"/>
        <v>28.574999999999999</v>
      </c>
      <c r="R15" s="82">
        <f t="shared" si="21"/>
        <v>3</v>
      </c>
      <c r="S15" s="93">
        <f t="shared" si="5"/>
        <v>39.532264957264999</v>
      </c>
      <c r="T15" s="81">
        <v>4</v>
      </c>
      <c r="U15" s="81">
        <v>5</v>
      </c>
      <c r="V15" s="81">
        <v>26</v>
      </c>
      <c r="W15" s="81">
        <v>1</v>
      </c>
      <c r="X15" s="93">
        <f t="shared" si="6"/>
        <v>36</v>
      </c>
      <c r="Y15" s="81">
        <v>4</v>
      </c>
      <c r="Z15" s="81">
        <v>5</v>
      </c>
      <c r="AA15" s="81">
        <v>26</v>
      </c>
      <c r="AB15" s="81">
        <v>1</v>
      </c>
      <c r="AC15" s="82">
        <f t="shared" si="7"/>
        <v>36</v>
      </c>
      <c r="AD15" s="82">
        <f>(Y15*7050+Z15*6485+AA15*5800+AB15*4900)*12</f>
        <v>2595900</v>
      </c>
      <c r="AE15" s="82">
        <f t="shared" si="8"/>
        <v>155520</v>
      </c>
      <c r="AF15" s="82">
        <f t="shared" si="9"/>
        <v>216000</v>
      </c>
      <c r="AG15" s="82">
        <f t="shared" si="10"/>
        <v>86400</v>
      </c>
      <c r="AH15" s="82">
        <f t="shared" si="11"/>
        <v>338400</v>
      </c>
      <c r="AI15" s="82">
        <f t="shared" si="12"/>
        <v>28800</v>
      </c>
      <c r="AJ15" s="82">
        <f t="shared" si="13"/>
        <v>20000</v>
      </c>
      <c r="AK15" s="82">
        <f t="shared" si="14"/>
        <v>34560</v>
      </c>
      <c r="AL15" s="82">
        <f t="shared" si="15"/>
        <v>1092728.03</v>
      </c>
      <c r="AM15" s="82">
        <f t="shared" si="16"/>
        <v>4568308</v>
      </c>
      <c r="AN15" s="119"/>
      <c r="AO15" s="121">
        <f>AM15+AN15</f>
        <v>4568308</v>
      </c>
    </row>
    <row r="16" spans="1:41" ht="18" customHeight="1">
      <c r="A16" s="79" t="s">
        <v>8</v>
      </c>
      <c r="B16" s="80" t="s">
        <v>657</v>
      </c>
      <c r="C16" s="80" t="s">
        <v>649</v>
      </c>
      <c r="D16" s="81">
        <v>1</v>
      </c>
      <c r="E16" s="166">
        <v>1.0085470085470014</v>
      </c>
      <c r="F16" s="166">
        <v>2</v>
      </c>
      <c r="G16" s="166">
        <v>14.95</v>
      </c>
      <c r="H16" s="166">
        <v>2</v>
      </c>
      <c r="I16" s="82">
        <f t="shared" si="2"/>
        <v>19.958547008547001</v>
      </c>
      <c r="J16" s="167">
        <v>3</v>
      </c>
      <c r="K16" s="167">
        <v>1</v>
      </c>
      <c r="L16" s="167">
        <v>3</v>
      </c>
      <c r="M16" s="167">
        <v>0</v>
      </c>
      <c r="N16" s="82">
        <f t="shared" si="3"/>
        <v>7</v>
      </c>
      <c r="O16" s="82">
        <f t="shared" ref="O16:O22" si="22">E16+J16</f>
        <v>4.0085470085470014</v>
      </c>
      <c r="P16" s="82">
        <f t="shared" si="21"/>
        <v>3</v>
      </c>
      <c r="Q16" s="82">
        <f t="shared" si="21"/>
        <v>17.95</v>
      </c>
      <c r="R16" s="82">
        <f t="shared" si="21"/>
        <v>2</v>
      </c>
      <c r="S16" s="93">
        <f t="shared" si="5"/>
        <v>26.958547008547001</v>
      </c>
      <c r="T16" s="81">
        <v>4</v>
      </c>
      <c r="U16" s="81">
        <v>2</v>
      </c>
      <c r="V16" s="81">
        <v>15</v>
      </c>
      <c r="W16" s="81">
        <v>1</v>
      </c>
      <c r="X16" s="93">
        <f t="shared" si="6"/>
        <v>22</v>
      </c>
      <c r="Y16" s="81">
        <v>4</v>
      </c>
      <c r="Z16" s="81">
        <v>2</v>
      </c>
      <c r="AA16" s="81">
        <v>15</v>
      </c>
      <c r="AB16" s="81">
        <v>1</v>
      </c>
      <c r="AC16" s="82">
        <f t="shared" si="7"/>
        <v>22</v>
      </c>
      <c r="AD16" s="82">
        <f>(Y16*7050+Z16*6485+AA16*5800+AB16*4900)*12</f>
        <v>1596840</v>
      </c>
      <c r="AE16" s="82">
        <f t="shared" si="8"/>
        <v>95040</v>
      </c>
      <c r="AF16" s="82">
        <f t="shared" si="9"/>
        <v>132000</v>
      </c>
      <c r="AG16" s="82">
        <f t="shared" si="10"/>
        <v>52800</v>
      </c>
      <c r="AH16" s="82">
        <f t="shared" si="11"/>
        <v>206800</v>
      </c>
      <c r="AI16" s="82">
        <f t="shared" si="12"/>
        <v>17600</v>
      </c>
      <c r="AJ16" s="82">
        <f t="shared" si="13"/>
        <v>10000</v>
      </c>
      <c r="AK16" s="82">
        <f t="shared" si="14"/>
        <v>21120</v>
      </c>
      <c r="AL16" s="82">
        <f t="shared" si="15"/>
        <v>667778.24</v>
      </c>
      <c r="AM16" s="82">
        <f t="shared" si="16"/>
        <v>2799978</v>
      </c>
      <c r="AN16" s="119"/>
      <c r="AO16" s="121">
        <f t="shared" ref="AO16:AO22" si="23">AM16+AN16</f>
        <v>2799978</v>
      </c>
    </row>
    <row r="17" spans="1:41" s="83" customFormat="1" ht="18" customHeight="1">
      <c r="A17" s="79" t="s">
        <v>8</v>
      </c>
      <c r="B17" s="80" t="s">
        <v>658</v>
      </c>
      <c r="C17" s="80" t="s">
        <v>649</v>
      </c>
      <c r="D17" s="81">
        <v>2</v>
      </c>
      <c r="E17" s="166">
        <v>2.2820512820512988</v>
      </c>
      <c r="F17" s="166">
        <v>3</v>
      </c>
      <c r="G17" s="166">
        <v>35.962499999999999</v>
      </c>
      <c r="H17" s="166">
        <v>3</v>
      </c>
      <c r="I17" s="82">
        <f t="shared" si="2"/>
        <v>44.244551282051297</v>
      </c>
      <c r="J17" s="167">
        <v>5</v>
      </c>
      <c r="K17" s="167">
        <v>1</v>
      </c>
      <c r="L17" s="167">
        <v>0</v>
      </c>
      <c r="M17" s="167">
        <v>0</v>
      </c>
      <c r="N17" s="82">
        <f t="shared" si="3"/>
        <v>6</v>
      </c>
      <c r="O17" s="82">
        <f t="shared" si="22"/>
        <v>7.2820512820512988</v>
      </c>
      <c r="P17" s="82">
        <f t="shared" si="21"/>
        <v>4</v>
      </c>
      <c r="Q17" s="82">
        <f t="shared" si="21"/>
        <v>35.962499999999999</v>
      </c>
      <c r="R17" s="82">
        <f t="shared" si="21"/>
        <v>3</v>
      </c>
      <c r="S17" s="93">
        <f t="shared" si="5"/>
        <v>50.244551282051297</v>
      </c>
      <c r="T17" s="81">
        <v>7</v>
      </c>
      <c r="U17" s="81">
        <v>4</v>
      </c>
      <c r="V17" s="81">
        <v>36</v>
      </c>
      <c r="W17" s="81">
        <v>2</v>
      </c>
      <c r="X17" s="93">
        <f t="shared" si="6"/>
        <v>49</v>
      </c>
      <c r="Y17" s="81">
        <v>7</v>
      </c>
      <c r="Z17" s="81">
        <v>4</v>
      </c>
      <c r="AA17" s="81">
        <v>36</v>
      </c>
      <c r="AB17" s="81">
        <v>2</v>
      </c>
      <c r="AC17" s="82">
        <f t="shared" si="7"/>
        <v>49</v>
      </c>
      <c r="AD17" s="82">
        <f>(Y17*7050+Z17*6485+AA17*5800+AB17*4900)*12</f>
        <v>3526680</v>
      </c>
      <c r="AE17" s="82">
        <f t="shared" si="8"/>
        <v>211680</v>
      </c>
      <c r="AF17" s="82">
        <f t="shared" si="9"/>
        <v>294000</v>
      </c>
      <c r="AG17" s="82">
        <f t="shared" si="10"/>
        <v>117600</v>
      </c>
      <c r="AH17" s="82">
        <f t="shared" si="11"/>
        <v>460600</v>
      </c>
      <c r="AI17" s="82">
        <f t="shared" si="12"/>
        <v>39200</v>
      </c>
      <c r="AJ17" s="82">
        <f t="shared" si="13"/>
        <v>20000</v>
      </c>
      <c r="AK17" s="82">
        <f t="shared" si="14"/>
        <v>47040</v>
      </c>
      <c r="AL17" s="82">
        <f t="shared" si="15"/>
        <v>1487324.27</v>
      </c>
      <c r="AM17" s="82">
        <f t="shared" si="16"/>
        <v>6204124</v>
      </c>
      <c r="AN17" s="120"/>
      <c r="AO17" s="121">
        <f t="shared" si="23"/>
        <v>6204124</v>
      </c>
    </row>
    <row r="18" spans="1:41" s="83" customFormat="1" ht="18" customHeight="1">
      <c r="A18" s="79" t="s">
        <v>8</v>
      </c>
      <c r="B18" s="80" t="s">
        <v>659</v>
      </c>
      <c r="C18" s="80" t="s">
        <v>649</v>
      </c>
      <c r="D18" s="81">
        <v>2</v>
      </c>
      <c r="E18" s="166">
        <v>0</v>
      </c>
      <c r="F18" s="166">
        <v>2</v>
      </c>
      <c r="G18" s="166">
        <v>20.262499999999999</v>
      </c>
      <c r="H18" s="166">
        <v>2</v>
      </c>
      <c r="I18" s="82">
        <f t="shared" si="2"/>
        <v>24.262499999999999</v>
      </c>
      <c r="J18" s="167">
        <v>3</v>
      </c>
      <c r="K18" s="167">
        <v>0</v>
      </c>
      <c r="L18" s="167">
        <v>2</v>
      </c>
      <c r="M18" s="167">
        <v>0</v>
      </c>
      <c r="N18" s="82">
        <f t="shared" si="3"/>
        <v>5</v>
      </c>
      <c r="O18" s="82">
        <f t="shared" si="22"/>
        <v>3</v>
      </c>
      <c r="P18" s="82">
        <f t="shared" si="21"/>
        <v>2</v>
      </c>
      <c r="Q18" s="82">
        <f t="shared" si="21"/>
        <v>22.262499999999999</v>
      </c>
      <c r="R18" s="82">
        <f t="shared" si="21"/>
        <v>2</v>
      </c>
      <c r="S18" s="93">
        <f t="shared" si="5"/>
        <v>29.262499999999999</v>
      </c>
      <c r="T18" s="81">
        <v>3</v>
      </c>
      <c r="U18" s="81">
        <v>2</v>
      </c>
      <c r="V18" s="81">
        <v>21</v>
      </c>
      <c r="W18" s="81">
        <v>2</v>
      </c>
      <c r="X18" s="93">
        <f t="shared" si="6"/>
        <v>28</v>
      </c>
      <c r="Y18" s="81">
        <v>3</v>
      </c>
      <c r="Z18" s="81">
        <v>2</v>
      </c>
      <c r="AA18" s="81">
        <v>21</v>
      </c>
      <c r="AB18" s="81">
        <v>2</v>
      </c>
      <c r="AC18" s="82">
        <f t="shared" si="7"/>
        <v>28</v>
      </c>
      <c r="AD18" s="82">
        <f>(Y18*7050+Z18*6485+AA18*5800+AB18*4900)*12</f>
        <v>1988640</v>
      </c>
      <c r="AE18" s="82">
        <f t="shared" si="8"/>
        <v>120960</v>
      </c>
      <c r="AF18" s="82">
        <f t="shared" si="9"/>
        <v>168000</v>
      </c>
      <c r="AG18" s="82">
        <f t="shared" si="10"/>
        <v>67200</v>
      </c>
      <c r="AH18" s="82">
        <f t="shared" si="11"/>
        <v>263200</v>
      </c>
      <c r="AI18" s="82">
        <f t="shared" si="12"/>
        <v>22400</v>
      </c>
      <c r="AJ18" s="82">
        <f t="shared" si="13"/>
        <v>20000</v>
      </c>
      <c r="AK18" s="82">
        <f t="shared" si="14"/>
        <v>26880</v>
      </c>
      <c r="AL18" s="82">
        <f t="shared" si="15"/>
        <v>849899.58</v>
      </c>
      <c r="AM18" s="82">
        <f t="shared" si="16"/>
        <v>3527180</v>
      </c>
      <c r="AN18" s="120"/>
      <c r="AO18" s="121">
        <f t="shared" si="23"/>
        <v>3527180</v>
      </c>
    </row>
    <row r="19" spans="1:41" ht="18" customHeight="1">
      <c r="A19" s="79" t="s">
        <v>8</v>
      </c>
      <c r="B19" s="80" t="s">
        <v>224</v>
      </c>
      <c r="C19" s="80" t="s">
        <v>972</v>
      </c>
      <c r="D19" s="81"/>
      <c r="E19" s="166">
        <v>27</v>
      </c>
      <c r="F19" s="166">
        <v>12</v>
      </c>
      <c r="G19" s="166">
        <v>0</v>
      </c>
      <c r="H19" s="166">
        <v>10</v>
      </c>
      <c r="I19" s="82">
        <f t="shared" si="2"/>
        <v>49</v>
      </c>
      <c r="J19" s="167">
        <v>4</v>
      </c>
      <c r="K19" s="167">
        <v>4</v>
      </c>
      <c r="L19" s="167">
        <v>0</v>
      </c>
      <c r="M19" s="167">
        <v>3</v>
      </c>
      <c r="N19" s="82">
        <f t="shared" si="3"/>
        <v>11</v>
      </c>
      <c r="O19" s="82">
        <f t="shared" si="22"/>
        <v>31</v>
      </c>
      <c r="P19" s="82">
        <f t="shared" si="21"/>
        <v>16</v>
      </c>
      <c r="Q19" s="82">
        <f t="shared" si="21"/>
        <v>0</v>
      </c>
      <c r="R19" s="82">
        <f t="shared" si="21"/>
        <v>13</v>
      </c>
      <c r="S19" s="93">
        <f t="shared" si="5"/>
        <v>60</v>
      </c>
      <c r="T19" s="81">
        <v>8</v>
      </c>
      <c r="U19" s="81">
        <v>10</v>
      </c>
      <c r="V19" s="81">
        <v>0</v>
      </c>
      <c r="W19" s="81">
        <v>10</v>
      </c>
      <c r="X19" s="93">
        <f t="shared" si="6"/>
        <v>28</v>
      </c>
      <c r="Y19" s="81">
        <v>8</v>
      </c>
      <c r="Z19" s="81">
        <v>10</v>
      </c>
      <c r="AA19" s="81">
        <v>0</v>
      </c>
      <c r="AB19" s="81">
        <v>10</v>
      </c>
      <c r="AC19" s="82">
        <f t="shared" si="7"/>
        <v>28</v>
      </c>
      <c r="AD19" s="82">
        <f t="shared" ref="AD19:AD21" si="24">(Y19*9230+Z19*7215+AA19*5800+AB19*5100)*12</f>
        <v>2363880</v>
      </c>
      <c r="AE19" s="82">
        <f t="shared" si="8"/>
        <v>120960</v>
      </c>
      <c r="AF19" s="82">
        <f t="shared" si="9"/>
        <v>168000</v>
      </c>
      <c r="AG19" s="82">
        <f t="shared" si="10"/>
        <v>67200</v>
      </c>
      <c r="AH19" s="82">
        <f t="shared" ref="AH19:AH21" si="25">Y19*15400+(Z19+AA19+AB19)*9400</f>
        <v>311200</v>
      </c>
      <c r="AI19" s="82">
        <f t="shared" si="12"/>
        <v>22400</v>
      </c>
      <c r="AJ19" s="82">
        <f t="shared" si="13"/>
        <v>0</v>
      </c>
      <c r="AK19" s="82">
        <f t="shared" si="14"/>
        <v>26880</v>
      </c>
      <c r="AL19" s="82">
        <f t="shared" si="15"/>
        <v>849899.58</v>
      </c>
      <c r="AM19" s="82">
        <f t="shared" si="16"/>
        <v>3930420</v>
      </c>
      <c r="AN19" s="119">
        <v>161001.5</v>
      </c>
      <c r="AO19" s="119">
        <f t="shared" si="23"/>
        <v>4091421.5</v>
      </c>
    </row>
    <row r="20" spans="1:41" ht="18" customHeight="1">
      <c r="A20" s="79" t="s">
        <v>8</v>
      </c>
      <c r="B20" s="80" t="s">
        <v>225</v>
      </c>
      <c r="C20" s="80" t="s">
        <v>972</v>
      </c>
      <c r="D20" s="81"/>
      <c r="E20" s="166">
        <v>39</v>
      </c>
      <c r="F20" s="166">
        <v>12</v>
      </c>
      <c r="G20" s="166">
        <v>0</v>
      </c>
      <c r="H20" s="166">
        <v>10</v>
      </c>
      <c r="I20" s="82">
        <f t="shared" si="2"/>
        <v>61</v>
      </c>
      <c r="J20" s="167">
        <v>0</v>
      </c>
      <c r="K20" s="167">
        <v>0</v>
      </c>
      <c r="L20" s="167">
        <v>0</v>
      </c>
      <c r="M20" s="167">
        <v>0</v>
      </c>
      <c r="N20" s="82">
        <f t="shared" si="3"/>
        <v>0</v>
      </c>
      <c r="O20" s="82">
        <f t="shared" si="22"/>
        <v>39</v>
      </c>
      <c r="P20" s="82">
        <f t="shared" si="21"/>
        <v>12</v>
      </c>
      <c r="Q20" s="82">
        <f t="shared" si="21"/>
        <v>0</v>
      </c>
      <c r="R20" s="82">
        <f t="shared" si="21"/>
        <v>10</v>
      </c>
      <c r="S20" s="93">
        <f t="shared" si="5"/>
        <v>61</v>
      </c>
      <c r="T20" s="81">
        <v>5</v>
      </c>
      <c r="U20" s="81">
        <v>4</v>
      </c>
      <c r="V20" s="81">
        <v>0</v>
      </c>
      <c r="W20" s="81">
        <v>7</v>
      </c>
      <c r="X20" s="93">
        <f t="shared" si="6"/>
        <v>16</v>
      </c>
      <c r="Y20" s="81">
        <v>5</v>
      </c>
      <c r="Z20" s="81">
        <v>4</v>
      </c>
      <c r="AA20" s="81">
        <v>0</v>
      </c>
      <c r="AB20" s="81">
        <v>7</v>
      </c>
      <c r="AC20" s="82">
        <f t="shared" si="7"/>
        <v>16</v>
      </c>
      <c r="AD20" s="82">
        <f t="shared" si="24"/>
        <v>1328520</v>
      </c>
      <c r="AE20" s="82">
        <f t="shared" si="8"/>
        <v>69120</v>
      </c>
      <c r="AF20" s="82">
        <f t="shared" si="9"/>
        <v>96000</v>
      </c>
      <c r="AG20" s="82">
        <f t="shared" si="10"/>
        <v>38400</v>
      </c>
      <c r="AH20" s="82">
        <f t="shared" si="25"/>
        <v>180400</v>
      </c>
      <c r="AI20" s="82">
        <f t="shared" si="12"/>
        <v>12800</v>
      </c>
      <c r="AJ20" s="82">
        <f t="shared" si="13"/>
        <v>0</v>
      </c>
      <c r="AK20" s="82">
        <f t="shared" si="14"/>
        <v>15360</v>
      </c>
      <c r="AL20" s="82">
        <f t="shared" si="15"/>
        <v>485656.9</v>
      </c>
      <c r="AM20" s="82">
        <f t="shared" si="16"/>
        <v>2226257</v>
      </c>
      <c r="AN20" s="119">
        <v>131196.5</v>
      </c>
      <c r="AO20" s="119">
        <f t="shared" si="23"/>
        <v>2357453.5</v>
      </c>
    </row>
    <row r="21" spans="1:41" s="83" customFormat="1" ht="18" customHeight="1">
      <c r="A21" s="79" t="s">
        <v>8</v>
      </c>
      <c r="B21" s="80" t="s">
        <v>660</v>
      </c>
      <c r="C21" s="80" t="s">
        <v>972</v>
      </c>
      <c r="D21" s="81"/>
      <c r="E21" s="166">
        <v>0</v>
      </c>
      <c r="F21" s="166">
        <v>10</v>
      </c>
      <c r="G21" s="166">
        <v>0</v>
      </c>
      <c r="H21" s="166">
        <v>9</v>
      </c>
      <c r="I21" s="82">
        <f t="shared" si="2"/>
        <v>19</v>
      </c>
      <c r="J21" s="167">
        <v>2</v>
      </c>
      <c r="K21" s="167">
        <v>0</v>
      </c>
      <c r="L21" s="167">
        <v>0</v>
      </c>
      <c r="M21" s="167">
        <v>0</v>
      </c>
      <c r="N21" s="82">
        <f t="shared" si="3"/>
        <v>2</v>
      </c>
      <c r="O21" s="82">
        <f t="shared" si="22"/>
        <v>2</v>
      </c>
      <c r="P21" s="82">
        <f t="shared" si="21"/>
        <v>10</v>
      </c>
      <c r="Q21" s="82">
        <f t="shared" si="21"/>
        <v>0</v>
      </c>
      <c r="R21" s="82">
        <f t="shared" si="21"/>
        <v>9</v>
      </c>
      <c r="S21" s="93">
        <f t="shared" si="5"/>
        <v>21</v>
      </c>
      <c r="T21" s="81">
        <v>2</v>
      </c>
      <c r="U21" s="81">
        <v>3</v>
      </c>
      <c r="V21" s="81">
        <v>0</v>
      </c>
      <c r="W21" s="81">
        <v>8</v>
      </c>
      <c r="X21" s="93">
        <f t="shared" si="6"/>
        <v>13</v>
      </c>
      <c r="Y21" s="81">
        <v>2</v>
      </c>
      <c r="Z21" s="81">
        <v>3</v>
      </c>
      <c r="AA21" s="81">
        <v>0</v>
      </c>
      <c r="AB21" s="81">
        <v>8</v>
      </c>
      <c r="AC21" s="82">
        <f t="shared" si="7"/>
        <v>13</v>
      </c>
      <c r="AD21" s="82">
        <f t="shared" si="24"/>
        <v>970860</v>
      </c>
      <c r="AE21" s="82">
        <f t="shared" si="8"/>
        <v>56160</v>
      </c>
      <c r="AF21" s="82">
        <f t="shared" si="9"/>
        <v>78000</v>
      </c>
      <c r="AG21" s="82">
        <f t="shared" si="10"/>
        <v>31200</v>
      </c>
      <c r="AH21" s="82">
        <f t="shared" si="25"/>
        <v>134200</v>
      </c>
      <c r="AI21" s="82">
        <f t="shared" si="12"/>
        <v>10400</v>
      </c>
      <c r="AJ21" s="82">
        <f t="shared" si="13"/>
        <v>0</v>
      </c>
      <c r="AK21" s="82">
        <f t="shared" si="14"/>
        <v>12480</v>
      </c>
      <c r="AL21" s="82">
        <f t="shared" si="15"/>
        <v>394596.23</v>
      </c>
      <c r="AM21" s="82">
        <f t="shared" si="16"/>
        <v>1687896</v>
      </c>
      <c r="AN21" s="120"/>
      <c r="AO21" s="119">
        <f t="shared" si="23"/>
        <v>1687896</v>
      </c>
    </row>
    <row r="22" spans="1:41" s="83" customFormat="1" ht="18" customHeight="1">
      <c r="A22" s="79"/>
      <c r="B22" s="80" t="s">
        <v>661</v>
      </c>
      <c r="C22" s="80" t="s">
        <v>649</v>
      </c>
      <c r="D22" s="81">
        <v>1</v>
      </c>
      <c r="E22" s="166">
        <v>2.2649572649572702</v>
      </c>
      <c r="F22" s="166">
        <v>1</v>
      </c>
      <c r="G22" s="166">
        <v>5.0625</v>
      </c>
      <c r="H22" s="166">
        <v>1</v>
      </c>
      <c r="I22" s="82">
        <f t="shared" si="2"/>
        <v>9.3274572649572711</v>
      </c>
      <c r="J22" s="167">
        <v>5</v>
      </c>
      <c r="K22" s="167">
        <v>1</v>
      </c>
      <c r="L22" s="167">
        <v>5</v>
      </c>
      <c r="M22" s="167">
        <v>1</v>
      </c>
      <c r="N22" s="82">
        <f t="shared" si="3"/>
        <v>12</v>
      </c>
      <c r="O22" s="82">
        <f t="shared" si="22"/>
        <v>7.2649572649572702</v>
      </c>
      <c r="P22" s="82">
        <f t="shared" si="21"/>
        <v>2</v>
      </c>
      <c r="Q22" s="82">
        <f t="shared" si="21"/>
        <v>10.0625</v>
      </c>
      <c r="R22" s="82">
        <f t="shared" si="21"/>
        <v>2</v>
      </c>
      <c r="S22" s="93">
        <f t="shared" si="5"/>
        <v>21.327457264957271</v>
      </c>
      <c r="T22" s="81">
        <v>5</v>
      </c>
      <c r="U22" s="81">
        <v>1</v>
      </c>
      <c r="V22" s="81">
        <v>5</v>
      </c>
      <c r="W22" s="81">
        <v>1</v>
      </c>
      <c r="X22" s="93">
        <f t="shared" si="6"/>
        <v>12</v>
      </c>
      <c r="Y22" s="81">
        <v>5</v>
      </c>
      <c r="Z22" s="81">
        <v>1</v>
      </c>
      <c r="AA22" s="81">
        <v>5</v>
      </c>
      <c r="AB22" s="81">
        <v>1</v>
      </c>
      <c r="AC22" s="82">
        <f t="shared" si="7"/>
        <v>12</v>
      </c>
      <c r="AD22" s="82">
        <f>(Y22*7050+Z22*6485+AA22*5800+AB22*4900)*12</f>
        <v>907620</v>
      </c>
      <c r="AE22" s="82">
        <f t="shared" si="8"/>
        <v>51840</v>
      </c>
      <c r="AF22" s="82">
        <f t="shared" si="9"/>
        <v>72000</v>
      </c>
      <c r="AG22" s="82">
        <f t="shared" si="10"/>
        <v>28800</v>
      </c>
      <c r="AH22" s="82">
        <f t="shared" ref="AH22" si="26">AC22*9400</f>
        <v>112800</v>
      </c>
      <c r="AI22" s="82">
        <f t="shared" si="12"/>
        <v>9600</v>
      </c>
      <c r="AJ22" s="82">
        <f>D22*50*200/2</f>
        <v>5000</v>
      </c>
      <c r="AK22" s="82">
        <f t="shared" si="14"/>
        <v>11520</v>
      </c>
      <c r="AL22" s="82">
        <f t="shared" si="15"/>
        <v>364242.68</v>
      </c>
      <c r="AM22" s="82">
        <f t="shared" si="16"/>
        <v>1563423</v>
      </c>
      <c r="AN22" s="120"/>
      <c r="AO22" s="121">
        <f t="shared" si="23"/>
        <v>1563423</v>
      </c>
    </row>
    <row r="23" spans="1:41" s="85" customFormat="1" ht="18" customHeight="1">
      <c r="A23" s="164"/>
      <c r="B23" s="164" t="s">
        <v>662</v>
      </c>
      <c r="C23" s="164"/>
      <c r="D23" s="84">
        <f>SUM(D15:D22)</f>
        <v>8</v>
      </c>
      <c r="E23" s="84">
        <f t="shared" ref="E23:AO23" si="27">SUM(E15:E22)</f>
        <v>74.512820512820568</v>
      </c>
      <c r="F23" s="84">
        <f t="shared" si="27"/>
        <v>45</v>
      </c>
      <c r="G23" s="84">
        <f t="shared" si="27"/>
        <v>102.8125</v>
      </c>
      <c r="H23" s="84">
        <f t="shared" si="27"/>
        <v>40</v>
      </c>
      <c r="I23" s="84">
        <f t="shared" si="27"/>
        <v>262.32532051282055</v>
      </c>
      <c r="J23" s="84">
        <f t="shared" si="27"/>
        <v>24</v>
      </c>
      <c r="K23" s="84">
        <f t="shared" si="27"/>
        <v>7</v>
      </c>
      <c r="L23" s="84">
        <f t="shared" si="27"/>
        <v>12</v>
      </c>
      <c r="M23" s="84">
        <f t="shared" si="27"/>
        <v>4</v>
      </c>
      <c r="N23" s="84">
        <f t="shared" si="27"/>
        <v>47</v>
      </c>
      <c r="O23" s="84">
        <f t="shared" si="27"/>
        <v>98.512820512820568</v>
      </c>
      <c r="P23" s="84">
        <f t="shared" si="27"/>
        <v>52</v>
      </c>
      <c r="Q23" s="84">
        <f t="shared" si="27"/>
        <v>114.8125</v>
      </c>
      <c r="R23" s="84">
        <f t="shared" si="27"/>
        <v>44</v>
      </c>
      <c r="S23" s="84">
        <f t="shared" si="27"/>
        <v>309.32532051282055</v>
      </c>
      <c r="T23" s="84">
        <f t="shared" si="27"/>
        <v>38</v>
      </c>
      <c r="U23" s="84">
        <f t="shared" si="27"/>
        <v>31</v>
      </c>
      <c r="V23" s="84">
        <f t="shared" si="27"/>
        <v>103</v>
      </c>
      <c r="W23" s="84">
        <f t="shared" si="27"/>
        <v>32</v>
      </c>
      <c r="X23" s="84">
        <f t="shared" si="27"/>
        <v>204</v>
      </c>
      <c r="Y23" s="84">
        <f t="shared" si="27"/>
        <v>38</v>
      </c>
      <c r="Z23" s="84">
        <f t="shared" si="27"/>
        <v>31</v>
      </c>
      <c r="AA23" s="84">
        <f t="shared" si="27"/>
        <v>103</v>
      </c>
      <c r="AB23" s="84">
        <f t="shared" si="27"/>
        <v>32</v>
      </c>
      <c r="AC23" s="84">
        <f t="shared" si="27"/>
        <v>204</v>
      </c>
      <c r="AD23" s="84">
        <f t="shared" si="27"/>
        <v>15278940</v>
      </c>
      <c r="AE23" s="84">
        <f t="shared" si="27"/>
        <v>881280</v>
      </c>
      <c r="AF23" s="84">
        <f t="shared" si="27"/>
        <v>1224000</v>
      </c>
      <c r="AG23" s="84">
        <f t="shared" si="27"/>
        <v>489600</v>
      </c>
      <c r="AH23" s="84">
        <f t="shared" si="27"/>
        <v>2007600</v>
      </c>
      <c r="AI23" s="84">
        <f t="shared" si="27"/>
        <v>163200</v>
      </c>
      <c r="AJ23" s="84">
        <f t="shared" si="27"/>
        <v>75000</v>
      </c>
      <c r="AK23" s="84">
        <f t="shared" si="27"/>
        <v>195840</v>
      </c>
      <c r="AL23" s="84">
        <f t="shared" si="27"/>
        <v>6192125.5099999998</v>
      </c>
      <c r="AM23" s="84">
        <f t="shared" si="27"/>
        <v>26507586</v>
      </c>
      <c r="AN23" s="84">
        <f t="shared" si="27"/>
        <v>292198</v>
      </c>
      <c r="AO23" s="84">
        <f t="shared" si="27"/>
        <v>26799784</v>
      </c>
    </row>
    <row r="24" spans="1:41" s="83" customFormat="1" ht="18" customHeight="1">
      <c r="A24" s="79" t="s">
        <v>7</v>
      </c>
      <c r="B24" s="80" t="s">
        <v>663</v>
      </c>
      <c r="C24" s="80" t="s">
        <v>649</v>
      </c>
      <c r="D24" s="81">
        <v>1</v>
      </c>
      <c r="E24" s="86">
        <v>0</v>
      </c>
      <c r="F24" s="86">
        <v>1</v>
      </c>
      <c r="G24" s="86">
        <v>13.487500000000001</v>
      </c>
      <c r="H24" s="86">
        <v>1</v>
      </c>
      <c r="I24" s="82">
        <f t="shared" si="2"/>
        <v>15.487500000000001</v>
      </c>
      <c r="J24" s="81">
        <v>1</v>
      </c>
      <c r="K24" s="81">
        <v>0</v>
      </c>
      <c r="L24" s="81">
        <v>1</v>
      </c>
      <c r="M24" s="81">
        <v>1</v>
      </c>
      <c r="N24" s="82">
        <f t="shared" si="3"/>
        <v>3</v>
      </c>
      <c r="O24" s="82">
        <f>E24+J24</f>
        <v>1</v>
      </c>
      <c r="P24" s="82">
        <f t="shared" ref="P24:R34" si="28">F24+K24</f>
        <v>1</v>
      </c>
      <c r="Q24" s="82">
        <f t="shared" si="28"/>
        <v>14.487500000000001</v>
      </c>
      <c r="R24" s="82">
        <f t="shared" si="28"/>
        <v>2</v>
      </c>
      <c r="S24" s="93">
        <f t="shared" si="5"/>
        <v>18.487500000000001</v>
      </c>
      <c r="T24" s="81">
        <v>1</v>
      </c>
      <c r="U24" s="81">
        <v>1</v>
      </c>
      <c r="V24" s="81">
        <v>14</v>
      </c>
      <c r="W24" s="81">
        <v>1</v>
      </c>
      <c r="X24" s="93">
        <f t="shared" si="6"/>
        <v>17</v>
      </c>
      <c r="Y24" s="81">
        <v>1</v>
      </c>
      <c r="Z24" s="81">
        <v>1</v>
      </c>
      <c r="AA24" s="81">
        <v>14</v>
      </c>
      <c r="AB24" s="81">
        <v>1</v>
      </c>
      <c r="AC24" s="82">
        <f t="shared" si="7"/>
        <v>17</v>
      </c>
      <c r="AD24" s="82">
        <f>(Y24*7050+Z24*6485+AA24*5800+AB24*4900)*12</f>
        <v>1195620</v>
      </c>
      <c r="AE24" s="82">
        <f t="shared" si="8"/>
        <v>73440</v>
      </c>
      <c r="AF24" s="82">
        <f t="shared" si="9"/>
        <v>102000</v>
      </c>
      <c r="AG24" s="82">
        <f t="shared" si="10"/>
        <v>40800</v>
      </c>
      <c r="AH24" s="82">
        <f t="shared" si="11"/>
        <v>159800</v>
      </c>
      <c r="AI24" s="82">
        <f t="shared" si="12"/>
        <v>13600</v>
      </c>
      <c r="AJ24" s="82">
        <f t="shared" si="13"/>
        <v>10000</v>
      </c>
      <c r="AK24" s="82">
        <f t="shared" si="14"/>
        <v>16320</v>
      </c>
      <c r="AL24" s="82">
        <f t="shared" si="15"/>
        <v>516010.46</v>
      </c>
      <c r="AM24" s="82">
        <f t="shared" si="16"/>
        <v>2127590</v>
      </c>
      <c r="AN24" s="120"/>
      <c r="AO24" s="82">
        <f>AM24+AN24</f>
        <v>2127590</v>
      </c>
    </row>
    <row r="25" spans="1:41" ht="18" customHeight="1">
      <c r="A25" s="79" t="s">
        <v>7</v>
      </c>
      <c r="B25" s="80" t="s">
        <v>664</v>
      </c>
      <c r="C25" s="80" t="s">
        <v>649</v>
      </c>
      <c r="D25" s="81">
        <v>2</v>
      </c>
      <c r="E25" s="86">
        <v>0</v>
      </c>
      <c r="F25" s="86">
        <v>2</v>
      </c>
      <c r="G25" s="86">
        <v>29.024999999999999</v>
      </c>
      <c r="H25" s="86">
        <v>2</v>
      </c>
      <c r="I25" s="82">
        <f t="shared" si="2"/>
        <v>33.024999999999999</v>
      </c>
      <c r="J25" s="81">
        <v>4</v>
      </c>
      <c r="K25" s="81">
        <v>0</v>
      </c>
      <c r="L25" s="81">
        <v>1</v>
      </c>
      <c r="M25" s="81">
        <v>0</v>
      </c>
      <c r="N25" s="82">
        <f t="shared" si="3"/>
        <v>5</v>
      </c>
      <c r="O25" s="82">
        <f t="shared" ref="O25:O34" si="29">E25+J25</f>
        <v>4</v>
      </c>
      <c r="P25" s="82">
        <f t="shared" si="28"/>
        <v>2</v>
      </c>
      <c r="Q25" s="82">
        <f t="shared" si="28"/>
        <v>30.024999999999999</v>
      </c>
      <c r="R25" s="82">
        <f t="shared" si="28"/>
        <v>2</v>
      </c>
      <c r="S25" s="93">
        <f t="shared" si="5"/>
        <v>38.024999999999999</v>
      </c>
      <c r="T25" s="81">
        <v>3</v>
      </c>
      <c r="U25" s="81">
        <v>2</v>
      </c>
      <c r="V25" s="81">
        <v>29</v>
      </c>
      <c r="W25" s="81">
        <v>2</v>
      </c>
      <c r="X25" s="93">
        <f t="shared" si="6"/>
        <v>36</v>
      </c>
      <c r="Y25" s="81">
        <v>3</v>
      </c>
      <c r="Z25" s="81">
        <v>2</v>
      </c>
      <c r="AA25" s="81">
        <v>29</v>
      </c>
      <c r="AB25" s="81">
        <v>2</v>
      </c>
      <c r="AC25" s="82">
        <f t="shared" si="7"/>
        <v>36</v>
      </c>
      <c r="AD25" s="82">
        <f>(Y25*7050+Z25*6485+AA25*5800+AB25*4900)*12</f>
        <v>2545440</v>
      </c>
      <c r="AE25" s="82">
        <f t="shared" si="8"/>
        <v>155520</v>
      </c>
      <c r="AF25" s="82">
        <f t="shared" si="9"/>
        <v>216000</v>
      </c>
      <c r="AG25" s="82">
        <f t="shared" si="10"/>
        <v>86400</v>
      </c>
      <c r="AH25" s="82">
        <f t="shared" si="11"/>
        <v>338400</v>
      </c>
      <c r="AI25" s="82">
        <f t="shared" si="12"/>
        <v>28800</v>
      </c>
      <c r="AJ25" s="82">
        <f t="shared" si="13"/>
        <v>20000</v>
      </c>
      <c r="AK25" s="82">
        <f t="shared" si="14"/>
        <v>34560</v>
      </c>
      <c r="AL25" s="82">
        <f t="shared" si="15"/>
        <v>1092728.03</v>
      </c>
      <c r="AM25" s="82">
        <f t="shared" si="16"/>
        <v>4517848</v>
      </c>
      <c r="AN25" s="119"/>
      <c r="AO25" s="82">
        <f t="shared" ref="AO25:AO34" si="30">AM25+AN25</f>
        <v>4517848</v>
      </c>
    </row>
    <row r="26" spans="1:41" ht="18" customHeight="1">
      <c r="A26" s="79" t="s">
        <v>7</v>
      </c>
      <c r="B26" s="80" t="s">
        <v>665</v>
      </c>
      <c r="C26" s="80" t="s">
        <v>649</v>
      </c>
      <c r="D26" s="81">
        <v>1</v>
      </c>
      <c r="E26" s="86">
        <v>11.726495726495699</v>
      </c>
      <c r="F26" s="86">
        <v>3</v>
      </c>
      <c r="G26" s="86">
        <v>20.225000000000001</v>
      </c>
      <c r="H26" s="86">
        <v>2</v>
      </c>
      <c r="I26" s="82">
        <f t="shared" si="2"/>
        <v>36.9514957264957</v>
      </c>
      <c r="J26" s="81">
        <v>0</v>
      </c>
      <c r="K26" s="81">
        <v>1</v>
      </c>
      <c r="L26" s="81">
        <v>0</v>
      </c>
      <c r="M26" s="81">
        <v>0</v>
      </c>
      <c r="N26" s="82">
        <f t="shared" si="3"/>
        <v>1</v>
      </c>
      <c r="O26" s="82">
        <f t="shared" si="29"/>
        <v>11.726495726495699</v>
      </c>
      <c r="P26" s="82">
        <f t="shared" si="28"/>
        <v>4</v>
      </c>
      <c r="Q26" s="82">
        <f t="shared" si="28"/>
        <v>20.225000000000001</v>
      </c>
      <c r="R26" s="82">
        <f t="shared" si="28"/>
        <v>2</v>
      </c>
      <c r="S26" s="93">
        <f t="shared" si="5"/>
        <v>37.9514957264957</v>
      </c>
      <c r="T26" s="81">
        <v>11</v>
      </c>
      <c r="U26" s="81">
        <v>5</v>
      </c>
      <c r="V26" s="81">
        <v>19</v>
      </c>
      <c r="W26" s="81">
        <v>2</v>
      </c>
      <c r="X26" s="93">
        <f t="shared" si="6"/>
        <v>37</v>
      </c>
      <c r="Y26" s="81">
        <v>11</v>
      </c>
      <c r="Z26" s="81">
        <v>5</v>
      </c>
      <c r="AA26" s="81">
        <v>19</v>
      </c>
      <c r="AB26" s="81">
        <v>2</v>
      </c>
      <c r="AC26" s="82">
        <f t="shared" si="7"/>
        <v>37</v>
      </c>
      <c r="AD26" s="82">
        <f>(Y26*7050+Z26*6485+AA26*5800+AB26*4900)*12</f>
        <v>2759700</v>
      </c>
      <c r="AE26" s="82">
        <f t="shared" si="8"/>
        <v>159840</v>
      </c>
      <c r="AF26" s="82">
        <f t="shared" si="9"/>
        <v>222000</v>
      </c>
      <c r="AG26" s="82">
        <f t="shared" si="10"/>
        <v>88800</v>
      </c>
      <c r="AH26" s="82">
        <f t="shared" si="11"/>
        <v>347800</v>
      </c>
      <c r="AI26" s="82">
        <f t="shared" si="12"/>
        <v>29600</v>
      </c>
      <c r="AJ26" s="82">
        <f t="shared" si="13"/>
        <v>10000</v>
      </c>
      <c r="AK26" s="82">
        <f t="shared" si="14"/>
        <v>35520</v>
      </c>
      <c r="AL26" s="82">
        <f t="shared" si="15"/>
        <v>1123081.5900000001</v>
      </c>
      <c r="AM26" s="82">
        <f t="shared" si="16"/>
        <v>4776342</v>
      </c>
      <c r="AN26" s="119"/>
      <c r="AO26" s="82">
        <f t="shared" si="30"/>
        <v>4776342</v>
      </c>
    </row>
    <row r="27" spans="1:41" s="83" customFormat="1" ht="18" customHeight="1">
      <c r="A27" s="79" t="s">
        <v>7</v>
      </c>
      <c r="B27" s="80" t="s">
        <v>666</v>
      </c>
      <c r="C27" s="80" t="s">
        <v>649</v>
      </c>
      <c r="D27" s="81">
        <v>1</v>
      </c>
      <c r="E27" s="86">
        <v>0</v>
      </c>
      <c r="F27" s="86">
        <v>2</v>
      </c>
      <c r="G27" s="86">
        <v>12.8125</v>
      </c>
      <c r="H27" s="86">
        <v>2</v>
      </c>
      <c r="I27" s="82">
        <f t="shared" si="2"/>
        <v>16.8125</v>
      </c>
      <c r="J27" s="81">
        <v>2</v>
      </c>
      <c r="K27" s="81">
        <v>0</v>
      </c>
      <c r="L27" s="81">
        <v>1</v>
      </c>
      <c r="M27" s="81">
        <v>0</v>
      </c>
      <c r="N27" s="82">
        <f t="shared" si="3"/>
        <v>3</v>
      </c>
      <c r="O27" s="82">
        <f t="shared" si="29"/>
        <v>2</v>
      </c>
      <c r="P27" s="82">
        <f t="shared" si="28"/>
        <v>2</v>
      </c>
      <c r="Q27" s="82">
        <f t="shared" si="28"/>
        <v>13.8125</v>
      </c>
      <c r="R27" s="82">
        <f t="shared" si="28"/>
        <v>2</v>
      </c>
      <c r="S27" s="93">
        <f t="shared" si="5"/>
        <v>19.8125</v>
      </c>
      <c r="T27" s="81">
        <v>2</v>
      </c>
      <c r="U27" s="81">
        <v>2</v>
      </c>
      <c r="V27" s="81">
        <v>13</v>
      </c>
      <c r="W27" s="81">
        <v>2</v>
      </c>
      <c r="X27" s="93">
        <f t="shared" si="6"/>
        <v>19</v>
      </c>
      <c r="Y27" s="81">
        <v>2</v>
      </c>
      <c r="Z27" s="81">
        <v>2</v>
      </c>
      <c r="AA27" s="81">
        <v>13</v>
      </c>
      <c r="AB27" s="81">
        <v>2</v>
      </c>
      <c r="AC27" s="82">
        <f t="shared" si="7"/>
        <v>19</v>
      </c>
      <c r="AD27" s="82">
        <f>(Y27*7050+Z27*6485+AA27*5800+AB27*4900)*12</f>
        <v>1347240</v>
      </c>
      <c r="AE27" s="82">
        <f t="shared" si="8"/>
        <v>82080</v>
      </c>
      <c r="AF27" s="82">
        <f t="shared" si="9"/>
        <v>114000</v>
      </c>
      <c r="AG27" s="82">
        <f t="shared" si="10"/>
        <v>45600</v>
      </c>
      <c r="AH27" s="82">
        <f t="shared" si="11"/>
        <v>178600</v>
      </c>
      <c r="AI27" s="82">
        <f t="shared" si="12"/>
        <v>15200</v>
      </c>
      <c r="AJ27" s="82">
        <f t="shared" si="13"/>
        <v>10000</v>
      </c>
      <c r="AK27" s="82">
        <f t="shared" si="14"/>
        <v>18240</v>
      </c>
      <c r="AL27" s="82">
        <f t="shared" si="15"/>
        <v>576717.56999999995</v>
      </c>
      <c r="AM27" s="82">
        <f t="shared" si="16"/>
        <v>2387678</v>
      </c>
      <c r="AN27" s="120"/>
      <c r="AO27" s="82">
        <f t="shared" si="30"/>
        <v>2387678</v>
      </c>
    </row>
    <row r="28" spans="1:41" s="83" customFormat="1" ht="18" customHeight="1">
      <c r="A28" s="79" t="s">
        <v>7</v>
      </c>
      <c r="B28" s="80" t="s">
        <v>471</v>
      </c>
      <c r="C28" s="80" t="s">
        <v>649</v>
      </c>
      <c r="D28" s="81">
        <v>1</v>
      </c>
      <c r="E28" s="86">
        <v>0</v>
      </c>
      <c r="F28" s="86">
        <v>2</v>
      </c>
      <c r="G28" s="86">
        <v>14.1875</v>
      </c>
      <c r="H28" s="86">
        <v>1</v>
      </c>
      <c r="I28" s="82">
        <f t="shared" si="2"/>
        <v>17.1875</v>
      </c>
      <c r="J28" s="81">
        <v>0</v>
      </c>
      <c r="K28" s="81">
        <v>0</v>
      </c>
      <c r="L28" s="81">
        <v>2</v>
      </c>
      <c r="M28" s="81">
        <v>0</v>
      </c>
      <c r="N28" s="82">
        <f t="shared" si="3"/>
        <v>2</v>
      </c>
      <c r="O28" s="82">
        <f t="shared" si="29"/>
        <v>0</v>
      </c>
      <c r="P28" s="82">
        <f t="shared" si="28"/>
        <v>2</v>
      </c>
      <c r="Q28" s="82">
        <f t="shared" si="28"/>
        <v>16.1875</v>
      </c>
      <c r="R28" s="82">
        <f t="shared" si="28"/>
        <v>1</v>
      </c>
      <c r="S28" s="93">
        <f t="shared" si="5"/>
        <v>19.1875</v>
      </c>
      <c r="T28" s="81">
        <v>0</v>
      </c>
      <c r="U28" s="81">
        <v>2</v>
      </c>
      <c r="V28" s="81">
        <v>16</v>
      </c>
      <c r="W28" s="81">
        <v>1</v>
      </c>
      <c r="X28" s="93">
        <f t="shared" si="6"/>
        <v>19</v>
      </c>
      <c r="Y28" s="81">
        <v>0</v>
      </c>
      <c r="Z28" s="81">
        <v>2</v>
      </c>
      <c r="AA28" s="81">
        <v>16</v>
      </c>
      <c r="AB28" s="81">
        <v>1</v>
      </c>
      <c r="AC28" s="82">
        <f t="shared" si="7"/>
        <v>19</v>
      </c>
      <c r="AD28" s="82">
        <f>(Y28*7050+Z28*6485+AA28*5800+AB28*4900)*12</f>
        <v>1328040</v>
      </c>
      <c r="AE28" s="82">
        <f t="shared" si="8"/>
        <v>82080</v>
      </c>
      <c r="AF28" s="82">
        <f t="shared" si="9"/>
        <v>114000</v>
      </c>
      <c r="AG28" s="82">
        <f t="shared" si="10"/>
        <v>45600</v>
      </c>
      <c r="AH28" s="82">
        <f t="shared" si="11"/>
        <v>178600</v>
      </c>
      <c r="AI28" s="82">
        <f t="shared" si="12"/>
        <v>15200</v>
      </c>
      <c r="AJ28" s="82">
        <f t="shared" si="13"/>
        <v>10000</v>
      </c>
      <c r="AK28" s="82">
        <f t="shared" si="14"/>
        <v>18240</v>
      </c>
      <c r="AL28" s="82">
        <f t="shared" si="15"/>
        <v>576717.56999999995</v>
      </c>
      <c r="AM28" s="82">
        <f t="shared" si="16"/>
        <v>2368478</v>
      </c>
      <c r="AN28" s="120"/>
      <c r="AO28" s="82">
        <f t="shared" si="30"/>
        <v>2368478</v>
      </c>
    </row>
    <row r="29" spans="1:41" ht="18" customHeight="1">
      <c r="A29" s="79" t="s">
        <v>7</v>
      </c>
      <c r="B29" s="80" t="s">
        <v>667</v>
      </c>
      <c r="C29" s="80" t="s">
        <v>972</v>
      </c>
      <c r="D29" s="81"/>
      <c r="E29" s="86">
        <v>37</v>
      </c>
      <c r="F29" s="86">
        <v>11</v>
      </c>
      <c r="G29" s="86">
        <v>0</v>
      </c>
      <c r="H29" s="86">
        <v>9</v>
      </c>
      <c r="I29" s="82">
        <f t="shared" si="2"/>
        <v>57</v>
      </c>
      <c r="J29" s="81">
        <v>3</v>
      </c>
      <c r="K29" s="81">
        <v>4</v>
      </c>
      <c r="L29" s="81">
        <v>0</v>
      </c>
      <c r="M29" s="81">
        <v>0</v>
      </c>
      <c r="N29" s="82">
        <f t="shared" si="3"/>
        <v>7</v>
      </c>
      <c r="O29" s="82">
        <f t="shared" si="29"/>
        <v>40</v>
      </c>
      <c r="P29" s="82">
        <f t="shared" si="28"/>
        <v>15</v>
      </c>
      <c r="Q29" s="82">
        <f t="shared" si="28"/>
        <v>0</v>
      </c>
      <c r="R29" s="82">
        <f t="shared" si="28"/>
        <v>9</v>
      </c>
      <c r="S29" s="93">
        <f t="shared" si="5"/>
        <v>64</v>
      </c>
      <c r="T29" s="81">
        <v>10</v>
      </c>
      <c r="U29" s="81">
        <v>8</v>
      </c>
      <c r="V29" s="81">
        <v>0</v>
      </c>
      <c r="W29" s="81">
        <v>8</v>
      </c>
      <c r="X29" s="93">
        <f t="shared" si="6"/>
        <v>26</v>
      </c>
      <c r="Y29" s="81">
        <v>10</v>
      </c>
      <c r="Z29" s="81">
        <v>8</v>
      </c>
      <c r="AA29" s="81">
        <v>0</v>
      </c>
      <c r="AB29" s="81">
        <v>8</v>
      </c>
      <c r="AC29" s="82">
        <f t="shared" si="7"/>
        <v>26</v>
      </c>
      <c r="AD29" s="82">
        <f>(Y29*9230+Z29*7215+AA29*5800+AB29*5100)*12</f>
        <v>2289840</v>
      </c>
      <c r="AE29" s="82">
        <f t="shared" si="8"/>
        <v>112320</v>
      </c>
      <c r="AF29" s="82">
        <f t="shared" si="9"/>
        <v>156000</v>
      </c>
      <c r="AG29" s="82">
        <f t="shared" si="10"/>
        <v>62400</v>
      </c>
      <c r="AH29" s="82">
        <f>Y29*15400+(Z29+AA29+AB29)*9400</f>
        <v>304400</v>
      </c>
      <c r="AI29" s="82">
        <f t="shared" si="12"/>
        <v>20800</v>
      </c>
      <c r="AJ29" s="82">
        <f t="shared" si="13"/>
        <v>0</v>
      </c>
      <c r="AK29" s="82">
        <f t="shared" si="14"/>
        <v>24960</v>
      </c>
      <c r="AL29" s="82">
        <f t="shared" si="15"/>
        <v>789192.47</v>
      </c>
      <c r="AM29" s="82">
        <f t="shared" si="16"/>
        <v>3759912</v>
      </c>
      <c r="AN29" s="119">
        <v>146697.5</v>
      </c>
      <c r="AO29" s="120">
        <f t="shared" si="30"/>
        <v>3906609.5</v>
      </c>
    </row>
    <row r="30" spans="1:41" ht="18" customHeight="1">
      <c r="A30" s="79" t="s">
        <v>7</v>
      </c>
      <c r="B30" s="80" t="s">
        <v>668</v>
      </c>
      <c r="C30" s="80" t="s">
        <v>959</v>
      </c>
      <c r="D30" s="81"/>
      <c r="E30" s="86">
        <v>7.6206896551719865</v>
      </c>
      <c r="F30" s="86">
        <v>12</v>
      </c>
      <c r="G30" s="86">
        <v>0</v>
      </c>
      <c r="H30" s="86">
        <v>10</v>
      </c>
      <c r="I30" s="82">
        <f t="shared" si="2"/>
        <v>29.620689655171986</v>
      </c>
      <c r="J30" s="81">
        <v>1</v>
      </c>
      <c r="K30" s="81">
        <v>0</v>
      </c>
      <c r="L30" s="81">
        <v>0</v>
      </c>
      <c r="M30" s="81">
        <v>0</v>
      </c>
      <c r="N30" s="82">
        <f t="shared" si="3"/>
        <v>1</v>
      </c>
      <c r="O30" s="82">
        <f t="shared" si="29"/>
        <v>8.6206896551719865</v>
      </c>
      <c r="P30" s="82">
        <f t="shared" si="28"/>
        <v>12</v>
      </c>
      <c r="Q30" s="82">
        <f t="shared" si="28"/>
        <v>0</v>
      </c>
      <c r="R30" s="82">
        <f t="shared" si="28"/>
        <v>10</v>
      </c>
      <c r="S30" s="93">
        <f t="shared" si="5"/>
        <v>30.620689655171986</v>
      </c>
      <c r="T30" s="81">
        <v>4</v>
      </c>
      <c r="U30" s="81">
        <v>7</v>
      </c>
      <c r="V30" s="81">
        <v>0</v>
      </c>
      <c r="W30" s="81">
        <v>11</v>
      </c>
      <c r="X30" s="93">
        <f t="shared" si="6"/>
        <v>22</v>
      </c>
      <c r="Y30" s="81">
        <v>4</v>
      </c>
      <c r="Z30" s="81">
        <v>7</v>
      </c>
      <c r="AA30" s="81">
        <v>0</v>
      </c>
      <c r="AB30" s="81">
        <v>11</v>
      </c>
      <c r="AC30" s="82">
        <f t="shared" si="7"/>
        <v>22</v>
      </c>
      <c r="AD30" s="82">
        <f>(Y30*7050+Z30*6485+AA30*5800+AB30*4900)*12</f>
        <v>1529940</v>
      </c>
      <c r="AE30" s="82">
        <f t="shared" si="8"/>
        <v>95040</v>
      </c>
      <c r="AF30" s="82">
        <f t="shared" si="9"/>
        <v>132000</v>
      </c>
      <c r="AG30" s="82">
        <f t="shared" si="10"/>
        <v>52800</v>
      </c>
      <c r="AH30" s="82">
        <f t="shared" si="11"/>
        <v>206800</v>
      </c>
      <c r="AI30" s="82">
        <f t="shared" si="12"/>
        <v>17600</v>
      </c>
      <c r="AJ30" s="82">
        <f t="shared" si="13"/>
        <v>0</v>
      </c>
      <c r="AK30" s="82">
        <f t="shared" si="14"/>
        <v>21120</v>
      </c>
      <c r="AL30" s="82">
        <f t="shared" si="15"/>
        <v>667778.24</v>
      </c>
      <c r="AM30" s="82">
        <f t="shared" si="16"/>
        <v>2723078</v>
      </c>
      <c r="AN30" s="119">
        <v>31510.25</v>
      </c>
      <c r="AO30" s="120">
        <f t="shared" si="30"/>
        <v>2754588.25</v>
      </c>
    </row>
    <row r="31" spans="1:41" ht="18" customHeight="1">
      <c r="A31" s="79" t="s">
        <v>7</v>
      </c>
      <c r="B31" s="80" t="s">
        <v>669</v>
      </c>
      <c r="C31" s="80" t="s">
        <v>972</v>
      </c>
      <c r="D31" s="81"/>
      <c r="E31" s="86">
        <v>0</v>
      </c>
      <c r="F31" s="86">
        <v>10</v>
      </c>
      <c r="G31" s="86">
        <v>0</v>
      </c>
      <c r="H31" s="86">
        <v>9</v>
      </c>
      <c r="I31" s="82">
        <f t="shared" si="2"/>
        <v>19</v>
      </c>
      <c r="J31" s="81">
        <v>0</v>
      </c>
      <c r="K31" s="81">
        <v>2</v>
      </c>
      <c r="L31" s="81">
        <v>0</v>
      </c>
      <c r="M31" s="81">
        <v>0</v>
      </c>
      <c r="N31" s="82">
        <f t="shared" si="3"/>
        <v>2</v>
      </c>
      <c r="O31" s="82">
        <f t="shared" si="29"/>
        <v>0</v>
      </c>
      <c r="P31" s="82">
        <f t="shared" si="28"/>
        <v>12</v>
      </c>
      <c r="Q31" s="82">
        <f t="shared" si="28"/>
        <v>0</v>
      </c>
      <c r="R31" s="82">
        <f t="shared" si="28"/>
        <v>9</v>
      </c>
      <c r="S31" s="93">
        <f t="shared" si="5"/>
        <v>21</v>
      </c>
      <c r="T31" s="81">
        <v>0</v>
      </c>
      <c r="U31" s="81">
        <v>3</v>
      </c>
      <c r="V31" s="81">
        <v>0</v>
      </c>
      <c r="W31" s="81">
        <v>12</v>
      </c>
      <c r="X31" s="93">
        <f t="shared" si="6"/>
        <v>15</v>
      </c>
      <c r="Y31" s="81">
        <v>0</v>
      </c>
      <c r="Z31" s="81">
        <v>3</v>
      </c>
      <c r="AA31" s="81">
        <v>0</v>
      </c>
      <c r="AB31" s="81">
        <v>12</v>
      </c>
      <c r="AC31" s="82">
        <f t="shared" si="7"/>
        <v>15</v>
      </c>
      <c r="AD31" s="82">
        <f t="shared" ref="AD31:AD32" si="31">(Y31*9230+Z31*7215+AA31*5800+AB31*5100)*12</f>
        <v>994140</v>
      </c>
      <c r="AE31" s="82">
        <f t="shared" si="8"/>
        <v>64800</v>
      </c>
      <c r="AF31" s="82">
        <f t="shared" si="9"/>
        <v>90000</v>
      </c>
      <c r="AG31" s="82">
        <f t="shared" si="10"/>
        <v>36000</v>
      </c>
      <c r="AH31" s="82">
        <f t="shared" ref="AH31:AH32" si="32">Y31*15400+(Z31+AA31+AB31)*9400</f>
        <v>141000</v>
      </c>
      <c r="AI31" s="82">
        <f t="shared" si="12"/>
        <v>12000</v>
      </c>
      <c r="AJ31" s="82">
        <f t="shared" si="13"/>
        <v>0</v>
      </c>
      <c r="AK31" s="82">
        <f t="shared" si="14"/>
        <v>14400</v>
      </c>
      <c r="AL31" s="82">
        <f t="shared" si="15"/>
        <v>455303.35</v>
      </c>
      <c r="AM31" s="82">
        <f t="shared" si="16"/>
        <v>1807643</v>
      </c>
      <c r="AN31" s="119"/>
      <c r="AO31" s="120">
        <f t="shared" si="30"/>
        <v>1807643</v>
      </c>
    </row>
    <row r="32" spans="1:41" ht="18" customHeight="1">
      <c r="A32" s="79" t="s">
        <v>7</v>
      </c>
      <c r="B32" s="80" t="s">
        <v>670</v>
      </c>
      <c r="C32" s="80" t="s">
        <v>464</v>
      </c>
      <c r="D32" s="81"/>
      <c r="E32" s="86">
        <v>32.831932773109003</v>
      </c>
      <c r="F32" s="86">
        <v>11</v>
      </c>
      <c r="G32" s="86">
        <v>0</v>
      </c>
      <c r="H32" s="86">
        <v>6</v>
      </c>
      <c r="I32" s="82">
        <f t="shared" si="2"/>
        <v>49.831932773109003</v>
      </c>
      <c r="J32" s="81">
        <v>0</v>
      </c>
      <c r="K32" s="81">
        <v>2</v>
      </c>
      <c r="L32" s="81">
        <v>0</v>
      </c>
      <c r="M32" s="81">
        <v>1</v>
      </c>
      <c r="N32" s="82">
        <f t="shared" si="3"/>
        <v>3</v>
      </c>
      <c r="O32" s="82">
        <f t="shared" si="29"/>
        <v>32.831932773109003</v>
      </c>
      <c r="P32" s="82">
        <f t="shared" si="28"/>
        <v>13</v>
      </c>
      <c r="Q32" s="82">
        <f t="shared" si="28"/>
        <v>0</v>
      </c>
      <c r="R32" s="82">
        <f t="shared" si="28"/>
        <v>7</v>
      </c>
      <c r="S32" s="93">
        <f t="shared" si="5"/>
        <v>52.831932773109003</v>
      </c>
      <c r="T32" s="81">
        <v>9</v>
      </c>
      <c r="U32" s="81">
        <v>9</v>
      </c>
      <c r="V32" s="81">
        <v>0</v>
      </c>
      <c r="W32" s="81">
        <v>6</v>
      </c>
      <c r="X32" s="93">
        <f t="shared" si="6"/>
        <v>24</v>
      </c>
      <c r="Y32" s="81">
        <v>9</v>
      </c>
      <c r="Z32" s="81">
        <v>9</v>
      </c>
      <c r="AA32" s="81">
        <v>0</v>
      </c>
      <c r="AB32" s="81">
        <v>6</v>
      </c>
      <c r="AC32" s="82">
        <f t="shared" si="7"/>
        <v>24</v>
      </c>
      <c r="AD32" s="82">
        <f t="shared" si="31"/>
        <v>2143260</v>
      </c>
      <c r="AE32" s="82">
        <f t="shared" si="8"/>
        <v>103680</v>
      </c>
      <c r="AF32" s="82">
        <f t="shared" si="9"/>
        <v>144000</v>
      </c>
      <c r="AG32" s="82">
        <f t="shared" si="10"/>
        <v>57600</v>
      </c>
      <c r="AH32" s="82">
        <f t="shared" si="32"/>
        <v>279600</v>
      </c>
      <c r="AI32" s="82">
        <f t="shared" si="12"/>
        <v>19200</v>
      </c>
      <c r="AJ32" s="82">
        <f t="shared" si="13"/>
        <v>0</v>
      </c>
      <c r="AK32" s="82">
        <f t="shared" si="14"/>
        <v>23040</v>
      </c>
      <c r="AL32" s="82">
        <f t="shared" si="15"/>
        <v>728485.36</v>
      </c>
      <c r="AM32" s="82">
        <f t="shared" si="16"/>
        <v>3498865</v>
      </c>
      <c r="AN32" s="119">
        <v>64001</v>
      </c>
      <c r="AO32" s="120">
        <f t="shared" si="30"/>
        <v>3562866</v>
      </c>
    </row>
    <row r="33" spans="1:41" s="83" customFormat="1" ht="18" customHeight="1">
      <c r="A33" s="79" t="s">
        <v>7</v>
      </c>
      <c r="B33" s="80" t="s">
        <v>671</v>
      </c>
      <c r="C33" s="80" t="s">
        <v>649</v>
      </c>
      <c r="D33" s="81">
        <v>1</v>
      </c>
      <c r="E33" s="86">
        <v>0</v>
      </c>
      <c r="F33" s="86">
        <v>2</v>
      </c>
      <c r="G33" s="86">
        <v>14.1</v>
      </c>
      <c r="H33" s="86">
        <v>3</v>
      </c>
      <c r="I33" s="82">
        <f t="shared" si="2"/>
        <v>19.100000000000001</v>
      </c>
      <c r="J33" s="81">
        <v>3</v>
      </c>
      <c r="K33" s="81">
        <v>1</v>
      </c>
      <c r="L33" s="81">
        <v>0</v>
      </c>
      <c r="M33" s="81">
        <v>0</v>
      </c>
      <c r="N33" s="82">
        <f t="shared" si="3"/>
        <v>4</v>
      </c>
      <c r="O33" s="82">
        <f t="shared" si="29"/>
        <v>3</v>
      </c>
      <c r="P33" s="82">
        <f t="shared" si="28"/>
        <v>3</v>
      </c>
      <c r="Q33" s="82">
        <f t="shared" si="28"/>
        <v>14.1</v>
      </c>
      <c r="R33" s="82">
        <f t="shared" si="28"/>
        <v>3</v>
      </c>
      <c r="S33" s="93">
        <f t="shared" si="5"/>
        <v>23.1</v>
      </c>
      <c r="T33" s="81">
        <v>3</v>
      </c>
      <c r="U33" s="81">
        <v>3</v>
      </c>
      <c r="V33" s="81">
        <v>12</v>
      </c>
      <c r="W33" s="81">
        <v>4</v>
      </c>
      <c r="X33" s="93">
        <f t="shared" si="6"/>
        <v>22</v>
      </c>
      <c r="Y33" s="81">
        <v>3</v>
      </c>
      <c r="Z33" s="81">
        <v>3</v>
      </c>
      <c r="AA33" s="81">
        <v>12</v>
      </c>
      <c r="AB33" s="81">
        <v>4</v>
      </c>
      <c r="AC33" s="82">
        <f t="shared" si="7"/>
        <v>22</v>
      </c>
      <c r="AD33" s="82">
        <f>(Y33*7050+Z33*6485+AA33*5800+AB33*4900)*12</f>
        <v>1557660</v>
      </c>
      <c r="AE33" s="82">
        <f t="shared" si="8"/>
        <v>95040</v>
      </c>
      <c r="AF33" s="82">
        <f t="shared" si="9"/>
        <v>132000</v>
      </c>
      <c r="AG33" s="82">
        <f t="shared" si="10"/>
        <v>52800</v>
      </c>
      <c r="AH33" s="82">
        <f t="shared" si="11"/>
        <v>206800</v>
      </c>
      <c r="AI33" s="82">
        <f t="shared" si="12"/>
        <v>17600</v>
      </c>
      <c r="AJ33" s="82">
        <f t="shared" si="13"/>
        <v>10000</v>
      </c>
      <c r="AK33" s="82">
        <f t="shared" si="14"/>
        <v>21120</v>
      </c>
      <c r="AL33" s="82">
        <f t="shared" si="15"/>
        <v>667778.24</v>
      </c>
      <c r="AM33" s="82">
        <f t="shared" si="16"/>
        <v>2760798</v>
      </c>
      <c r="AN33" s="120"/>
      <c r="AO33" s="82">
        <f t="shared" si="30"/>
        <v>2760798</v>
      </c>
    </row>
    <row r="34" spans="1:41" ht="18" customHeight="1">
      <c r="A34" s="79" t="s">
        <v>7</v>
      </c>
      <c r="B34" s="80" t="s">
        <v>672</v>
      </c>
      <c r="C34" s="80" t="s">
        <v>649</v>
      </c>
      <c r="D34" s="81">
        <v>1</v>
      </c>
      <c r="E34" s="86">
        <v>11.316239316239297</v>
      </c>
      <c r="F34" s="86">
        <v>3</v>
      </c>
      <c r="G34" s="86">
        <v>21.75</v>
      </c>
      <c r="H34" s="86">
        <v>3</v>
      </c>
      <c r="I34" s="82">
        <f t="shared" si="2"/>
        <v>39.066239316239297</v>
      </c>
      <c r="J34" s="81">
        <v>0</v>
      </c>
      <c r="K34" s="81">
        <v>0</v>
      </c>
      <c r="L34" s="81">
        <v>0</v>
      </c>
      <c r="M34" s="81">
        <v>0</v>
      </c>
      <c r="N34" s="82">
        <f t="shared" si="3"/>
        <v>0</v>
      </c>
      <c r="O34" s="82">
        <f t="shared" si="29"/>
        <v>11.316239316239297</v>
      </c>
      <c r="P34" s="82">
        <f t="shared" si="28"/>
        <v>3</v>
      </c>
      <c r="Q34" s="82">
        <f t="shared" si="28"/>
        <v>21.75</v>
      </c>
      <c r="R34" s="82">
        <f t="shared" si="28"/>
        <v>3</v>
      </c>
      <c r="S34" s="93">
        <f t="shared" si="5"/>
        <v>39.066239316239297</v>
      </c>
      <c r="T34" s="81">
        <v>11</v>
      </c>
      <c r="U34" s="81">
        <v>4</v>
      </c>
      <c r="V34" s="81">
        <v>21</v>
      </c>
      <c r="W34" s="81">
        <v>3</v>
      </c>
      <c r="X34" s="93">
        <f t="shared" si="6"/>
        <v>39</v>
      </c>
      <c r="Y34" s="81">
        <v>11</v>
      </c>
      <c r="Z34" s="81">
        <v>4</v>
      </c>
      <c r="AA34" s="81">
        <v>21</v>
      </c>
      <c r="AB34" s="81">
        <v>3</v>
      </c>
      <c r="AC34" s="82">
        <f t="shared" si="7"/>
        <v>39</v>
      </c>
      <c r="AD34" s="82">
        <f>(Y34*7050+Z34*6485+AA34*5800+AB34*4900)*12</f>
        <v>2879880</v>
      </c>
      <c r="AE34" s="82">
        <f t="shared" si="8"/>
        <v>168480</v>
      </c>
      <c r="AF34" s="82">
        <f t="shared" si="9"/>
        <v>234000</v>
      </c>
      <c r="AG34" s="82">
        <f t="shared" si="10"/>
        <v>93600</v>
      </c>
      <c r="AH34" s="82">
        <f t="shared" si="11"/>
        <v>366600</v>
      </c>
      <c r="AI34" s="82">
        <f t="shared" si="12"/>
        <v>31200</v>
      </c>
      <c r="AJ34" s="82">
        <f t="shared" si="13"/>
        <v>10000</v>
      </c>
      <c r="AK34" s="82">
        <f t="shared" si="14"/>
        <v>37440</v>
      </c>
      <c r="AL34" s="82">
        <f t="shared" si="15"/>
        <v>1183788.7</v>
      </c>
      <c r="AM34" s="82">
        <f t="shared" si="16"/>
        <v>5004989</v>
      </c>
      <c r="AN34" s="119"/>
      <c r="AO34" s="82">
        <f t="shared" si="30"/>
        <v>5004989</v>
      </c>
    </row>
    <row r="35" spans="1:41" s="85" customFormat="1" ht="18" customHeight="1">
      <c r="A35" s="164"/>
      <c r="B35" s="164" t="s">
        <v>673</v>
      </c>
      <c r="C35" s="164"/>
      <c r="D35" s="84">
        <f>SUM(D24:D34)</f>
        <v>8</v>
      </c>
      <c r="E35" s="84">
        <f t="shared" ref="E35:AO35" si="33">SUM(E24:E34)</f>
        <v>100.49535747101598</v>
      </c>
      <c r="F35" s="84">
        <f t="shared" si="33"/>
        <v>59</v>
      </c>
      <c r="G35" s="84">
        <f t="shared" si="33"/>
        <v>125.58750000000001</v>
      </c>
      <c r="H35" s="84">
        <f t="shared" si="33"/>
        <v>48</v>
      </c>
      <c r="I35" s="84">
        <f t="shared" si="33"/>
        <v>333.08285747101604</v>
      </c>
      <c r="J35" s="84">
        <f t="shared" si="33"/>
        <v>14</v>
      </c>
      <c r="K35" s="84">
        <f t="shared" si="33"/>
        <v>10</v>
      </c>
      <c r="L35" s="84">
        <f t="shared" si="33"/>
        <v>5</v>
      </c>
      <c r="M35" s="84">
        <f t="shared" si="33"/>
        <v>2</v>
      </c>
      <c r="N35" s="84">
        <f t="shared" si="33"/>
        <v>31</v>
      </c>
      <c r="O35" s="84">
        <f t="shared" si="33"/>
        <v>114.49535747101598</v>
      </c>
      <c r="P35" s="84">
        <f t="shared" si="33"/>
        <v>69</v>
      </c>
      <c r="Q35" s="84">
        <f t="shared" si="33"/>
        <v>130.58750000000001</v>
      </c>
      <c r="R35" s="84">
        <f t="shared" si="33"/>
        <v>50</v>
      </c>
      <c r="S35" s="84">
        <f t="shared" si="33"/>
        <v>364.08285747101604</v>
      </c>
      <c r="T35" s="84">
        <f t="shared" si="33"/>
        <v>54</v>
      </c>
      <c r="U35" s="84">
        <f t="shared" si="33"/>
        <v>46</v>
      </c>
      <c r="V35" s="84">
        <f t="shared" si="33"/>
        <v>124</v>
      </c>
      <c r="W35" s="84">
        <f t="shared" si="33"/>
        <v>52</v>
      </c>
      <c r="X35" s="84">
        <f t="shared" si="33"/>
        <v>276</v>
      </c>
      <c r="Y35" s="84">
        <f t="shared" si="33"/>
        <v>54</v>
      </c>
      <c r="Z35" s="84">
        <f t="shared" si="33"/>
        <v>46</v>
      </c>
      <c r="AA35" s="84">
        <f t="shared" si="33"/>
        <v>124</v>
      </c>
      <c r="AB35" s="84">
        <f t="shared" si="33"/>
        <v>52</v>
      </c>
      <c r="AC35" s="84">
        <f t="shared" si="33"/>
        <v>276</v>
      </c>
      <c r="AD35" s="84">
        <f t="shared" si="33"/>
        <v>20570760</v>
      </c>
      <c r="AE35" s="84">
        <f t="shared" si="33"/>
        <v>1192320</v>
      </c>
      <c r="AF35" s="84">
        <f t="shared" si="33"/>
        <v>1656000</v>
      </c>
      <c r="AG35" s="84">
        <f t="shared" si="33"/>
        <v>662400</v>
      </c>
      <c r="AH35" s="84">
        <f t="shared" si="33"/>
        <v>2708400</v>
      </c>
      <c r="AI35" s="84">
        <f t="shared" si="33"/>
        <v>220800</v>
      </c>
      <c r="AJ35" s="84">
        <f t="shared" si="33"/>
        <v>80000</v>
      </c>
      <c r="AK35" s="84">
        <f t="shared" si="33"/>
        <v>264960</v>
      </c>
      <c r="AL35" s="84">
        <f t="shared" si="33"/>
        <v>8377581.5800000001</v>
      </c>
      <c r="AM35" s="84">
        <f t="shared" si="33"/>
        <v>35733221</v>
      </c>
      <c r="AN35" s="84">
        <f t="shared" si="33"/>
        <v>242208.75</v>
      </c>
      <c r="AO35" s="84">
        <f t="shared" si="33"/>
        <v>35975429.75</v>
      </c>
    </row>
    <row r="36" spans="1:41" s="83" customFormat="1" ht="18" customHeight="1">
      <c r="A36" s="79" t="s">
        <v>6</v>
      </c>
      <c r="B36" s="80" t="s">
        <v>674</v>
      </c>
      <c r="C36" s="80" t="s">
        <v>649</v>
      </c>
      <c r="D36" s="81">
        <v>2</v>
      </c>
      <c r="E36" s="86">
        <v>0</v>
      </c>
      <c r="F36" s="86">
        <v>5</v>
      </c>
      <c r="G36" s="86">
        <v>25.412500000000001</v>
      </c>
      <c r="H36" s="86">
        <v>2</v>
      </c>
      <c r="I36" s="82">
        <f t="shared" si="2"/>
        <v>32.412500000000001</v>
      </c>
      <c r="J36" s="81">
        <v>1</v>
      </c>
      <c r="K36" s="81">
        <v>0</v>
      </c>
      <c r="L36" s="81">
        <v>0</v>
      </c>
      <c r="M36" s="81">
        <v>0</v>
      </c>
      <c r="N36" s="82">
        <f t="shared" si="3"/>
        <v>1</v>
      </c>
      <c r="O36" s="82">
        <f t="shared" ref="O36:R50" si="34">E36+J36</f>
        <v>1</v>
      </c>
      <c r="P36" s="82">
        <f t="shared" si="34"/>
        <v>5</v>
      </c>
      <c r="Q36" s="82">
        <f t="shared" si="34"/>
        <v>25.412500000000001</v>
      </c>
      <c r="R36" s="82">
        <f t="shared" si="34"/>
        <v>2</v>
      </c>
      <c r="S36" s="93">
        <f t="shared" si="5"/>
        <v>33.412500000000001</v>
      </c>
      <c r="T36" s="81">
        <v>0</v>
      </c>
      <c r="U36" s="81">
        <v>5</v>
      </c>
      <c r="V36" s="81">
        <v>25</v>
      </c>
      <c r="W36" s="81">
        <v>2</v>
      </c>
      <c r="X36" s="93">
        <f t="shared" si="6"/>
        <v>32</v>
      </c>
      <c r="Y36" s="81">
        <v>0</v>
      </c>
      <c r="Z36" s="81">
        <v>5</v>
      </c>
      <c r="AA36" s="81">
        <v>25</v>
      </c>
      <c r="AB36" s="81">
        <v>2</v>
      </c>
      <c r="AC36" s="82">
        <f t="shared" si="7"/>
        <v>32</v>
      </c>
      <c r="AD36" s="82">
        <f t="shared" ref="AD36:AD43" si="35">(Y36*7050+Z36*6485+AA36*5800+AB36*4900)*12</f>
        <v>2246700</v>
      </c>
      <c r="AE36" s="82">
        <f t="shared" si="8"/>
        <v>138240</v>
      </c>
      <c r="AF36" s="82">
        <f t="shared" si="9"/>
        <v>192000</v>
      </c>
      <c r="AG36" s="82">
        <f t="shared" si="10"/>
        <v>76800</v>
      </c>
      <c r="AH36" s="82">
        <f t="shared" si="11"/>
        <v>300800</v>
      </c>
      <c r="AI36" s="82">
        <f t="shared" si="12"/>
        <v>25600</v>
      </c>
      <c r="AJ36" s="82">
        <f t="shared" si="13"/>
        <v>20000</v>
      </c>
      <c r="AK36" s="82">
        <f t="shared" si="14"/>
        <v>30720</v>
      </c>
      <c r="AL36" s="82">
        <f t="shared" si="15"/>
        <v>971313.81</v>
      </c>
      <c r="AM36" s="82">
        <f t="shared" si="16"/>
        <v>4002174</v>
      </c>
      <c r="AN36" s="120"/>
      <c r="AO36" s="82">
        <f>AM36+AN36</f>
        <v>4002174</v>
      </c>
    </row>
    <row r="37" spans="1:41" ht="18" customHeight="1">
      <c r="A37" s="79" t="s">
        <v>6</v>
      </c>
      <c r="B37" s="80" t="s">
        <v>675</v>
      </c>
      <c r="C37" s="80" t="s">
        <v>649</v>
      </c>
      <c r="D37" s="81">
        <v>2</v>
      </c>
      <c r="E37" s="86">
        <v>0</v>
      </c>
      <c r="F37" s="86">
        <v>1</v>
      </c>
      <c r="G37" s="86">
        <v>23.762499999999999</v>
      </c>
      <c r="H37" s="86">
        <v>3</v>
      </c>
      <c r="I37" s="82">
        <f t="shared" si="2"/>
        <v>27.762499999999999</v>
      </c>
      <c r="J37" s="81">
        <v>0</v>
      </c>
      <c r="K37" s="81">
        <v>0</v>
      </c>
      <c r="L37" s="81">
        <v>3</v>
      </c>
      <c r="M37" s="81">
        <v>0</v>
      </c>
      <c r="N37" s="82">
        <f t="shared" si="3"/>
        <v>3</v>
      </c>
      <c r="O37" s="82">
        <f t="shared" si="34"/>
        <v>0</v>
      </c>
      <c r="P37" s="82">
        <f t="shared" si="34"/>
        <v>1</v>
      </c>
      <c r="Q37" s="82">
        <f t="shared" si="34"/>
        <v>26.762499999999999</v>
      </c>
      <c r="R37" s="82">
        <f t="shared" si="34"/>
        <v>3</v>
      </c>
      <c r="S37" s="93">
        <f t="shared" si="5"/>
        <v>30.762499999999999</v>
      </c>
      <c r="T37" s="81">
        <v>0</v>
      </c>
      <c r="U37" s="81">
        <v>1</v>
      </c>
      <c r="V37" s="81">
        <v>24</v>
      </c>
      <c r="W37" s="81">
        <v>3</v>
      </c>
      <c r="X37" s="93">
        <f t="shared" si="6"/>
        <v>28</v>
      </c>
      <c r="Y37" s="81">
        <v>0</v>
      </c>
      <c r="Z37" s="81">
        <v>1</v>
      </c>
      <c r="AA37" s="81">
        <v>24</v>
      </c>
      <c r="AB37" s="81">
        <v>3</v>
      </c>
      <c r="AC37" s="82">
        <f t="shared" si="7"/>
        <v>28</v>
      </c>
      <c r="AD37" s="82">
        <f t="shared" si="35"/>
        <v>1924620</v>
      </c>
      <c r="AE37" s="82">
        <f t="shared" si="8"/>
        <v>120960</v>
      </c>
      <c r="AF37" s="82">
        <f t="shared" si="9"/>
        <v>168000</v>
      </c>
      <c r="AG37" s="82">
        <f t="shared" si="10"/>
        <v>67200</v>
      </c>
      <c r="AH37" s="82">
        <f t="shared" si="11"/>
        <v>263200</v>
      </c>
      <c r="AI37" s="82">
        <f t="shared" si="12"/>
        <v>22400</v>
      </c>
      <c r="AJ37" s="82">
        <f t="shared" si="13"/>
        <v>20000</v>
      </c>
      <c r="AK37" s="82">
        <f t="shared" si="14"/>
        <v>26880</v>
      </c>
      <c r="AL37" s="82">
        <f t="shared" si="15"/>
        <v>849899.58</v>
      </c>
      <c r="AM37" s="82">
        <f t="shared" si="16"/>
        <v>3463160</v>
      </c>
      <c r="AN37" s="119"/>
      <c r="AO37" s="82">
        <f t="shared" ref="AO37:AO50" si="36">AM37+AN37</f>
        <v>3463160</v>
      </c>
    </row>
    <row r="38" spans="1:41" ht="18" customHeight="1">
      <c r="A38" s="79" t="s">
        <v>6</v>
      </c>
      <c r="B38" s="80" t="s">
        <v>676</v>
      </c>
      <c r="C38" s="80" t="s">
        <v>649</v>
      </c>
      <c r="D38" s="81">
        <v>4</v>
      </c>
      <c r="E38" s="86">
        <v>5.9829059829059998</v>
      </c>
      <c r="F38" s="86">
        <v>6</v>
      </c>
      <c r="G38" s="86">
        <v>43.112499999999997</v>
      </c>
      <c r="H38" s="86">
        <v>6</v>
      </c>
      <c r="I38" s="82">
        <f t="shared" si="2"/>
        <v>61.095405982906001</v>
      </c>
      <c r="J38" s="81">
        <v>6</v>
      </c>
      <c r="K38" s="81">
        <v>5</v>
      </c>
      <c r="L38" s="81">
        <v>5</v>
      </c>
      <c r="M38" s="81">
        <v>0</v>
      </c>
      <c r="N38" s="82">
        <f t="shared" si="3"/>
        <v>16</v>
      </c>
      <c r="O38" s="82">
        <f t="shared" si="34"/>
        <v>11.982905982906001</v>
      </c>
      <c r="P38" s="82">
        <f t="shared" si="34"/>
        <v>11</v>
      </c>
      <c r="Q38" s="82">
        <f t="shared" si="34"/>
        <v>48.112499999999997</v>
      </c>
      <c r="R38" s="82">
        <f t="shared" si="34"/>
        <v>6</v>
      </c>
      <c r="S38" s="93">
        <f t="shared" si="5"/>
        <v>77.095405982906001</v>
      </c>
      <c r="T38" s="81">
        <v>9</v>
      </c>
      <c r="U38" s="81">
        <v>9</v>
      </c>
      <c r="V38" s="81">
        <v>44</v>
      </c>
      <c r="W38" s="81">
        <v>6</v>
      </c>
      <c r="X38" s="93">
        <f t="shared" si="6"/>
        <v>68</v>
      </c>
      <c r="Y38" s="81">
        <v>9</v>
      </c>
      <c r="Z38" s="81">
        <v>9</v>
      </c>
      <c r="AA38" s="81">
        <v>44</v>
      </c>
      <c r="AB38" s="81">
        <v>6</v>
      </c>
      <c r="AC38" s="82">
        <f t="shared" si="7"/>
        <v>68</v>
      </c>
      <c r="AD38" s="82">
        <f t="shared" si="35"/>
        <v>4876980</v>
      </c>
      <c r="AE38" s="82">
        <f t="shared" si="8"/>
        <v>293760</v>
      </c>
      <c r="AF38" s="82">
        <f t="shared" si="9"/>
        <v>408000</v>
      </c>
      <c r="AG38" s="82">
        <f t="shared" si="10"/>
        <v>163200</v>
      </c>
      <c r="AH38" s="82">
        <f t="shared" si="11"/>
        <v>639200</v>
      </c>
      <c r="AI38" s="82">
        <f t="shared" si="12"/>
        <v>54400</v>
      </c>
      <c r="AJ38" s="82">
        <f t="shared" si="13"/>
        <v>40000</v>
      </c>
      <c r="AK38" s="82">
        <f t="shared" si="14"/>
        <v>65280</v>
      </c>
      <c r="AL38" s="82">
        <f t="shared" si="15"/>
        <v>2064041.84</v>
      </c>
      <c r="AM38" s="82">
        <f t="shared" si="16"/>
        <v>8604862</v>
      </c>
      <c r="AN38" s="119"/>
      <c r="AO38" s="82">
        <f t="shared" si="36"/>
        <v>8604862</v>
      </c>
    </row>
    <row r="39" spans="1:41" s="83" customFormat="1" ht="18" customHeight="1">
      <c r="A39" s="79" t="s">
        <v>6</v>
      </c>
      <c r="B39" s="80" t="s">
        <v>470</v>
      </c>
      <c r="C39" s="80" t="s">
        <v>649</v>
      </c>
      <c r="D39" s="81">
        <v>2</v>
      </c>
      <c r="E39" s="86">
        <v>0</v>
      </c>
      <c r="F39" s="86">
        <v>1</v>
      </c>
      <c r="G39" s="86">
        <v>22.925000000000001</v>
      </c>
      <c r="H39" s="86">
        <v>1</v>
      </c>
      <c r="I39" s="82">
        <f t="shared" si="2"/>
        <v>24.925000000000001</v>
      </c>
      <c r="J39" s="81">
        <v>4</v>
      </c>
      <c r="K39" s="81">
        <v>0</v>
      </c>
      <c r="L39" s="81">
        <v>0</v>
      </c>
      <c r="M39" s="81">
        <v>0</v>
      </c>
      <c r="N39" s="82">
        <f t="shared" si="3"/>
        <v>4</v>
      </c>
      <c r="O39" s="82">
        <f t="shared" si="34"/>
        <v>4</v>
      </c>
      <c r="P39" s="82">
        <f t="shared" si="34"/>
        <v>1</v>
      </c>
      <c r="Q39" s="82">
        <f t="shared" si="34"/>
        <v>22.925000000000001</v>
      </c>
      <c r="R39" s="82">
        <f t="shared" si="34"/>
        <v>1</v>
      </c>
      <c r="S39" s="93">
        <f t="shared" si="5"/>
        <v>28.925000000000001</v>
      </c>
      <c r="T39" s="81">
        <v>4</v>
      </c>
      <c r="U39" s="81">
        <v>1</v>
      </c>
      <c r="V39" s="81">
        <v>23</v>
      </c>
      <c r="W39" s="81">
        <v>1</v>
      </c>
      <c r="X39" s="93">
        <f t="shared" si="6"/>
        <v>29</v>
      </c>
      <c r="Y39" s="81">
        <v>4</v>
      </c>
      <c r="Z39" s="81">
        <v>1</v>
      </c>
      <c r="AA39" s="81">
        <v>22.925000000000001</v>
      </c>
      <c r="AB39" s="81">
        <v>1</v>
      </c>
      <c r="AC39" s="82">
        <f t="shared" si="7"/>
        <v>28.925000000000001</v>
      </c>
      <c r="AD39" s="82">
        <f t="shared" si="35"/>
        <v>2070600</v>
      </c>
      <c r="AE39" s="82">
        <f t="shared" si="8"/>
        <v>124956</v>
      </c>
      <c r="AF39" s="82">
        <f t="shared" si="9"/>
        <v>173550</v>
      </c>
      <c r="AG39" s="82">
        <f t="shared" si="10"/>
        <v>69420</v>
      </c>
      <c r="AH39" s="82">
        <f t="shared" si="11"/>
        <v>271895</v>
      </c>
      <c r="AI39" s="82">
        <f t="shared" si="12"/>
        <v>23140</v>
      </c>
      <c r="AJ39" s="82">
        <f t="shared" si="13"/>
        <v>20000</v>
      </c>
      <c r="AK39" s="82">
        <f t="shared" si="14"/>
        <v>27768</v>
      </c>
      <c r="AL39" s="82">
        <f t="shared" si="15"/>
        <v>877976.62</v>
      </c>
      <c r="AM39" s="82">
        <f t="shared" si="16"/>
        <v>3659306</v>
      </c>
      <c r="AN39" s="120"/>
      <c r="AO39" s="82">
        <f t="shared" si="36"/>
        <v>3659306</v>
      </c>
    </row>
    <row r="40" spans="1:41" s="83" customFormat="1" ht="18" customHeight="1">
      <c r="A40" s="79" t="s">
        <v>6</v>
      </c>
      <c r="B40" s="80" t="s">
        <v>469</v>
      </c>
      <c r="C40" s="80" t="s">
        <v>649</v>
      </c>
      <c r="D40" s="81">
        <v>3</v>
      </c>
      <c r="E40" s="86">
        <v>0</v>
      </c>
      <c r="F40" s="86">
        <v>2</v>
      </c>
      <c r="G40" s="86">
        <v>26.875</v>
      </c>
      <c r="H40" s="86">
        <v>4</v>
      </c>
      <c r="I40" s="82">
        <f t="shared" si="2"/>
        <v>32.875</v>
      </c>
      <c r="J40" s="81">
        <v>0</v>
      </c>
      <c r="K40" s="81">
        <v>0</v>
      </c>
      <c r="L40" s="81">
        <v>1</v>
      </c>
      <c r="M40" s="81">
        <v>0</v>
      </c>
      <c r="N40" s="82">
        <f t="shared" si="3"/>
        <v>1</v>
      </c>
      <c r="O40" s="82">
        <f t="shared" si="34"/>
        <v>0</v>
      </c>
      <c r="P40" s="82">
        <f t="shared" si="34"/>
        <v>2</v>
      </c>
      <c r="Q40" s="82">
        <f t="shared" si="34"/>
        <v>27.875</v>
      </c>
      <c r="R40" s="82">
        <f t="shared" si="34"/>
        <v>4</v>
      </c>
      <c r="S40" s="93">
        <f t="shared" si="5"/>
        <v>33.875</v>
      </c>
      <c r="T40" s="81">
        <v>0</v>
      </c>
      <c r="U40" s="81">
        <v>1</v>
      </c>
      <c r="V40" s="81">
        <v>27</v>
      </c>
      <c r="W40" s="81">
        <v>4</v>
      </c>
      <c r="X40" s="93">
        <f t="shared" si="6"/>
        <v>32</v>
      </c>
      <c r="Y40" s="81">
        <v>0</v>
      </c>
      <c r="Z40" s="81">
        <v>1</v>
      </c>
      <c r="AA40" s="81">
        <v>27</v>
      </c>
      <c r="AB40" s="81">
        <v>4</v>
      </c>
      <c r="AC40" s="82">
        <f t="shared" si="7"/>
        <v>32</v>
      </c>
      <c r="AD40" s="82">
        <f t="shared" si="35"/>
        <v>2192220</v>
      </c>
      <c r="AE40" s="82">
        <f t="shared" si="8"/>
        <v>138240</v>
      </c>
      <c r="AF40" s="82">
        <f t="shared" si="9"/>
        <v>192000</v>
      </c>
      <c r="AG40" s="82">
        <f t="shared" si="10"/>
        <v>76800</v>
      </c>
      <c r="AH40" s="82">
        <f t="shared" si="11"/>
        <v>300800</v>
      </c>
      <c r="AI40" s="82">
        <f t="shared" si="12"/>
        <v>25600</v>
      </c>
      <c r="AJ40" s="82">
        <f t="shared" si="13"/>
        <v>30000</v>
      </c>
      <c r="AK40" s="82">
        <f t="shared" si="14"/>
        <v>30720</v>
      </c>
      <c r="AL40" s="82">
        <f t="shared" si="15"/>
        <v>971313.81</v>
      </c>
      <c r="AM40" s="82">
        <f t="shared" si="16"/>
        <v>3957694</v>
      </c>
      <c r="AN40" s="120"/>
      <c r="AO40" s="82">
        <f t="shared" si="36"/>
        <v>3957694</v>
      </c>
    </row>
    <row r="41" spans="1:41" ht="18" customHeight="1">
      <c r="A41" s="79" t="s">
        <v>6</v>
      </c>
      <c r="B41" s="80" t="s">
        <v>467</v>
      </c>
      <c r="C41" s="80" t="s">
        <v>959</v>
      </c>
      <c r="D41" s="81"/>
      <c r="E41" s="86">
        <v>0</v>
      </c>
      <c r="F41" s="86">
        <v>9</v>
      </c>
      <c r="G41" s="86">
        <v>0</v>
      </c>
      <c r="H41" s="86">
        <v>5.5</v>
      </c>
      <c r="I41" s="82">
        <f t="shared" si="2"/>
        <v>14.5</v>
      </c>
      <c r="J41" s="81">
        <v>1</v>
      </c>
      <c r="K41" s="81">
        <v>0</v>
      </c>
      <c r="L41" s="81">
        <v>0</v>
      </c>
      <c r="M41" s="81">
        <v>0</v>
      </c>
      <c r="N41" s="82">
        <f t="shared" si="3"/>
        <v>1</v>
      </c>
      <c r="O41" s="82">
        <f t="shared" si="34"/>
        <v>1</v>
      </c>
      <c r="P41" s="82">
        <f t="shared" si="34"/>
        <v>9</v>
      </c>
      <c r="Q41" s="82">
        <f t="shared" si="34"/>
        <v>0</v>
      </c>
      <c r="R41" s="82">
        <f t="shared" si="34"/>
        <v>5.5</v>
      </c>
      <c r="S41" s="93">
        <f t="shared" si="5"/>
        <v>15.5</v>
      </c>
      <c r="T41" s="81">
        <v>1</v>
      </c>
      <c r="U41" s="81">
        <v>1</v>
      </c>
      <c r="V41" s="81">
        <v>0</v>
      </c>
      <c r="W41" s="81">
        <v>6</v>
      </c>
      <c r="X41" s="93">
        <f t="shared" si="6"/>
        <v>8</v>
      </c>
      <c r="Y41" s="81">
        <v>1</v>
      </c>
      <c r="Z41" s="81">
        <v>1</v>
      </c>
      <c r="AA41" s="81">
        <v>0</v>
      </c>
      <c r="AB41" s="81">
        <v>6</v>
      </c>
      <c r="AC41" s="82">
        <f t="shared" si="7"/>
        <v>8</v>
      </c>
      <c r="AD41" s="82">
        <f t="shared" si="35"/>
        <v>515220</v>
      </c>
      <c r="AE41" s="82">
        <f t="shared" si="8"/>
        <v>34560</v>
      </c>
      <c r="AF41" s="82">
        <f t="shared" si="9"/>
        <v>48000</v>
      </c>
      <c r="AG41" s="82">
        <f t="shared" si="10"/>
        <v>19200</v>
      </c>
      <c r="AH41" s="82">
        <f t="shared" si="11"/>
        <v>75200</v>
      </c>
      <c r="AI41" s="82">
        <f t="shared" si="12"/>
        <v>6400</v>
      </c>
      <c r="AJ41" s="82">
        <f t="shared" si="13"/>
        <v>0</v>
      </c>
      <c r="AK41" s="82">
        <f t="shared" si="14"/>
        <v>7680</v>
      </c>
      <c r="AL41" s="82">
        <f t="shared" si="15"/>
        <v>242828.45</v>
      </c>
      <c r="AM41" s="82">
        <f t="shared" si="16"/>
        <v>949088</v>
      </c>
      <c r="AN41" s="119"/>
      <c r="AO41" s="120">
        <f t="shared" si="36"/>
        <v>949088</v>
      </c>
    </row>
    <row r="42" spans="1:41" ht="18" customHeight="1">
      <c r="A42" s="79" t="s">
        <v>6</v>
      </c>
      <c r="B42" s="80" t="s">
        <v>677</v>
      </c>
      <c r="C42" s="80" t="s">
        <v>959</v>
      </c>
      <c r="D42" s="81"/>
      <c r="E42" s="86">
        <v>8.4482758620689999</v>
      </c>
      <c r="F42" s="86">
        <v>13.5</v>
      </c>
      <c r="G42" s="86">
        <v>0</v>
      </c>
      <c r="H42" s="86">
        <v>8</v>
      </c>
      <c r="I42" s="82">
        <f t="shared" si="2"/>
        <v>29.948275862069</v>
      </c>
      <c r="J42" s="81">
        <v>0</v>
      </c>
      <c r="K42" s="81">
        <v>0</v>
      </c>
      <c r="L42" s="81">
        <v>0</v>
      </c>
      <c r="M42" s="81">
        <v>0</v>
      </c>
      <c r="N42" s="82">
        <f t="shared" si="3"/>
        <v>0</v>
      </c>
      <c r="O42" s="82">
        <f t="shared" si="34"/>
        <v>8.4482758620689999</v>
      </c>
      <c r="P42" s="82">
        <f t="shared" si="34"/>
        <v>13.5</v>
      </c>
      <c r="Q42" s="82">
        <f t="shared" si="34"/>
        <v>0</v>
      </c>
      <c r="R42" s="82">
        <f t="shared" si="34"/>
        <v>8</v>
      </c>
      <c r="S42" s="93">
        <f t="shared" si="5"/>
        <v>29.948275862069</v>
      </c>
      <c r="T42" s="81">
        <v>10</v>
      </c>
      <c r="U42" s="81">
        <v>4</v>
      </c>
      <c r="V42" s="81">
        <v>0</v>
      </c>
      <c r="W42" s="81">
        <v>6</v>
      </c>
      <c r="X42" s="93">
        <f t="shared" si="6"/>
        <v>20</v>
      </c>
      <c r="Y42" s="81">
        <v>10</v>
      </c>
      <c r="Z42" s="81">
        <v>4</v>
      </c>
      <c r="AA42" s="81">
        <v>0</v>
      </c>
      <c r="AB42" s="81">
        <v>6</v>
      </c>
      <c r="AC42" s="82">
        <f t="shared" si="7"/>
        <v>20</v>
      </c>
      <c r="AD42" s="82">
        <f t="shared" si="35"/>
        <v>1510080</v>
      </c>
      <c r="AE42" s="82">
        <f t="shared" si="8"/>
        <v>86400</v>
      </c>
      <c r="AF42" s="82">
        <f t="shared" si="9"/>
        <v>120000</v>
      </c>
      <c r="AG42" s="82">
        <f t="shared" si="10"/>
        <v>48000</v>
      </c>
      <c r="AH42" s="82">
        <f t="shared" si="11"/>
        <v>188000</v>
      </c>
      <c r="AI42" s="82">
        <f t="shared" si="12"/>
        <v>16000</v>
      </c>
      <c r="AJ42" s="82">
        <f t="shared" si="13"/>
        <v>0</v>
      </c>
      <c r="AK42" s="82">
        <f t="shared" si="14"/>
        <v>19200</v>
      </c>
      <c r="AL42" s="82">
        <f t="shared" si="15"/>
        <v>607071.13</v>
      </c>
      <c r="AM42" s="82">
        <f t="shared" si="16"/>
        <v>2594751</v>
      </c>
      <c r="AN42" s="119">
        <v>91103</v>
      </c>
      <c r="AO42" s="120">
        <f t="shared" si="36"/>
        <v>2685854</v>
      </c>
    </row>
    <row r="43" spans="1:41" ht="18" customHeight="1">
      <c r="A43" s="79" t="s">
        <v>6</v>
      </c>
      <c r="B43" s="80" t="s">
        <v>468</v>
      </c>
      <c r="C43" s="80" t="s">
        <v>959</v>
      </c>
      <c r="D43" s="81"/>
      <c r="E43" s="86">
        <v>0</v>
      </c>
      <c r="F43" s="86">
        <v>8</v>
      </c>
      <c r="G43" s="86">
        <v>0</v>
      </c>
      <c r="H43" s="86">
        <v>5</v>
      </c>
      <c r="I43" s="82">
        <f t="shared" si="2"/>
        <v>13</v>
      </c>
      <c r="J43" s="81">
        <v>0</v>
      </c>
      <c r="K43" s="81">
        <v>0</v>
      </c>
      <c r="L43" s="81">
        <v>0</v>
      </c>
      <c r="M43" s="81">
        <v>0</v>
      </c>
      <c r="N43" s="82">
        <f t="shared" si="3"/>
        <v>0</v>
      </c>
      <c r="O43" s="82">
        <f t="shared" si="34"/>
        <v>0</v>
      </c>
      <c r="P43" s="82">
        <f t="shared" si="34"/>
        <v>8</v>
      </c>
      <c r="Q43" s="82">
        <f t="shared" si="34"/>
        <v>0</v>
      </c>
      <c r="R43" s="82">
        <f t="shared" si="34"/>
        <v>5</v>
      </c>
      <c r="S43" s="93">
        <f t="shared" si="5"/>
        <v>13</v>
      </c>
      <c r="T43" s="81">
        <v>0</v>
      </c>
      <c r="U43" s="81">
        <v>2</v>
      </c>
      <c r="V43" s="81">
        <v>2</v>
      </c>
      <c r="W43" s="81">
        <v>3</v>
      </c>
      <c r="X43" s="93">
        <f t="shared" si="6"/>
        <v>7</v>
      </c>
      <c r="Y43" s="81">
        <v>0</v>
      </c>
      <c r="Z43" s="81">
        <v>2</v>
      </c>
      <c r="AA43" s="81">
        <v>2</v>
      </c>
      <c r="AB43" s="81">
        <v>3</v>
      </c>
      <c r="AC43" s="82">
        <f t="shared" si="7"/>
        <v>7</v>
      </c>
      <c r="AD43" s="82">
        <f t="shared" si="35"/>
        <v>471240</v>
      </c>
      <c r="AE43" s="82">
        <f t="shared" si="8"/>
        <v>30240</v>
      </c>
      <c r="AF43" s="82">
        <f t="shared" si="9"/>
        <v>42000</v>
      </c>
      <c r="AG43" s="82">
        <f t="shared" si="10"/>
        <v>16800</v>
      </c>
      <c r="AH43" s="82">
        <f t="shared" si="11"/>
        <v>65800</v>
      </c>
      <c r="AI43" s="82">
        <f t="shared" si="12"/>
        <v>5600</v>
      </c>
      <c r="AJ43" s="82">
        <f t="shared" si="13"/>
        <v>0</v>
      </c>
      <c r="AK43" s="82">
        <f t="shared" si="14"/>
        <v>6720</v>
      </c>
      <c r="AL43" s="82">
        <f t="shared" si="15"/>
        <v>212474.9</v>
      </c>
      <c r="AM43" s="82">
        <f t="shared" si="16"/>
        <v>850875</v>
      </c>
      <c r="AN43" s="119"/>
      <c r="AO43" s="120">
        <f t="shared" si="36"/>
        <v>850875</v>
      </c>
    </row>
    <row r="44" spans="1:41" ht="18" customHeight="1">
      <c r="A44" s="79"/>
      <c r="B44" s="80" t="s">
        <v>466</v>
      </c>
      <c r="C44" s="80" t="s">
        <v>464</v>
      </c>
      <c r="D44" s="81"/>
      <c r="E44" s="86">
        <v>11.915966386554601</v>
      </c>
      <c r="F44" s="86">
        <v>10</v>
      </c>
      <c r="G44" s="86">
        <v>0</v>
      </c>
      <c r="H44" s="86">
        <v>5</v>
      </c>
      <c r="I44" s="82">
        <f t="shared" si="2"/>
        <v>26.915966386554601</v>
      </c>
      <c r="J44" s="81">
        <v>5</v>
      </c>
      <c r="K44" s="81">
        <v>1</v>
      </c>
      <c r="L44" s="81">
        <v>0</v>
      </c>
      <c r="M44" s="81">
        <v>0</v>
      </c>
      <c r="N44" s="82">
        <f t="shared" si="3"/>
        <v>6</v>
      </c>
      <c r="O44" s="82">
        <f t="shared" si="34"/>
        <v>16.915966386554601</v>
      </c>
      <c r="P44" s="82">
        <f t="shared" si="34"/>
        <v>11</v>
      </c>
      <c r="Q44" s="82">
        <f t="shared" si="34"/>
        <v>0</v>
      </c>
      <c r="R44" s="82">
        <f t="shared" si="34"/>
        <v>5</v>
      </c>
      <c r="S44" s="93">
        <f t="shared" si="5"/>
        <v>32.915966386554601</v>
      </c>
      <c r="T44" s="81">
        <v>5</v>
      </c>
      <c r="U44" s="81">
        <v>4</v>
      </c>
      <c r="V44" s="81">
        <v>1</v>
      </c>
      <c r="W44" s="81">
        <v>7</v>
      </c>
      <c r="X44" s="93">
        <f t="shared" si="6"/>
        <v>17</v>
      </c>
      <c r="Y44" s="81">
        <v>5</v>
      </c>
      <c r="Z44" s="81">
        <v>4</v>
      </c>
      <c r="AA44" s="81">
        <v>1</v>
      </c>
      <c r="AB44" s="81">
        <v>7</v>
      </c>
      <c r="AC44" s="82">
        <f t="shared" si="7"/>
        <v>17</v>
      </c>
      <c r="AD44" s="82">
        <f t="shared" ref="AD44:AD47" si="37">(Y44*9230+Z44*7215+AA44*5800+AB44*5100)*12</f>
        <v>1398120</v>
      </c>
      <c r="AE44" s="82">
        <f t="shared" si="8"/>
        <v>73440</v>
      </c>
      <c r="AF44" s="82">
        <f t="shared" si="9"/>
        <v>102000</v>
      </c>
      <c r="AG44" s="82">
        <f t="shared" si="10"/>
        <v>40800</v>
      </c>
      <c r="AH44" s="82">
        <f t="shared" ref="AH44:AH47" si="38">Y44*15400+(Z44+AA44+AB44)*9400</f>
        <v>189800</v>
      </c>
      <c r="AI44" s="82">
        <f>AC44*800</f>
        <v>13600</v>
      </c>
      <c r="AJ44" s="82">
        <f>D44*50*200</f>
        <v>0</v>
      </c>
      <c r="AK44" s="82">
        <f>AC44*960</f>
        <v>16320</v>
      </c>
      <c r="AL44" s="82">
        <f t="shared" si="15"/>
        <v>516010.46</v>
      </c>
      <c r="AM44" s="82">
        <f t="shared" si="16"/>
        <v>2350090</v>
      </c>
      <c r="AN44" s="119">
        <v>49126</v>
      </c>
      <c r="AO44" s="120">
        <f t="shared" si="36"/>
        <v>2399216</v>
      </c>
    </row>
    <row r="45" spans="1:41" ht="18" customHeight="1">
      <c r="A45" s="79" t="s">
        <v>6</v>
      </c>
      <c r="B45" s="80" t="s">
        <v>226</v>
      </c>
      <c r="C45" s="80" t="s">
        <v>464</v>
      </c>
      <c r="D45" s="81"/>
      <c r="E45" s="86">
        <v>12</v>
      </c>
      <c r="F45" s="86">
        <v>10</v>
      </c>
      <c r="G45" s="86">
        <v>0</v>
      </c>
      <c r="H45" s="86">
        <v>5</v>
      </c>
      <c r="I45" s="82">
        <f t="shared" si="2"/>
        <v>27</v>
      </c>
      <c r="J45" s="81">
        <v>5</v>
      </c>
      <c r="K45" s="81">
        <v>0</v>
      </c>
      <c r="L45" s="81">
        <v>0</v>
      </c>
      <c r="M45" s="81">
        <v>0</v>
      </c>
      <c r="N45" s="82">
        <f t="shared" si="3"/>
        <v>5</v>
      </c>
      <c r="O45" s="82">
        <f>E45+J45</f>
        <v>17</v>
      </c>
      <c r="P45" s="82">
        <f>F45+K45</f>
        <v>10</v>
      </c>
      <c r="Q45" s="82">
        <f>G45+L45</f>
        <v>0</v>
      </c>
      <c r="R45" s="82">
        <f>H45+M45</f>
        <v>5</v>
      </c>
      <c r="S45" s="93">
        <f t="shared" si="5"/>
        <v>32</v>
      </c>
      <c r="T45" s="81">
        <v>2</v>
      </c>
      <c r="U45" s="81">
        <v>8</v>
      </c>
      <c r="V45" s="81">
        <v>0</v>
      </c>
      <c r="W45" s="81">
        <v>4</v>
      </c>
      <c r="X45" s="93">
        <f t="shared" si="6"/>
        <v>14</v>
      </c>
      <c r="Y45" s="81">
        <v>2</v>
      </c>
      <c r="Z45" s="81">
        <v>8</v>
      </c>
      <c r="AA45" s="81">
        <v>0</v>
      </c>
      <c r="AB45" s="81">
        <v>4</v>
      </c>
      <c r="AC45" s="82">
        <f t="shared" si="7"/>
        <v>14</v>
      </c>
      <c r="AD45" s="82">
        <f t="shared" si="37"/>
        <v>1158960</v>
      </c>
      <c r="AE45" s="82">
        <f t="shared" si="8"/>
        <v>60480</v>
      </c>
      <c r="AF45" s="82">
        <f t="shared" si="9"/>
        <v>84000</v>
      </c>
      <c r="AG45" s="82">
        <f t="shared" si="10"/>
        <v>33600</v>
      </c>
      <c r="AH45" s="82">
        <f t="shared" si="38"/>
        <v>143600</v>
      </c>
      <c r="AI45" s="82">
        <f>AC45*800</f>
        <v>11200</v>
      </c>
      <c r="AJ45" s="82">
        <f>D45*50*200</f>
        <v>0</v>
      </c>
      <c r="AK45" s="82">
        <f>AC45*960</f>
        <v>13440</v>
      </c>
      <c r="AL45" s="82">
        <f t="shared" si="15"/>
        <v>424949.79</v>
      </c>
      <c r="AM45" s="82">
        <f t="shared" si="16"/>
        <v>1930230</v>
      </c>
      <c r="AN45" s="119">
        <v>34499.25</v>
      </c>
      <c r="AO45" s="120">
        <f t="shared" si="36"/>
        <v>1964729.25</v>
      </c>
    </row>
    <row r="46" spans="1:41" ht="18" customHeight="1">
      <c r="A46" s="79" t="s">
        <v>6</v>
      </c>
      <c r="B46" s="80" t="s">
        <v>974</v>
      </c>
      <c r="C46" s="80" t="s">
        <v>972</v>
      </c>
      <c r="D46" s="81"/>
      <c r="E46" s="86">
        <v>0</v>
      </c>
      <c r="F46" s="86">
        <v>12</v>
      </c>
      <c r="G46" s="86">
        <v>0</v>
      </c>
      <c r="H46" s="86">
        <v>8</v>
      </c>
      <c r="I46" s="82">
        <f t="shared" si="2"/>
        <v>20</v>
      </c>
      <c r="J46" s="81">
        <v>0</v>
      </c>
      <c r="K46" s="81">
        <v>2</v>
      </c>
      <c r="L46" s="81">
        <v>0</v>
      </c>
      <c r="M46" s="81">
        <v>0</v>
      </c>
      <c r="N46" s="82">
        <f t="shared" si="3"/>
        <v>2</v>
      </c>
      <c r="O46" s="82">
        <f t="shared" si="34"/>
        <v>0</v>
      </c>
      <c r="P46" s="82">
        <f t="shared" si="34"/>
        <v>14</v>
      </c>
      <c r="Q46" s="82">
        <f t="shared" si="34"/>
        <v>0</v>
      </c>
      <c r="R46" s="82">
        <f t="shared" si="34"/>
        <v>8</v>
      </c>
      <c r="S46" s="93">
        <f t="shared" si="5"/>
        <v>22</v>
      </c>
      <c r="T46" s="81">
        <v>1</v>
      </c>
      <c r="U46" s="81">
        <v>10</v>
      </c>
      <c r="V46" s="81">
        <v>0</v>
      </c>
      <c r="W46" s="81">
        <v>7</v>
      </c>
      <c r="X46" s="93">
        <f t="shared" si="6"/>
        <v>18</v>
      </c>
      <c r="Y46" s="81">
        <v>1</v>
      </c>
      <c r="Z46" s="81">
        <v>10</v>
      </c>
      <c r="AA46" s="81">
        <v>0</v>
      </c>
      <c r="AB46" s="81">
        <v>7</v>
      </c>
      <c r="AC46" s="82">
        <f t="shared" si="7"/>
        <v>18</v>
      </c>
      <c r="AD46" s="82">
        <f t="shared" si="37"/>
        <v>1404960</v>
      </c>
      <c r="AE46" s="82">
        <f t="shared" si="8"/>
        <v>77760</v>
      </c>
      <c r="AF46" s="82">
        <f t="shared" si="9"/>
        <v>108000</v>
      </c>
      <c r="AG46" s="82">
        <f t="shared" si="10"/>
        <v>43200</v>
      </c>
      <c r="AH46" s="82">
        <f t="shared" si="38"/>
        <v>175200</v>
      </c>
      <c r="AI46" s="82">
        <f t="shared" si="12"/>
        <v>14400</v>
      </c>
      <c r="AJ46" s="82">
        <f t="shared" si="13"/>
        <v>0</v>
      </c>
      <c r="AK46" s="82">
        <f t="shared" si="14"/>
        <v>17280</v>
      </c>
      <c r="AL46" s="82">
        <f t="shared" si="15"/>
        <v>546364.02</v>
      </c>
      <c r="AM46" s="82">
        <f t="shared" si="16"/>
        <v>2387164</v>
      </c>
      <c r="AN46" s="119">
        <v>17212.5</v>
      </c>
      <c r="AO46" s="120">
        <f t="shared" si="36"/>
        <v>2404376.5</v>
      </c>
    </row>
    <row r="47" spans="1:41" s="83" customFormat="1" ht="18" customHeight="1">
      <c r="A47" s="79" t="s">
        <v>6</v>
      </c>
      <c r="B47" s="80" t="s">
        <v>678</v>
      </c>
      <c r="C47" s="80" t="s">
        <v>464</v>
      </c>
      <c r="D47" s="81"/>
      <c r="E47" s="86">
        <v>25.184873949579998</v>
      </c>
      <c r="F47" s="86">
        <v>11</v>
      </c>
      <c r="G47" s="86">
        <v>0</v>
      </c>
      <c r="H47" s="86">
        <v>6</v>
      </c>
      <c r="I47" s="82">
        <f t="shared" si="2"/>
        <v>42.184873949579995</v>
      </c>
      <c r="J47" s="81">
        <v>3</v>
      </c>
      <c r="K47" s="81">
        <v>0</v>
      </c>
      <c r="L47" s="81">
        <v>0</v>
      </c>
      <c r="M47" s="81">
        <v>0</v>
      </c>
      <c r="N47" s="82">
        <f t="shared" si="3"/>
        <v>3</v>
      </c>
      <c r="O47" s="82">
        <f>E47+J47</f>
        <v>28.184873949579998</v>
      </c>
      <c r="P47" s="82">
        <f>F47+K47</f>
        <v>11</v>
      </c>
      <c r="Q47" s="82">
        <f>G47+L47</f>
        <v>0</v>
      </c>
      <c r="R47" s="82">
        <f>H47+M47</f>
        <v>6</v>
      </c>
      <c r="S47" s="93">
        <f t="shared" si="5"/>
        <v>45.184873949579995</v>
      </c>
      <c r="T47" s="81">
        <v>7</v>
      </c>
      <c r="U47" s="81">
        <v>6</v>
      </c>
      <c r="V47" s="81">
        <v>0</v>
      </c>
      <c r="W47" s="81">
        <v>7</v>
      </c>
      <c r="X47" s="93">
        <f t="shared" si="6"/>
        <v>20</v>
      </c>
      <c r="Y47" s="81">
        <v>7</v>
      </c>
      <c r="Z47" s="81">
        <v>6</v>
      </c>
      <c r="AA47" s="81">
        <v>0</v>
      </c>
      <c r="AB47" s="81">
        <v>7</v>
      </c>
      <c r="AC47" s="82">
        <f t="shared" si="7"/>
        <v>20</v>
      </c>
      <c r="AD47" s="82">
        <f t="shared" si="37"/>
        <v>1723200</v>
      </c>
      <c r="AE47" s="82">
        <f t="shared" si="8"/>
        <v>86400</v>
      </c>
      <c r="AF47" s="82">
        <f t="shared" si="9"/>
        <v>120000</v>
      </c>
      <c r="AG47" s="82">
        <f t="shared" si="10"/>
        <v>48000</v>
      </c>
      <c r="AH47" s="82">
        <f t="shared" si="38"/>
        <v>230000</v>
      </c>
      <c r="AI47" s="82">
        <f>AC47*800</f>
        <v>16000</v>
      </c>
      <c r="AJ47" s="82">
        <f>D47*50*200</f>
        <v>0</v>
      </c>
      <c r="AK47" s="82">
        <f>AC47*960</f>
        <v>19200</v>
      </c>
      <c r="AL47" s="82">
        <f t="shared" si="15"/>
        <v>607071.13</v>
      </c>
      <c r="AM47" s="82">
        <f t="shared" si="16"/>
        <v>2849871</v>
      </c>
      <c r="AN47" s="120">
        <v>63316</v>
      </c>
      <c r="AO47" s="120">
        <f t="shared" si="36"/>
        <v>2913187</v>
      </c>
    </row>
    <row r="48" spans="1:41" ht="18" customHeight="1">
      <c r="A48" s="79" t="s">
        <v>6</v>
      </c>
      <c r="B48" s="80" t="s">
        <v>679</v>
      </c>
      <c r="C48" s="80" t="s">
        <v>649</v>
      </c>
      <c r="D48" s="81">
        <v>2</v>
      </c>
      <c r="E48" s="86">
        <v>3</v>
      </c>
      <c r="F48" s="86">
        <v>3</v>
      </c>
      <c r="G48" s="86">
        <v>22.8</v>
      </c>
      <c r="H48" s="86">
        <v>3</v>
      </c>
      <c r="I48" s="82">
        <f t="shared" si="2"/>
        <v>31.8</v>
      </c>
      <c r="J48" s="81">
        <v>0</v>
      </c>
      <c r="K48" s="81">
        <v>0</v>
      </c>
      <c r="L48" s="81">
        <v>0</v>
      </c>
      <c r="M48" s="81">
        <v>0</v>
      </c>
      <c r="N48" s="82">
        <f t="shared" si="3"/>
        <v>0</v>
      </c>
      <c r="O48" s="82">
        <f t="shared" si="34"/>
        <v>3</v>
      </c>
      <c r="P48" s="82">
        <f t="shared" si="34"/>
        <v>3</v>
      </c>
      <c r="Q48" s="82">
        <f t="shared" si="34"/>
        <v>22.8</v>
      </c>
      <c r="R48" s="82">
        <f t="shared" si="34"/>
        <v>3</v>
      </c>
      <c r="S48" s="93">
        <f t="shared" si="5"/>
        <v>31.8</v>
      </c>
      <c r="T48" s="81">
        <v>3</v>
      </c>
      <c r="U48" s="81">
        <v>3</v>
      </c>
      <c r="V48" s="81">
        <v>22</v>
      </c>
      <c r="W48" s="81">
        <v>2</v>
      </c>
      <c r="X48" s="93">
        <f t="shared" si="6"/>
        <v>30</v>
      </c>
      <c r="Y48" s="82">
        <v>3</v>
      </c>
      <c r="Z48" s="82">
        <v>3</v>
      </c>
      <c r="AA48" s="82">
        <v>22</v>
      </c>
      <c r="AB48" s="82">
        <v>2</v>
      </c>
      <c r="AC48" s="82">
        <f t="shared" si="7"/>
        <v>30</v>
      </c>
      <c r="AD48" s="82">
        <f>(Y48*7050+Z48*6485+AA48*5800+AB48*4900)*12</f>
        <v>2136060</v>
      </c>
      <c r="AE48" s="82">
        <f t="shared" si="8"/>
        <v>129600</v>
      </c>
      <c r="AF48" s="82">
        <f t="shared" si="9"/>
        <v>180000</v>
      </c>
      <c r="AG48" s="82">
        <f t="shared" si="10"/>
        <v>72000</v>
      </c>
      <c r="AH48" s="82">
        <f t="shared" si="11"/>
        <v>282000</v>
      </c>
      <c r="AI48" s="82">
        <f t="shared" si="12"/>
        <v>24000</v>
      </c>
      <c r="AJ48" s="82">
        <f t="shared" si="13"/>
        <v>20000</v>
      </c>
      <c r="AK48" s="82">
        <f t="shared" si="14"/>
        <v>28800</v>
      </c>
      <c r="AL48" s="82">
        <f t="shared" si="15"/>
        <v>910606.69</v>
      </c>
      <c r="AM48" s="82">
        <f t="shared" si="16"/>
        <v>3783067</v>
      </c>
      <c r="AN48" s="119"/>
      <c r="AO48" s="82">
        <f t="shared" si="36"/>
        <v>3783067</v>
      </c>
    </row>
    <row r="49" spans="1:41" s="83" customFormat="1" ht="18" customHeight="1">
      <c r="A49" s="79" t="s">
        <v>6</v>
      </c>
      <c r="B49" s="80" t="s">
        <v>680</v>
      </c>
      <c r="C49" s="80" t="s">
        <v>649</v>
      </c>
      <c r="D49" s="81">
        <v>1</v>
      </c>
      <c r="E49" s="86">
        <v>2</v>
      </c>
      <c r="F49" s="86">
        <v>1</v>
      </c>
      <c r="G49" s="86">
        <v>12</v>
      </c>
      <c r="H49" s="86">
        <v>1</v>
      </c>
      <c r="I49" s="82">
        <f t="shared" si="2"/>
        <v>16</v>
      </c>
      <c r="J49" s="81">
        <v>0</v>
      </c>
      <c r="K49" s="81">
        <v>0</v>
      </c>
      <c r="L49" s="81">
        <v>2</v>
      </c>
      <c r="M49" s="81">
        <v>1</v>
      </c>
      <c r="N49" s="82">
        <f t="shared" si="3"/>
        <v>3</v>
      </c>
      <c r="O49" s="82">
        <f t="shared" si="34"/>
        <v>2</v>
      </c>
      <c r="P49" s="82">
        <f t="shared" si="34"/>
        <v>1</v>
      </c>
      <c r="Q49" s="82">
        <f t="shared" si="34"/>
        <v>14</v>
      </c>
      <c r="R49" s="82">
        <f t="shared" si="34"/>
        <v>2</v>
      </c>
      <c r="S49" s="93">
        <f t="shared" si="5"/>
        <v>19</v>
      </c>
      <c r="T49" s="81">
        <v>3</v>
      </c>
      <c r="U49" s="81">
        <v>2</v>
      </c>
      <c r="V49" s="81">
        <v>12</v>
      </c>
      <c r="W49" s="81">
        <v>1</v>
      </c>
      <c r="X49" s="93">
        <f t="shared" si="6"/>
        <v>18</v>
      </c>
      <c r="Y49" s="82">
        <v>3</v>
      </c>
      <c r="Z49" s="82">
        <v>2</v>
      </c>
      <c r="AA49" s="82">
        <v>12</v>
      </c>
      <c r="AB49" s="82">
        <v>1</v>
      </c>
      <c r="AC49" s="82">
        <f t="shared" si="7"/>
        <v>18</v>
      </c>
      <c r="AD49" s="82">
        <f>(Y49*7050+Z49*6485+AA49*5800+AB49*4900)*12</f>
        <v>1303440</v>
      </c>
      <c r="AE49" s="82">
        <f t="shared" si="8"/>
        <v>77760</v>
      </c>
      <c r="AF49" s="82">
        <f t="shared" si="9"/>
        <v>108000</v>
      </c>
      <c r="AG49" s="82">
        <f t="shared" si="10"/>
        <v>43200</v>
      </c>
      <c r="AH49" s="82">
        <f t="shared" si="11"/>
        <v>169200</v>
      </c>
      <c r="AI49" s="82">
        <f t="shared" si="12"/>
        <v>14400</v>
      </c>
      <c r="AJ49" s="82">
        <f t="shared" si="13"/>
        <v>10000</v>
      </c>
      <c r="AK49" s="82">
        <f t="shared" si="14"/>
        <v>17280</v>
      </c>
      <c r="AL49" s="82">
        <f t="shared" si="15"/>
        <v>546364.02</v>
      </c>
      <c r="AM49" s="82">
        <f t="shared" si="16"/>
        <v>2289644</v>
      </c>
      <c r="AN49" s="120"/>
      <c r="AO49" s="82">
        <f t="shared" si="36"/>
        <v>2289644</v>
      </c>
    </row>
    <row r="50" spans="1:41" s="83" customFormat="1" ht="18" customHeight="1">
      <c r="A50" s="79" t="s">
        <v>6</v>
      </c>
      <c r="B50" s="80" t="s">
        <v>975</v>
      </c>
      <c r="C50" s="80" t="s">
        <v>649</v>
      </c>
      <c r="D50" s="81">
        <v>1</v>
      </c>
      <c r="E50" s="86">
        <v>2.8205128205127998</v>
      </c>
      <c r="F50" s="86">
        <v>2</v>
      </c>
      <c r="G50" s="86">
        <v>16.875</v>
      </c>
      <c r="H50" s="86">
        <v>1</v>
      </c>
      <c r="I50" s="82">
        <f t="shared" si="2"/>
        <v>22.6955128205128</v>
      </c>
      <c r="J50" s="81">
        <v>0</v>
      </c>
      <c r="K50" s="81">
        <v>0</v>
      </c>
      <c r="L50" s="81">
        <v>0</v>
      </c>
      <c r="M50" s="81">
        <v>0</v>
      </c>
      <c r="N50" s="82">
        <f t="shared" si="3"/>
        <v>0</v>
      </c>
      <c r="O50" s="82">
        <f t="shared" si="34"/>
        <v>2.8205128205127998</v>
      </c>
      <c r="P50" s="82">
        <f>F50+K50</f>
        <v>2</v>
      </c>
      <c r="Q50" s="82">
        <f>G50+L50</f>
        <v>16.875</v>
      </c>
      <c r="R50" s="82">
        <f>H50+M50</f>
        <v>1</v>
      </c>
      <c r="S50" s="93">
        <f t="shared" si="5"/>
        <v>22.6955128205128</v>
      </c>
      <c r="T50" s="81">
        <v>0</v>
      </c>
      <c r="U50" s="81">
        <v>2</v>
      </c>
      <c r="V50" s="81">
        <v>7</v>
      </c>
      <c r="W50" s="81">
        <v>1</v>
      </c>
      <c r="X50" s="93">
        <f t="shared" si="6"/>
        <v>10</v>
      </c>
      <c r="Y50" s="82">
        <v>0</v>
      </c>
      <c r="Z50" s="82">
        <v>2</v>
      </c>
      <c r="AA50" s="82">
        <v>7</v>
      </c>
      <c r="AB50" s="82">
        <v>1</v>
      </c>
      <c r="AC50" s="82">
        <f t="shared" si="7"/>
        <v>10</v>
      </c>
      <c r="AD50" s="82">
        <f>(Y50*7050+Z50*6485+AA50*5800+AB50*4900)*12</f>
        <v>701640</v>
      </c>
      <c r="AE50" s="82">
        <f t="shared" si="8"/>
        <v>43200</v>
      </c>
      <c r="AF50" s="82">
        <f t="shared" si="9"/>
        <v>60000</v>
      </c>
      <c r="AG50" s="82">
        <f t="shared" si="10"/>
        <v>24000</v>
      </c>
      <c r="AH50" s="82">
        <f t="shared" si="11"/>
        <v>94000</v>
      </c>
      <c r="AI50" s="82">
        <f t="shared" si="12"/>
        <v>8000</v>
      </c>
      <c r="AJ50" s="82">
        <f t="shared" si="13"/>
        <v>10000</v>
      </c>
      <c r="AK50" s="82">
        <f t="shared" si="14"/>
        <v>9600</v>
      </c>
      <c r="AL50" s="82">
        <f t="shared" si="15"/>
        <v>303535.56</v>
      </c>
      <c r="AM50" s="82">
        <f t="shared" si="16"/>
        <v>1253976</v>
      </c>
      <c r="AN50" s="120"/>
      <c r="AO50" s="82">
        <f t="shared" si="36"/>
        <v>1253976</v>
      </c>
    </row>
    <row r="51" spans="1:41" s="85" customFormat="1" ht="18" customHeight="1">
      <c r="A51" s="164"/>
      <c r="B51" s="164" t="s">
        <v>681</v>
      </c>
      <c r="C51" s="164"/>
      <c r="D51" s="84">
        <f>SUM(D36:D50)</f>
        <v>17</v>
      </c>
      <c r="E51" s="84">
        <f t="shared" ref="E51:AO51" si="39">SUM(E36:E50)</f>
        <v>71.3525350016224</v>
      </c>
      <c r="F51" s="84">
        <f t="shared" si="39"/>
        <v>94.5</v>
      </c>
      <c r="G51" s="84">
        <f t="shared" si="39"/>
        <v>193.76249999999999</v>
      </c>
      <c r="H51" s="84">
        <f t="shared" si="39"/>
        <v>63.5</v>
      </c>
      <c r="I51" s="84">
        <f t="shared" si="39"/>
        <v>423.11503500162246</v>
      </c>
      <c r="J51" s="84">
        <f t="shared" si="39"/>
        <v>25</v>
      </c>
      <c r="K51" s="84">
        <f t="shared" si="39"/>
        <v>8</v>
      </c>
      <c r="L51" s="84">
        <f t="shared" si="39"/>
        <v>11</v>
      </c>
      <c r="M51" s="84">
        <f t="shared" si="39"/>
        <v>1</v>
      </c>
      <c r="N51" s="84">
        <f t="shared" si="39"/>
        <v>45</v>
      </c>
      <c r="O51" s="84">
        <f t="shared" si="39"/>
        <v>96.3525350016224</v>
      </c>
      <c r="P51" s="84">
        <f t="shared" si="39"/>
        <v>102.5</v>
      </c>
      <c r="Q51" s="84">
        <f t="shared" si="39"/>
        <v>204.76249999999999</v>
      </c>
      <c r="R51" s="84">
        <f t="shared" si="39"/>
        <v>64.5</v>
      </c>
      <c r="S51" s="84">
        <f t="shared" si="39"/>
        <v>468.11503500162246</v>
      </c>
      <c r="T51" s="84">
        <f t="shared" si="39"/>
        <v>45</v>
      </c>
      <c r="U51" s="84">
        <f t="shared" si="39"/>
        <v>59</v>
      </c>
      <c r="V51" s="84">
        <f t="shared" si="39"/>
        <v>187</v>
      </c>
      <c r="W51" s="84">
        <f t="shared" si="39"/>
        <v>60</v>
      </c>
      <c r="X51" s="84">
        <f t="shared" si="39"/>
        <v>351</v>
      </c>
      <c r="Y51" s="84">
        <f t="shared" si="39"/>
        <v>45</v>
      </c>
      <c r="Z51" s="84">
        <f t="shared" si="39"/>
        <v>59</v>
      </c>
      <c r="AA51" s="84">
        <f t="shared" si="39"/>
        <v>186.92500000000001</v>
      </c>
      <c r="AB51" s="84">
        <f t="shared" si="39"/>
        <v>60</v>
      </c>
      <c r="AC51" s="84">
        <f t="shared" si="39"/>
        <v>350.92500000000001</v>
      </c>
      <c r="AD51" s="84">
        <f t="shared" si="39"/>
        <v>25634040</v>
      </c>
      <c r="AE51" s="84">
        <f t="shared" si="39"/>
        <v>1515996</v>
      </c>
      <c r="AF51" s="84">
        <f t="shared" si="39"/>
        <v>2105550</v>
      </c>
      <c r="AG51" s="84">
        <f t="shared" si="39"/>
        <v>842220</v>
      </c>
      <c r="AH51" s="84">
        <f t="shared" si="39"/>
        <v>3388695</v>
      </c>
      <c r="AI51" s="84">
        <f t="shared" si="39"/>
        <v>280740</v>
      </c>
      <c r="AJ51" s="84">
        <f t="shared" si="39"/>
        <v>170000</v>
      </c>
      <c r="AK51" s="84">
        <f t="shared" si="39"/>
        <v>336888</v>
      </c>
      <c r="AL51" s="84">
        <f t="shared" si="39"/>
        <v>10651821.810000001</v>
      </c>
      <c r="AM51" s="84">
        <f t="shared" si="39"/>
        <v>44925952</v>
      </c>
      <c r="AN51" s="84">
        <f t="shared" si="39"/>
        <v>255256.75</v>
      </c>
      <c r="AO51" s="84">
        <f t="shared" si="39"/>
        <v>45181208.75</v>
      </c>
    </row>
    <row r="52" spans="1:41" ht="18" customHeight="1">
      <c r="A52" s="79" t="s">
        <v>5</v>
      </c>
      <c r="B52" s="80" t="s">
        <v>682</v>
      </c>
      <c r="C52" s="80" t="s">
        <v>649</v>
      </c>
      <c r="D52" s="81">
        <v>2</v>
      </c>
      <c r="E52" s="86">
        <v>5.5641025641026003</v>
      </c>
      <c r="F52" s="86">
        <v>4</v>
      </c>
      <c r="G52" s="86">
        <v>36.15</v>
      </c>
      <c r="H52" s="86">
        <v>2</v>
      </c>
      <c r="I52" s="82">
        <f t="shared" si="2"/>
        <v>47.714102564102603</v>
      </c>
      <c r="J52" s="81">
        <v>3</v>
      </c>
      <c r="K52" s="81">
        <v>0</v>
      </c>
      <c r="L52" s="81">
        <v>5</v>
      </c>
      <c r="M52" s="81">
        <v>0</v>
      </c>
      <c r="N52" s="82">
        <f t="shared" si="3"/>
        <v>8</v>
      </c>
      <c r="O52" s="82">
        <f t="shared" ref="O52:R69" si="40">E52+J52</f>
        <v>8.5641025641026012</v>
      </c>
      <c r="P52" s="82">
        <f t="shared" si="40"/>
        <v>4</v>
      </c>
      <c r="Q52" s="82">
        <f t="shared" si="40"/>
        <v>41.15</v>
      </c>
      <c r="R52" s="82">
        <f t="shared" si="40"/>
        <v>2</v>
      </c>
      <c r="S52" s="93">
        <f t="shared" si="5"/>
        <v>55.714102564102603</v>
      </c>
      <c r="T52" s="81">
        <v>0</v>
      </c>
      <c r="U52" s="81">
        <v>4</v>
      </c>
      <c r="V52" s="81">
        <v>41</v>
      </c>
      <c r="W52" s="81">
        <v>2</v>
      </c>
      <c r="X52" s="93">
        <f t="shared" si="6"/>
        <v>47</v>
      </c>
      <c r="Y52" s="81">
        <v>0</v>
      </c>
      <c r="Z52" s="81">
        <v>4</v>
      </c>
      <c r="AA52" s="81">
        <v>41</v>
      </c>
      <c r="AB52" s="81">
        <v>2</v>
      </c>
      <c r="AC52" s="82">
        <f t="shared" si="7"/>
        <v>47</v>
      </c>
      <c r="AD52" s="82">
        <f t="shared" ref="AD52:AD59" si="41">(Y52*7050+Z52*6485+AA52*5800+AB52*4900)*12</f>
        <v>3282480</v>
      </c>
      <c r="AE52" s="82">
        <f t="shared" si="8"/>
        <v>203040</v>
      </c>
      <c r="AF52" s="82">
        <f t="shared" si="9"/>
        <v>282000</v>
      </c>
      <c r="AG52" s="82">
        <f t="shared" si="10"/>
        <v>112800</v>
      </c>
      <c r="AH52" s="82">
        <f t="shared" si="11"/>
        <v>441800</v>
      </c>
      <c r="AI52" s="82">
        <f t="shared" si="12"/>
        <v>37600</v>
      </c>
      <c r="AJ52" s="82">
        <f t="shared" si="13"/>
        <v>20000</v>
      </c>
      <c r="AK52" s="82">
        <f t="shared" si="14"/>
        <v>45120</v>
      </c>
      <c r="AL52" s="82">
        <f t="shared" si="15"/>
        <v>1426617.15</v>
      </c>
      <c r="AM52" s="82">
        <f t="shared" si="16"/>
        <v>5851457</v>
      </c>
      <c r="AN52" s="119"/>
      <c r="AO52" s="121">
        <f>AM52+AN52</f>
        <v>5851457</v>
      </c>
    </row>
    <row r="53" spans="1:41" ht="18" customHeight="1">
      <c r="A53" s="79" t="s">
        <v>5</v>
      </c>
      <c r="B53" s="80" t="s">
        <v>683</v>
      </c>
      <c r="C53" s="80" t="s">
        <v>649</v>
      </c>
      <c r="D53" s="81">
        <v>2</v>
      </c>
      <c r="E53" s="86">
        <v>18.316239316239301</v>
      </c>
      <c r="F53" s="86">
        <v>2</v>
      </c>
      <c r="G53" s="86">
        <v>34.674999999999997</v>
      </c>
      <c r="H53" s="86">
        <v>3</v>
      </c>
      <c r="I53" s="82">
        <f t="shared" si="2"/>
        <v>57.991239316239302</v>
      </c>
      <c r="J53" s="81">
        <v>0</v>
      </c>
      <c r="K53" s="81">
        <v>0</v>
      </c>
      <c r="L53" s="81">
        <v>0</v>
      </c>
      <c r="M53" s="81">
        <v>0</v>
      </c>
      <c r="N53" s="82">
        <f t="shared" si="3"/>
        <v>0</v>
      </c>
      <c r="O53" s="82">
        <f t="shared" si="40"/>
        <v>18.316239316239301</v>
      </c>
      <c r="P53" s="82">
        <f t="shared" si="40"/>
        <v>2</v>
      </c>
      <c r="Q53" s="82">
        <f t="shared" si="40"/>
        <v>34.674999999999997</v>
      </c>
      <c r="R53" s="82">
        <f t="shared" si="40"/>
        <v>3</v>
      </c>
      <c r="S53" s="93">
        <f t="shared" si="5"/>
        <v>57.991239316239302</v>
      </c>
      <c r="T53" s="81">
        <v>0</v>
      </c>
      <c r="U53" s="81">
        <v>2</v>
      </c>
      <c r="V53" s="81">
        <v>32</v>
      </c>
      <c r="W53" s="81">
        <v>4</v>
      </c>
      <c r="X53" s="93">
        <f t="shared" si="6"/>
        <v>38</v>
      </c>
      <c r="Y53" s="81">
        <v>0</v>
      </c>
      <c r="Z53" s="81">
        <v>2</v>
      </c>
      <c r="AA53" s="81">
        <v>32</v>
      </c>
      <c r="AB53" s="81">
        <v>4</v>
      </c>
      <c r="AC53" s="82">
        <f t="shared" si="7"/>
        <v>38</v>
      </c>
      <c r="AD53" s="82">
        <f t="shared" si="41"/>
        <v>2618040</v>
      </c>
      <c r="AE53" s="82">
        <f t="shared" si="8"/>
        <v>164160</v>
      </c>
      <c r="AF53" s="82">
        <f t="shared" si="9"/>
        <v>228000</v>
      </c>
      <c r="AG53" s="82">
        <f t="shared" si="10"/>
        <v>91200</v>
      </c>
      <c r="AH53" s="82">
        <f t="shared" si="11"/>
        <v>357200</v>
      </c>
      <c r="AI53" s="82">
        <f t="shared" si="12"/>
        <v>30400</v>
      </c>
      <c r="AJ53" s="82">
        <f t="shared" si="13"/>
        <v>20000</v>
      </c>
      <c r="AK53" s="82">
        <f t="shared" si="14"/>
        <v>36480</v>
      </c>
      <c r="AL53" s="82">
        <f t="shared" si="15"/>
        <v>1153435.1499999999</v>
      </c>
      <c r="AM53" s="82">
        <f t="shared" si="16"/>
        <v>4698915</v>
      </c>
      <c r="AN53" s="119"/>
      <c r="AO53" s="121">
        <f t="shared" ref="AO53:AO69" si="42">AM53+AN53</f>
        <v>4698915</v>
      </c>
    </row>
    <row r="54" spans="1:41" ht="18" customHeight="1">
      <c r="A54" s="79" t="s">
        <v>5</v>
      </c>
      <c r="B54" s="80" t="s">
        <v>684</v>
      </c>
      <c r="C54" s="80" t="s">
        <v>649</v>
      </c>
      <c r="D54" s="81">
        <v>2</v>
      </c>
      <c r="E54" s="86">
        <v>15.6410256410256</v>
      </c>
      <c r="F54" s="86">
        <v>6</v>
      </c>
      <c r="G54" s="86">
        <v>44.0625</v>
      </c>
      <c r="H54" s="86">
        <v>4</v>
      </c>
      <c r="I54" s="82">
        <f t="shared" si="2"/>
        <v>69.703525641025607</v>
      </c>
      <c r="J54" s="81">
        <v>0</v>
      </c>
      <c r="K54" s="81">
        <v>0</v>
      </c>
      <c r="L54" s="81">
        <v>0</v>
      </c>
      <c r="M54" s="81">
        <v>0</v>
      </c>
      <c r="N54" s="82">
        <f t="shared" si="3"/>
        <v>0</v>
      </c>
      <c r="O54" s="82">
        <f t="shared" si="40"/>
        <v>15.6410256410256</v>
      </c>
      <c r="P54" s="82">
        <f t="shared" si="40"/>
        <v>6</v>
      </c>
      <c r="Q54" s="82">
        <f t="shared" si="40"/>
        <v>44.0625</v>
      </c>
      <c r="R54" s="82">
        <f t="shared" si="40"/>
        <v>4</v>
      </c>
      <c r="S54" s="93">
        <f t="shared" si="5"/>
        <v>69.703525641025607</v>
      </c>
      <c r="T54" s="81">
        <v>9</v>
      </c>
      <c r="U54" s="81">
        <v>7</v>
      </c>
      <c r="V54" s="81">
        <v>43</v>
      </c>
      <c r="W54" s="81">
        <v>3</v>
      </c>
      <c r="X54" s="93">
        <f t="shared" si="6"/>
        <v>62</v>
      </c>
      <c r="Y54" s="81">
        <v>9</v>
      </c>
      <c r="Z54" s="81">
        <v>7</v>
      </c>
      <c r="AA54" s="81">
        <v>43</v>
      </c>
      <c r="AB54" s="81">
        <v>3</v>
      </c>
      <c r="AC54" s="82">
        <f t="shared" si="7"/>
        <v>62</v>
      </c>
      <c r="AD54" s="82">
        <f t="shared" si="41"/>
        <v>4475340</v>
      </c>
      <c r="AE54" s="82">
        <f t="shared" si="8"/>
        <v>267840</v>
      </c>
      <c r="AF54" s="82">
        <f t="shared" si="9"/>
        <v>372000</v>
      </c>
      <c r="AG54" s="82">
        <f t="shared" si="10"/>
        <v>148800</v>
      </c>
      <c r="AH54" s="82">
        <f t="shared" si="11"/>
        <v>582800</v>
      </c>
      <c r="AI54" s="82">
        <f t="shared" si="12"/>
        <v>49600</v>
      </c>
      <c r="AJ54" s="82">
        <f t="shared" si="13"/>
        <v>20000</v>
      </c>
      <c r="AK54" s="82">
        <f t="shared" si="14"/>
        <v>59520</v>
      </c>
      <c r="AL54" s="82">
        <f t="shared" si="15"/>
        <v>1881920.5</v>
      </c>
      <c r="AM54" s="82">
        <f t="shared" si="16"/>
        <v>7857821</v>
      </c>
      <c r="AN54" s="119"/>
      <c r="AO54" s="121">
        <f t="shared" si="42"/>
        <v>7857821</v>
      </c>
    </row>
    <row r="55" spans="1:41" ht="18" customHeight="1">
      <c r="A55" s="79" t="s">
        <v>5</v>
      </c>
      <c r="B55" s="80" t="s">
        <v>685</v>
      </c>
      <c r="C55" s="80" t="s">
        <v>649</v>
      </c>
      <c r="D55" s="81">
        <v>2</v>
      </c>
      <c r="E55" s="86">
        <v>2.8290598290597999</v>
      </c>
      <c r="F55" s="86">
        <v>2</v>
      </c>
      <c r="G55" s="86">
        <v>33.75</v>
      </c>
      <c r="H55" s="86">
        <v>2</v>
      </c>
      <c r="I55" s="82">
        <f t="shared" si="2"/>
        <v>40.579059829059801</v>
      </c>
      <c r="J55" s="81">
        <v>2</v>
      </c>
      <c r="K55" s="81">
        <v>1</v>
      </c>
      <c r="L55" s="81">
        <v>2</v>
      </c>
      <c r="M55" s="81">
        <v>0</v>
      </c>
      <c r="N55" s="82">
        <f t="shared" si="3"/>
        <v>5</v>
      </c>
      <c r="O55" s="82">
        <f t="shared" si="40"/>
        <v>4.8290598290597995</v>
      </c>
      <c r="P55" s="82">
        <f t="shared" si="40"/>
        <v>3</v>
      </c>
      <c r="Q55" s="82">
        <f t="shared" si="40"/>
        <v>35.75</v>
      </c>
      <c r="R55" s="82">
        <f t="shared" si="40"/>
        <v>2</v>
      </c>
      <c r="S55" s="93">
        <f t="shared" si="5"/>
        <v>45.579059829059801</v>
      </c>
      <c r="T55" s="81">
        <v>4</v>
      </c>
      <c r="U55" s="81">
        <v>2</v>
      </c>
      <c r="V55" s="81">
        <v>33</v>
      </c>
      <c r="W55" s="81">
        <v>2</v>
      </c>
      <c r="X55" s="93">
        <f t="shared" si="6"/>
        <v>41</v>
      </c>
      <c r="Y55" s="81">
        <v>4</v>
      </c>
      <c r="Z55" s="81">
        <v>2</v>
      </c>
      <c r="AA55" s="81">
        <v>33</v>
      </c>
      <c r="AB55" s="81">
        <v>2</v>
      </c>
      <c r="AC55" s="82">
        <f t="shared" si="7"/>
        <v>41</v>
      </c>
      <c r="AD55" s="82">
        <f t="shared" si="41"/>
        <v>2908440</v>
      </c>
      <c r="AE55" s="82">
        <f t="shared" si="8"/>
        <v>177120</v>
      </c>
      <c r="AF55" s="82">
        <f t="shared" si="9"/>
        <v>246000</v>
      </c>
      <c r="AG55" s="82">
        <f t="shared" si="10"/>
        <v>98400</v>
      </c>
      <c r="AH55" s="82">
        <f t="shared" si="11"/>
        <v>385400</v>
      </c>
      <c r="AI55" s="82">
        <f t="shared" si="12"/>
        <v>32800</v>
      </c>
      <c r="AJ55" s="82">
        <f t="shared" si="13"/>
        <v>20000</v>
      </c>
      <c r="AK55" s="82">
        <f t="shared" si="14"/>
        <v>39360</v>
      </c>
      <c r="AL55" s="82">
        <f t="shared" si="15"/>
        <v>1244495.82</v>
      </c>
      <c r="AM55" s="82">
        <f t="shared" si="16"/>
        <v>5152016</v>
      </c>
      <c r="AN55" s="119"/>
      <c r="AO55" s="121">
        <f t="shared" si="42"/>
        <v>5152016</v>
      </c>
    </row>
    <row r="56" spans="1:41" ht="18" customHeight="1">
      <c r="A56" s="79" t="s">
        <v>5</v>
      </c>
      <c r="B56" s="80" t="s">
        <v>686</v>
      </c>
      <c r="C56" s="80" t="s">
        <v>959</v>
      </c>
      <c r="D56" s="81"/>
      <c r="E56" s="86">
        <v>6.68965517241379</v>
      </c>
      <c r="F56" s="86">
        <v>10</v>
      </c>
      <c r="G56" s="86">
        <v>0</v>
      </c>
      <c r="H56" s="86">
        <v>6</v>
      </c>
      <c r="I56" s="82">
        <f t="shared" si="2"/>
        <v>22.68965517241379</v>
      </c>
      <c r="J56" s="81">
        <v>0</v>
      </c>
      <c r="K56" s="81">
        <v>0</v>
      </c>
      <c r="L56" s="81">
        <v>0</v>
      </c>
      <c r="M56" s="81">
        <v>0</v>
      </c>
      <c r="N56" s="82">
        <f t="shared" si="3"/>
        <v>0</v>
      </c>
      <c r="O56" s="82">
        <f t="shared" si="40"/>
        <v>6.68965517241379</v>
      </c>
      <c r="P56" s="82">
        <f t="shared" si="40"/>
        <v>10</v>
      </c>
      <c r="Q56" s="82">
        <f t="shared" si="40"/>
        <v>0</v>
      </c>
      <c r="R56" s="82">
        <f t="shared" si="40"/>
        <v>6</v>
      </c>
      <c r="S56" s="93">
        <f t="shared" si="5"/>
        <v>22.68965517241379</v>
      </c>
      <c r="T56" s="81">
        <v>0</v>
      </c>
      <c r="U56" s="81">
        <v>2</v>
      </c>
      <c r="V56" s="81">
        <v>0</v>
      </c>
      <c r="W56" s="81">
        <v>8</v>
      </c>
      <c r="X56" s="93">
        <f t="shared" si="6"/>
        <v>10</v>
      </c>
      <c r="Y56" s="81">
        <v>0</v>
      </c>
      <c r="Z56" s="81">
        <v>2</v>
      </c>
      <c r="AA56" s="81">
        <v>0</v>
      </c>
      <c r="AB56" s="81">
        <v>8</v>
      </c>
      <c r="AC56" s="82">
        <f t="shared" si="7"/>
        <v>10</v>
      </c>
      <c r="AD56" s="82">
        <f t="shared" si="41"/>
        <v>626040</v>
      </c>
      <c r="AE56" s="82">
        <f t="shared" si="8"/>
        <v>43200</v>
      </c>
      <c r="AF56" s="82">
        <f t="shared" si="9"/>
        <v>60000</v>
      </c>
      <c r="AG56" s="82">
        <f t="shared" si="10"/>
        <v>24000</v>
      </c>
      <c r="AH56" s="82">
        <f t="shared" si="11"/>
        <v>94000</v>
      </c>
      <c r="AI56" s="82">
        <f t="shared" si="12"/>
        <v>8000</v>
      </c>
      <c r="AJ56" s="82">
        <f t="shared" si="13"/>
        <v>0</v>
      </c>
      <c r="AK56" s="82">
        <f t="shared" si="14"/>
        <v>9600</v>
      </c>
      <c r="AL56" s="82">
        <f t="shared" si="15"/>
        <v>303535.56</v>
      </c>
      <c r="AM56" s="82">
        <f t="shared" si="16"/>
        <v>1168376</v>
      </c>
      <c r="AN56" s="119">
        <v>98406.25</v>
      </c>
      <c r="AO56" s="119">
        <f t="shared" si="42"/>
        <v>1266782.25</v>
      </c>
    </row>
    <row r="57" spans="1:41" s="83" customFormat="1" ht="18" customHeight="1">
      <c r="A57" s="79" t="s">
        <v>5</v>
      </c>
      <c r="B57" s="80" t="s">
        <v>687</v>
      </c>
      <c r="C57" s="80" t="s">
        <v>959</v>
      </c>
      <c r="D57" s="81"/>
      <c r="E57" s="86">
        <v>46.275862068965999</v>
      </c>
      <c r="F57" s="86">
        <v>11</v>
      </c>
      <c r="G57" s="86">
        <v>0</v>
      </c>
      <c r="H57" s="86">
        <v>6</v>
      </c>
      <c r="I57" s="82">
        <f t="shared" si="2"/>
        <v>63.275862068965999</v>
      </c>
      <c r="J57" s="81">
        <v>10</v>
      </c>
      <c r="K57" s="81">
        <v>0</v>
      </c>
      <c r="L57" s="81">
        <v>0</v>
      </c>
      <c r="M57" s="81">
        <v>0</v>
      </c>
      <c r="N57" s="82">
        <f t="shared" si="3"/>
        <v>10</v>
      </c>
      <c r="O57" s="82">
        <f t="shared" si="40"/>
        <v>56.275862068965999</v>
      </c>
      <c r="P57" s="82">
        <f t="shared" si="40"/>
        <v>11</v>
      </c>
      <c r="Q57" s="82">
        <f t="shared" si="40"/>
        <v>0</v>
      </c>
      <c r="R57" s="82">
        <f t="shared" si="40"/>
        <v>6</v>
      </c>
      <c r="S57" s="93">
        <f t="shared" si="5"/>
        <v>73.275862068966006</v>
      </c>
      <c r="T57" s="81">
        <v>1</v>
      </c>
      <c r="U57" s="81">
        <v>5</v>
      </c>
      <c r="V57" s="81">
        <v>1</v>
      </c>
      <c r="W57" s="81">
        <v>6</v>
      </c>
      <c r="X57" s="93">
        <f t="shared" si="6"/>
        <v>13</v>
      </c>
      <c r="Y57" s="81">
        <v>1</v>
      </c>
      <c r="Z57" s="81">
        <v>5</v>
      </c>
      <c r="AA57" s="81">
        <v>1</v>
      </c>
      <c r="AB57" s="81">
        <v>6</v>
      </c>
      <c r="AC57" s="82">
        <f t="shared" si="7"/>
        <v>13</v>
      </c>
      <c r="AD57" s="82">
        <f t="shared" si="41"/>
        <v>896100</v>
      </c>
      <c r="AE57" s="82">
        <f t="shared" si="8"/>
        <v>56160</v>
      </c>
      <c r="AF57" s="82">
        <f t="shared" si="9"/>
        <v>78000</v>
      </c>
      <c r="AG57" s="82">
        <f t="shared" si="10"/>
        <v>31200</v>
      </c>
      <c r="AH57" s="82">
        <f t="shared" si="11"/>
        <v>122200</v>
      </c>
      <c r="AI57" s="82">
        <f t="shared" si="12"/>
        <v>10400</v>
      </c>
      <c r="AJ57" s="82">
        <f t="shared" si="13"/>
        <v>0</v>
      </c>
      <c r="AK57" s="82">
        <f t="shared" si="14"/>
        <v>12480</v>
      </c>
      <c r="AL57" s="82">
        <f t="shared" si="15"/>
        <v>394596.23</v>
      </c>
      <c r="AM57" s="82">
        <f t="shared" si="16"/>
        <v>1601136</v>
      </c>
      <c r="AN57" s="120">
        <v>68976.25</v>
      </c>
      <c r="AO57" s="119">
        <f t="shared" si="42"/>
        <v>1670112.25</v>
      </c>
    </row>
    <row r="58" spans="1:41" s="83" customFormat="1" ht="18" customHeight="1">
      <c r="A58" s="79" t="s">
        <v>5</v>
      </c>
      <c r="B58" s="80" t="s">
        <v>688</v>
      </c>
      <c r="C58" s="80" t="s">
        <v>959</v>
      </c>
      <c r="D58" s="81"/>
      <c r="E58" s="86">
        <v>6.5517241379310001</v>
      </c>
      <c r="F58" s="86">
        <v>9.5</v>
      </c>
      <c r="G58" s="86">
        <v>0</v>
      </c>
      <c r="H58" s="86">
        <v>5.5</v>
      </c>
      <c r="I58" s="82">
        <f t="shared" si="2"/>
        <v>21.551724137931</v>
      </c>
      <c r="J58" s="81">
        <v>0</v>
      </c>
      <c r="K58" s="81">
        <v>0</v>
      </c>
      <c r="L58" s="81">
        <v>0</v>
      </c>
      <c r="M58" s="81">
        <v>2</v>
      </c>
      <c r="N58" s="82">
        <f t="shared" si="3"/>
        <v>2</v>
      </c>
      <c r="O58" s="82">
        <f t="shared" si="40"/>
        <v>6.5517241379310001</v>
      </c>
      <c r="P58" s="82">
        <f t="shared" si="40"/>
        <v>9.5</v>
      </c>
      <c r="Q58" s="82">
        <f t="shared" si="40"/>
        <v>0</v>
      </c>
      <c r="R58" s="82">
        <f t="shared" si="40"/>
        <v>7.5</v>
      </c>
      <c r="S58" s="93">
        <f t="shared" si="5"/>
        <v>23.551724137931</v>
      </c>
      <c r="T58" s="81">
        <v>10</v>
      </c>
      <c r="U58" s="81">
        <v>5</v>
      </c>
      <c r="V58" s="81">
        <v>0</v>
      </c>
      <c r="W58" s="81">
        <v>6</v>
      </c>
      <c r="X58" s="93">
        <f t="shared" si="6"/>
        <v>21</v>
      </c>
      <c r="Y58" s="81">
        <v>10</v>
      </c>
      <c r="Z58" s="81">
        <v>5</v>
      </c>
      <c r="AA58" s="81">
        <v>0</v>
      </c>
      <c r="AB58" s="81">
        <v>6</v>
      </c>
      <c r="AC58" s="82">
        <f t="shared" si="7"/>
        <v>21</v>
      </c>
      <c r="AD58" s="82">
        <f t="shared" si="41"/>
        <v>1587900</v>
      </c>
      <c r="AE58" s="82">
        <f t="shared" si="8"/>
        <v>90720</v>
      </c>
      <c r="AF58" s="82">
        <f t="shared" si="9"/>
        <v>126000</v>
      </c>
      <c r="AG58" s="82">
        <f t="shared" si="10"/>
        <v>50400</v>
      </c>
      <c r="AH58" s="82">
        <f t="shared" si="11"/>
        <v>197400</v>
      </c>
      <c r="AI58" s="82">
        <f t="shared" si="12"/>
        <v>16800</v>
      </c>
      <c r="AJ58" s="82">
        <f t="shared" si="13"/>
        <v>0</v>
      </c>
      <c r="AK58" s="82">
        <f t="shared" si="14"/>
        <v>20160</v>
      </c>
      <c r="AL58" s="82">
        <f t="shared" si="15"/>
        <v>637424.68999999994</v>
      </c>
      <c r="AM58" s="82">
        <f t="shared" si="16"/>
        <v>2726805</v>
      </c>
      <c r="AN58" s="120">
        <v>66087.5</v>
      </c>
      <c r="AO58" s="119">
        <f t="shared" si="42"/>
        <v>2792892.5</v>
      </c>
    </row>
    <row r="59" spans="1:41" ht="18" customHeight="1">
      <c r="A59" s="79" t="s">
        <v>5</v>
      </c>
      <c r="B59" s="80" t="s">
        <v>689</v>
      </c>
      <c r="C59" s="80" t="s">
        <v>959</v>
      </c>
      <c r="D59" s="81"/>
      <c r="E59" s="86">
        <v>28.862068965517</v>
      </c>
      <c r="F59" s="86">
        <v>12</v>
      </c>
      <c r="G59" s="86">
        <v>0</v>
      </c>
      <c r="H59" s="86">
        <v>8</v>
      </c>
      <c r="I59" s="82">
        <f t="shared" si="2"/>
        <v>48.862068965516997</v>
      </c>
      <c r="J59" s="81">
        <v>0</v>
      </c>
      <c r="K59" s="81">
        <v>0</v>
      </c>
      <c r="L59" s="81">
        <v>0</v>
      </c>
      <c r="M59" s="81">
        <v>2</v>
      </c>
      <c r="N59" s="82">
        <f t="shared" si="3"/>
        <v>2</v>
      </c>
      <c r="O59" s="82">
        <f t="shared" si="40"/>
        <v>28.862068965517</v>
      </c>
      <c r="P59" s="82">
        <f t="shared" si="40"/>
        <v>12</v>
      </c>
      <c r="Q59" s="82">
        <f t="shared" si="40"/>
        <v>0</v>
      </c>
      <c r="R59" s="82">
        <f t="shared" si="40"/>
        <v>10</v>
      </c>
      <c r="S59" s="93">
        <f t="shared" si="5"/>
        <v>50.862068965516997</v>
      </c>
      <c r="T59" s="81">
        <v>0</v>
      </c>
      <c r="U59" s="81">
        <v>3</v>
      </c>
      <c r="V59" s="81">
        <v>0</v>
      </c>
      <c r="W59" s="81">
        <v>9</v>
      </c>
      <c r="X59" s="93">
        <f t="shared" si="6"/>
        <v>12</v>
      </c>
      <c r="Y59" s="81">
        <v>0</v>
      </c>
      <c r="Z59" s="81">
        <v>3</v>
      </c>
      <c r="AA59" s="81">
        <v>0</v>
      </c>
      <c r="AB59" s="81">
        <v>9</v>
      </c>
      <c r="AC59" s="82">
        <f t="shared" si="7"/>
        <v>12</v>
      </c>
      <c r="AD59" s="82">
        <f t="shared" si="41"/>
        <v>762660</v>
      </c>
      <c r="AE59" s="82">
        <f t="shared" si="8"/>
        <v>51840</v>
      </c>
      <c r="AF59" s="82">
        <f t="shared" si="9"/>
        <v>72000</v>
      </c>
      <c r="AG59" s="82">
        <f t="shared" si="10"/>
        <v>28800</v>
      </c>
      <c r="AH59" s="82">
        <f t="shared" si="11"/>
        <v>112800</v>
      </c>
      <c r="AI59" s="82">
        <f t="shared" si="12"/>
        <v>9600</v>
      </c>
      <c r="AJ59" s="82">
        <f t="shared" si="13"/>
        <v>0</v>
      </c>
      <c r="AK59" s="82">
        <f t="shared" si="14"/>
        <v>11520</v>
      </c>
      <c r="AL59" s="82">
        <f t="shared" si="15"/>
        <v>364242.68</v>
      </c>
      <c r="AM59" s="82">
        <f t="shared" si="16"/>
        <v>1413463</v>
      </c>
      <c r="AN59" s="119">
        <v>125152</v>
      </c>
      <c r="AO59" s="119">
        <f t="shared" si="42"/>
        <v>1538615</v>
      </c>
    </row>
    <row r="60" spans="1:41" s="83" customFormat="1" ht="18" customHeight="1">
      <c r="A60" s="79" t="s">
        <v>5</v>
      </c>
      <c r="B60" s="80" t="s">
        <v>690</v>
      </c>
      <c r="C60" s="80" t="s">
        <v>464</v>
      </c>
      <c r="D60" s="81"/>
      <c r="E60" s="86">
        <v>14.764705882352899</v>
      </c>
      <c r="F60" s="86">
        <v>10.5</v>
      </c>
      <c r="G60" s="86">
        <v>0</v>
      </c>
      <c r="H60" s="86">
        <v>6</v>
      </c>
      <c r="I60" s="82">
        <f t="shared" si="2"/>
        <v>31.264705882352899</v>
      </c>
      <c r="J60" s="81">
        <v>3</v>
      </c>
      <c r="K60" s="81">
        <v>2</v>
      </c>
      <c r="L60" s="81">
        <v>0</v>
      </c>
      <c r="M60" s="81">
        <v>4</v>
      </c>
      <c r="N60" s="82">
        <f t="shared" si="3"/>
        <v>9</v>
      </c>
      <c r="O60" s="82">
        <f t="shared" si="40"/>
        <v>17.764705882352899</v>
      </c>
      <c r="P60" s="82">
        <f t="shared" si="40"/>
        <v>12.5</v>
      </c>
      <c r="Q60" s="82">
        <f t="shared" si="40"/>
        <v>0</v>
      </c>
      <c r="R60" s="82">
        <f t="shared" si="40"/>
        <v>10</v>
      </c>
      <c r="S60" s="93">
        <f t="shared" si="5"/>
        <v>40.264705882352899</v>
      </c>
      <c r="T60" s="81">
        <v>5</v>
      </c>
      <c r="U60" s="81">
        <v>2</v>
      </c>
      <c r="V60" s="81">
        <v>0</v>
      </c>
      <c r="W60" s="81">
        <v>9</v>
      </c>
      <c r="X60" s="93">
        <f t="shared" si="6"/>
        <v>16</v>
      </c>
      <c r="Y60" s="81">
        <v>5</v>
      </c>
      <c r="Z60" s="81">
        <v>2</v>
      </c>
      <c r="AA60" s="81">
        <v>0</v>
      </c>
      <c r="AB60" s="81">
        <v>9</v>
      </c>
      <c r="AC60" s="82">
        <f t="shared" si="7"/>
        <v>16</v>
      </c>
      <c r="AD60" s="82">
        <f t="shared" ref="AD60:AD62" si="43">(Y60*9230+Z60*7215+AA60*5800+AB60*5100)*12</f>
        <v>1277760</v>
      </c>
      <c r="AE60" s="82">
        <f t="shared" si="8"/>
        <v>69120</v>
      </c>
      <c r="AF60" s="82">
        <f t="shared" si="9"/>
        <v>96000</v>
      </c>
      <c r="AG60" s="82">
        <f t="shared" si="10"/>
        <v>38400</v>
      </c>
      <c r="AH60" s="82">
        <f t="shared" ref="AH60:AH62" si="44">Y60*15400+(Z60+AA60+AB60)*9400</f>
        <v>180400</v>
      </c>
      <c r="AI60" s="82">
        <f t="shared" si="12"/>
        <v>12800</v>
      </c>
      <c r="AJ60" s="82">
        <f t="shared" si="13"/>
        <v>0</v>
      </c>
      <c r="AK60" s="82">
        <f t="shared" si="14"/>
        <v>15360</v>
      </c>
      <c r="AL60" s="82">
        <f t="shared" si="15"/>
        <v>485656.9</v>
      </c>
      <c r="AM60" s="82">
        <f t="shared" si="16"/>
        <v>2175497</v>
      </c>
      <c r="AN60" s="120">
        <v>118953.5</v>
      </c>
      <c r="AO60" s="119">
        <f t="shared" si="42"/>
        <v>2294450.5</v>
      </c>
    </row>
    <row r="61" spans="1:41" ht="18" customHeight="1">
      <c r="A61" s="79" t="s">
        <v>5</v>
      </c>
      <c r="B61" s="80" t="s">
        <v>691</v>
      </c>
      <c r="C61" s="80" t="s">
        <v>464</v>
      </c>
      <c r="D61" s="81"/>
      <c r="E61" s="86">
        <v>11.773109243697499</v>
      </c>
      <c r="F61" s="86">
        <v>10.5</v>
      </c>
      <c r="G61" s="86">
        <v>0</v>
      </c>
      <c r="H61" s="86">
        <v>6</v>
      </c>
      <c r="I61" s="82">
        <f t="shared" si="2"/>
        <v>28.273109243697498</v>
      </c>
      <c r="J61" s="81">
        <v>0</v>
      </c>
      <c r="K61" s="81">
        <v>1</v>
      </c>
      <c r="L61" s="81">
        <v>0</v>
      </c>
      <c r="M61" s="81">
        <v>0</v>
      </c>
      <c r="N61" s="82">
        <f t="shared" si="3"/>
        <v>1</v>
      </c>
      <c r="O61" s="82">
        <f t="shared" si="40"/>
        <v>11.773109243697499</v>
      </c>
      <c r="P61" s="82">
        <f t="shared" si="40"/>
        <v>11.5</v>
      </c>
      <c r="Q61" s="82">
        <f t="shared" si="40"/>
        <v>0</v>
      </c>
      <c r="R61" s="82">
        <f t="shared" si="40"/>
        <v>6</v>
      </c>
      <c r="S61" s="93">
        <f t="shared" si="5"/>
        <v>29.273109243697498</v>
      </c>
      <c r="T61" s="81">
        <v>2</v>
      </c>
      <c r="U61" s="81">
        <v>2</v>
      </c>
      <c r="V61" s="81">
        <v>0</v>
      </c>
      <c r="W61" s="81">
        <v>9</v>
      </c>
      <c r="X61" s="93">
        <f t="shared" si="6"/>
        <v>13</v>
      </c>
      <c r="Y61" s="81">
        <v>2</v>
      </c>
      <c r="Z61" s="81">
        <v>2</v>
      </c>
      <c r="AA61" s="81">
        <v>0</v>
      </c>
      <c r="AB61" s="81">
        <v>9</v>
      </c>
      <c r="AC61" s="82">
        <f t="shared" si="7"/>
        <v>13</v>
      </c>
      <c r="AD61" s="82">
        <f t="shared" si="43"/>
        <v>945480</v>
      </c>
      <c r="AE61" s="82">
        <f t="shared" si="8"/>
        <v>56160</v>
      </c>
      <c r="AF61" s="82">
        <f t="shared" si="9"/>
        <v>78000</v>
      </c>
      <c r="AG61" s="82">
        <f t="shared" si="10"/>
        <v>31200</v>
      </c>
      <c r="AH61" s="82">
        <f t="shared" si="44"/>
        <v>134200</v>
      </c>
      <c r="AI61" s="82">
        <f t="shared" si="12"/>
        <v>10400</v>
      </c>
      <c r="AJ61" s="82">
        <f t="shared" si="13"/>
        <v>0</v>
      </c>
      <c r="AK61" s="82">
        <f t="shared" si="14"/>
        <v>12480</v>
      </c>
      <c r="AL61" s="82">
        <f t="shared" si="15"/>
        <v>394596.23</v>
      </c>
      <c r="AM61" s="82">
        <f t="shared" si="16"/>
        <v>1662516</v>
      </c>
      <c r="AN61" s="119">
        <v>70970</v>
      </c>
      <c r="AO61" s="119">
        <f t="shared" si="42"/>
        <v>1733486</v>
      </c>
    </row>
    <row r="62" spans="1:41" s="83" customFormat="1" ht="18" customHeight="1">
      <c r="A62" s="79" t="s">
        <v>5</v>
      </c>
      <c r="B62" s="80" t="s">
        <v>692</v>
      </c>
      <c r="C62" s="80" t="s">
        <v>464</v>
      </c>
      <c r="D62" s="81"/>
      <c r="E62" s="86">
        <v>34.563025210084</v>
      </c>
      <c r="F62" s="86">
        <v>11</v>
      </c>
      <c r="G62" s="86">
        <v>0</v>
      </c>
      <c r="H62" s="86">
        <v>6</v>
      </c>
      <c r="I62" s="82">
        <f t="shared" si="2"/>
        <v>51.563025210084</v>
      </c>
      <c r="J62" s="81">
        <v>5</v>
      </c>
      <c r="K62" s="81">
        <v>4</v>
      </c>
      <c r="L62" s="81">
        <v>0</v>
      </c>
      <c r="M62" s="81">
        <v>2</v>
      </c>
      <c r="N62" s="82">
        <f t="shared" si="3"/>
        <v>11</v>
      </c>
      <c r="O62" s="82">
        <f t="shared" si="40"/>
        <v>39.563025210084</v>
      </c>
      <c r="P62" s="82">
        <f t="shared" si="40"/>
        <v>15</v>
      </c>
      <c r="Q62" s="82">
        <f t="shared" si="40"/>
        <v>0</v>
      </c>
      <c r="R62" s="82">
        <f t="shared" si="40"/>
        <v>8</v>
      </c>
      <c r="S62" s="93">
        <f t="shared" si="5"/>
        <v>62.563025210084</v>
      </c>
      <c r="T62" s="81">
        <v>1</v>
      </c>
      <c r="U62" s="81">
        <v>10</v>
      </c>
      <c r="V62" s="81">
        <v>0</v>
      </c>
      <c r="W62" s="81">
        <v>11</v>
      </c>
      <c r="X62" s="93">
        <f t="shared" si="6"/>
        <v>22</v>
      </c>
      <c r="Y62" s="81">
        <v>1</v>
      </c>
      <c r="Z62" s="81">
        <v>10</v>
      </c>
      <c r="AA62" s="81">
        <v>0</v>
      </c>
      <c r="AB62" s="81">
        <v>11</v>
      </c>
      <c r="AC62" s="82">
        <f t="shared" si="7"/>
        <v>22</v>
      </c>
      <c r="AD62" s="82">
        <f t="shared" si="43"/>
        <v>1649760</v>
      </c>
      <c r="AE62" s="82">
        <f t="shared" si="8"/>
        <v>95040</v>
      </c>
      <c r="AF62" s="82">
        <f t="shared" si="9"/>
        <v>132000</v>
      </c>
      <c r="AG62" s="82">
        <f t="shared" si="10"/>
        <v>52800</v>
      </c>
      <c r="AH62" s="82">
        <f t="shared" si="44"/>
        <v>212800</v>
      </c>
      <c r="AI62" s="82">
        <f t="shared" si="12"/>
        <v>17600</v>
      </c>
      <c r="AJ62" s="82">
        <f t="shared" si="13"/>
        <v>0</v>
      </c>
      <c r="AK62" s="82">
        <f t="shared" si="14"/>
        <v>21120</v>
      </c>
      <c r="AL62" s="82">
        <f t="shared" si="15"/>
        <v>667778.24</v>
      </c>
      <c r="AM62" s="82">
        <f t="shared" si="16"/>
        <v>2848898</v>
      </c>
      <c r="AN62" s="120">
        <v>16383.75</v>
      </c>
      <c r="AO62" s="119">
        <f t="shared" si="42"/>
        <v>2865281.75</v>
      </c>
    </row>
    <row r="63" spans="1:41" ht="18" customHeight="1">
      <c r="A63" s="79" t="s">
        <v>5</v>
      </c>
      <c r="B63" s="80" t="s">
        <v>693</v>
      </c>
      <c r="C63" s="80" t="s">
        <v>649</v>
      </c>
      <c r="D63" s="81">
        <v>2</v>
      </c>
      <c r="E63" s="86">
        <v>5.8461538461537996</v>
      </c>
      <c r="F63" s="86">
        <v>3</v>
      </c>
      <c r="G63" s="86">
        <v>24.412500000000001</v>
      </c>
      <c r="H63" s="86">
        <v>2</v>
      </c>
      <c r="I63" s="82">
        <f t="shared" si="2"/>
        <v>35.258653846153805</v>
      </c>
      <c r="J63" s="81">
        <v>0</v>
      </c>
      <c r="K63" s="81">
        <v>0</v>
      </c>
      <c r="L63" s="81">
        <v>0</v>
      </c>
      <c r="M63" s="81">
        <v>0</v>
      </c>
      <c r="N63" s="82">
        <f t="shared" si="3"/>
        <v>0</v>
      </c>
      <c r="O63" s="82">
        <f t="shared" si="40"/>
        <v>5.8461538461537996</v>
      </c>
      <c r="P63" s="82">
        <f t="shared" si="40"/>
        <v>3</v>
      </c>
      <c r="Q63" s="82">
        <f t="shared" si="40"/>
        <v>24.412500000000001</v>
      </c>
      <c r="R63" s="82">
        <f t="shared" si="40"/>
        <v>2</v>
      </c>
      <c r="S63" s="93">
        <f t="shared" si="5"/>
        <v>35.258653846153805</v>
      </c>
      <c r="T63" s="81">
        <v>7</v>
      </c>
      <c r="U63" s="81">
        <v>4</v>
      </c>
      <c r="V63" s="81">
        <v>25</v>
      </c>
      <c r="W63" s="81">
        <v>2</v>
      </c>
      <c r="X63" s="93">
        <f t="shared" si="6"/>
        <v>38</v>
      </c>
      <c r="Y63" s="81">
        <v>5.8461538461537996</v>
      </c>
      <c r="Z63" s="81">
        <v>3</v>
      </c>
      <c r="AA63" s="81">
        <v>24.412500000000001</v>
      </c>
      <c r="AB63" s="81">
        <v>2</v>
      </c>
      <c r="AC63" s="82">
        <f t="shared" si="7"/>
        <v>35.258653846153805</v>
      </c>
      <c r="AD63" s="82">
        <f>(Y63*7050+Z63*6485+AA63*5800+AB63*4900)*12</f>
        <v>2544754.6153846113</v>
      </c>
      <c r="AE63" s="82">
        <f t="shared" si="8"/>
        <v>152317.38461538445</v>
      </c>
      <c r="AF63" s="82">
        <f t="shared" si="9"/>
        <v>211551.92307692283</v>
      </c>
      <c r="AG63" s="82">
        <f t="shared" si="10"/>
        <v>84620.769230769132</v>
      </c>
      <c r="AH63" s="82">
        <f t="shared" si="11"/>
        <v>331431.34615384578</v>
      </c>
      <c r="AI63" s="82">
        <f t="shared" si="12"/>
        <v>28206.923076923045</v>
      </c>
      <c r="AJ63" s="82">
        <f t="shared" si="13"/>
        <v>20000</v>
      </c>
      <c r="AK63" s="82">
        <f t="shared" si="14"/>
        <v>33848.307692307651</v>
      </c>
      <c r="AL63" s="82">
        <f t="shared" si="15"/>
        <v>1070225.54</v>
      </c>
      <c r="AM63" s="82">
        <f t="shared" si="16"/>
        <v>4476957</v>
      </c>
      <c r="AN63" s="119"/>
      <c r="AO63" s="121">
        <f t="shared" si="42"/>
        <v>4476957</v>
      </c>
    </row>
    <row r="64" spans="1:41" ht="18" customHeight="1">
      <c r="A64" s="79" t="s">
        <v>5</v>
      </c>
      <c r="B64" s="80" t="s">
        <v>976</v>
      </c>
      <c r="C64" s="80" t="s">
        <v>959</v>
      </c>
      <c r="D64" s="81"/>
      <c r="E64" s="86">
        <v>11.965517241379301</v>
      </c>
      <c r="F64" s="86">
        <v>9.5</v>
      </c>
      <c r="G64" s="86">
        <v>0</v>
      </c>
      <c r="H64" s="86">
        <v>5.5</v>
      </c>
      <c r="I64" s="82">
        <f t="shared" si="2"/>
        <v>26.965517241379303</v>
      </c>
      <c r="J64" s="81">
        <v>0</v>
      </c>
      <c r="K64" s="81">
        <v>0</v>
      </c>
      <c r="L64" s="81">
        <v>0</v>
      </c>
      <c r="M64" s="81">
        <v>2</v>
      </c>
      <c r="N64" s="82">
        <f t="shared" si="3"/>
        <v>2</v>
      </c>
      <c r="O64" s="82">
        <f t="shared" si="40"/>
        <v>11.965517241379301</v>
      </c>
      <c r="P64" s="82">
        <f t="shared" si="40"/>
        <v>9.5</v>
      </c>
      <c r="Q64" s="82">
        <f t="shared" si="40"/>
        <v>0</v>
      </c>
      <c r="R64" s="82">
        <f t="shared" si="40"/>
        <v>7.5</v>
      </c>
      <c r="S64" s="93">
        <f t="shared" si="5"/>
        <v>28.965517241379303</v>
      </c>
      <c r="T64" s="81">
        <v>3</v>
      </c>
      <c r="U64" s="81">
        <v>8</v>
      </c>
      <c r="V64" s="81">
        <v>0</v>
      </c>
      <c r="W64" s="81">
        <v>6</v>
      </c>
      <c r="X64" s="93">
        <f t="shared" si="6"/>
        <v>17</v>
      </c>
      <c r="Y64" s="81">
        <v>3</v>
      </c>
      <c r="Z64" s="81">
        <v>8</v>
      </c>
      <c r="AA64" s="81">
        <v>0</v>
      </c>
      <c r="AB64" s="81">
        <v>6</v>
      </c>
      <c r="AC64" s="82">
        <f t="shared" si="7"/>
        <v>17</v>
      </c>
      <c r="AD64" s="82">
        <f>(Y64*7050+Z64*6485+AA64*5800+AB64*4900)*12</f>
        <v>1229160</v>
      </c>
      <c r="AE64" s="82">
        <f t="shared" si="8"/>
        <v>73440</v>
      </c>
      <c r="AF64" s="82">
        <f t="shared" si="9"/>
        <v>102000</v>
      </c>
      <c r="AG64" s="82">
        <f t="shared" si="10"/>
        <v>40800</v>
      </c>
      <c r="AH64" s="82">
        <f t="shared" si="11"/>
        <v>159800</v>
      </c>
      <c r="AI64" s="82">
        <f t="shared" si="12"/>
        <v>13600</v>
      </c>
      <c r="AJ64" s="82">
        <f t="shared" si="13"/>
        <v>0</v>
      </c>
      <c r="AK64" s="82">
        <f t="shared" si="14"/>
        <v>16320</v>
      </c>
      <c r="AL64" s="82">
        <f t="shared" si="15"/>
        <v>516010.46</v>
      </c>
      <c r="AM64" s="82">
        <f t="shared" si="16"/>
        <v>2151130</v>
      </c>
      <c r="AN64" s="119">
        <v>67830</v>
      </c>
      <c r="AO64" s="119">
        <f t="shared" si="42"/>
        <v>2218960</v>
      </c>
    </row>
    <row r="65" spans="1:41" ht="18" customHeight="1">
      <c r="A65" s="79" t="s">
        <v>5</v>
      </c>
      <c r="B65" s="80" t="s">
        <v>694</v>
      </c>
      <c r="C65" s="80" t="s">
        <v>649</v>
      </c>
      <c r="D65" s="81">
        <v>2</v>
      </c>
      <c r="E65" s="86">
        <v>14.1111111111111</v>
      </c>
      <c r="F65" s="86">
        <v>4</v>
      </c>
      <c r="G65" s="86">
        <v>24.012499999999999</v>
      </c>
      <c r="H65" s="86">
        <v>3</v>
      </c>
      <c r="I65" s="82">
        <f t="shared" si="2"/>
        <v>45.123611111111103</v>
      </c>
      <c r="J65" s="81">
        <v>6</v>
      </c>
      <c r="K65" s="81">
        <v>1</v>
      </c>
      <c r="L65" s="81">
        <v>5</v>
      </c>
      <c r="M65" s="81">
        <v>1</v>
      </c>
      <c r="N65" s="82">
        <f t="shared" si="3"/>
        <v>13</v>
      </c>
      <c r="O65" s="82">
        <f t="shared" si="40"/>
        <v>20.1111111111111</v>
      </c>
      <c r="P65" s="82">
        <f t="shared" si="40"/>
        <v>5</v>
      </c>
      <c r="Q65" s="82">
        <f t="shared" si="40"/>
        <v>29.012499999999999</v>
      </c>
      <c r="R65" s="82">
        <f t="shared" si="40"/>
        <v>4</v>
      </c>
      <c r="S65" s="93">
        <f t="shared" si="5"/>
        <v>58.123611111111103</v>
      </c>
      <c r="T65" s="81">
        <v>3</v>
      </c>
      <c r="U65" s="81">
        <v>5</v>
      </c>
      <c r="V65" s="81">
        <v>24</v>
      </c>
      <c r="W65" s="81">
        <v>3</v>
      </c>
      <c r="X65" s="93">
        <f t="shared" si="6"/>
        <v>35</v>
      </c>
      <c r="Y65" s="81">
        <v>3</v>
      </c>
      <c r="Z65" s="81">
        <v>5</v>
      </c>
      <c r="AA65" s="81">
        <v>24</v>
      </c>
      <c r="AB65" s="81">
        <v>3</v>
      </c>
      <c r="AC65" s="82">
        <f t="shared" si="7"/>
        <v>35</v>
      </c>
      <c r="AD65" s="82">
        <f>(Y65*7050+Z65*6485+AA65*5800+AB65*4900)*12</f>
        <v>2489700</v>
      </c>
      <c r="AE65" s="82">
        <f t="shared" si="8"/>
        <v>151200</v>
      </c>
      <c r="AF65" s="82">
        <f t="shared" si="9"/>
        <v>210000</v>
      </c>
      <c r="AG65" s="82">
        <f t="shared" si="10"/>
        <v>84000</v>
      </c>
      <c r="AH65" s="82">
        <f t="shared" si="11"/>
        <v>329000</v>
      </c>
      <c r="AI65" s="82">
        <f t="shared" si="12"/>
        <v>28000</v>
      </c>
      <c r="AJ65" s="82">
        <f t="shared" si="13"/>
        <v>20000</v>
      </c>
      <c r="AK65" s="82">
        <f t="shared" si="14"/>
        <v>33600</v>
      </c>
      <c r="AL65" s="82">
        <f t="shared" si="15"/>
        <v>1062374.48</v>
      </c>
      <c r="AM65" s="82">
        <f t="shared" si="16"/>
        <v>4407874</v>
      </c>
      <c r="AN65" s="119"/>
      <c r="AO65" s="121">
        <f t="shared" si="42"/>
        <v>4407874</v>
      </c>
    </row>
    <row r="66" spans="1:41" s="83" customFormat="1" ht="18" customHeight="1">
      <c r="A66" s="79" t="s">
        <v>5</v>
      </c>
      <c r="B66" s="80" t="s">
        <v>695</v>
      </c>
      <c r="C66" s="80" t="s">
        <v>649</v>
      </c>
      <c r="D66" s="81">
        <v>1</v>
      </c>
      <c r="E66" s="86">
        <v>5.0940170940170999</v>
      </c>
      <c r="F66" s="86">
        <v>3</v>
      </c>
      <c r="G66" s="86">
        <v>16.962499999999999</v>
      </c>
      <c r="H66" s="86">
        <v>2</v>
      </c>
      <c r="I66" s="82">
        <f t="shared" si="2"/>
        <v>27.056517094017099</v>
      </c>
      <c r="J66" s="81">
        <v>1</v>
      </c>
      <c r="K66" s="81">
        <v>0</v>
      </c>
      <c r="L66" s="81">
        <v>0</v>
      </c>
      <c r="M66" s="81">
        <v>0</v>
      </c>
      <c r="N66" s="82">
        <f t="shared" si="3"/>
        <v>1</v>
      </c>
      <c r="O66" s="82">
        <f t="shared" si="40"/>
        <v>6.0940170940170999</v>
      </c>
      <c r="P66" s="82">
        <f t="shared" si="40"/>
        <v>3</v>
      </c>
      <c r="Q66" s="82">
        <f t="shared" si="40"/>
        <v>16.962499999999999</v>
      </c>
      <c r="R66" s="82">
        <f t="shared" si="40"/>
        <v>2</v>
      </c>
      <c r="S66" s="93">
        <f t="shared" si="5"/>
        <v>28.056517094017099</v>
      </c>
      <c r="T66" s="81">
        <v>0</v>
      </c>
      <c r="U66" s="81">
        <v>3</v>
      </c>
      <c r="V66" s="81">
        <v>17</v>
      </c>
      <c r="W66" s="81">
        <v>2</v>
      </c>
      <c r="X66" s="93">
        <f t="shared" si="6"/>
        <v>22</v>
      </c>
      <c r="Y66" s="81">
        <v>0</v>
      </c>
      <c r="Z66" s="81">
        <v>3</v>
      </c>
      <c r="AA66" s="81">
        <v>17</v>
      </c>
      <c r="AB66" s="81">
        <v>2</v>
      </c>
      <c r="AC66" s="82">
        <f t="shared" si="7"/>
        <v>22</v>
      </c>
      <c r="AD66" s="82">
        <f>(Y66*7050+Z66*6485+AA66*5800+AB66*4900)*12</f>
        <v>1534260</v>
      </c>
      <c r="AE66" s="82">
        <f t="shared" si="8"/>
        <v>95040</v>
      </c>
      <c r="AF66" s="82">
        <f t="shared" si="9"/>
        <v>132000</v>
      </c>
      <c r="AG66" s="82">
        <f t="shared" si="10"/>
        <v>52800</v>
      </c>
      <c r="AH66" s="82">
        <f t="shared" si="11"/>
        <v>206800</v>
      </c>
      <c r="AI66" s="82">
        <f t="shared" si="12"/>
        <v>17600</v>
      </c>
      <c r="AJ66" s="82">
        <f t="shared" si="13"/>
        <v>10000</v>
      </c>
      <c r="AK66" s="82">
        <f t="shared" si="14"/>
        <v>21120</v>
      </c>
      <c r="AL66" s="82">
        <f t="shared" si="15"/>
        <v>667778.24</v>
      </c>
      <c r="AM66" s="82">
        <f t="shared" si="16"/>
        <v>2737398</v>
      </c>
      <c r="AN66" s="120"/>
      <c r="AO66" s="121">
        <f t="shared" si="42"/>
        <v>2737398</v>
      </c>
    </row>
    <row r="67" spans="1:41" ht="18" customHeight="1">
      <c r="A67" s="79" t="s">
        <v>5</v>
      </c>
      <c r="B67" s="80" t="s">
        <v>696</v>
      </c>
      <c r="C67" s="80" t="s">
        <v>972</v>
      </c>
      <c r="D67" s="81"/>
      <c r="E67" s="86">
        <v>6</v>
      </c>
      <c r="F67" s="86">
        <v>11</v>
      </c>
      <c r="G67" s="86">
        <v>0</v>
      </c>
      <c r="H67" s="86">
        <v>8</v>
      </c>
      <c r="I67" s="82">
        <f t="shared" si="2"/>
        <v>25</v>
      </c>
      <c r="J67" s="81">
        <v>0</v>
      </c>
      <c r="K67" s="81">
        <v>0</v>
      </c>
      <c r="L67" s="81">
        <v>0</v>
      </c>
      <c r="M67" s="81">
        <v>0</v>
      </c>
      <c r="N67" s="82">
        <f t="shared" si="3"/>
        <v>0</v>
      </c>
      <c r="O67" s="82">
        <f t="shared" si="40"/>
        <v>6</v>
      </c>
      <c r="P67" s="82">
        <f t="shared" si="40"/>
        <v>11</v>
      </c>
      <c r="Q67" s="82">
        <f t="shared" si="40"/>
        <v>0</v>
      </c>
      <c r="R67" s="82">
        <f t="shared" si="40"/>
        <v>8</v>
      </c>
      <c r="S67" s="93">
        <f t="shared" si="5"/>
        <v>25</v>
      </c>
      <c r="T67" s="81">
        <v>5</v>
      </c>
      <c r="U67" s="81">
        <v>9</v>
      </c>
      <c r="V67" s="81">
        <v>1</v>
      </c>
      <c r="W67" s="81">
        <v>10</v>
      </c>
      <c r="X67" s="93">
        <f t="shared" si="6"/>
        <v>25</v>
      </c>
      <c r="Y67" s="81">
        <v>5</v>
      </c>
      <c r="Z67" s="81">
        <v>9</v>
      </c>
      <c r="AA67" s="81">
        <v>1</v>
      </c>
      <c r="AB67" s="81">
        <v>10</v>
      </c>
      <c r="AC67" s="82">
        <f t="shared" si="7"/>
        <v>25</v>
      </c>
      <c r="AD67" s="82">
        <f>(Y67*9230+Z67*7215+AA67*5800+AB67*5100)*12</f>
        <v>2014620</v>
      </c>
      <c r="AE67" s="82">
        <f t="shared" si="8"/>
        <v>108000</v>
      </c>
      <c r="AF67" s="82">
        <f t="shared" si="9"/>
        <v>150000</v>
      </c>
      <c r="AG67" s="82">
        <f t="shared" si="10"/>
        <v>60000</v>
      </c>
      <c r="AH67" s="82">
        <f>Y67*15400+(Z67+AA67+AB67)*9400</f>
        <v>265000</v>
      </c>
      <c r="AI67" s="82">
        <f t="shared" si="12"/>
        <v>20000</v>
      </c>
      <c r="AJ67" s="82">
        <f t="shared" si="13"/>
        <v>0</v>
      </c>
      <c r="AK67" s="82">
        <f t="shared" si="14"/>
        <v>24000</v>
      </c>
      <c r="AL67" s="82">
        <f t="shared" si="15"/>
        <v>758838.91</v>
      </c>
      <c r="AM67" s="82">
        <f t="shared" si="16"/>
        <v>3400459</v>
      </c>
      <c r="AN67" s="119">
        <v>63959.5</v>
      </c>
      <c r="AO67" s="119">
        <f t="shared" si="42"/>
        <v>3464418.5</v>
      </c>
    </row>
    <row r="68" spans="1:41" ht="18" customHeight="1">
      <c r="A68" s="79" t="s">
        <v>5</v>
      </c>
      <c r="B68" s="80" t="s">
        <v>465</v>
      </c>
      <c r="C68" s="80" t="s">
        <v>649</v>
      </c>
      <c r="D68" s="81">
        <v>2</v>
      </c>
      <c r="E68" s="86">
        <v>14.452991452991499</v>
      </c>
      <c r="F68" s="86">
        <v>6</v>
      </c>
      <c r="G68" s="86">
        <v>25.0625</v>
      </c>
      <c r="H68" s="86">
        <v>2</v>
      </c>
      <c r="I68" s="82">
        <f t="shared" si="2"/>
        <v>47.515491452991498</v>
      </c>
      <c r="J68" s="81">
        <v>0</v>
      </c>
      <c r="K68" s="81">
        <v>0</v>
      </c>
      <c r="L68" s="81">
        <v>3</v>
      </c>
      <c r="M68" s="81">
        <v>0</v>
      </c>
      <c r="N68" s="82">
        <f t="shared" si="3"/>
        <v>3</v>
      </c>
      <c r="O68" s="82">
        <f>E68+J68</f>
        <v>14.452991452991499</v>
      </c>
      <c r="P68" s="82">
        <f>F68+K68</f>
        <v>6</v>
      </c>
      <c r="Q68" s="82">
        <f>G68+L68</f>
        <v>28.0625</v>
      </c>
      <c r="R68" s="82">
        <f>H68+M68</f>
        <v>2</v>
      </c>
      <c r="S68" s="93">
        <f t="shared" si="5"/>
        <v>50.515491452991498</v>
      </c>
      <c r="T68" s="81">
        <v>14</v>
      </c>
      <c r="U68" s="81">
        <v>6</v>
      </c>
      <c r="V68" s="81">
        <v>25</v>
      </c>
      <c r="W68" s="81">
        <v>2</v>
      </c>
      <c r="X68" s="93">
        <f t="shared" si="6"/>
        <v>47</v>
      </c>
      <c r="Y68" s="81">
        <v>14</v>
      </c>
      <c r="Z68" s="81">
        <v>6</v>
      </c>
      <c r="AA68" s="81">
        <v>25</v>
      </c>
      <c r="AB68" s="81">
        <v>2</v>
      </c>
      <c r="AC68" s="82">
        <f t="shared" si="7"/>
        <v>47</v>
      </c>
      <c r="AD68" s="82">
        <f>(Y68*7050+Z68*6485+AA68*5800+AB68*4900)*12</f>
        <v>3508920</v>
      </c>
      <c r="AE68" s="82">
        <f t="shared" si="8"/>
        <v>203040</v>
      </c>
      <c r="AF68" s="82">
        <f t="shared" si="9"/>
        <v>282000</v>
      </c>
      <c r="AG68" s="82">
        <f t="shared" si="10"/>
        <v>112800</v>
      </c>
      <c r="AH68" s="82">
        <f t="shared" si="11"/>
        <v>441800</v>
      </c>
      <c r="AI68" s="82">
        <f>AC68*800</f>
        <v>37600</v>
      </c>
      <c r="AJ68" s="82">
        <f>D68*50*200</f>
        <v>20000</v>
      </c>
      <c r="AK68" s="82">
        <f>AC68*960</f>
        <v>45120</v>
      </c>
      <c r="AL68" s="82">
        <f t="shared" si="15"/>
        <v>1426617.15</v>
      </c>
      <c r="AM68" s="82">
        <f t="shared" si="16"/>
        <v>6077897</v>
      </c>
      <c r="AN68" s="119"/>
      <c r="AO68" s="121">
        <f t="shared" si="42"/>
        <v>6077897</v>
      </c>
    </row>
    <row r="69" spans="1:41" ht="18" customHeight="1">
      <c r="A69" s="79" t="s">
        <v>5</v>
      </c>
      <c r="B69" s="80" t="s">
        <v>977</v>
      </c>
      <c r="C69" s="80" t="s">
        <v>464</v>
      </c>
      <c r="D69" s="81"/>
      <c r="E69" s="86">
        <v>21</v>
      </c>
      <c r="F69" s="86">
        <v>9</v>
      </c>
      <c r="G69" s="86">
        <v>0</v>
      </c>
      <c r="H69" s="86">
        <v>5</v>
      </c>
      <c r="I69" s="82">
        <f t="shared" ref="I69:I114" si="45">SUM(E69:H69)</f>
        <v>35</v>
      </c>
      <c r="J69" s="81">
        <v>10</v>
      </c>
      <c r="K69" s="81">
        <v>1</v>
      </c>
      <c r="L69" s="81">
        <v>0</v>
      </c>
      <c r="M69" s="81">
        <v>0</v>
      </c>
      <c r="N69" s="82">
        <f t="shared" ref="N69:N114" si="46">SUM(J69:M69)</f>
        <v>11</v>
      </c>
      <c r="O69" s="82">
        <f t="shared" si="40"/>
        <v>31</v>
      </c>
      <c r="P69" s="82">
        <f t="shared" si="40"/>
        <v>10</v>
      </c>
      <c r="Q69" s="82">
        <f t="shared" si="40"/>
        <v>0</v>
      </c>
      <c r="R69" s="82">
        <f t="shared" si="40"/>
        <v>5</v>
      </c>
      <c r="S69" s="93">
        <f t="shared" ref="S69:S114" si="47">SUM(O69:R69)</f>
        <v>46</v>
      </c>
      <c r="T69" s="81">
        <v>10</v>
      </c>
      <c r="U69" s="81">
        <v>7</v>
      </c>
      <c r="V69" s="81">
        <v>1</v>
      </c>
      <c r="W69" s="81">
        <v>4</v>
      </c>
      <c r="X69" s="93">
        <f t="shared" ref="X69:X114" si="48">SUM(T69:W69)</f>
        <v>22</v>
      </c>
      <c r="Y69" s="81">
        <v>10</v>
      </c>
      <c r="Z69" s="81">
        <v>7</v>
      </c>
      <c r="AA69" s="81">
        <v>1</v>
      </c>
      <c r="AB69" s="81">
        <v>4</v>
      </c>
      <c r="AC69" s="82">
        <f t="shared" ref="AC69:AC114" si="49">SUM(Y69:AB69)</f>
        <v>22</v>
      </c>
      <c r="AD69" s="82">
        <f>(Y69*9230+Z69*7215+AA69*5800+AB69*5100)*12</f>
        <v>2028060</v>
      </c>
      <c r="AE69" s="82">
        <f t="shared" ref="AE69:AE114" si="50">AC69*4320</f>
        <v>95040</v>
      </c>
      <c r="AF69" s="82">
        <f t="shared" ref="AF69:AF114" si="51">AC69*6000</f>
        <v>132000</v>
      </c>
      <c r="AG69" s="82">
        <f t="shared" ref="AG69:AG114" si="52">AC69*2400</f>
        <v>52800</v>
      </c>
      <c r="AH69" s="82">
        <f>Y69*15400+(Z69+AA69+AB69)*9400</f>
        <v>266800</v>
      </c>
      <c r="AI69" s="82">
        <f t="shared" ref="AI69:AI114" si="53">AC69*800</f>
        <v>17600</v>
      </c>
      <c r="AJ69" s="82">
        <f t="shared" si="13"/>
        <v>0</v>
      </c>
      <c r="AK69" s="82">
        <f t="shared" si="14"/>
        <v>21120</v>
      </c>
      <c r="AL69" s="82">
        <f t="shared" ref="AL69:AL114" si="54">ROUND((7384*0.34256*AC69*12),2)</f>
        <v>667778.24</v>
      </c>
      <c r="AM69" s="82">
        <f t="shared" ref="AM69:AM114" si="55">ROUND(SUM(AD69:AL69),0)</f>
        <v>3281198</v>
      </c>
      <c r="AN69" s="119">
        <v>45124</v>
      </c>
      <c r="AO69" s="119">
        <f t="shared" si="42"/>
        <v>3326322</v>
      </c>
    </row>
    <row r="70" spans="1:41" s="85" customFormat="1" ht="18" customHeight="1">
      <c r="A70" s="164"/>
      <c r="B70" s="164" t="s">
        <v>697</v>
      </c>
      <c r="C70" s="164"/>
      <c r="D70" s="84">
        <f>SUM(D52:D69)</f>
        <v>15</v>
      </c>
      <c r="E70" s="84">
        <f t="shared" ref="E70:AO70" si="56">SUM(E52:E69)</f>
        <v>270.30036877704231</v>
      </c>
      <c r="F70" s="84">
        <f t="shared" si="56"/>
        <v>134</v>
      </c>
      <c r="G70" s="84">
        <f t="shared" si="56"/>
        <v>239.08749999999998</v>
      </c>
      <c r="H70" s="84">
        <f t="shared" si="56"/>
        <v>82</v>
      </c>
      <c r="I70" s="84">
        <f t="shared" si="56"/>
        <v>725.38786877704217</v>
      </c>
      <c r="J70" s="84">
        <f t="shared" si="56"/>
        <v>40</v>
      </c>
      <c r="K70" s="84">
        <f t="shared" si="56"/>
        <v>10</v>
      </c>
      <c r="L70" s="84">
        <f t="shared" si="56"/>
        <v>15</v>
      </c>
      <c r="M70" s="84">
        <f t="shared" si="56"/>
        <v>13</v>
      </c>
      <c r="N70" s="84">
        <f t="shared" si="56"/>
        <v>78</v>
      </c>
      <c r="O70" s="84">
        <f t="shared" si="56"/>
        <v>310.30036877704231</v>
      </c>
      <c r="P70" s="84">
        <f t="shared" si="56"/>
        <v>144</v>
      </c>
      <c r="Q70" s="84">
        <f t="shared" si="56"/>
        <v>254.08749999999998</v>
      </c>
      <c r="R70" s="84">
        <f t="shared" si="56"/>
        <v>95</v>
      </c>
      <c r="S70" s="84">
        <f t="shared" si="56"/>
        <v>803.38786877704217</v>
      </c>
      <c r="T70" s="84">
        <f t="shared" si="56"/>
        <v>74</v>
      </c>
      <c r="U70" s="84">
        <f t="shared" si="56"/>
        <v>86</v>
      </c>
      <c r="V70" s="84">
        <f t="shared" si="56"/>
        <v>243</v>
      </c>
      <c r="W70" s="84">
        <f t="shared" si="56"/>
        <v>98</v>
      </c>
      <c r="X70" s="84">
        <f t="shared" si="56"/>
        <v>501</v>
      </c>
      <c r="Y70" s="84">
        <f t="shared" si="56"/>
        <v>72.846153846153797</v>
      </c>
      <c r="Z70" s="84">
        <f t="shared" si="56"/>
        <v>85</v>
      </c>
      <c r="AA70" s="84">
        <f t="shared" si="56"/>
        <v>242.41249999999999</v>
      </c>
      <c r="AB70" s="84">
        <f t="shared" si="56"/>
        <v>98</v>
      </c>
      <c r="AC70" s="84">
        <f t="shared" si="56"/>
        <v>498.25865384615383</v>
      </c>
      <c r="AD70" s="84">
        <f t="shared" si="56"/>
        <v>36379474.615384609</v>
      </c>
      <c r="AE70" s="84">
        <f t="shared" si="56"/>
        <v>2152477.3846153845</v>
      </c>
      <c r="AF70" s="84">
        <f t="shared" si="56"/>
        <v>2989551.923076923</v>
      </c>
      <c r="AG70" s="84">
        <f t="shared" si="56"/>
        <v>1195820.769230769</v>
      </c>
      <c r="AH70" s="84">
        <f t="shared" si="56"/>
        <v>4821631.346153846</v>
      </c>
      <c r="AI70" s="84">
        <f t="shared" si="56"/>
        <v>398606.92307692306</v>
      </c>
      <c r="AJ70" s="84">
        <f t="shared" si="56"/>
        <v>150000</v>
      </c>
      <c r="AK70" s="84">
        <f t="shared" si="56"/>
        <v>478328.30769230763</v>
      </c>
      <c r="AL70" s="84">
        <f t="shared" si="56"/>
        <v>15123922.170000004</v>
      </c>
      <c r="AM70" s="84">
        <f t="shared" si="56"/>
        <v>63689813</v>
      </c>
      <c r="AN70" s="84">
        <f t="shared" si="56"/>
        <v>741842.75</v>
      </c>
      <c r="AO70" s="84">
        <f t="shared" si="56"/>
        <v>64431655.75</v>
      </c>
    </row>
    <row r="71" spans="1:41" s="83" customFormat="1" ht="18" customHeight="1">
      <c r="A71" s="79" t="s">
        <v>4</v>
      </c>
      <c r="B71" s="80" t="s">
        <v>698</v>
      </c>
      <c r="C71" s="80" t="s">
        <v>649</v>
      </c>
      <c r="D71" s="81">
        <v>2</v>
      </c>
      <c r="E71" s="86">
        <v>1.8290598290597999</v>
      </c>
      <c r="F71" s="86">
        <v>3</v>
      </c>
      <c r="G71" s="86">
        <v>29.287500000000001</v>
      </c>
      <c r="H71" s="86">
        <v>2</v>
      </c>
      <c r="I71" s="82">
        <f t="shared" si="45"/>
        <v>36.116559829059803</v>
      </c>
      <c r="J71" s="81">
        <v>4</v>
      </c>
      <c r="K71" s="81">
        <v>1</v>
      </c>
      <c r="L71" s="81">
        <v>2</v>
      </c>
      <c r="M71" s="81">
        <v>0</v>
      </c>
      <c r="N71" s="82">
        <f t="shared" si="46"/>
        <v>7</v>
      </c>
      <c r="O71" s="82">
        <f t="shared" ref="O71:R89" si="57">E71+J71</f>
        <v>5.8290598290597995</v>
      </c>
      <c r="P71" s="82">
        <f t="shared" si="57"/>
        <v>4</v>
      </c>
      <c r="Q71" s="82">
        <f t="shared" si="57"/>
        <v>31.287500000000001</v>
      </c>
      <c r="R71" s="82">
        <f t="shared" si="57"/>
        <v>2</v>
      </c>
      <c r="S71" s="93">
        <f t="shared" si="47"/>
        <v>43.116559829059803</v>
      </c>
      <c r="T71" s="81">
        <v>6</v>
      </c>
      <c r="U71" s="81">
        <v>4</v>
      </c>
      <c r="V71" s="81">
        <v>31</v>
      </c>
      <c r="W71" s="81">
        <v>2</v>
      </c>
      <c r="X71" s="93">
        <f t="shared" si="48"/>
        <v>43</v>
      </c>
      <c r="Y71" s="81">
        <v>6</v>
      </c>
      <c r="Z71" s="81">
        <v>4</v>
      </c>
      <c r="AA71" s="81">
        <v>31</v>
      </c>
      <c r="AB71" s="81">
        <v>2</v>
      </c>
      <c r="AC71" s="82">
        <f t="shared" si="49"/>
        <v>43</v>
      </c>
      <c r="AD71" s="82">
        <f t="shared" ref="AD71:AD80" si="58">(Y71*7050+Z71*6485+AA71*5800+AB71*4900)*12</f>
        <v>3094080</v>
      </c>
      <c r="AE71" s="82">
        <f t="shared" si="50"/>
        <v>185760</v>
      </c>
      <c r="AF71" s="82">
        <f t="shared" si="51"/>
        <v>258000</v>
      </c>
      <c r="AG71" s="82">
        <f t="shared" si="52"/>
        <v>103200</v>
      </c>
      <c r="AH71" s="82">
        <f t="shared" ref="AH71:AH114" si="59">AC71*9400</f>
        <v>404200</v>
      </c>
      <c r="AI71" s="82">
        <f t="shared" si="53"/>
        <v>34400</v>
      </c>
      <c r="AJ71" s="82">
        <f t="shared" ref="AJ71:AJ114" si="60">D71*50*200</f>
        <v>20000</v>
      </c>
      <c r="AK71" s="82">
        <f t="shared" ref="AK71:AK114" si="61">AC71*960</f>
        <v>41280</v>
      </c>
      <c r="AL71" s="82">
        <f t="shared" si="54"/>
        <v>1305202.93</v>
      </c>
      <c r="AM71" s="82">
        <f t="shared" si="55"/>
        <v>5446123</v>
      </c>
      <c r="AN71" s="120"/>
      <c r="AO71" s="82">
        <f>AM71+AN71</f>
        <v>5446123</v>
      </c>
    </row>
    <row r="72" spans="1:41" ht="18" customHeight="1">
      <c r="A72" s="79" t="s">
        <v>4</v>
      </c>
      <c r="B72" s="80" t="s">
        <v>699</v>
      </c>
      <c r="C72" s="80" t="s">
        <v>649</v>
      </c>
      <c r="D72" s="81">
        <v>1</v>
      </c>
      <c r="E72" s="86">
        <v>0</v>
      </c>
      <c r="F72" s="86">
        <v>2</v>
      </c>
      <c r="G72" s="86">
        <v>17.1875</v>
      </c>
      <c r="H72" s="86">
        <v>2</v>
      </c>
      <c r="I72" s="82">
        <f t="shared" si="45"/>
        <v>21.1875</v>
      </c>
      <c r="J72" s="81">
        <v>4</v>
      </c>
      <c r="K72" s="81">
        <v>0</v>
      </c>
      <c r="L72" s="81">
        <v>0</v>
      </c>
      <c r="M72" s="81">
        <v>0</v>
      </c>
      <c r="N72" s="82">
        <f t="shared" si="46"/>
        <v>4</v>
      </c>
      <c r="O72" s="82">
        <f t="shared" si="57"/>
        <v>4</v>
      </c>
      <c r="P72" s="82">
        <f t="shared" si="57"/>
        <v>2</v>
      </c>
      <c r="Q72" s="82">
        <f t="shared" si="57"/>
        <v>17.1875</v>
      </c>
      <c r="R72" s="82">
        <f t="shared" si="57"/>
        <v>2</v>
      </c>
      <c r="S72" s="93">
        <f t="shared" si="47"/>
        <v>25.1875</v>
      </c>
      <c r="T72" s="81">
        <v>4</v>
      </c>
      <c r="U72" s="81">
        <v>2</v>
      </c>
      <c r="V72" s="81">
        <v>18</v>
      </c>
      <c r="W72" s="81">
        <v>1</v>
      </c>
      <c r="X72" s="93">
        <f t="shared" si="48"/>
        <v>25</v>
      </c>
      <c r="Y72" s="81">
        <v>4</v>
      </c>
      <c r="Z72" s="81">
        <v>2</v>
      </c>
      <c r="AA72" s="81">
        <v>18</v>
      </c>
      <c r="AB72" s="81">
        <v>1</v>
      </c>
      <c r="AC72" s="82">
        <f t="shared" si="49"/>
        <v>25</v>
      </c>
      <c r="AD72" s="82">
        <f t="shared" si="58"/>
        <v>1805640</v>
      </c>
      <c r="AE72" s="82">
        <f t="shared" si="50"/>
        <v>108000</v>
      </c>
      <c r="AF72" s="82">
        <f t="shared" si="51"/>
        <v>150000</v>
      </c>
      <c r="AG72" s="82">
        <f t="shared" si="52"/>
        <v>60000</v>
      </c>
      <c r="AH72" s="82">
        <f t="shared" si="59"/>
        <v>235000</v>
      </c>
      <c r="AI72" s="82">
        <f t="shared" si="53"/>
        <v>20000</v>
      </c>
      <c r="AJ72" s="82">
        <f t="shared" si="60"/>
        <v>10000</v>
      </c>
      <c r="AK72" s="82">
        <f t="shared" si="61"/>
        <v>24000</v>
      </c>
      <c r="AL72" s="82">
        <f t="shared" si="54"/>
        <v>758838.91</v>
      </c>
      <c r="AM72" s="82">
        <f t="shared" si="55"/>
        <v>3171479</v>
      </c>
      <c r="AN72" s="119"/>
      <c r="AO72" s="82">
        <f t="shared" ref="AO72:AO89" si="62">AM72+AN72</f>
        <v>3171479</v>
      </c>
    </row>
    <row r="73" spans="1:41" s="83" customFormat="1" ht="18" customHeight="1">
      <c r="A73" s="79" t="s">
        <v>4</v>
      </c>
      <c r="B73" s="80" t="s">
        <v>700</v>
      </c>
      <c r="C73" s="80" t="s">
        <v>649</v>
      </c>
      <c r="D73" s="81">
        <v>2</v>
      </c>
      <c r="E73" s="86">
        <v>0</v>
      </c>
      <c r="F73" s="86">
        <v>1</v>
      </c>
      <c r="G73" s="86">
        <v>20.574999999999999</v>
      </c>
      <c r="H73" s="86">
        <v>2</v>
      </c>
      <c r="I73" s="82">
        <f t="shared" si="45"/>
        <v>23.574999999999999</v>
      </c>
      <c r="J73" s="81">
        <v>1</v>
      </c>
      <c r="K73" s="81">
        <v>0</v>
      </c>
      <c r="L73" s="81">
        <v>0</v>
      </c>
      <c r="M73" s="81">
        <v>0</v>
      </c>
      <c r="N73" s="82">
        <f t="shared" si="46"/>
        <v>1</v>
      </c>
      <c r="O73" s="82">
        <f t="shared" si="57"/>
        <v>1</v>
      </c>
      <c r="P73" s="82">
        <f t="shared" si="57"/>
        <v>1</v>
      </c>
      <c r="Q73" s="82">
        <f t="shared" si="57"/>
        <v>20.574999999999999</v>
      </c>
      <c r="R73" s="82">
        <f t="shared" si="57"/>
        <v>2</v>
      </c>
      <c r="S73" s="93">
        <f t="shared" si="47"/>
        <v>24.574999999999999</v>
      </c>
      <c r="T73" s="81">
        <v>1</v>
      </c>
      <c r="U73" s="81">
        <v>1</v>
      </c>
      <c r="V73" s="81">
        <v>21</v>
      </c>
      <c r="W73" s="81">
        <v>2</v>
      </c>
      <c r="X73" s="93">
        <f t="shared" si="48"/>
        <v>25</v>
      </c>
      <c r="Y73" s="81">
        <v>1</v>
      </c>
      <c r="Z73" s="81">
        <v>1</v>
      </c>
      <c r="AA73" s="81">
        <v>20.574999999999999</v>
      </c>
      <c r="AB73" s="81">
        <v>2</v>
      </c>
      <c r="AC73" s="82">
        <f t="shared" si="49"/>
        <v>24.574999999999999</v>
      </c>
      <c r="AD73" s="82">
        <f t="shared" si="58"/>
        <v>1712040</v>
      </c>
      <c r="AE73" s="82">
        <f t="shared" si="50"/>
        <v>106164</v>
      </c>
      <c r="AF73" s="82">
        <f t="shared" si="51"/>
        <v>147450</v>
      </c>
      <c r="AG73" s="82">
        <f t="shared" si="52"/>
        <v>58980</v>
      </c>
      <c r="AH73" s="82">
        <f t="shared" si="59"/>
        <v>231005</v>
      </c>
      <c r="AI73" s="82">
        <f t="shared" si="53"/>
        <v>19660</v>
      </c>
      <c r="AJ73" s="82">
        <f t="shared" si="60"/>
        <v>20000</v>
      </c>
      <c r="AK73" s="82">
        <f t="shared" si="61"/>
        <v>23592</v>
      </c>
      <c r="AL73" s="82">
        <f t="shared" si="54"/>
        <v>745938.65</v>
      </c>
      <c r="AM73" s="82">
        <f t="shared" si="55"/>
        <v>3064830</v>
      </c>
      <c r="AN73" s="120"/>
      <c r="AO73" s="82">
        <f t="shared" si="62"/>
        <v>3064830</v>
      </c>
    </row>
    <row r="74" spans="1:41" s="83" customFormat="1" ht="18" customHeight="1">
      <c r="A74" s="79" t="s">
        <v>4</v>
      </c>
      <c r="B74" s="80" t="s">
        <v>701</v>
      </c>
      <c r="C74" s="80" t="s">
        <v>649</v>
      </c>
      <c r="D74" s="81">
        <v>5</v>
      </c>
      <c r="E74" s="86">
        <v>0</v>
      </c>
      <c r="F74" s="86">
        <v>0</v>
      </c>
      <c r="G74" s="86">
        <v>46.787500000000001</v>
      </c>
      <c r="H74" s="86">
        <v>3</v>
      </c>
      <c r="I74" s="82">
        <f t="shared" si="45"/>
        <v>49.787500000000001</v>
      </c>
      <c r="J74" s="81">
        <v>0</v>
      </c>
      <c r="K74" s="81">
        <v>0</v>
      </c>
      <c r="L74" s="81">
        <v>0</v>
      </c>
      <c r="M74" s="81">
        <v>0</v>
      </c>
      <c r="N74" s="82">
        <f t="shared" si="46"/>
        <v>0</v>
      </c>
      <c r="O74" s="82">
        <f t="shared" si="57"/>
        <v>0</v>
      </c>
      <c r="P74" s="82">
        <f t="shared" si="57"/>
        <v>0</v>
      </c>
      <c r="Q74" s="82">
        <f t="shared" si="57"/>
        <v>46.787500000000001</v>
      </c>
      <c r="R74" s="82">
        <f t="shared" si="57"/>
        <v>3</v>
      </c>
      <c r="S74" s="93">
        <f t="shared" si="47"/>
        <v>49.787500000000001</v>
      </c>
      <c r="T74" s="81">
        <v>0</v>
      </c>
      <c r="U74" s="81">
        <v>0</v>
      </c>
      <c r="V74" s="81">
        <v>47</v>
      </c>
      <c r="W74" s="81">
        <v>5</v>
      </c>
      <c r="X74" s="93">
        <f t="shared" si="48"/>
        <v>52</v>
      </c>
      <c r="Y74" s="81">
        <v>0</v>
      </c>
      <c r="Z74" s="81">
        <v>0</v>
      </c>
      <c r="AA74" s="81">
        <v>46.787500000000001</v>
      </c>
      <c r="AB74" s="81">
        <v>3</v>
      </c>
      <c r="AC74" s="82">
        <f t="shared" si="49"/>
        <v>49.787500000000001</v>
      </c>
      <c r="AD74" s="82">
        <f t="shared" si="58"/>
        <v>3432810</v>
      </c>
      <c r="AE74" s="82">
        <f t="shared" si="50"/>
        <v>215082</v>
      </c>
      <c r="AF74" s="82">
        <f t="shared" si="51"/>
        <v>298725</v>
      </c>
      <c r="AG74" s="82">
        <f t="shared" si="52"/>
        <v>119490</v>
      </c>
      <c r="AH74" s="82">
        <f t="shared" si="59"/>
        <v>468002.5</v>
      </c>
      <c r="AI74" s="82">
        <f t="shared" si="53"/>
        <v>39830</v>
      </c>
      <c r="AJ74" s="82">
        <f t="shared" si="60"/>
        <v>50000</v>
      </c>
      <c r="AK74" s="82">
        <f t="shared" si="61"/>
        <v>47796</v>
      </c>
      <c r="AL74" s="82">
        <f t="shared" si="54"/>
        <v>1511227.69</v>
      </c>
      <c r="AM74" s="82">
        <f t="shared" si="55"/>
        <v>6182963</v>
      </c>
      <c r="AN74" s="120"/>
      <c r="AO74" s="82">
        <f t="shared" si="62"/>
        <v>6182963</v>
      </c>
    </row>
    <row r="75" spans="1:41" s="83" customFormat="1" ht="18" customHeight="1">
      <c r="A75" s="79" t="s">
        <v>4</v>
      </c>
      <c r="B75" s="80" t="s">
        <v>702</v>
      </c>
      <c r="C75" s="80" t="s">
        <v>649</v>
      </c>
      <c r="D75" s="81">
        <v>2</v>
      </c>
      <c r="E75" s="86">
        <v>0</v>
      </c>
      <c r="F75" s="86">
        <v>1</v>
      </c>
      <c r="G75" s="86">
        <v>19.5</v>
      </c>
      <c r="H75" s="86">
        <v>1</v>
      </c>
      <c r="I75" s="82">
        <f t="shared" si="45"/>
        <v>21.5</v>
      </c>
      <c r="J75" s="81">
        <v>0</v>
      </c>
      <c r="K75" s="81">
        <v>0</v>
      </c>
      <c r="L75" s="81">
        <v>0</v>
      </c>
      <c r="M75" s="81">
        <v>0</v>
      </c>
      <c r="N75" s="82">
        <f t="shared" si="46"/>
        <v>0</v>
      </c>
      <c r="O75" s="82">
        <f t="shared" si="57"/>
        <v>0</v>
      </c>
      <c r="P75" s="82">
        <f t="shared" si="57"/>
        <v>1</v>
      </c>
      <c r="Q75" s="82">
        <f t="shared" si="57"/>
        <v>19.5</v>
      </c>
      <c r="R75" s="82">
        <f t="shared" si="57"/>
        <v>1</v>
      </c>
      <c r="S75" s="93">
        <f t="shared" si="47"/>
        <v>21.5</v>
      </c>
      <c r="T75" s="81">
        <v>0</v>
      </c>
      <c r="U75" s="81">
        <v>1</v>
      </c>
      <c r="V75" s="81">
        <v>20</v>
      </c>
      <c r="W75" s="81">
        <v>1</v>
      </c>
      <c r="X75" s="93">
        <f t="shared" si="48"/>
        <v>22</v>
      </c>
      <c r="Y75" s="81">
        <v>0</v>
      </c>
      <c r="Z75" s="81">
        <v>1</v>
      </c>
      <c r="AA75" s="81">
        <v>19.5</v>
      </c>
      <c r="AB75" s="81">
        <v>1</v>
      </c>
      <c r="AC75" s="82">
        <f t="shared" si="49"/>
        <v>21.5</v>
      </c>
      <c r="AD75" s="82">
        <f t="shared" si="58"/>
        <v>1493820</v>
      </c>
      <c r="AE75" s="82">
        <f t="shared" si="50"/>
        <v>92880</v>
      </c>
      <c r="AF75" s="82">
        <f t="shared" si="51"/>
        <v>129000</v>
      </c>
      <c r="AG75" s="82">
        <f t="shared" si="52"/>
        <v>51600</v>
      </c>
      <c r="AH75" s="82">
        <f t="shared" si="59"/>
        <v>202100</v>
      </c>
      <c r="AI75" s="82">
        <f t="shared" si="53"/>
        <v>17200</v>
      </c>
      <c r="AJ75" s="82">
        <f t="shared" si="60"/>
        <v>20000</v>
      </c>
      <c r="AK75" s="82">
        <f t="shared" si="61"/>
        <v>20640</v>
      </c>
      <c r="AL75" s="82">
        <f t="shared" si="54"/>
        <v>652601.46</v>
      </c>
      <c r="AM75" s="82">
        <f t="shared" si="55"/>
        <v>2679841</v>
      </c>
      <c r="AN75" s="120"/>
      <c r="AO75" s="82">
        <f t="shared" si="62"/>
        <v>2679841</v>
      </c>
    </row>
    <row r="76" spans="1:41" ht="18" customHeight="1">
      <c r="A76" s="79" t="s">
        <v>4</v>
      </c>
      <c r="B76" s="80" t="s">
        <v>243</v>
      </c>
      <c r="C76" s="80" t="s">
        <v>959</v>
      </c>
      <c r="D76" s="81"/>
      <c r="E76" s="86">
        <v>27.655172413793</v>
      </c>
      <c r="F76" s="86">
        <v>13.5</v>
      </c>
      <c r="G76" s="86">
        <v>0</v>
      </c>
      <c r="H76" s="86">
        <v>8</v>
      </c>
      <c r="I76" s="82">
        <f t="shared" si="45"/>
        <v>49.155172413792997</v>
      </c>
      <c r="J76" s="81">
        <v>0</v>
      </c>
      <c r="K76" s="81">
        <v>0</v>
      </c>
      <c r="L76" s="81">
        <v>0</v>
      </c>
      <c r="M76" s="81">
        <v>0</v>
      </c>
      <c r="N76" s="82">
        <f t="shared" si="46"/>
        <v>0</v>
      </c>
      <c r="O76" s="82">
        <f t="shared" si="57"/>
        <v>27.655172413793</v>
      </c>
      <c r="P76" s="82">
        <f t="shared" si="57"/>
        <v>13.5</v>
      </c>
      <c r="Q76" s="82">
        <f t="shared" si="57"/>
        <v>0</v>
      </c>
      <c r="R76" s="82">
        <f t="shared" si="57"/>
        <v>8</v>
      </c>
      <c r="S76" s="93">
        <f t="shared" si="47"/>
        <v>49.155172413792997</v>
      </c>
      <c r="T76" s="81">
        <v>6</v>
      </c>
      <c r="U76" s="81">
        <v>4</v>
      </c>
      <c r="V76" s="81">
        <v>0</v>
      </c>
      <c r="W76" s="81">
        <v>9</v>
      </c>
      <c r="X76" s="93">
        <f t="shared" si="48"/>
        <v>19</v>
      </c>
      <c r="Y76" s="81">
        <v>6</v>
      </c>
      <c r="Z76" s="81">
        <v>4</v>
      </c>
      <c r="AA76" s="81">
        <v>0</v>
      </c>
      <c r="AB76" s="81">
        <v>9</v>
      </c>
      <c r="AC76" s="82">
        <f t="shared" si="49"/>
        <v>19</v>
      </c>
      <c r="AD76" s="82">
        <f t="shared" si="58"/>
        <v>1348080</v>
      </c>
      <c r="AE76" s="82">
        <f t="shared" si="50"/>
        <v>82080</v>
      </c>
      <c r="AF76" s="82">
        <f t="shared" si="51"/>
        <v>114000</v>
      </c>
      <c r="AG76" s="82">
        <f t="shared" si="52"/>
        <v>45600</v>
      </c>
      <c r="AH76" s="82">
        <f t="shared" si="59"/>
        <v>178600</v>
      </c>
      <c r="AI76" s="82">
        <f t="shared" si="53"/>
        <v>15200</v>
      </c>
      <c r="AJ76" s="82">
        <f t="shared" si="60"/>
        <v>0</v>
      </c>
      <c r="AK76" s="82">
        <f t="shared" si="61"/>
        <v>18240</v>
      </c>
      <c r="AL76" s="82">
        <f t="shared" si="54"/>
        <v>576717.56999999995</v>
      </c>
      <c r="AM76" s="82">
        <f t="shared" si="55"/>
        <v>2378518</v>
      </c>
      <c r="AN76" s="119">
        <v>158478</v>
      </c>
      <c r="AO76" s="120">
        <f t="shared" si="62"/>
        <v>2536996</v>
      </c>
    </row>
    <row r="77" spans="1:41" ht="18" customHeight="1">
      <c r="A77" s="79" t="s">
        <v>4</v>
      </c>
      <c r="B77" s="80" t="s">
        <v>242</v>
      </c>
      <c r="C77" s="80" t="s">
        <v>959</v>
      </c>
      <c r="D77" s="81"/>
      <c r="E77" s="86">
        <v>0</v>
      </c>
      <c r="F77" s="86">
        <v>8</v>
      </c>
      <c r="G77" s="86">
        <v>0</v>
      </c>
      <c r="H77" s="86">
        <v>5</v>
      </c>
      <c r="I77" s="82">
        <f t="shared" si="45"/>
        <v>13</v>
      </c>
      <c r="J77" s="81">
        <v>0</v>
      </c>
      <c r="K77" s="81">
        <v>0</v>
      </c>
      <c r="L77" s="81">
        <v>0</v>
      </c>
      <c r="M77" s="81">
        <v>0</v>
      </c>
      <c r="N77" s="82">
        <f t="shared" si="46"/>
        <v>0</v>
      </c>
      <c r="O77" s="82">
        <f t="shared" si="57"/>
        <v>0</v>
      </c>
      <c r="P77" s="82">
        <f t="shared" si="57"/>
        <v>8</v>
      </c>
      <c r="Q77" s="82">
        <f t="shared" si="57"/>
        <v>0</v>
      </c>
      <c r="R77" s="82">
        <f t="shared" si="57"/>
        <v>5</v>
      </c>
      <c r="S77" s="93">
        <f t="shared" si="47"/>
        <v>13</v>
      </c>
      <c r="T77" s="81">
        <v>6</v>
      </c>
      <c r="U77" s="81">
        <v>2</v>
      </c>
      <c r="V77" s="81">
        <v>0</v>
      </c>
      <c r="W77" s="81">
        <v>4</v>
      </c>
      <c r="X77" s="93">
        <f t="shared" si="48"/>
        <v>12</v>
      </c>
      <c r="Y77" s="81">
        <v>6</v>
      </c>
      <c r="Z77" s="81">
        <v>2</v>
      </c>
      <c r="AA77" s="81">
        <v>0</v>
      </c>
      <c r="AB77" s="81">
        <v>4</v>
      </c>
      <c r="AC77" s="82">
        <f t="shared" si="49"/>
        <v>12</v>
      </c>
      <c r="AD77" s="82">
        <f t="shared" si="58"/>
        <v>898440</v>
      </c>
      <c r="AE77" s="82">
        <f t="shared" si="50"/>
        <v>51840</v>
      </c>
      <c r="AF77" s="82">
        <f t="shared" si="51"/>
        <v>72000</v>
      </c>
      <c r="AG77" s="82">
        <f t="shared" si="52"/>
        <v>28800</v>
      </c>
      <c r="AH77" s="82">
        <f t="shared" si="59"/>
        <v>112800</v>
      </c>
      <c r="AI77" s="82">
        <f t="shared" si="53"/>
        <v>9600</v>
      </c>
      <c r="AJ77" s="82">
        <f t="shared" si="60"/>
        <v>0</v>
      </c>
      <c r="AK77" s="82">
        <f t="shared" si="61"/>
        <v>11520</v>
      </c>
      <c r="AL77" s="82">
        <f t="shared" si="54"/>
        <v>364242.68</v>
      </c>
      <c r="AM77" s="82">
        <f t="shared" si="55"/>
        <v>1549243</v>
      </c>
      <c r="AN77" s="119">
        <v>20400</v>
      </c>
      <c r="AO77" s="120">
        <f t="shared" si="62"/>
        <v>1569643</v>
      </c>
    </row>
    <row r="78" spans="1:41" ht="18" customHeight="1">
      <c r="A78" s="79" t="s">
        <v>4</v>
      </c>
      <c r="B78" s="80" t="s">
        <v>263</v>
      </c>
      <c r="C78" s="80" t="s">
        <v>959</v>
      </c>
      <c r="D78" s="81"/>
      <c r="E78" s="86">
        <v>16.344827586207</v>
      </c>
      <c r="F78" s="86">
        <v>13.5</v>
      </c>
      <c r="G78" s="86">
        <v>0</v>
      </c>
      <c r="H78" s="86">
        <v>8</v>
      </c>
      <c r="I78" s="82">
        <f t="shared" si="45"/>
        <v>37.844827586207003</v>
      </c>
      <c r="J78" s="81">
        <v>0</v>
      </c>
      <c r="K78" s="81">
        <v>0</v>
      </c>
      <c r="L78" s="81">
        <v>0</v>
      </c>
      <c r="M78" s="81">
        <v>0</v>
      </c>
      <c r="N78" s="82">
        <f t="shared" si="46"/>
        <v>0</v>
      </c>
      <c r="O78" s="82">
        <f t="shared" si="57"/>
        <v>16.344827586207</v>
      </c>
      <c r="P78" s="82">
        <f t="shared" si="57"/>
        <v>13.5</v>
      </c>
      <c r="Q78" s="82">
        <f t="shared" si="57"/>
        <v>0</v>
      </c>
      <c r="R78" s="82">
        <f t="shared" si="57"/>
        <v>8</v>
      </c>
      <c r="S78" s="93">
        <f t="shared" si="47"/>
        <v>37.844827586207003</v>
      </c>
      <c r="T78" s="81">
        <v>6</v>
      </c>
      <c r="U78" s="81">
        <v>9</v>
      </c>
      <c r="V78" s="81">
        <v>0</v>
      </c>
      <c r="W78" s="81">
        <v>8</v>
      </c>
      <c r="X78" s="93">
        <f t="shared" si="48"/>
        <v>23</v>
      </c>
      <c r="Y78" s="81">
        <v>6</v>
      </c>
      <c r="Z78" s="81">
        <v>9</v>
      </c>
      <c r="AA78" s="81">
        <v>0</v>
      </c>
      <c r="AB78" s="81">
        <v>8</v>
      </c>
      <c r="AC78" s="82">
        <f t="shared" si="49"/>
        <v>23</v>
      </c>
      <c r="AD78" s="82">
        <f t="shared" si="58"/>
        <v>1678380</v>
      </c>
      <c r="AE78" s="82">
        <f t="shared" si="50"/>
        <v>99360</v>
      </c>
      <c r="AF78" s="82">
        <f t="shared" si="51"/>
        <v>138000</v>
      </c>
      <c r="AG78" s="82">
        <f t="shared" si="52"/>
        <v>55200</v>
      </c>
      <c r="AH78" s="82">
        <f t="shared" si="59"/>
        <v>216200</v>
      </c>
      <c r="AI78" s="82">
        <f t="shared" si="53"/>
        <v>18400</v>
      </c>
      <c r="AJ78" s="82">
        <f t="shared" si="60"/>
        <v>0</v>
      </c>
      <c r="AK78" s="82">
        <f t="shared" si="61"/>
        <v>22080</v>
      </c>
      <c r="AL78" s="82">
        <f t="shared" si="54"/>
        <v>698131.8</v>
      </c>
      <c r="AM78" s="82">
        <f t="shared" si="55"/>
        <v>2925752</v>
      </c>
      <c r="AN78" s="119">
        <v>36465</v>
      </c>
      <c r="AO78" s="120">
        <f t="shared" si="62"/>
        <v>2962217</v>
      </c>
    </row>
    <row r="79" spans="1:41" ht="18" customHeight="1">
      <c r="A79" s="79" t="s">
        <v>4</v>
      </c>
      <c r="B79" s="80" t="s">
        <v>241</v>
      </c>
      <c r="C79" s="80" t="s">
        <v>959</v>
      </c>
      <c r="D79" s="81"/>
      <c r="E79" s="86">
        <v>44.448275862069003</v>
      </c>
      <c r="F79" s="86">
        <v>36</v>
      </c>
      <c r="G79" s="86">
        <v>0</v>
      </c>
      <c r="H79" s="86">
        <v>24</v>
      </c>
      <c r="I79" s="82">
        <f t="shared" si="45"/>
        <v>104.44827586206901</v>
      </c>
      <c r="J79" s="81">
        <v>0</v>
      </c>
      <c r="K79" s="81">
        <v>2</v>
      </c>
      <c r="L79" s="81">
        <v>0</v>
      </c>
      <c r="M79" s="81">
        <v>0</v>
      </c>
      <c r="N79" s="82">
        <f t="shared" si="46"/>
        <v>2</v>
      </c>
      <c r="O79" s="82">
        <f t="shared" si="57"/>
        <v>44.448275862069003</v>
      </c>
      <c r="P79" s="82">
        <f t="shared" si="57"/>
        <v>38</v>
      </c>
      <c r="Q79" s="82">
        <f t="shared" si="57"/>
        <v>0</v>
      </c>
      <c r="R79" s="82">
        <f t="shared" si="57"/>
        <v>24</v>
      </c>
      <c r="S79" s="93">
        <f t="shared" si="47"/>
        <v>106.44827586206901</v>
      </c>
      <c r="T79" s="81">
        <v>12</v>
      </c>
      <c r="U79" s="81">
        <v>9</v>
      </c>
      <c r="V79" s="81">
        <v>0</v>
      </c>
      <c r="W79" s="81">
        <v>22</v>
      </c>
      <c r="X79" s="93">
        <f t="shared" si="48"/>
        <v>43</v>
      </c>
      <c r="Y79" s="81">
        <v>12</v>
      </c>
      <c r="Z79" s="81">
        <v>9</v>
      </c>
      <c r="AA79" s="81">
        <v>0</v>
      </c>
      <c r="AB79" s="81">
        <v>22</v>
      </c>
      <c r="AC79" s="82">
        <f t="shared" si="49"/>
        <v>43</v>
      </c>
      <c r="AD79" s="82">
        <f t="shared" si="58"/>
        <v>3009180</v>
      </c>
      <c r="AE79" s="82">
        <f t="shared" si="50"/>
        <v>185760</v>
      </c>
      <c r="AF79" s="82">
        <f t="shared" si="51"/>
        <v>258000</v>
      </c>
      <c r="AG79" s="82">
        <f t="shared" si="52"/>
        <v>103200</v>
      </c>
      <c r="AH79" s="82">
        <f t="shared" si="59"/>
        <v>404200</v>
      </c>
      <c r="AI79" s="82">
        <f t="shared" si="53"/>
        <v>34400</v>
      </c>
      <c r="AJ79" s="82">
        <f t="shared" si="60"/>
        <v>0</v>
      </c>
      <c r="AK79" s="82">
        <f t="shared" si="61"/>
        <v>41280</v>
      </c>
      <c r="AL79" s="82">
        <f t="shared" si="54"/>
        <v>1305202.93</v>
      </c>
      <c r="AM79" s="82">
        <f t="shared" si="55"/>
        <v>5341223</v>
      </c>
      <c r="AN79" s="119">
        <v>64523.75</v>
      </c>
      <c r="AO79" s="120">
        <f t="shared" si="62"/>
        <v>5405746.75</v>
      </c>
    </row>
    <row r="80" spans="1:41" s="83" customFormat="1" ht="18" customHeight="1">
      <c r="A80" s="79" t="s">
        <v>4</v>
      </c>
      <c r="B80" s="80" t="s">
        <v>703</v>
      </c>
      <c r="C80" s="80" t="s">
        <v>959</v>
      </c>
      <c r="D80" s="81"/>
      <c r="E80" s="86">
        <v>0</v>
      </c>
      <c r="F80" s="86">
        <v>8</v>
      </c>
      <c r="G80" s="86">
        <v>0</v>
      </c>
      <c r="H80" s="86">
        <v>5</v>
      </c>
      <c r="I80" s="82">
        <f t="shared" si="45"/>
        <v>13</v>
      </c>
      <c r="J80" s="81">
        <v>1</v>
      </c>
      <c r="K80" s="81">
        <v>0</v>
      </c>
      <c r="L80" s="81">
        <v>0</v>
      </c>
      <c r="M80" s="81">
        <v>0</v>
      </c>
      <c r="N80" s="82">
        <f t="shared" si="46"/>
        <v>1</v>
      </c>
      <c r="O80" s="82">
        <f t="shared" si="57"/>
        <v>1</v>
      </c>
      <c r="P80" s="82">
        <f t="shared" si="57"/>
        <v>8</v>
      </c>
      <c r="Q80" s="82">
        <f t="shared" si="57"/>
        <v>0</v>
      </c>
      <c r="R80" s="82">
        <f t="shared" si="57"/>
        <v>5</v>
      </c>
      <c r="S80" s="93">
        <f t="shared" si="47"/>
        <v>14</v>
      </c>
      <c r="T80" s="81">
        <v>2</v>
      </c>
      <c r="U80" s="81">
        <v>4</v>
      </c>
      <c r="V80" s="81">
        <v>0</v>
      </c>
      <c r="W80" s="81">
        <v>5</v>
      </c>
      <c r="X80" s="93">
        <f t="shared" si="48"/>
        <v>11</v>
      </c>
      <c r="Y80" s="81">
        <v>2</v>
      </c>
      <c r="Z80" s="81">
        <v>4</v>
      </c>
      <c r="AA80" s="81">
        <v>0</v>
      </c>
      <c r="AB80" s="81">
        <v>5</v>
      </c>
      <c r="AC80" s="82">
        <f t="shared" si="49"/>
        <v>11</v>
      </c>
      <c r="AD80" s="82">
        <f t="shared" si="58"/>
        <v>774480</v>
      </c>
      <c r="AE80" s="82">
        <f t="shared" si="50"/>
        <v>47520</v>
      </c>
      <c r="AF80" s="82">
        <f t="shared" si="51"/>
        <v>66000</v>
      </c>
      <c r="AG80" s="82">
        <f t="shared" si="52"/>
        <v>26400</v>
      </c>
      <c r="AH80" s="82">
        <f t="shared" si="59"/>
        <v>103400</v>
      </c>
      <c r="AI80" s="82">
        <f t="shared" si="53"/>
        <v>8800</v>
      </c>
      <c r="AJ80" s="82">
        <f t="shared" si="60"/>
        <v>0</v>
      </c>
      <c r="AK80" s="82">
        <f t="shared" si="61"/>
        <v>10560</v>
      </c>
      <c r="AL80" s="82">
        <f t="shared" si="54"/>
        <v>333889.12</v>
      </c>
      <c r="AM80" s="82">
        <f t="shared" si="55"/>
        <v>1371049</v>
      </c>
      <c r="AN80" s="120">
        <v>12877.5</v>
      </c>
      <c r="AO80" s="120">
        <f t="shared" si="62"/>
        <v>1383926.5</v>
      </c>
    </row>
    <row r="81" spans="1:41" ht="18" customHeight="1">
      <c r="A81" s="79" t="s">
        <v>4</v>
      </c>
      <c r="B81" s="80" t="s">
        <v>238</v>
      </c>
      <c r="C81" s="80" t="s">
        <v>464</v>
      </c>
      <c r="D81" s="81"/>
      <c r="E81" s="86">
        <v>21.949579831933001</v>
      </c>
      <c r="F81" s="86">
        <v>11</v>
      </c>
      <c r="G81" s="86">
        <v>0</v>
      </c>
      <c r="H81" s="86">
        <v>6</v>
      </c>
      <c r="I81" s="82">
        <f t="shared" si="45"/>
        <v>38.949579831933001</v>
      </c>
      <c r="J81" s="81">
        <v>2</v>
      </c>
      <c r="K81" s="81">
        <v>1</v>
      </c>
      <c r="L81" s="81">
        <v>0</v>
      </c>
      <c r="M81" s="81">
        <v>0</v>
      </c>
      <c r="N81" s="82">
        <f t="shared" si="46"/>
        <v>3</v>
      </c>
      <c r="O81" s="82">
        <f t="shared" si="57"/>
        <v>23.949579831933001</v>
      </c>
      <c r="P81" s="82">
        <f t="shared" si="57"/>
        <v>12</v>
      </c>
      <c r="Q81" s="82">
        <f t="shared" si="57"/>
        <v>0</v>
      </c>
      <c r="R81" s="82">
        <f t="shared" si="57"/>
        <v>6</v>
      </c>
      <c r="S81" s="93">
        <f t="shared" si="47"/>
        <v>41.949579831933001</v>
      </c>
      <c r="T81" s="81">
        <v>5</v>
      </c>
      <c r="U81" s="81">
        <v>6</v>
      </c>
      <c r="V81" s="81">
        <v>2</v>
      </c>
      <c r="W81" s="81">
        <v>6</v>
      </c>
      <c r="X81" s="93">
        <f t="shared" si="48"/>
        <v>19</v>
      </c>
      <c r="Y81" s="81">
        <v>5</v>
      </c>
      <c r="Z81" s="81">
        <v>6</v>
      </c>
      <c r="AA81" s="81">
        <v>2</v>
      </c>
      <c r="AB81" s="81">
        <v>6</v>
      </c>
      <c r="AC81" s="82">
        <f t="shared" si="49"/>
        <v>19</v>
      </c>
      <c r="AD81" s="82">
        <f t="shared" ref="AD81:AD84" si="63">(Y81*9230+Z81*7215+AA81*5800+AB81*5100)*12</f>
        <v>1579680</v>
      </c>
      <c r="AE81" s="82">
        <f t="shared" si="50"/>
        <v>82080</v>
      </c>
      <c r="AF81" s="82">
        <f t="shared" si="51"/>
        <v>114000</v>
      </c>
      <c r="AG81" s="82">
        <f t="shared" si="52"/>
        <v>45600</v>
      </c>
      <c r="AH81" s="82">
        <f t="shared" ref="AH81:AH84" si="64">Y81*15400+(Z81+AA81+AB81)*9400</f>
        <v>208600</v>
      </c>
      <c r="AI81" s="82">
        <f t="shared" si="53"/>
        <v>15200</v>
      </c>
      <c r="AJ81" s="82">
        <f t="shared" si="60"/>
        <v>0</v>
      </c>
      <c r="AK81" s="82">
        <f t="shared" si="61"/>
        <v>18240</v>
      </c>
      <c r="AL81" s="82">
        <f t="shared" si="54"/>
        <v>576717.56999999995</v>
      </c>
      <c r="AM81" s="82">
        <f t="shared" si="55"/>
        <v>2640118</v>
      </c>
      <c r="AN81" s="119">
        <v>15204.38</v>
      </c>
      <c r="AO81" s="120">
        <f t="shared" si="62"/>
        <v>2655322.38</v>
      </c>
    </row>
    <row r="82" spans="1:41" s="83" customFormat="1" ht="18" customHeight="1">
      <c r="A82" s="79" t="s">
        <v>4</v>
      </c>
      <c r="B82" s="80" t="s">
        <v>704</v>
      </c>
      <c r="C82" s="80" t="s">
        <v>464</v>
      </c>
      <c r="D82" s="81"/>
      <c r="E82" s="86">
        <v>34.831932773109003</v>
      </c>
      <c r="F82" s="86">
        <v>10</v>
      </c>
      <c r="G82" s="86">
        <v>0</v>
      </c>
      <c r="H82" s="86">
        <v>9</v>
      </c>
      <c r="I82" s="82">
        <f t="shared" si="45"/>
        <v>53.831932773109003</v>
      </c>
      <c r="J82" s="81">
        <v>0</v>
      </c>
      <c r="K82" s="81">
        <v>2</v>
      </c>
      <c r="L82" s="81">
        <v>0</v>
      </c>
      <c r="M82" s="81">
        <v>0</v>
      </c>
      <c r="N82" s="82">
        <f t="shared" si="46"/>
        <v>2</v>
      </c>
      <c r="O82" s="82">
        <f t="shared" si="57"/>
        <v>34.831932773109003</v>
      </c>
      <c r="P82" s="82">
        <f t="shared" si="57"/>
        <v>12</v>
      </c>
      <c r="Q82" s="82">
        <f t="shared" si="57"/>
        <v>0</v>
      </c>
      <c r="R82" s="82">
        <f t="shared" si="57"/>
        <v>9</v>
      </c>
      <c r="S82" s="93">
        <f t="shared" si="47"/>
        <v>55.831932773109003</v>
      </c>
      <c r="T82" s="81">
        <v>0</v>
      </c>
      <c r="U82" s="81">
        <v>10</v>
      </c>
      <c r="V82" s="81">
        <v>0</v>
      </c>
      <c r="W82" s="81">
        <v>10</v>
      </c>
      <c r="X82" s="93">
        <f t="shared" si="48"/>
        <v>20</v>
      </c>
      <c r="Y82" s="81">
        <v>0</v>
      </c>
      <c r="Z82" s="81">
        <v>10</v>
      </c>
      <c r="AA82" s="81">
        <v>0</v>
      </c>
      <c r="AB82" s="81">
        <v>10</v>
      </c>
      <c r="AC82" s="82">
        <f t="shared" si="49"/>
        <v>20</v>
      </c>
      <c r="AD82" s="82">
        <f t="shared" si="63"/>
        <v>1477800</v>
      </c>
      <c r="AE82" s="82">
        <f t="shared" si="50"/>
        <v>86400</v>
      </c>
      <c r="AF82" s="82">
        <f t="shared" si="51"/>
        <v>120000</v>
      </c>
      <c r="AG82" s="82">
        <f t="shared" si="52"/>
        <v>48000</v>
      </c>
      <c r="AH82" s="82">
        <f t="shared" si="64"/>
        <v>188000</v>
      </c>
      <c r="AI82" s="82">
        <f t="shared" si="53"/>
        <v>16000</v>
      </c>
      <c r="AJ82" s="82">
        <f t="shared" si="60"/>
        <v>0</v>
      </c>
      <c r="AK82" s="82">
        <f t="shared" si="61"/>
        <v>19200</v>
      </c>
      <c r="AL82" s="82">
        <f t="shared" si="54"/>
        <v>607071.13</v>
      </c>
      <c r="AM82" s="82">
        <f t="shared" si="55"/>
        <v>2562471</v>
      </c>
      <c r="AN82" s="120">
        <v>12431.25</v>
      </c>
      <c r="AO82" s="120">
        <f t="shared" si="62"/>
        <v>2574902.25</v>
      </c>
    </row>
    <row r="83" spans="1:41" ht="18" customHeight="1">
      <c r="A83" s="79" t="s">
        <v>4</v>
      </c>
      <c r="B83" s="80" t="s">
        <v>705</v>
      </c>
      <c r="C83" s="80" t="s">
        <v>464</v>
      </c>
      <c r="D83" s="81"/>
      <c r="E83" s="86">
        <v>43.420168067227003</v>
      </c>
      <c r="F83" s="86">
        <v>28</v>
      </c>
      <c r="G83" s="86">
        <v>0</v>
      </c>
      <c r="H83" s="86">
        <v>18</v>
      </c>
      <c r="I83" s="82">
        <f t="shared" si="45"/>
        <v>89.420168067226996</v>
      </c>
      <c r="J83" s="81">
        <v>4</v>
      </c>
      <c r="K83" s="81">
        <v>1</v>
      </c>
      <c r="L83" s="81">
        <v>0</v>
      </c>
      <c r="M83" s="81">
        <v>1</v>
      </c>
      <c r="N83" s="82">
        <f t="shared" si="46"/>
        <v>6</v>
      </c>
      <c r="O83" s="82">
        <f t="shared" si="57"/>
        <v>47.420168067227003</v>
      </c>
      <c r="P83" s="82">
        <f t="shared" si="57"/>
        <v>29</v>
      </c>
      <c r="Q83" s="82">
        <f t="shared" si="57"/>
        <v>0</v>
      </c>
      <c r="R83" s="82">
        <f t="shared" si="57"/>
        <v>19</v>
      </c>
      <c r="S83" s="93">
        <f t="shared" si="47"/>
        <v>95.420168067226996</v>
      </c>
      <c r="T83" s="81">
        <v>5</v>
      </c>
      <c r="U83" s="81">
        <v>13</v>
      </c>
      <c r="V83" s="81">
        <v>0</v>
      </c>
      <c r="W83" s="81">
        <v>12</v>
      </c>
      <c r="X83" s="93">
        <f t="shared" si="48"/>
        <v>30</v>
      </c>
      <c r="Y83" s="81">
        <v>5</v>
      </c>
      <c r="Z83" s="81">
        <v>13</v>
      </c>
      <c r="AA83" s="81">
        <v>0</v>
      </c>
      <c r="AB83" s="81">
        <v>12</v>
      </c>
      <c r="AC83" s="82">
        <f t="shared" si="49"/>
        <v>30</v>
      </c>
      <c r="AD83" s="82">
        <f t="shared" si="63"/>
        <v>2413740</v>
      </c>
      <c r="AE83" s="82">
        <f t="shared" si="50"/>
        <v>129600</v>
      </c>
      <c r="AF83" s="82">
        <f t="shared" si="51"/>
        <v>180000</v>
      </c>
      <c r="AG83" s="82">
        <f t="shared" si="52"/>
        <v>72000</v>
      </c>
      <c r="AH83" s="82">
        <f t="shared" si="64"/>
        <v>312000</v>
      </c>
      <c r="AI83" s="82">
        <f t="shared" si="53"/>
        <v>24000</v>
      </c>
      <c r="AJ83" s="82">
        <f t="shared" si="60"/>
        <v>0</v>
      </c>
      <c r="AK83" s="82">
        <f t="shared" si="61"/>
        <v>28800</v>
      </c>
      <c r="AL83" s="82">
        <f t="shared" si="54"/>
        <v>910606.69</v>
      </c>
      <c r="AM83" s="82">
        <f t="shared" si="55"/>
        <v>4070747</v>
      </c>
      <c r="AN83" s="119">
        <v>239229</v>
      </c>
      <c r="AO83" s="120">
        <f t="shared" si="62"/>
        <v>4309976</v>
      </c>
    </row>
    <row r="84" spans="1:41" ht="18" customHeight="1">
      <c r="A84" s="79" t="s">
        <v>4</v>
      </c>
      <c r="B84" s="80" t="s">
        <v>236</v>
      </c>
      <c r="C84" s="80" t="s">
        <v>464</v>
      </c>
      <c r="D84" s="81"/>
      <c r="E84" s="86">
        <v>19.6386554621849</v>
      </c>
      <c r="F84" s="86">
        <v>10.5</v>
      </c>
      <c r="G84" s="86">
        <v>0</v>
      </c>
      <c r="H84" s="86">
        <v>6</v>
      </c>
      <c r="I84" s="82">
        <f t="shared" si="45"/>
        <v>36.1386554621849</v>
      </c>
      <c r="J84" s="81">
        <v>4</v>
      </c>
      <c r="K84" s="81">
        <v>1</v>
      </c>
      <c r="L84" s="81">
        <v>0</v>
      </c>
      <c r="M84" s="81">
        <v>1</v>
      </c>
      <c r="N84" s="82">
        <f t="shared" si="46"/>
        <v>6</v>
      </c>
      <c r="O84" s="82">
        <f t="shared" si="57"/>
        <v>23.6386554621849</v>
      </c>
      <c r="P84" s="82">
        <f t="shared" si="57"/>
        <v>11.5</v>
      </c>
      <c r="Q84" s="82">
        <f t="shared" si="57"/>
        <v>0</v>
      </c>
      <c r="R84" s="82">
        <f t="shared" si="57"/>
        <v>7</v>
      </c>
      <c r="S84" s="93">
        <f t="shared" si="47"/>
        <v>42.1386554621849</v>
      </c>
      <c r="T84" s="81">
        <v>7</v>
      </c>
      <c r="U84" s="81">
        <v>3</v>
      </c>
      <c r="V84" s="81">
        <v>0</v>
      </c>
      <c r="W84" s="81">
        <v>7</v>
      </c>
      <c r="X84" s="93">
        <f t="shared" si="48"/>
        <v>17</v>
      </c>
      <c r="Y84" s="81">
        <v>7</v>
      </c>
      <c r="Z84" s="81">
        <v>3</v>
      </c>
      <c r="AA84" s="81">
        <v>0</v>
      </c>
      <c r="AB84" s="81">
        <v>7</v>
      </c>
      <c r="AC84" s="82">
        <f t="shared" si="49"/>
        <v>17</v>
      </c>
      <c r="AD84" s="82">
        <f t="shared" si="63"/>
        <v>1463460</v>
      </c>
      <c r="AE84" s="82">
        <f t="shared" si="50"/>
        <v>73440</v>
      </c>
      <c r="AF84" s="82">
        <f t="shared" si="51"/>
        <v>102000</v>
      </c>
      <c r="AG84" s="82">
        <f t="shared" si="52"/>
        <v>40800</v>
      </c>
      <c r="AH84" s="82">
        <f t="shared" si="64"/>
        <v>201800</v>
      </c>
      <c r="AI84" s="82">
        <f t="shared" si="53"/>
        <v>13600</v>
      </c>
      <c r="AJ84" s="82">
        <f t="shared" si="60"/>
        <v>0</v>
      </c>
      <c r="AK84" s="82">
        <f t="shared" si="61"/>
        <v>16320</v>
      </c>
      <c r="AL84" s="82">
        <f t="shared" si="54"/>
        <v>516010.46</v>
      </c>
      <c r="AM84" s="82">
        <f t="shared" si="55"/>
        <v>2427430</v>
      </c>
      <c r="AN84" s="119">
        <v>97730.75</v>
      </c>
      <c r="AO84" s="120">
        <f t="shared" si="62"/>
        <v>2525160.75</v>
      </c>
    </row>
    <row r="85" spans="1:41" s="83" customFormat="1" ht="18" customHeight="1">
      <c r="A85" s="79" t="s">
        <v>4</v>
      </c>
      <c r="B85" s="80" t="s">
        <v>706</v>
      </c>
      <c r="C85" s="80" t="s">
        <v>649</v>
      </c>
      <c r="D85" s="81">
        <v>1</v>
      </c>
      <c r="E85" s="86">
        <v>0</v>
      </c>
      <c r="F85" s="86">
        <v>2</v>
      </c>
      <c r="G85" s="86">
        <v>20.5625</v>
      </c>
      <c r="H85" s="86">
        <v>2</v>
      </c>
      <c r="I85" s="82">
        <f t="shared" si="45"/>
        <v>24.5625</v>
      </c>
      <c r="J85" s="81">
        <v>1</v>
      </c>
      <c r="K85" s="81">
        <v>0</v>
      </c>
      <c r="L85" s="81">
        <v>0</v>
      </c>
      <c r="M85" s="81">
        <v>0</v>
      </c>
      <c r="N85" s="82">
        <f t="shared" si="46"/>
        <v>1</v>
      </c>
      <c r="O85" s="82">
        <f t="shared" si="57"/>
        <v>1</v>
      </c>
      <c r="P85" s="82">
        <f t="shared" si="57"/>
        <v>2</v>
      </c>
      <c r="Q85" s="82">
        <f t="shared" si="57"/>
        <v>20.5625</v>
      </c>
      <c r="R85" s="82">
        <f t="shared" si="57"/>
        <v>2</v>
      </c>
      <c r="S85" s="93">
        <f t="shared" si="47"/>
        <v>25.5625</v>
      </c>
      <c r="T85" s="81">
        <v>1</v>
      </c>
      <c r="U85" s="81">
        <v>3</v>
      </c>
      <c r="V85" s="81">
        <v>14</v>
      </c>
      <c r="W85" s="81">
        <v>1</v>
      </c>
      <c r="X85" s="93">
        <f t="shared" si="48"/>
        <v>19</v>
      </c>
      <c r="Y85" s="81">
        <v>1</v>
      </c>
      <c r="Z85" s="81">
        <v>3</v>
      </c>
      <c r="AA85" s="81">
        <v>14</v>
      </c>
      <c r="AB85" s="81">
        <v>1</v>
      </c>
      <c r="AC85" s="82">
        <f t="shared" si="49"/>
        <v>19</v>
      </c>
      <c r="AD85" s="82">
        <f>(Y85*7050+Z85*6485+AA85*5800+AB85*4900)*12</f>
        <v>1351260</v>
      </c>
      <c r="AE85" s="82">
        <f t="shared" si="50"/>
        <v>82080</v>
      </c>
      <c r="AF85" s="82">
        <f t="shared" si="51"/>
        <v>114000</v>
      </c>
      <c r="AG85" s="82">
        <f t="shared" si="52"/>
        <v>45600</v>
      </c>
      <c r="AH85" s="82">
        <f t="shared" si="59"/>
        <v>178600</v>
      </c>
      <c r="AI85" s="82">
        <f t="shared" si="53"/>
        <v>15200</v>
      </c>
      <c r="AJ85" s="82">
        <f t="shared" si="60"/>
        <v>10000</v>
      </c>
      <c r="AK85" s="82">
        <f t="shared" si="61"/>
        <v>18240</v>
      </c>
      <c r="AL85" s="82">
        <f t="shared" si="54"/>
        <v>576717.56999999995</v>
      </c>
      <c r="AM85" s="82">
        <f t="shared" si="55"/>
        <v>2391698</v>
      </c>
      <c r="AN85" s="120"/>
      <c r="AO85" s="82">
        <f t="shared" si="62"/>
        <v>2391698</v>
      </c>
    </row>
    <row r="86" spans="1:41" s="83" customFormat="1" ht="18" customHeight="1">
      <c r="A86" s="79" t="s">
        <v>4</v>
      </c>
      <c r="B86" s="80" t="s">
        <v>707</v>
      </c>
      <c r="C86" s="80" t="s">
        <v>649</v>
      </c>
      <c r="D86" s="81">
        <v>1</v>
      </c>
      <c r="E86" s="86">
        <v>0</v>
      </c>
      <c r="F86" s="86">
        <v>2</v>
      </c>
      <c r="G86" s="86">
        <v>28.837499999999999</v>
      </c>
      <c r="H86" s="86">
        <v>1</v>
      </c>
      <c r="I86" s="82">
        <f t="shared" si="45"/>
        <v>31.837499999999999</v>
      </c>
      <c r="J86" s="81">
        <v>0</v>
      </c>
      <c r="K86" s="81">
        <v>0</v>
      </c>
      <c r="L86" s="81">
        <v>0</v>
      </c>
      <c r="M86" s="81">
        <v>0</v>
      </c>
      <c r="N86" s="82">
        <f t="shared" si="46"/>
        <v>0</v>
      </c>
      <c r="O86" s="82">
        <f t="shared" si="57"/>
        <v>0</v>
      </c>
      <c r="P86" s="82">
        <f t="shared" si="57"/>
        <v>2</v>
      </c>
      <c r="Q86" s="82">
        <f t="shared" si="57"/>
        <v>28.837499999999999</v>
      </c>
      <c r="R86" s="82">
        <f t="shared" si="57"/>
        <v>1</v>
      </c>
      <c r="S86" s="93">
        <f t="shared" si="47"/>
        <v>31.837499999999999</v>
      </c>
      <c r="T86" s="81">
        <v>0</v>
      </c>
      <c r="U86" s="81">
        <v>0</v>
      </c>
      <c r="V86" s="81">
        <v>29</v>
      </c>
      <c r="W86" s="81">
        <v>1</v>
      </c>
      <c r="X86" s="93">
        <f t="shared" si="48"/>
        <v>30</v>
      </c>
      <c r="Y86" s="81">
        <v>0</v>
      </c>
      <c r="Z86" s="81">
        <v>0</v>
      </c>
      <c r="AA86" s="81">
        <v>29</v>
      </c>
      <c r="AB86" s="81">
        <v>1</v>
      </c>
      <c r="AC86" s="82">
        <f t="shared" si="49"/>
        <v>30</v>
      </c>
      <c r="AD86" s="82">
        <f>(Y86*7050+Z86*6485+AA86*5800+AB86*4900)*12</f>
        <v>2077200</v>
      </c>
      <c r="AE86" s="82">
        <f t="shared" si="50"/>
        <v>129600</v>
      </c>
      <c r="AF86" s="82">
        <f t="shared" si="51"/>
        <v>180000</v>
      </c>
      <c r="AG86" s="82">
        <f t="shared" si="52"/>
        <v>72000</v>
      </c>
      <c r="AH86" s="82">
        <f t="shared" si="59"/>
        <v>282000</v>
      </c>
      <c r="AI86" s="82">
        <f t="shared" si="53"/>
        <v>24000</v>
      </c>
      <c r="AJ86" s="82">
        <f t="shared" si="60"/>
        <v>10000</v>
      </c>
      <c r="AK86" s="82">
        <f t="shared" si="61"/>
        <v>28800</v>
      </c>
      <c r="AL86" s="82">
        <f t="shared" si="54"/>
        <v>910606.69</v>
      </c>
      <c r="AM86" s="82">
        <f t="shared" si="55"/>
        <v>3714207</v>
      </c>
      <c r="AN86" s="120"/>
      <c r="AO86" s="82">
        <f t="shared" si="62"/>
        <v>3714207</v>
      </c>
    </row>
    <row r="87" spans="1:41" s="83" customFormat="1" ht="18" customHeight="1">
      <c r="A87" s="79" t="s">
        <v>4</v>
      </c>
      <c r="B87" s="80" t="s">
        <v>708</v>
      </c>
      <c r="C87" s="80" t="s">
        <v>649</v>
      </c>
      <c r="D87" s="81">
        <v>1</v>
      </c>
      <c r="E87" s="86">
        <v>0</v>
      </c>
      <c r="F87" s="86">
        <v>2</v>
      </c>
      <c r="G87" s="86">
        <v>11.574999999999999</v>
      </c>
      <c r="H87" s="86">
        <v>2</v>
      </c>
      <c r="I87" s="82">
        <f t="shared" si="45"/>
        <v>15.574999999999999</v>
      </c>
      <c r="J87" s="81">
        <v>2</v>
      </c>
      <c r="K87" s="81">
        <v>0</v>
      </c>
      <c r="L87" s="81">
        <v>1</v>
      </c>
      <c r="M87" s="81">
        <v>0</v>
      </c>
      <c r="N87" s="82">
        <f t="shared" si="46"/>
        <v>3</v>
      </c>
      <c r="O87" s="82">
        <f t="shared" si="57"/>
        <v>2</v>
      </c>
      <c r="P87" s="82">
        <f t="shared" si="57"/>
        <v>2</v>
      </c>
      <c r="Q87" s="82">
        <f t="shared" si="57"/>
        <v>12.574999999999999</v>
      </c>
      <c r="R87" s="82">
        <f t="shared" si="57"/>
        <v>2</v>
      </c>
      <c r="S87" s="93">
        <f t="shared" si="47"/>
        <v>18.574999999999999</v>
      </c>
      <c r="T87" s="81">
        <v>2</v>
      </c>
      <c r="U87" s="81">
        <v>2</v>
      </c>
      <c r="V87" s="81">
        <v>13</v>
      </c>
      <c r="W87" s="81">
        <v>2</v>
      </c>
      <c r="X87" s="93">
        <f t="shared" si="48"/>
        <v>19</v>
      </c>
      <c r="Y87" s="81">
        <v>2</v>
      </c>
      <c r="Z87" s="81">
        <v>2</v>
      </c>
      <c r="AA87" s="81">
        <v>12.574999999999999</v>
      </c>
      <c r="AB87" s="81">
        <v>2</v>
      </c>
      <c r="AC87" s="82">
        <f t="shared" si="49"/>
        <v>18.574999999999999</v>
      </c>
      <c r="AD87" s="82">
        <f>(Y87*7050+Z87*6485+AA87*5800+AB87*4900)*12</f>
        <v>1317660</v>
      </c>
      <c r="AE87" s="82">
        <f t="shared" si="50"/>
        <v>80244</v>
      </c>
      <c r="AF87" s="82">
        <f t="shared" si="51"/>
        <v>111450</v>
      </c>
      <c r="AG87" s="82">
        <f t="shared" si="52"/>
        <v>44580</v>
      </c>
      <c r="AH87" s="82">
        <f t="shared" si="59"/>
        <v>174605</v>
      </c>
      <c r="AI87" s="82">
        <f>AC87*800</f>
        <v>14860</v>
      </c>
      <c r="AJ87" s="82">
        <f>D87*50*200</f>
        <v>10000</v>
      </c>
      <c r="AK87" s="82">
        <f>AC87*960</f>
        <v>17832</v>
      </c>
      <c r="AL87" s="82">
        <f t="shared" si="54"/>
        <v>563817.31000000006</v>
      </c>
      <c r="AM87" s="82">
        <f t="shared" si="55"/>
        <v>2335048</v>
      </c>
      <c r="AN87" s="120"/>
      <c r="AO87" s="82">
        <f t="shared" si="62"/>
        <v>2335048</v>
      </c>
    </row>
    <row r="88" spans="1:41" ht="18" customHeight="1">
      <c r="A88" s="79" t="s">
        <v>4</v>
      </c>
      <c r="B88" s="80" t="s">
        <v>709</v>
      </c>
      <c r="C88" s="80" t="s">
        <v>972</v>
      </c>
      <c r="D88" s="81"/>
      <c r="E88" s="86">
        <v>39</v>
      </c>
      <c r="F88" s="86">
        <v>11</v>
      </c>
      <c r="G88" s="86">
        <v>0</v>
      </c>
      <c r="H88" s="86">
        <v>9</v>
      </c>
      <c r="I88" s="82">
        <f t="shared" si="45"/>
        <v>59</v>
      </c>
      <c r="J88" s="81">
        <v>6</v>
      </c>
      <c r="K88" s="81">
        <v>1</v>
      </c>
      <c r="L88" s="81">
        <v>0</v>
      </c>
      <c r="M88" s="81">
        <v>1</v>
      </c>
      <c r="N88" s="82">
        <f t="shared" si="46"/>
        <v>8</v>
      </c>
      <c r="O88" s="82">
        <f t="shared" si="57"/>
        <v>45</v>
      </c>
      <c r="P88" s="82">
        <f t="shared" si="57"/>
        <v>12</v>
      </c>
      <c r="Q88" s="82">
        <f t="shared" si="57"/>
        <v>0</v>
      </c>
      <c r="R88" s="82">
        <f t="shared" si="57"/>
        <v>10</v>
      </c>
      <c r="S88" s="93">
        <f t="shared" si="47"/>
        <v>67</v>
      </c>
      <c r="T88" s="81">
        <v>10</v>
      </c>
      <c r="U88" s="81">
        <v>6</v>
      </c>
      <c r="V88" s="81">
        <v>0</v>
      </c>
      <c r="W88" s="81">
        <v>10</v>
      </c>
      <c r="X88" s="93">
        <f t="shared" si="48"/>
        <v>26</v>
      </c>
      <c r="Y88" s="81">
        <v>10</v>
      </c>
      <c r="Z88" s="81">
        <v>6</v>
      </c>
      <c r="AA88" s="81">
        <v>0</v>
      </c>
      <c r="AB88" s="81">
        <v>10</v>
      </c>
      <c r="AC88" s="82">
        <f t="shared" si="49"/>
        <v>26</v>
      </c>
      <c r="AD88" s="82">
        <f>(Y88*9230+Z88*7215+AA88*5800+AB88*5100)*12</f>
        <v>2239080</v>
      </c>
      <c r="AE88" s="82">
        <f t="shared" si="50"/>
        <v>112320</v>
      </c>
      <c r="AF88" s="82">
        <f t="shared" si="51"/>
        <v>156000</v>
      </c>
      <c r="AG88" s="82">
        <f t="shared" si="52"/>
        <v>62400</v>
      </c>
      <c r="AH88" s="82">
        <f>Y88*15400+(Z88+AA88+AB88)*9400</f>
        <v>304400</v>
      </c>
      <c r="AI88" s="82">
        <f>AC88*800</f>
        <v>20800</v>
      </c>
      <c r="AJ88" s="82">
        <f>D88*50*200</f>
        <v>0</v>
      </c>
      <c r="AK88" s="82">
        <f>AC88*960</f>
        <v>24960</v>
      </c>
      <c r="AL88" s="82">
        <f t="shared" si="54"/>
        <v>789192.47</v>
      </c>
      <c r="AM88" s="82">
        <f t="shared" si="55"/>
        <v>3709152</v>
      </c>
      <c r="AN88" s="119">
        <v>114888.75</v>
      </c>
      <c r="AO88" s="120">
        <f t="shared" si="62"/>
        <v>3824040.75</v>
      </c>
    </row>
    <row r="89" spans="1:41" s="83" customFormat="1" ht="18" customHeight="1">
      <c r="A89" s="79" t="s">
        <v>4</v>
      </c>
      <c r="B89" s="80" t="s">
        <v>978</v>
      </c>
      <c r="C89" s="80" t="s">
        <v>649</v>
      </c>
      <c r="D89" s="81">
        <v>1</v>
      </c>
      <c r="E89" s="86">
        <v>5.4017094017094003</v>
      </c>
      <c r="F89" s="86">
        <v>3</v>
      </c>
      <c r="G89" s="86">
        <v>11.8375</v>
      </c>
      <c r="H89" s="86">
        <v>1</v>
      </c>
      <c r="I89" s="82">
        <f t="shared" si="45"/>
        <v>21.239209401709402</v>
      </c>
      <c r="J89" s="81">
        <v>0</v>
      </c>
      <c r="K89" s="81">
        <v>2</v>
      </c>
      <c r="L89" s="81">
        <v>0</v>
      </c>
      <c r="M89" s="81">
        <v>0</v>
      </c>
      <c r="N89" s="82">
        <f t="shared" si="46"/>
        <v>2</v>
      </c>
      <c r="O89" s="82">
        <f t="shared" si="57"/>
        <v>5.4017094017094003</v>
      </c>
      <c r="P89" s="82">
        <f t="shared" si="57"/>
        <v>5</v>
      </c>
      <c r="Q89" s="82">
        <f t="shared" si="57"/>
        <v>11.8375</v>
      </c>
      <c r="R89" s="82">
        <f t="shared" si="57"/>
        <v>1</v>
      </c>
      <c r="S89" s="93">
        <f t="shared" si="47"/>
        <v>23.239209401709402</v>
      </c>
      <c r="T89" s="81">
        <v>4</v>
      </c>
      <c r="U89" s="81">
        <v>5</v>
      </c>
      <c r="V89" s="81">
        <v>12</v>
      </c>
      <c r="W89" s="81">
        <v>1</v>
      </c>
      <c r="X89" s="93">
        <f t="shared" si="48"/>
        <v>22</v>
      </c>
      <c r="Y89" s="81">
        <v>4</v>
      </c>
      <c r="Z89" s="81">
        <v>5</v>
      </c>
      <c r="AA89" s="81">
        <v>12</v>
      </c>
      <c r="AB89" s="81">
        <v>1</v>
      </c>
      <c r="AC89" s="82">
        <f t="shared" si="49"/>
        <v>22</v>
      </c>
      <c r="AD89" s="82">
        <f>(Y89*7050+Z89*6485+AA89*5800+AB89*4900)*12</f>
        <v>1621500</v>
      </c>
      <c r="AE89" s="82">
        <f t="shared" si="50"/>
        <v>95040</v>
      </c>
      <c r="AF89" s="82">
        <f t="shared" si="51"/>
        <v>132000</v>
      </c>
      <c r="AG89" s="82">
        <f t="shared" si="52"/>
        <v>52800</v>
      </c>
      <c r="AH89" s="82">
        <f t="shared" si="59"/>
        <v>206800</v>
      </c>
      <c r="AI89" s="82">
        <f t="shared" si="53"/>
        <v>17600</v>
      </c>
      <c r="AJ89" s="82">
        <f t="shared" si="60"/>
        <v>10000</v>
      </c>
      <c r="AK89" s="82">
        <f t="shared" si="61"/>
        <v>21120</v>
      </c>
      <c r="AL89" s="82">
        <f t="shared" si="54"/>
        <v>667778.24</v>
      </c>
      <c r="AM89" s="82">
        <f t="shared" si="55"/>
        <v>2824638</v>
      </c>
      <c r="AN89" s="120"/>
      <c r="AO89" s="82">
        <f t="shared" si="62"/>
        <v>2824638</v>
      </c>
    </row>
    <row r="90" spans="1:41" s="85" customFormat="1" ht="18" customHeight="1">
      <c r="A90" s="164"/>
      <c r="B90" s="164" t="s">
        <v>710</v>
      </c>
      <c r="C90" s="164"/>
      <c r="D90" s="84">
        <f>SUM(D71:D89)</f>
        <v>16</v>
      </c>
      <c r="E90" s="84">
        <f t="shared" ref="E90:AO90" si="65">SUM(E71:E89)</f>
        <v>254.51938122729211</v>
      </c>
      <c r="F90" s="84">
        <f t="shared" si="65"/>
        <v>165.5</v>
      </c>
      <c r="G90" s="84">
        <f t="shared" si="65"/>
        <v>206.15</v>
      </c>
      <c r="H90" s="84">
        <f t="shared" si="65"/>
        <v>114</v>
      </c>
      <c r="I90" s="84">
        <f t="shared" si="65"/>
        <v>740.16938122729221</v>
      </c>
      <c r="J90" s="84">
        <f t="shared" si="65"/>
        <v>29</v>
      </c>
      <c r="K90" s="84">
        <f t="shared" si="65"/>
        <v>11</v>
      </c>
      <c r="L90" s="84">
        <f t="shared" si="65"/>
        <v>3</v>
      </c>
      <c r="M90" s="84">
        <f t="shared" si="65"/>
        <v>3</v>
      </c>
      <c r="N90" s="84">
        <f t="shared" si="65"/>
        <v>46</v>
      </c>
      <c r="O90" s="84">
        <f t="shared" si="65"/>
        <v>283.51938122729211</v>
      </c>
      <c r="P90" s="84">
        <f t="shared" si="65"/>
        <v>176.5</v>
      </c>
      <c r="Q90" s="84">
        <f t="shared" si="65"/>
        <v>209.15</v>
      </c>
      <c r="R90" s="84">
        <f t="shared" si="65"/>
        <v>117</v>
      </c>
      <c r="S90" s="84">
        <f t="shared" si="65"/>
        <v>786.16938122729221</v>
      </c>
      <c r="T90" s="84">
        <f t="shared" si="65"/>
        <v>77</v>
      </c>
      <c r="U90" s="84">
        <f t="shared" si="65"/>
        <v>84</v>
      </c>
      <c r="V90" s="84">
        <f t="shared" si="65"/>
        <v>207</v>
      </c>
      <c r="W90" s="84">
        <f t="shared" si="65"/>
        <v>109</v>
      </c>
      <c r="X90" s="84">
        <f t="shared" si="65"/>
        <v>477</v>
      </c>
      <c r="Y90" s="84">
        <f t="shared" si="65"/>
        <v>77</v>
      </c>
      <c r="Z90" s="84">
        <f t="shared" si="65"/>
        <v>84</v>
      </c>
      <c r="AA90" s="84">
        <f t="shared" si="65"/>
        <v>205.4375</v>
      </c>
      <c r="AB90" s="84">
        <f t="shared" si="65"/>
        <v>107</v>
      </c>
      <c r="AC90" s="84">
        <f t="shared" si="65"/>
        <v>473.4375</v>
      </c>
      <c r="AD90" s="84">
        <f t="shared" si="65"/>
        <v>34788330</v>
      </c>
      <c r="AE90" s="84">
        <f t="shared" si="65"/>
        <v>2045250</v>
      </c>
      <c r="AF90" s="84">
        <f t="shared" si="65"/>
        <v>2840625</v>
      </c>
      <c r="AG90" s="84">
        <f t="shared" si="65"/>
        <v>1136250</v>
      </c>
      <c r="AH90" s="84">
        <f t="shared" si="65"/>
        <v>4612312.5</v>
      </c>
      <c r="AI90" s="84">
        <f t="shared" si="65"/>
        <v>378750</v>
      </c>
      <c r="AJ90" s="84">
        <f t="shared" si="65"/>
        <v>160000</v>
      </c>
      <c r="AK90" s="84">
        <f t="shared" si="65"/>
        <v>454500</v>
      </c>
      <c r="AL90" s="84">
        <f t="shared" si="65"/>
        <v>14370511.870000001</v>
      </c>
      <c r="AM90" s="84">
        <f t="shared" si="65"/>
        <v>60786530</v>
      </c>
      <c r="AN90" s="84">
        <f t="shared" si="65"/>
        <v>772228.38</v>
      </c>
      <c r="AO90" s="84">
        <f t="shared" si="65"/>
        <v>61558758.380000003</v>
      </c>
    </row>
    <row r="91" spans="1:41" ht="18" customHeight="1">
      <c r="A91" s="79" t="s">
        <v>3</v>
      </c>
      <c r="B91" s="80" t="s">
        <v>711</v>
      </c>
      <c r="C91" s="80" t="s">
        <v>649</v>
      </c>
      <c r="D91" s="81">
        <v>2</v>
      </c>
      <c r="E91" s="82">
        <v>14.017094017093996</v>
      </c>
      <c r="F91" s="82">
        <v>3</v>
      </c>
      <c r="G91" s="82">
        <v>37.362499999999997</v>
      </c>
      <c r="H91" s="82">
        <v>4</v>
      </c>
      <c r="I91" s="82">
        <f t="shared" si="45"/>
        <v>58.379594017093993</v>
      </c>
      <c r="J91" s="81">
        <v>6</v>
      </c>
      <c r="K91" s="81">
        <v>1</v>
      </c>
      <c r="L91" s="81">
        <v>4</v>
      </c>
      <c r="M91" s="81">
        <v>0</v>
      </c>
      <c r="N91" s="82">
        <f t="shared" si="46"/>
        <v>11</v>
      </c>
      <c r="O91" s="82">
        <f t="shared" ref="O91:R94" si="66">E91+J91</f>
        <v>20.017094017093996</v>
      </c>
      <c r="P91" s="82">
        <f t="shared" si="66"/>
        <v>4</v>
      </c>
      <c r="Q91" s="82">
        <f t="shared" si="66"/>
        <v>41.362499999999997</v>
      </c>
      <c r="R91" s="82">
        <f t="shared" si="66"/>
        <v>4</v>
      </c>
      <c r="S91" s="93">
        <f t="shared" si="47"/>
        <v>69.379594017093993</v>
      </c>
      <c r="T91" s="81">
        <v>15</v>
      </c>
      <c r="U91" s="81">
        <v>3</v>
      </c>
      <c r="V91" s="81">
        <v>37</v>
      </c>
      <c r="W91" s="81">
        <v>4</v>
      </c>
      <c r="X91" s="93">
        <f t="shared" si="48"/>
        <v>59</v>
      </c>
      <c r="Y91" s="81">
        <v>15</v>
      </c>
      <c r="Z91" s="81">
        <v>3</v>
      </c>
      <c r="AA91" s="81">
        <v>37</v>
      </c>
      <c r="AB91" s="81">
        <v>4</v>
      </c>
      <c r="AC91" s="82">
        <f t="shared" si="49"/>
        <v>59</v>
      </c>
      <c r="AD91" s="82">
        <f>(Y91*7050+Z91*6485+AA91*5800+AB91*4900)*12</f>
        <v>4312860</v>
      </c>
      <c r="AE91" s="82">
        <f t="shared" si="50"/>
        <v>254880</v>
      </c>
      <c r="AF91" s="82">
        <f t="shared" si="51"/>
        <v>354000</v>
      </c>
      <c r="AG91" s="82">
        <f t="shared" si="52"/>
        <v>141600</v>
      </c>
      <c r="AH91" s="82">
        <f t="shared" si="59"/>
        <v>554600</v>
      </c>
      <c r="AI91" s="82">
        <f t="shared" si="53"/>
        <v>47200</v>
      </c>
      <c r="AJ91" s="82">
        <f t="shared" si="60"/>
        <v>20000</v>
      </c>
      <c r="AK91" s="82">
        <f t="shared" si="61"/>
        <v>56640</v>
      </c>
      <c r="AL91" s="82">
        <f t="shared" si="54"/>
        <v>1790859.83</v>
      </c>
      <c r="AM91" s="82">
        <f t="shared" si="55"/>
        <v>7532640</v>
      </c>
      <c r="AN91" s="119"/>
      <c r="AO91" s="121">
        <f>AM91+AN91</f>
        <v>7532640</v>
      </c>
    </row>
    <row r="92" spans="1:41" s="83" customFormat="1" ht="18" customHeight="1">
      <c r="A92" s="79" t="s">
        <v>3</v>
      </c>
      <c r="B92" s="80" t="s">
        <v>712</v>
      </c>
      <c r="C92" s="80" t="s">
        <v>649</v>
      </c>
      <c r="D92" s="81">
        <v>1</v>
      </c>
      <c r="E92" s="82">
        <v>2.8717948717948971</v>
      </c>
      <c r="F92" s="82">
        <v>3</v>
      </c>
      <c r="G92" s="82">
        <v>20.100000000000001</v>
      </c>
      <c r="H92" s="82">
        <v>3</v>
      </c>
      <c r="I92" s="82">
        <f t="shared" si="45"/>
        <v>28.971794871794899</v>
      </c>
      <c r="J92" s="81">
        <v>3</v>
      </c>
      <c r="K92" s="81">
        <v>0</v>
      </c>
      <c r="L92" s="81">
        <v>2</v>
      </c>
      <c r="M92" s="81">
        <v>0</v>
      </c>
      <c r="N92" s="82">
        <f t="shared" si="46"/>
        <v>5</v>
      </c>
      <c r="O92" s="82">
        <f t="shared" si="66"/>
        <v>5.8717948717948971</v>
      </c>
      <c r="P92" s="82">
        <f t="shared" si="66"/>
        <v>3</v>
      </c>
      <c r="Q92" s="82">
        <f t="shared" si="66"/>
        <v>22.1</v>
      </c>
      <c r="R92" s="82">
        <f t="shared" si="66"/>
        <v>3</v>
      </c>
      <c r="S92" s="93">
        <f t="shared" si="47"/>
        <v>33.971794871794899</v>
      </c>
      <c r="T92" s="81">
        <v>3</v>
      </c>
      <c r="U92" s="81">
        <v>3</v>
      </c>
      <c r="V92" s="81">
        <v>21</v>
      </c>
      <c r="W92" s="81">
        <v>2</v>
      </c>
      <c r="X92" s="93">
        <f t="shared" si="48"/>
        <v>29</v>
      </c>
      <c r="Y92" s="81">
        <v>3</v>
      </c>
      <c r="Z92" s="81">
        <v>3</v>
      </c>
      <c r="AA92" s="81">
        <v>21</v>
      </c>
      <c r="AB92" s="81">
        <v>2</v>
      </c>
      <c r="AC92" s="82">
        <f t="shared" si="49"/>
        <v>29</v>
      </c>
      <c r="AD92" s="82">
        <f>(Y92*7050+Z92*6485+AA92*5800+AB92*4900)*12</f>
        <v>2066460</v>
      </c>
      <c r="AE92" s="82">
        <f t="shared" si="50"/>
        <v>125280</v>
      </c>
      <c r="AF92" s="82">
        <f t="shared" si="51"/>
        <v>174000</v>
      </c>
      <c r="AG92" s="82">
        <f t="shared" si="52"/>
        <v>69600</v>
      </c>
      <c r="AH92" s="82">
        <f t="shared" si="59"/>
        <v>272600</v>
      </c>
      <c r="AI92" s="82">
        <f t="shared" si="53"/>
        <v>23200</v>
      </c>
      <c r="AJ92" s="82">
        <f t="shared" si="60"/>
        <v>10000</v>
      </c>
      <c r="AK92" s="82">
        <f t="shared" si="61"/>
        <v>27840</v>
      </c>
      <c r="AL92" s="82">
        <f t="shared" si="54"/>
        <v>880253.14</v>
      </c>
      <c r="AM92" s="82">
        <f t="shared" si="55"/>
        <v>3649233</v>
      </c>
      <c r="AN92" s="120"/>
      <c r="AO92" s="121">
        <f t="shared" ref="AO92:AO94" si="67">AM92+AN92</f>
        <v>3649233</v>
      </c>
    </row>
    <row r="93" spans="1:41" s="83" customFormat="1" ht="18" customHeight="1">
      <c r="A93" s="79" t="s">
        <v>3</v>
      </c>
      <c r="B93" s="80" t="s">
        <v>166</v>
      </c>
      <c r="C93" s="80" t="s">
        <v>649</v>
      </c>
      <c r="D93" s="81">
        <v>1</v>
      </c>
      <c r="E93" s="82">
        <v>0</v>
      </c>
      <c r="F93" s="82">
        <v>1</v>
      </c>
      <c r="G93" s="82">
        <v>6.5625</v>
      </c>
      <c r="H93" s="82">
        <v>1</v>
      </c>
      <c r="I93" s="82">
        <f t="shared" si="45"/>
        <v>8.5625</v>
      </c>
      <c r="J93" s="81">
        <v>0</v>
      </c>
      <c r="K93" s="81">
        <v>0</v>
      </c>
      <c r="L93" s="81">
        <v>0</v>
      </c>
      <c r="M93" s="81">
        <v>0</v>
      </c>
      <c r="N93" s="82">
        <f t="shared" si="46"/>
        <v>0</v>
      </c>
      <c r="O93" s="82">
        <f t="shared" si="66"/>
        <v>0</v>
      </c>
      <c r="P93" s="82">
        <f t="shared" si="66"/>
        <v>1</v>
      </c>
      <c r="Q93" s="82">
        <f t="shared" si="66"/>
        <v>6.5625</v>
      </c>
      <c r="R93" s="82">
        <f t="shared" si="66"/>
        <v>1</v>
      </c>
      <c r="S93" s="93">
        <f t="shared" si="47"/>
        <v>8.5625</v>
      </c>
      <c r="T93" s="81">
        <v>0</v>
      </c>
      <c r="U93" s="81">
        <v>1</v>
      </c>
      <c r="V93" s="81">
        <v>7</v>
      </c>
      <c r="W93" s="81">
        <v>0</v>
      </c>
      <c r="X93" s="93">
        <f t="shared" si="48"/>
        <v>8</v>
      </c>
      <c r="Y93" s="81">
        <v>0</v>
      </c>
      <c r="Z93" s="81">
        <v>1</v>
      </c>
      <c r="AA93" s="81">
        <v>7</v>
      </c>
      <c r="AB93" s="81">
        <v>0</v>
      </c>
      <c r="AC93" s="82">
        <f t="shared" si="49"/>
        <v>8</v>
      </c>
      <c r="AD93" s="82">
        <f>(Y93*7050+Z93*6485+AA93*5800+AB93*4900)*12</f>
        <v>565020</v>
      </c>
      <c r="AE93" s="82">
        <f t="shared" si="50"/>
        <v>34560</v>
      </c>
      <c r="AF93" s="82">
        <f t="shared" si="51"/>
        <v>48000</v>
      </c>
      <c r="AG93" s="82">
        <f t="shared" si="52"/>
        <v>19200</v>
      </c>
      <c r="AH93" s="82">
        <f t="shared" si="59"/>
        <v>75200</v>
      </c>
      <c r="AI93" s="82">
        <f t="shared" si="53"/>
        <v>6400</v>
      </c>
      <c r="AJ93" s="82">
        <f t="shared" si="60"/>
        <v>10000</v>
      </c>
      <c r="AK93" s="82">
        <f t="shared" si="61"/>
        <v>7680</v>
      </c>
      <c r="AL93" s="82">
        <f t="shared" si="54"/>
        <v>242828.45</v>
      </c>
      <c r="AM93" s="82">
        <f t="shared" si="55"/>
        <v>1008888</v>
      </c>
      <c r="AN93" s="120"/>
      <c r="AO93" s="121">
        <f t="shared" si="67"/>
        <v>1008888</v>
      </c>
    </row>
    <row r="94" spans="1:41" ht="18" customHeight="1">
      <c r="A94" s="79" t="s">
        <v>3</v>
      </c>
      <c r="B94" s="80" t="s">
        <v>713</v>
      </c>
      <c r="C94" s="81" t="s">
        <v>959</v>
      </c>
      <c r="D94" s="81"/>
      <c r="E94" s="82">
        <v>5.3793103448276014</v>
      </c>
      <c r="F94" s="82">
        <v>9</v>
      </c>
      <c r="G94" s="82">
        <v>0</v>
      </c>
      <c r="H94" s="82">
        <v>5.5</v>
      </c>
      <c r="I94" s="82">
        <f t="shared" si="45"/>
        <v>19.879310344827601</v>
      </c>
      <c r="J94" s="81">
        <v>3</v>
      </c>
      <c r="K94" s="81">
        <v>0</v>
      </c>
      <c r="L94" s="81">
        <v>0</v>
      </c>
      <c r="M94" s="81">
        <v>0</v>
      </c>
      <c r="N94" s="82">
        <f t="shared" si="46"/>
        <v>3</v>
      </c>
      <c r="O94" s="82">
        <f t="shared" si="66"/>
        <v>8.3793103448276014</v>
      </c>
      <c r="P94" s="82">
        <f t="shared" si="66"/>
        <v>9</v>
      </c>
      <c r="Q94" s="82">
        <f t="shared" si="66"/>
        <v>0</v>
      </c>
      <c r="R94" s="82">
        <f t="shared" si="66"/>
        <v>5.5</v>
      </c>
      <c r="S94" s="93">
        <f t="shared" si="47"/>
        <v>22.879310344827601</v>
      </c>
      <c r="T94" s="81">
        <v>2</v>
      </c>
      <c r="U94" s="81">
        <v>3</v>
      </c>
      <c r="V94" s="81">
        <v>0</v>
      </c>
      <c r="W94" s="81">
        <v>6</v>
      </c>
      <c r="X94" s="93">
        <f t="shared" si="48"/>
        <v>11</v>
      </c>
      <c r="Y94" s="81">
        <v>2</v>
      </c>
      <c r="Z94" s="81">
        <v>3</v>
      </c>
      <c r="AA94" s="81">
        <v>0</v>
      </c>
      <c r="AB94" s="81">
        <v>6</v>
      </c>
      <c r="AC94" s="82">
        <f t="shared" si="49"/>
        <v>11</v>
      </c>
      <c r="AD94" s="82">
        <f>(Y94*7050+Z94*6485+AA94*5800+AB94*4900)*12</f>
        <v>755460</v>
      </c>
      <c r="AE94" s="82">
        <f t="shared" si="50"/>
        <v>47520</v>
      </c>
      <c r="AF94" s="82">
        <f t="shared" si="51"/>
        <v>66000</v>
      </c>
      <c r="AG94" s="82">
        <f t="shared" si="52"/>
        <v>26400</v>
      </c>
      <c r="AH94" s="82">
        <f t="shared" si="59"/>
        <v>103400</v>
      </c>
      <c r="AI94" s="82">
        <f t="shared" si="53"/>
        <v>8800</v>
      </c>
      <c r="AJ94" s="82">
        <f t="shared" si="60"/>
        <v>0</v>
      </c>
      <c r="AK94" s="82">
        <f t="shared" si="61"/>
        <v>10560</v>
      </c>
      <c r="AL94" s="82">
        <f t="shared" si="54"/>
        <v>333889.12</v>
      </c>
      <c r="AM94" s="82">
        <f t="shared" si="55"/>
        <v>1352029</v>
      </c>
      <c r="AN94" s="119">
        <v>35062.5</v>
      </c>
      <c r="AO94" s="119">
        <f t="shared" si="67"/>
        <v>1387091.5</v>
      </c>
    </row>
    <row r="95" spans="1:41" s="85" customFormat="1" ht="18" customHeight="1">
      <c r="A95" s="164"/>
      <c r="B95" s="164" t="s">
        <v>714</v>
      </c>
      <c r="C95" s="164"/>
      <c r="D95" s="84">
        <f>SUM(D91:D94)</f>
        <v>4</v>
      </c>
      <c r="E95" s="84">
        <f>SUM(E91:E94)</f>
        <v>22.268199233716494</v>
      </c>
      <c r="F95" s="84">
        <f>SUM(F91:F94)</f>
        <v>16</v>
      </c>
      <c r="G95" s="84">
        <f>SUM(G91:G94)</f>
        <v>64.025000000000006</v>
      </c>
      <c r="H95" s="84">
        <f>SUM(H91:H94)</f>
        <v>13.5</v>
      </c>
      <c r="I95" s="84">
        <f t="shared" ref="I95:AO95" si="68">SUM(I91:I94)</f>
        <v>115.79319923371649</v>
      </c>
      <c r="J95" s="84">
        <f t="shared" si="68"/>
        <v>12</v>
      </c>
      <c r="K95" s="84">
        <f t="shared" si="68"/>
        <v>1</v>
      </c>
      <c r="L95" s="84">
        <f t="shared" si="68"/>
        <v>6</v>
      </c>
      <c r="M95" s="84">
        <f t="shared" si="68"/>
        <v>0</v>
      </c>
      <c r="N95" s="84">
        <f t="shared" si="68"/>
        <v>19</v>
      </c>
      <c r="O95" s="84">
        <f t="shared" si="68"/>
        <v>34.268199233716494</v>
      </c>
      <c r="P95" s="84">
        <f t="shared" si="68"/>
        <v>17</v>
      </c>
      <c r="Q95" s="84">
        <f t="shared" si="68"/>
        <v>70.025000000000006</v>
      </c>
      <c r="R95" s="84">
        <f t="shared" si="68"/>
        <v>13.5</v>
      </c>
      <c r="S95" s="84">
        <f t="shared" si="68"/>
        <v>134.79319923371651</v>
      </c>
      <c r="T95" s="84">
        <f t="shared" si="68"/>
        <v>20</v>
      </c>
      <c r="U95" s="84">
        <f t="shared" si="68"/>
        <v>10</v>
      </c>
      <c r="V95" s="84">
        <f t="shared" si="68"/>
        <v>65</v>
      </c>
      <c r="W95" s="84">
        <f t="shared" si="68"/>
        <v>12</v>
      </c>
      <c r="X95" s="84">
        <f t="shared" si="68"/>
        <v>107</v>
      </c>
      <c r="Y95" s="84">
        <f t="shared" si="68"/>
        <v>20</v>
      </c>
      <c r="Z95" s="84">
        <f t="shared" si="68"/>
        <v>10</v>
      </c>
      <c r="AA95" s="84">
        <f t="shared" si="68"/>
        <v>65</v>
      </c>
      <c r="AB95" s="84">
        <f t="shared" si="68"/>
        <v>12</v>
      </c>
      <c r="AC95" s="84">
        <f t="shared" si="68"/>
        <v>107</v>
      </c>
      <c r="AD95" s="84">
        <f t="shared" si="68"/>
        <v>7699800</v>
      </c>
      <c r="AE95" s="84">
        <f t="shared" si="68"/>
        <v>462240</v>
      </c>
      <c r="AF95" s="84">
        <f t="shared" si="68"/>
        <v>642000</v>
      </c>
      <c r="AG95" s="84">
        <f t="shared" si="68"/>
        <v>256800</v>
      </c>
      <c r="AH95" s="84">
        <f t="shared" si="68"/>
        <v>1005800</v>
      </c>
      <c r="AI95" s="84">
        <f t="shared" si="68"/>
        <v>85600</v>
      </c>
      <c r="AJ95" s="84">
        <f t="shared" si="68"/>
        <v>40000</v>
      </c>
      <c r="AK95" s="84">
        <f t="shared" si="68"/>
        <v>102720</v>
      </c>
      <c r="AL95" s="84">
        <f t="shared" si="68"/>
        <v>3247830.5400000005</v>
      </c>
      <c r="AM95" s="84">
        <f t="shared" si="68"/>
        <v>13542790</v>
      </c>
      <c r="AN95" s="84">
        <f t="shared" si="68"/>
        <v>35062.5</v>
      </c>
      <c r="AO95" s="84">
        <f t="shared" si="68"/>
        <v>13577852.5</v>
      </c>
    </row>
    <row r="96" spans="1:41" ht="18" customHeight="1">
      <c r="A96" s="79" t="s">
        <v>2</v>
      </c>
      <c r="B96" s="87" t="s">
        <v>715</v>
      </c>
      <c r="C96" s="80" t="s">
        <v>649</v>
      </c>
      <c r="D96" s="81">
        <v>2</v>
      </c>
      <c r="E96" s="86">
        <v>0</v>
      </c>
      <c r="F96" s="86">
        <v>3</v>
      </c>
      <c r="G96" s="86">
        <v>27.074999999999999</v>
      </c>
      <c r="H96" s="86">
        <v>3</v>
      </c>
      <c r="I96" s="82">
        <f t="shared" si="45"/>
        <v>33.075000000000003</v>
      </c>
      <c r="J96" s="81">
        <v>2</v>
      </c>
      <c r="K96" s="81">
        <v>0</v>
      </c>
      <c r="L96" s="81">
        <v>0</v>
      </c>
      <c r="M96" s="81">
        <v>0</v>
      </c>
      <c r="N96" s="82">
        <f t="shared" si="46"/>
        <v>2</v>
      </c>
      <c r="O96" s="82">
        <f>E96+J96</f>
        <v>2</v>
      </c>
      <c r="P96" s="82">
        <f t="shared" ref="P96:R99" si="69">F96+K96</f>
        <v>3</v>
      </c>
      <c r="Q96" s="82">
        <f t="shared" si="69"/>
        <v>27.074999999999999</v>
      </c>
      <c r="R96" s="82">
        <f t="shared" si="69"/>
        <v>3</v>
      </c>
      <c r="S96" s="93">
        <f t="shared" si="47"/>
        <v>35.075000000000003</v>
      </c>
      <c r="T96" s="81">
        <v>0</v>
      </c>
      <c r="U96" s="81">
        <v>2</v>
      </c>
      <c r="V96" s="81">
        <v>27</v>
      </c>
      <c r="W96" s="81">
        <v>3</v>
      </c>
      <c r="X96" s="93">
        <f t="shared" si="48"/>
        <v>32</v>
      </c>
      <c r="Y96" s="81">
        <v>0</v>
      </c>
      <c r="Z96" s="81">
        <v>2</v>
      </c>
      <c r="AA96" s="81">
        <v>27</v>
      </c>
      <c r="AB96" s="81">
        <v>3</v>
      </c>
      <c r="AC96" s="82">
        <f t="shared" si="49"/>
        <v>32</v>
      </c>
      <c r="AD96" s="82">
        <f>(Y96*7050+Z96*6485+AA96*5800+AB96*4900)*12</f>
        <v>2211240</v>
      </c>
      <c r="AE96" s="82">
        <f t="shared" si="50"/>
        <v>138240</v>
      </c>
      <c r="AF96" s="82">
        <f t="shared" si="51"/>
        <v>192000</v>
      </c>
      <c r="AG96" s="82">
        <f t="shared" si="52"/>
        <v>76800</v>
      </c>
      <c r="AH96" s="82">
        <f t="shared" si="59"/>
        <v>300800</v>
      </c>
      <c r="AI96" s="82">
        <f t="shared" si="53"/>
        <v>25600</v>
      </c>
      <c r="AJ96" s="82">
        <f t="shared" si="60"/>
        <v>20000</v>
      </c>
      <c r="AK96" s="82">
        <f t="shared" si="61"/>
        <v>30720</v>
      </c>
      <c r="AL96" s="82">
        <f t="shared" si="54"/>
        <v>971313.81</v>
      </c>
      <c r="AM96" s="82">
        <f t="shared" si="55"/>
        <v>3966714</v>
      </c>
      <c r="AN96" s="119"/>
      <c r="AO96" s="121">
        <f>AM96+AN96</f>
        <v>3966714</v>
      </c>
    </row>
    <row r="97" spans="1:41" ht="18" customHeight="1">
      <c r="A97" s="79" t="s">
        <v>2</v>
      </c>
      <c r="B97" s="87" t="s">
        <v>716</v>
      </c>
      <c r="C97" s="80" t="s">
        <v>649</v>
      </c>
      <c r="D97" s="81">
        <v>3</v>
      </c>
      <c r="E97" s="86">
        <v>0</v>
      </c>
      <c r="F97" s="86">
        <v>2</v>
      </c>
      <c r="G97" s="86">
        <v>30.1</v>
      </c>
      <c r="H97" s="86">
        <v>4</v>
      </c>
      <c r="I97" s="82">
        <f t="shared" si="45"/>
        <v>36.1</v>
      </c>
      <c r="J97" s="81">
        <v>0</v>
      </c>
      <c r="K97" s="81">
        <v>0</v>
      </c>
      <c r="L97" s="81">
        <v>1</v>
      </c>
      <c r="M97" s="81">
        <v>0</v>
      </c>
      <c r="N97" s="82">
        <f t="shared" si="46"/>
        <v>1</v>
      </c>
      <c r="O97" s="82">
        <f>E97+J97</f>
        <v>0</v>
      </c>
      <c r="P97" s="82">
        <f t="shared" si="69"/>
        <v>2</v>
      </c>
      <c r="Q97" s="82">
        <f t="shared" si="69"/>
        <v>31.1</v>
      </c>
      <c r="R97" s="82">
        <f t="shared" si="69"/>
        <v>4</v>
      </c>
      <c r="S97" s="93">
        <f t="shared" si="47"/>
        <v>37.1</v>
      </c>
      <c r="T97" s="81">
        <v>0</v>
      </c>
      <c r="U97" s="81">
        <v>1</v>
      </c>
      <c r="V97" s="81">
        <v>31</v>
      </c>
      <c r="W97" s="81">
        <v>3</v>
      </c>
      <c r="X97" s="93">
        <f t="shared" si="48"/>
        <v>35</v>
      </c>
      <c r="Y97" s="82">
        <v>0</v>
      </c>
      <c r="Z97" s="82">
        <v>1</v>
      </c>
      <c r="AA97" s="82">
        <v>31</v>
      </c>
      <c r="AB97" s="82">
        <v>3</v>
      </c>
      <c r="AC97" s="82">
        <f t="shared" si="49"/>
        <v>35</v>
      </c>
      <c r="AD97" s="82">
        <f>(Y97*7050+Z97*6485+AA97*5800+AB97*4900)*12</f>
        <v>2411820</v>
      </c>
      <c r="AE97" s="82">
        <f t="shared" si="50"/>
        <v>151200</v>
      </c>
      <c r="AF97" s="82">
        <f t="shared" si="51"/>
        <v>210000</v>
      </c>
      <c r="AG97" s="82">
        <f t="shared" si="52"/>
        <v>84000</v>
      </c>
      <c r="AH97" s="82">
        <f t="shared" si="59"/>
        <v>329000</v>
      </c>
      <c r="AI97" s="82">
        <f t="shared" si="53"/>
        <v>28000</v>
      </c>
      <c r="AJ97" s="82">
        <f t="shared" si="60"/>
        <v>30000</v>
      </c>
      <c r="AK97" s="82">
        <f t="shared" si="61"/>
        <v>33600</v>
      </c>
      <c r="AL97" s="82">
        <f t="shared" si="54"/>
        <v>1062374.48</v>
      </c>
      <c r="AM97" s="82">
        <f t="shared" si="55"/>
        <v>4339994</v>
      </c>
      <c r="AN97" s="119"/>
      <c r="AO97" s="121">
        <f t="shared" ref="AO97:AO99" si="70">AM97+AN97</f>
        <v>4339994</v>
      </c>
    </row>
    <row r="98" spans="1:41" s="83" customFormat="1" ht="18" customHeight="1">
      <c r="A98" s="79" t="s">
        <v>2</v>
      </c>
      <c r="B98" s="80" t="s">
        <v>717</v>
      </c>
      <c r="C98" s="80" t="s">
        <v>972</v>
      </c>
      <c r="D98" s="81"/>
      <c r="E98" s="86">
        <v>10</v>
      </c>
      <c r="F98" s="86">
        <v>10</v>
      </c>
      <c r="G98" s="86">
        <v>0</v>
      </c>
      <c r="H98" s="86">
        <v>9</v>
      </c>
      <c r="I98" s="82">
        <f t="shared" si="45"/>
        <v>29</v>
      </c>
      <c r="J98" s="81">
        <v>2</v>
      </c>
      <c r="K98" s="81">
        <v>0</v>
      </c>
      <c r="L98" s="81">
        <v>0</v>
      </c>
      <c r="M98" s="81">
        <v>0</v>
      </c>
      <c r="N98" s="82">
        <f t="shared" si="46"/>
        <v>2</v>
      </c>
      <c r="O98" s="82">
        <f>E98+J98</f>
        <v>12</v>
      </c>
      <c r="P98" s="82">
        <f t="shared" si="69"/>
        <v>10</v>
      </c>
      <c r="Q98" s="82">
        <f t="shared" si="69"/>
        <v>0</v>
      </c>
      <c r="R98" s="82">
        <f t="shared" si="69"/>
        <v>9</v>
      </c>
      <c r="S98" s="93">
        <f t="shared" si="47"/>
        <v>31</v>
      </c>
      <c r="T98" s="81">
        <v>1</v>
      </c>
      <c r="U98" s="81">
        <v>6</v>
      </c>
      <c r="V98" s="81">
        <v>0</v>
      </c>
      <c r="W98" s="81">
        <v>0</v>
      </c>
      <c r="X98" s="93">
        <f t="shared" si="48"/>
        <v>7</v>
      </c>
      <c r="Y98" s="81">
        <v>1</v>
      </c>
      <c r="Z98" s="81">
        <v>6</v>
      </c>
      <c r="AA98" s="81">
        <v>0</v>
      </c>
      <c r="AB98" s="81">
        <v>0</v>
      </c>
      <c r="AC98" s="82">
        <f t="shared" si="49"/>
        <v>7</v>
      </c>
      <c r="AD98" s="82">
        <f>(Y98*9230+Z98*7215+AA98*5800+AB98*5100)*12</f>
        <v>630240</v>
      </c>
      <c r="AE98" s="82">
        <f t="shared" si="50"/>
        <v>30240</v>
      </c>
      <c r="AF98" s="82">
        <f t="shared" si="51"/>
        <v>42000</v>
      </c>
      <c r="AG98" s="82">
        <f t="shared" si="52"/>
        <v>16800</v>
      </c>
      <c r="AH98" s="82">
        <f>Y98*15400+(Z98+AA98+AB98)*9400</f>
        <v>71800</v>
      </c>
      <c r="AI98" s="82">
        <f t="shared" si="53"/>
        <v>5600</v>
      </c>
      <c r="AJ98" s="82">
        <f t="shared" si="60"/>
        <v>0</v>
      </c>
      <c r="AK98" s="82">
        <f t="shared" si="61"/>
        <v>6720</v>
      </c>
      <c r="AL98" s="82">
        <f t="shared" si="54"/>
        <v>212474.9</v>
      </c>
      <c r="AM98" s="82">
        <f t="shared" si="55"/>
        <v>1015875</v>
      </c>
      <c r="AN98" s="82"/>
      <c r="AO98" s="119">
        <f t="shared" si="70"/>
        <v>1015875</v>
      </c>
    </row>
    <row r="99" spans="1:41" s="88" customFormat="1" ht="18" customHeight="1">
      <c r="A99" s="82" t="s">
        <v>2</v>
      </c>
      <c r="B99" s="81" t="s">
        <v>264</v>
      </c>
      <c r="C99" s="81" t="s">
        <v>649</v>
      </c>
      <c r="D99" s="81">
        <v>1</v>
      </c>
      <c r="E99" s="86">
        <v>0</v>
      </c>
      <c r="F99" s="86">
        <v>0</v>
      </c>
      <c r="G99" s="86">
        <v>14.074999999999999</v>
      </c>
      <c r="H99" s="86">
        <v>2</v>
      </c>
      <c r="I99" s="82">
        <f t="shared" si="45"/>
        <v>16.074999999999999</v>
      </c>
      <c r="J99" s="81">
        <v>0</v>
      </c>
      <c r="K99" s="81">
        <v>0</v>
      </c>
      <c r="L99" s="81">
        <v>4</v>
      </c>
      <c r="M99" s="81">
        <v>0</v>
      </c>
      <c r="N99" s="82">
        <f t="shared" si="46"/>
        <v>4</v>
      </c>
      <c r="O99" s="82">
        <f>E99+J99</f>
        <v>0</v>
      </c>
      <c r="P99" s="82">
        <f t="shared" si="69"/>
        <v>0</v>
      </c>
      <c r="Q99" s="82">
        <f t="shared" si="69"/>
        <v>18.074999999999999</v>
      </c>
      <c r="R99" s="82">
        <f t="shared" si="69"/>
        <v>2</v>
      </c>
      <c r="S99" s="93">
        <f t="shared" si="47"/>
        <v>20.074999999999999</v>
      </c>
      <c r="T99" s="81">
        <v>0</v>
      </c>
      <c r="U99" s="81">
        <v>0</v>
      </c>
      <c r="V99" s="81">
        <v>12</v>
      </c>
      <c r="W99" s="81">
        <v>4</v>
      </c>
      <c r="X99" s="93">
        <f t="shared" si="48"/>
        <v>16</v>
      </c>
      <c r="Y99" s="81">
        <v>0</v>
      </c>
      <c r="Z99" s="81">
        <v>0</v>
      </c>
      <c r="AA99" s="81">
        <v>12</v>
      </c>
      <c r="AB99" s="81">
        <v>4</v>
      </c>
      <c r="AC99" s="82">
        <f t="shared" si="49"/>
        <v>16</v>
      </c>
      <c r="AD99" s="82">
        <f>(Y99*7050+Z99*6485+AA99*5800+AB99*4900)*12</f>
        <v>1070400</v>
      </c>
      <c r="AE99" s="82">
        <f t="shared" si="50"/>
        <v>69120</v>
      </c>
      <c r="AF99" s="82">
        <f t="shared" si="51"/>
        <v>96000</v>
      </c>
      <c r="AG99" s="82">
        <f t="shared" si="52"/>
        <v>38400</v>
      </c>
      <c r="AH99" s="82">
        <f t="shared" si="59"/>
        <v>150400</v>
      </c>
      <c r="AI99" s="82">
        <f t="shared" si="53"/>
        <v>12800</v>
      </c>
      <c r="AJ99" s="82">
        <f t="shared" si="60"/>
        <v>10000</v>
      </c>
      <c r="AK99" s="82">
        <f t="shared" si="61"/>
        <v>15360</v>
      </c>
      <c r="AL99" s="82">
        <f t="shared" si="54"/>
        <v>485656.9</v>
      </c>
      <c r="AM99" s="82">
        <f t="shared" si="55"/>
        <v>1948137</v>
      </c>
      <c r="AN99" s="121"/>
      <c r="AO99" s="121">
        <f t="shared" si="70"/>
        <v>1948137</v>
      </c>
    </row>
    <row r="100" spans="1:41" s="85" customFormat="1" ht="18" customHeight="1">
      <c r="A100" s="164"/>
      <c r="B100" s="164" t="s">
        <v>718</v>
      </c>
      <c r="C100" s="164"/>
      <c r="D100" s="84">
        <f>SUM(D96:D99)</f>
        <v>6</v>
      </c>
      <c r="E100" s="84">
        <f t="shared" ref="E100:AO100" si="71">SUM(E96:E99)</f>
        <v>10</v>
      </c>
      <c r="F100" s="84">
        <f t="shared" si="71"/>
        <v>15</v>
      </c>
      <c r="G100" s="84">
        <f t="shared" si="71"/>
        <v>71.25</v>
      </c>
      <c r="H100" s="84">
        <f t="shared" si="71"/>
        <v>18</v>
      </c>
      <c r="I100" s="84">
        <f t="shared" si="71"/>
        <v>114.25000000000001</v>
      </c>
      <c r="J100" s="84">
        <f t="shared" si="71"/>
        <v>4</v>
      </c>
      <c r="K100" s="84">
        <f t="shared" si="71"/>
        <v>0</v>
      </c>
      <c r="L100" s="84">
        <f t="shared" si="71"/>
        <v>5</v>
      </c>
      <c r="M100" s="84">
        <f t="shared" si="71"/>
        <v>0</v>
      </c>
      <c r="N100" s="84">
        <f t="shared" si="71"/>
        <v>9</v>
      </c>
      <c r="O100" s="84">
        <f t="shared" si="71"/>
        <v>14</v>
      </c>
      <c r="P100" s="84">
        <f t="shared" si="71"/>
        <v>15</v>
      </c>
      <c r="Q100" s="84">
        <f t="shared" si="71"/>
        <v>76.25</v>
      </c>
      <c r="R100" s="84">
        <f t="shared" si="71"/>
        <v>18</v>
      </c>
      <c r="S100" s="84">
        <f t="shared" si="71"/>
        <v>123.25000000000001</v>
      </c>
      <c r="T100" s="84">
        <f t="shared" si="71"/>
        <v>1</v>
      </c>
      <c r="U100" s="84">
        <f t="shared" si="71"/>
        <v>9</v>
      </c>
      <c r="V100" s="84">
        <f t="shared" si="71"/>
        <v>70</v>
      </c>
      <c r="W100" s="84">
        <f t="shared" si="71"/>
        <v>10</v>
      </c>
      <c r="X100" s="84">
        <f t="shared" si="71"/>
        <v>90</v>
      </c>
      <c r="Y100" s="84">
        <f t="shared" si="71"/>
        <v>1</v>
      </c>
      <c r="Z100" s="84">
        <f t="shared" si="71"/>
        <v>9</v>
      </c>
      <c r="AA100" s="84">
        <f t="shared" si="71"/>
        <v>70</v>
      </c>
      <c r="AB100" s="84">
        <f t="shared" si="71"/>
        <v>10</v>
      </c>
      <c r="AC100" s="84">
        <f t="shared" si="71"/>
        <v>90</v>
      </c>
      <c r="AD100" s="84">
        <f t="shared" si="71"/>
        <v>6323700</v>
      </c>
      <c r="AE100" s="84">
        <f t="shared" si="71"/>
        <v>388800</v>
      </c>
      <c r="AF100" s="84">
        <f t="shared" si="71"/>
        <v>540000</v>
      </c>
      <c r="AG100" s="84">
        <f t="shared" si="71"/>
        <v>216000</v>
      </c>
      <c r="AH100" s="84">
        <f t="shared" si="71"/>
        <v>852000</v>
      </c>
      <c r="AI100" s="84">
        <f t="shared" si="71"/>
        <v>72000</v>
      </c>
      <c r="AJ100" s="84">
        <f t="shared" si="71"/>
        <v>60000</v>
      </c>
      <c r="AK100" s="84">
        <f t="shared" si="71"/>
        <v>86400</v>
      </c>
      <c r="AL100" s="84">
        <f t="shared" si="71"/>
        <v>2731820.09</v>
      </c>
      <c r="AM100" s="84">
        <f t="shared" si="71"/>
        <v>11270720</v>
      </c>
      <c r="AN100" s="84">
        <f t="shared" si="71"/>
        <v>0</v>
      </c>
      <c r="AO100" s="84">
        <f t="shared" si="71"/>
        <v>11270720</v>
      </c>
    </row>
    <row r="101" spans="1:41" ht="18" customHeight="1">
      <c r="A101" s="79" t="s">
        <v>9</v>
      </c>
      <c r="B101" s="80" t="s">
        <v>719</v>
      </c>
      <c r="C101" s="80" t="s">
        <v>649</v>
      </c>
      <c r="D101" s="81">
        <v>2</v>
      </c>
      <c r="E101" s="90">
        <v>3.8376068376067991</v>
      </c>
      <c r="F101" s="91">
        <v>3</v>
      </c>
      <c r="G101" s="90">
        <v>26.85</v>
      </c>
      <c r="H101" s="91">
        <v>2</v>
      </c>
      <c r="I101" s="82">
        <f t="shared" si="45"/>
        <v>35.687606837606801</v>
      </c>
      <c r="J101" s="81">
        <v>4</v>
      </c>
      <c r="K101" s="81">
        <v>0</v>
      </c>
      <c r="L101" s="81">
        <v>3</v>
      </c>
      <c r="M101" s="81">
        <v>1</v>
      </c>
      <c r="N101" s="82">
        <f t="shared" si="46"/>
        <v>8</v>
      </c>
      <c r="O101" s="82">
        <f>E101+J101</f>
        <v>7.8376068376067991</v>
      </c>
      <c r="P101" s="82">
        <f t="shared" ref="P101:R114" si="72">F101+K101</f>
        <v>3</v>
      </c>
      <c r="Q101" s="82">
        <f t="shared" si="72"/>
        <v>29.85</v>
      </c>
      <c r="R101" s="82">
        <f t="shared" si="72"/>
        <v>3</v>
      </c>
      <c r="S101" s="93">
        <f t="shared" si="47"/>
        <v>43.687606837606801</v>
      </c>
      <c r="T101" s="82">
        <v>10</v>
      </c>
      <c r="U101" s="82">
        <v>3</v>
      </c>
      <c r="V101" s="82">
        <v>27</v>
      </c>
      <c r="W101" s="82">
        <v>2</v>
      </c>
      <c r="X101" s="93">
        <f t="shared" si="48"/>
        <v>42</v>
      </c>
      <c r="Y101" s="81">
        <v>10</v>
      </c>
      <c r="Z101" s="81">
        <v>3</v>
      </c>
      <c r="AA101" s="81">
        <v>27</v>
      </c>
      <c r="AB101" s="81">
        <v>2</v>
      </c>
      <c r="AC101" s="82">
        <f t="shared" si="49"/>
        <v>42</v>
      </c>
      <c r="AD101" s="82">
        <f t="shared" ref="AD101:AD108" si="73">(Y101*7050+Z101*6485+AA101*5800+AB101*4900)*12</f>
        <v>3076260</v>
      </c>
      <c r="AE101" s="82">
        <f t="shared" si="50"/>
        <v>181440</v>
      </c>
      <c r="AF101" s="82">
        <f t="shared" si="51"/>
        <v>252000</v>
      </c>
      <c r="AG101" s="82">
        <f t="shared" si="52"/>
        <v>100800</v>
      </c>
      <c r="AH101" s="82">
        <f t="shared" si="59"/>
        <v>394800</v>
      </c>
      <c r="AI101" s="82">
        <f t="shared" si="53"/>
        <v>33600</v>
      </c>
      <c r="AJ101" s="82">
        <f t="shared" si="60"/>
        <v>20000</v>
      </c>
      <c r="AK101" s="82">
        <f t="shared" si="61"/>
        <v>40320</v>
      </c>
      <c r="AL101" s="82">
        <f t="shared" si="54"/>
        <v>1274849.3700000001</v>
      </c>
      <c r="AM101" s="82">
        <f t="shared" si="55"/>
        <v>5374069</v>
      </c>
      <c r="AN101" s="119"/>
      <c r="AO101" s="121">
        <f>AM101+AN101</f>
        <v>5374069</v>
      </c>
    </row>
    <row r="102" spans="1:41" ht="18" customHeight="1">
      <c r="A102" s="79" t="s">
        <v>9</v>
      </c>
      <c r="B102" s="80" t="s">
        <v>720</v>
      </c>
      <c r="C102" s="80" t="s">
        <v>649</v>
      </c>
      <c r="D102" s="81">
        <v>2</v>
      </c>
      <c r="E102" s="90">
        <v>3.846153846153797</v>
      </c>
      <c r="F102" s="91">
        <v>2</v>
      </c>
      <c r="G102" s="90">
        <v>25.412500000000001</v>
      </c>
      <c r="H102" s="91">
        <v>2</v>
      </c>
      <c r="I102" s="82">
        <f t="shared" si="45"/>
        <v>33.258653846153798</v>
      </c>
      <c r="J102" s="81">
        <v>7</v>
      </c>
      <c r="K102" s="81">
        <v>0</v>
      </c>
      <c r="L102" s="81">
        <v>0</v>
      </c>
      <c r="M102" s="81">
        <v>0</v>
      </c>
      <c r="N102" s="82">
        <f t="shared" si="46"/>
        <v>7</v>
      </c>
      <c r="O102" s="82">
        <f t="shared" ref="O102:O114" si="74">E102+J102</f>
        <v>10.846153846153797</v>
      </c>
      <c r="P102" s="82">
        <f t="shared" si="72"/>
        <v>2</v>
      </c>
      <c r="Q102" s="82">
        <f t="shared" si="72"/>
        <v>25.412500000000001</v>
      </c>
      <c r="R102" s="82">
        <f t="shared" si="72"/>
        <v>2</v>
      </c>
      <c r="S102" s="93">
        <f t="shared" si="47"/>
        <v>40.258653846153798</v>
      </c>
      <c r="T102" s="81">
        <v>7</v>
      </c>
      <c r="U102" s="81">
        <v>2</v>
      </c>
      <c r="V102" s="81">
        <v>25</v>
      </c>
      <c r="W102" s="81">
        <v>2</v>
      </c>
      <c r="X102" s="93">
        <f t="shared" si="48"/>
        <v>36</v>
      </c>
      <c r="Y102" s="82">
        <v>7</v>
      </c>
      <c r="Z102" s="82">
        <v>2</v>
      </c>
      <c r="AA102" s="82">
        <v>25</v>
      </c>
      <c r="AB102" s="82">
        <v>2</v>
      </c>
      <c r="AC102" s="82">
        <f t="shared" si="49"/>
        <v>36</v>
      </c>
      <c r="AD102" s="82">
        <f t="shared" si="73"/>
        <v>2605440</v>
      </c>
      <c r="AE102" s="82">
        <f t="shared" si="50"/>
        <v>155520</v>
      </c>
      <c r="AF102" s="82">
        <f t="shared" si="51"/>
        <v>216000</v>
      </c>
      <c r="AG102" s="82">
        <f t="shared" si="52"/>
        <v>86400</v>
      </c>
      <c r="AH102" s="82">
        <f t="shared" si="59"/>
        <v>338400</v>
      </c>
      <c r="AI102" s="82">
        <f t="shared" si="53"/>
        <v>28800</v>
      </c>
      <c r="AJ102" s="82">
        <f t="shared" si="60"/>
        <v>20000</v>
      </c>
      <c r="AK102" s="82">
        <f t="shared" si="61"/>
        <v>34560</v>
      </c>
      <c r="AL102" s="82">
        <f t="shared" si="54"/>
        <v>1092728.03</v>
      </c>
      <c r="AM102" s="82">
        <f t="shared" si="55"/>
        <v>4577848</v>
      </c>
      <c r="AN102" s="119"/>
      <c r="AO102" s="121">
        <f t="shared" ref="AO102:AO114" si="75">AM102+AN102</f>
        <v>4577848</v>
      </c>
    </row>
    <row r="103" spans="1:41" ht="18" customHeight="1">
      <c r="A103" s="79" t="s">
        <v>9</v>
      </c>
      <c r="B103" s="80" t="s">
        <v>721</v>
      </c>
      <c r="C103" s="80" t="s">
        <v>649</v>
      </c>
      <c r="D103" s="81">
        <v>2</v>
      </c>
      <c r="E103" s="90">
        <v>3.1196581196580979</v>
      </c>
      <c r="F103" s="91">
        <v>3</v>
      </c>
      <c r="G103" s="90">
        <v>32.5</v>
      </c>
      <c r="H103" s="91">
        <v>5</v>
      </c>
      <c r="I103" s="82">
        <f t="shared" si="45"/>
        <v>43.619658119658098</v>
      </c>
      <c r="J103" s="81">
        <v>1</v>
      </c>
      <c r="K103" s="81">
        <v>0</v>
      </c>
      <c r="L103" s="81">
        <v>4</v>
      </c>
      <c r="M103" s="81">
        <v>0</v>
      </c>
      <c r="N103" s="82">
        <f t="shared" si="46"/>
        <v>5</v>
      </c>
      <c r="O103" s="82">
        <f t="shared" si="74"/>
        <v>4.1196581196580979</v>
      </c>
      <c r="P103" s="82">
        <f t="shared" si="72"/>
        <v>3</v>
      </c>
      <c r="Q103" s="82">
        <f t="shared" si="72"/>
        <v>36.5</v>
      </c>
      <c r="R103" s="82">
        <f t="shared" si="72"/>
        <v>5</v>
      </c>
      <c r="S103" s="93">
        <f t="shared" si="47"/>
        <v>48.619658119658098</v>
      </c>
      <c r="T103" s="81">
        <v>3</v>
      </c>
      <c r="U103" s="81">
        <v>4</v>
      </c>
      <c r="V103" s="81">
        <v>33</v>
      </c>
      <c r="W103" s="81">
        <v>5</v>
      </c>
      <c r="X103" s="93">
        <f t="shared" si="48"/>
        <v>45</v>
      </c>
      <c r="Y103" s="82">
        <v>3</v>
      </c>
      <c r="Z103" s="82">
        <v>4</v>
      </c>
      <c r="AA103" s="82">
        <v>33</v>
      </c>
      <c r="AB103" s="82">
        <v>5</v>
      </c>
      <c r="AC103" s="82">
        <f t="shared" si="49"/>
        <v>45</v>
      </c>
      <c r="AD103" s="82">
        <f t="shared" si="73"/>
        <v>3155880</v>
      </c>
      <c r="AE103" s="82">
        <f t="shared" si="50"/>
        <v>194400</v>
      </c>
      <c r="AF103" s="82">
        <f t="shared" si="51"/>
        <v>270000</v>
      </c>
      <c r="AG103" s="82">
        <f t="shared" si="52"/>
        <v>108000</v>
      </c>
      <c r="AH103" s="82">
        <f t="shared" si="59"/>
        <v>423000</v>
      </c>
      <c r="AI103" s="82">
        <f t="shared" si="53"/>
        <v>36000</v>
      </c>
      <c r="AJ103" s="82">
        <f t="shared" si="60"/>
        <v>20000</v>
      </c>
      <c r="AK103" s="82">
        <f t="shared" si="61"/>
        <v>43200</v>
      </c>
      <c r="AL103" s="82">
        <f t="shared" si="54"/>
        <v>1365910.04</v>
      </c>
      <c r="AM103" s="82">
        <f t="shared" si="55"/>
        <v>5616390</v>
      </c>
      <c r="AN103" s="119"/>
      <c r="AO103" s="121">
        <f t="shared" si="75"/>
        <v>5616390</v>
      </c>
    </row>
    <row r="104" spans="1:41" ht="18" customHeight="1">
      <c r="A104" s="79" t="s">
        <v>9</v>
      </c>
      <c r="B104" s="80" t="s">
        <v>722</v>
      </c>
      <c r="C104" s="80" t="s">
        <v>649</v>
      </c>
      <c r="D104" s="81">
        <v>4</v>
      </c>
      <c r="E104" s="90">
        <v>1.2478632478633003</v>
      </c>
      <c r="F104" s="91">
        <v>3</v>
      </c>
      <c r="G104" s="90">
        <v>24.324999999999999</v>
      </c>
      <c r="H104" s="91">
        <v>3</v>
      </c>
      <c r="I104" s="82">
        <f t="shared" si="45"/>
        <v>31.5728632478633</v>
      </c>
      <c r="J104" s="81">
        <v>0</v>
      </c>
      <c r="K104" s="81">
        <v>0</v>
      </c>
      <c r="L104" s="81">
        <v>1</v>
      </c>
      <c r="M104" s="81">
        <v>1</v>
      </c>
      <c r="N104" s="82">
        <f t="shared" si="46"/>
        <v>2</v>
      </c>
      <c r="O104" s="82">
        <f t="shared" si="74"/>
        <v>1.2478632478633003</v>
      </c>
      <c r="P104" s="82">
        <f t="shared" si="72"/>
        <v>3</v>
      </c>
      <c r="Q104" s="82">
        <f t="shared" si="72"/>
        <v>25.324999999999999</v>
      </c>
      <c r="R104" s="82">
        <f t="shared" si="72"/>
        <v>4</v>
      </c>
      <c r="S104" s="93">
        <f t="shared" si="47"/>
        <v>33.572863247863296</v>
      </c>
      <c r="T104" s="81">
        <v>4</v>
      </c>
      <c r="U104" s="81">
        <v>4</v>
      </c>
      <c r="V104" s="81">
        <v>25</v>
      </c>
      <c r="W104" s="81">
        <v>5</v>
      </c>
      <c r="X104" s="93">
        <f t="shared" si="48"/>
        <v>38</v>
      </c>
      <c r="Y104" s="82">
        <v>1.2478632478633003</v>
      </c>
      <c r="Z104" s="82">
        <v>3</v>
      </c>
      <c r="AA104" s="82">
        <v>25.324999999999999</v>
      </c>
      <c r="AB104" s="82">
        <v>4</v>
      </c>
      <c r="AC104" s="82">
        <f t="shared" si="49"/>
        <v>33.572863247863296</v>
      </c>
      <c r="AD104" s="82">
        <f t="shared" si="73"/>
        <v>2336849.2307692356</v>
      </c>
      <c r="AE104" s="116">
        <f t="shared" si="50"/>
        <v>145034.76923076945</v>
      </c>
      <c r="AF104" s="116">
        <f t="shared" si="51"/>
        <v>201437.17948717979</v>
      </c>
      <c r="AG104" s="116">
        <f t="shared" si="52"/>
        <v>80574.871794871913</v>
      </c>
      <c r="AH104" s="116">
        <f t="shared" si="59"/>
        <v>315584.91452991497</v>
      </c>
      <c r="AI104" s="116">
        <f t="shared" si="53"/>
        <v>26858.290598290638</v>
      </c>
      <c r="AJ104" s="116">
        <f t="shared" si="60"/>
        <v>40000</v>
      </c>
      <c r="AK104" s="116">
        <f t="shared" si="61"/>
        <v>32229.948717948762</v>
      </c>
      <c r="AL104" s="116">
        <f t="shared" si="54"/>
        <v>1019055.8</v>
      </c>
      <c r="AM104" s="82">
        <f t="shared" si="55"/>
        <v>4197625</v>
      </c>
      <c r="AN104" s="119"/>
      <c r="AO104" s="121">
        <f t="shared" si="75"/>
        <v>4197625</v>
      </c>
    </row>
    <row r="105" spans="1:41" ht="18" customHeight="1">
      <c r="A105" s="79" t="s">
        <v>9</v>
      </c>
      <c r="B105" s="80" t="s">
        <v>250</v>
      </c>
      <c r="C105" s="80" t="s">
        <v>959</v>
      </c>
      <c r="D105" s="81"/>
      <c r="E105" s="90">
        <v>0</v>
      </c>
      <c r="F105" s="91">
        <v>9</v>
      </c>
      <c r="G105" s="90">
        <v>0</v>
      </c>
      <c r="H105" s="91">
        <v>5.5</v>
      </c>
      <c r="I105" s="82">
        <f t="shared" si="45"/>
        <v>14.5</v>
      </c>
      <c r="J105" s="81">
        <v>0</v>
      </c>
      <c r="K105" s="81">
        <v>0</v>
      </c>
      <c r="L105" s="81">
        <v>0</v>
      </c>
      <c r="M105" s="81">
        <v>0</v>
      </c>
      <c r="N105" s="82">
        <f t="shared" si="46"/>
        <v>0</v>
      </c>
      <c r="O105" s="82">
        <f t="shared" si="74"/>
        <v>0</v>
      </c>
      <c r="P105" s="82">
        <f t="shared" si="72"/>
        <v>9</v>
      </c>
      <c r="Q105" s="82">
        <f t="shared" si="72"/>
        <v>0</v>
      </c>
      <c r="R105" s="82">
        <f t="shared" si="72"/>
        <v>5.5</v>
      </c>
      <c r="S105" s="93">
        <f t="shared" si="47"/>
        <v>14.5</v>
      </c>
      <c r="T105" s="81">
        <v>0</v>
      </c>
      <c r="U105" s="81">
        <v>0</v>
      </c>
      <c r="V105" s="81">
        <v>0</v>
      </c>
      <c r="W105" s="81">
        <v>6</v>
      </c>
      <c r="X105" s="93">
        <f t="shared" si="48"/>
        <v>6</v>
      </c>
      <c r="Y105" s="82">
        <v>0</v>
      </c>
      <c r="Z105" s="82">
        <v>0</v>
      </c>
      <c r="AA105" s="82">
        <v>0</v>
      </c>
      <c r="AB105" s="82">
        <v>6</v>
      </c>
      <c r="AC105" s="82">
        <f t="shared" si="49"/>
        <v>6</v>
      </c>
      <c r="AD105" s="82">
        <f t="shared" si="73"/>
        <v>352800</v>
      </c>
      <c r="AE105" s="82">
        <f t="shared" si="50"/>
        <v>25920</v>
      </c>
      <c r="AF105" s="82">
        <f t="shared" si="51"/>
        <v>36000</v>
      </c>
      <c r="AG105" s="82">
        <f t="shared" si="52"/>
        <v>14400</v>
      </c>
      <c r="AH105" s="82">
        <f t="shared" si="59"/>
        <v>56400</v>
      </c>
      <c r="AI105" s="82">
        <f t="shared" si="53"/>
        <v>4800</v>
      </c>
      <c r="AJ105" s="82">
        <f t="shared" si="60"/>
        <v>0</v>
      </c>
      <c r="AK105" s="82">
        <f t="shared" si="61"/>
        <v>5760</v>
      </c>
      <c r="AL105" s="82">
        <f t="shared" si="54"/>
        <v>182121.34</v>
      </c>
      <c r="AM105" s="82">
        <f t="shared" si="55"/>
        <v>678201</v>
      </c>
      <c r="AN105" s="119">
        <v>127.5</v>
      </c>
      <c r="AO105" s="119">
        <f t="shared" si="75"/>
        <v>678328.5</v>
      </c>
    </row>
    <row r="106" spans="1:41" ht="18" customHeight="1">
      <c r="A106" s="79" t="s">
        <v>9</v>
      </c>
      <c r="B106" s="80" t="s">
        <v>723</v>
      </c>
      <c r="C106" s="80" t="s">
        <v>959</v>
      </c>
      <c r="D106" s="81"/>
      <c r="E106" s="90">
        <v>34.103448275862007</v>
      </c>
      <c r="F106" s="91">
        <v>24</v>
      </c>
      <c r="G106" s="90">
        <v>0</v>
      </c>
      <c r="H106" s="91">
        <v>12</v>
      </c>
      <c r="I106" s="82">
        <f t="shared" si="45"/>
        <v>70.103448275862007</v>
      </c>
      <c r="J106" s="81">
        <v>3</v>
      </c>
      <c r="K106" s="81">
        <v>0</v>
      </c>
      <c r="L106" s="81">
        <v>0</v>
      </c>
      <c r="M106" s="81">
        <v>0</v>
      </c>
      <c r="N106" s="82">
        <f t="shared" si="46"/>
        <v>3</v>
      </c>
      <c r="O106" s="82">
        <f t="shared" si="74"/>
        <v>37.103448275862007</v>
      </c>
      <c r="P106" s="82">
        <f t="shared" si="72"/>
        <v>24</v>
      </c>
      <c r="Q106" s="82">
        <f t="shared" si="72"/>
        <v>0</v>
      </c>
      <c r="R106" s="82">
        <f t="shared" si="72"/>
        <v>12</v>
      </c>
      <c r="S106" s="93">
        <f t="shared" si="47"/>
        <v>73.103448275862007</v>
      </c>
      <c r="T106" s="81">
        <v>18</v>
      </c>
      <c r="U106" s="81">
        <v>14</v>
      </c>
      <c r="V106" s="81">
        <v>0</v>
      </c>
      <c r="W106" s="81">
        <v>6</v>
      </c>
      <c r="X106" s="93">
        <f t="shared" si="48"/>
        <v>38</v>
      </c>
      <c r="Y106" s="82">
        <v>18</v>
      </c>
      <c r="Z106" s="82">
        <v>14</v>
      </c>
      <c r="AA106" s="82">
        <v>0</v>
      </c>
      <c r="AB106" s="82">
        <v>6</v>
      </c>
      <c r="AC106" s="82">
        <f t="shared" si="49"/>
        <v>38</v>
      </c>
      <c r="AD106" s="82">
        <f t="shared" si="73"/>
        <v>2965080</v>
      </c>
      <c r="AE106" s="82">
        <f t="shared" si="50"/>
        <v>164160</v>
      </c>
      <c r="AF106" s="82">
        <f t="shared" si="51"/>
        <v>228000</v>
      </c>
      <c r="AG106" s="82">
        <f t="shared" si="52"/>
        <v>91200</v>
      </c>
      <c r="AH106" s="82">
        <f t="shared" si="59"/>
        <v>357200</v>
      </c>
      <c r="AI106" s="82">
        <f t="shared" si="53"/>
        <v>30400</v>
      </c>
      <c r="AJ106" s="82">
        <f t="shared" si="60"/>
        <v>0</v>
      </c>
      <c r="AK106" s="82">
        <f t="shared" si="61"/>
        <v>36480</v>
      </c>
      <c r="AL106" s="82">
        <f t="shared" si="54"/>
        <v>1153435.1499999999</v>
      </c>
      <c r="AM106" s="82">
        <f t="shared" si="55"/>
        <v>5025955</v>
      </c>
      <c r="AN106" s="119">
        <v>253414.25</v>
      </c>
      <c r="AO106" s="119">
        <f t="shared" si="75"/>
        <v>5279369.25</v>
      </c>
    </row>
    <row r="107" spans="1:41" ht="18" customHeight="1">
      <c r="A107" s="79" t="s">
        <v>9</v>
      </c>
      <c r="B107" s="80" t="s">
        <v>724</v>
      </c>
      <c r="C107" s="80" t="s">
        <v>959</v>
      </c>
      <c r="D107" s="81"/>
      <c r="E107" s="90">
        <v>2.517241379310299</v>
      </c>
      <c r="F107" s="91">
        <v>8</v>
      </c>
      <c r="G107" s="90">
        <v>0</v>
      </c>
      <c r="H107" s="91">
        <v>5</v>
      </c>
      <c r="I107" s="82">
        <f t="shared" si="45"/>
        <v>15.517241379310299</v>
      </c>
      <c r="J107" s="81">
        <v>0</v>
      </c>
      <c r="K107" s="81">
        <v>0</v>
      </c>
      <c r="L107" s="81">
        <v>0</v>
      </c>
      <c r="M107" s="81">
        <v>0</v>
      </c>
      <c r="N107" s="82">
        <f t="shared" si="46"/>
        <v>0</v>
      </c>
      <c r="O107" s="82">
        <f t="shared" si="74"/>
        <v>2.517241379310299</v>
      </c>
      <c r="P107" s="82">
        <f t="shared" si="72"/>
        <v>8</v>
      </c>
      <c r="Q107" s="82">
        <f t="shared" si="72"/>
        <v>0</v>
      </c>
      <c r="R107" s="82">
        <f t="shared" si="72"/>
        <v>5</v>
      </c>
      <c r="S107" s="93">
        <f t="shared" si="47"/>
        <v>15.517241379310299</v>
      </c>
      <c r="T107" s="81">
        <v>2</v>
      </c>
      <c r="U107" s="81">
        <v>5</v>
      </c>
      <c r="V107" s="81">
        <v>0</v>
      </c>
      <c r="W107" s="81">
        <v>1</v>
      </c>
      <c r="X107" s="93">
        <f t="shared" si="48"/>
        <v>8</v>
      </c>
      <c r="Y107" s="82">
        <v>2</v>
      </c>
      <c r="Z107" s="82">
        <v>5</v>
      </c>
      <c r="AA107" s="82">
        <v>0</v>
      </c>
      <c r="AB107" s="82">
        <v>1</v>
      </c>
      <c r="AC107" s="82">
        <f t="shared" si="49"/>
        <v>8</v>
      </c>
      <c r="AD107" s="82">
        <f t="shared" si="73"/>
        <v>617100</v>
      </c>
      <c r="AE107" s="82">
        <f t="shared" si="50"/>
        <v>34560</v>
      </c>
      <c r="AF107" s="82">
        <f t="shared" si="51"/>
        <v>48000</v>
      </c>
      <c r="AG107" s="82">
        <f t="shared" si="52"/>
        <v>19200</v>
      </c>
      <c r="AH107" s="82">
        <f t="shared" si="59"/>
        <v>75200</v>
      </c>
      <c r="AI107" s="82">
        <f t="shared" si="53"/>
        <v>6400</v>
      </c>
      <c r="AJ107" s="82">
        <f t="shared" si="60"/>
        <v>0</v>
      </c>
      <c r="AK107" s="82">
        <f t="shared" si="61"/>
        <v>7680</v>
      </c>
      <c r="AL107" s="82">
        <f t="shared" si="54"/>
        <v>242828.45</v>
      </c>
      <c r="AM107" s="82">
        <f t="shared" si="55"/>
        <v>1050968</v>
      </c>
      <c r="AN107" s="119">
        <v>37867.5</v>
      </c>
      <c r="AO107" s="119">
        <f t="shared" si="75"/>
        <v>1088835.5</v>
      </c>
    </row>
    <row r="108" spans="1:41" s="83" customFormat="1" ht="18" customHeight="1">
      <c r="A108" s="79" t="s">
        <v>9</v>
      </c>
      <c r="B108" s="80" t="s">
        <v>725</v>
      </c>
      <c r="C108" s="80" t="s">
        <v>959</v>
      </c>
      <c r="D108" s="81"/>
      <c r="E108" s="90">
        <v>0.2413793103447972</v>
      </c>
      <c r="F108" s="91">
        <v>9</v>
      </c>
      <c r="G108" s="90">
        <v>0</v>
      </c>
      <c r="H108" s="91">
        <v>5.5</v>
      </c>
      <c r="I108" s="82">
        <f t="shared" si="45"/>
        <v>14.741379310344797</v>
      </c>
      <c r="J108" s="81">
        <v>4</v>
      </c>
      <c r="K108" s="81">
        <v>0</v>
      </c>
      <c r="L108" s="81">
        <v>0</v>
      </c>
      <c r="M108" s="81">
        <v>0</v>
      </c>
      <c r="N108" s="82">
        <f t="shared" si="46"/>
        <v>4</v>
      </c>
      <c r="O108" s="82">
        <f t="shared" si="74"/>
        <v>4.2413793103447972</v>
      </c>
      <c r="P108" s="82">
        <f t="shared" si="72"/>
        <v>9</v>
      </c>
      <c r="Q108" s="82">
        <f t="shared" si="72"/>
        <v>0</v>
      </c>
      <c r="R108" s="82">
        <f t="shared" si="72"/>
        <v>5.5</v>
      </c>
      <c r="S108" s="93">
        <f t="shared" si="47"/>
        <v>18.741379310344797</v>
      </c>
      <c r="T108" s="81">
        <v>4</v>
      </c>
      <c r="U108" s="81">
        <v>2</v>
      </c>
      <c r="V108" s="81">
        <v>0</v>
      </c>
      <c r="W108" s="81">
        <v>6</v>
      </c>
      <c r="X108" s="93">
        <f t="shared" si="48"/>
        <v>12</v>
      </c>
      <c r="Y108" s="82">
        <v>4</v>
      </c>
      <c r="Z108" s="82">
        <v>2</v>
      </c>
      <c r="AA108" s="82">
        <v>0</v>
      </c>
      <c r="AB108" s="82">
        <v>6</v>
      </c>
      <c r="AC108" s="82">
        <f t="shared" si="49"/>
        <v>12</v>
      </c>
      <c r="AD108" s="82">
        <f t="shared" si="73"/>
        <v>846840</v>
      </c>
      <c r="AE108" s="82">
        <f t="shared" si="50"/>
        <v>51840</v>
      </c>
      <c r="AF108" s="82">
        <f t="shared" si="51"/>
        <v>72000</v>
      </c>
      <c r="AG108" s="82">
        <f t="shared" si="52"/>
        <v>28800</v>
      </c>
      <c r="AH108" s="82">
        <f t="shared" si="59"/>
        <v>112800</v>
      </c>
      <c r="AI108" s="82">
        <f t="shared" si="53"/>
        <v>9600</v>
      </c>
      <c r="AJ108" s="82">
        <f t="shared" si="60"/>
        <v>0</v>
      </c>
      <c r="AK108" s="82">
        <f t="shared" si="61"/>
        <v>11520</v>
      </c>
      <c r="AL108" s="82">
        <f t="shared" si="54"/>
        <v>364242.68</v>
      </c>
      <c r="AM108" s="82">
        <f t="shared" si="55"/>
        <v>1497643</v>
      </c>
      <c r="AN108" s="120"/>
      <c r="AO108" s="119">
        <f t="shared" si="75"/>
        <v>1497643</v>
      </c>
    </row>
    <row r="109" spans="1:41" ht="18" customHeight="1">
      <c r="A109" s="79" t="s">
        <v>9</v>
      </c>
      <c r="B109" s="80" t="s">
        <v>726</v>
      </c>
      <c r="C109" s="80" t="s">
        <v>464</v>
      </c>
      <c r="D109" s="81"/>
      <c r="E109" s="90">
        <v>10</v>
      </c>
      <c r="F109" s="91">
        <v>10.5</v>
      </c>
      <c r="G109" s="90">
        <v>0</v>
      </c>
      <c r="H109" s="91">
        <v>6</v>
      </c>
      <c r="I109" s="82">
        <f t="shared" si="45"/>
        <v>26.5</v>
      </c>
      <c r="J109" s="81">
        <v>5</v>
      </c>
      <c r="K109" s="81">
        <v>4</v>
      </c>
      <c r="L109" s="81">
        <v>0</v>
      </c>
      <c r="M109" s="81">
        <v>0</v>
      </c>
      <c r="N109" s="82">
        <f t="shared" si="46"/>
        <v>9</v>
      </c>
      <c r="O109" s="82">
        <f t="shared" si="74"/>
        <v>15</v>
      </c>
      <c r="P109" s="82">
        <f t="shared" si="72"/>
        <v>14.5</v>
      </c>
      <c r="Q109" s="82">
        <f t="shared" si="72"/>
        <v>0</v>
      </c>
      <c r="R109" s="82">
        <f t="shared" si="72"/>
        <v>6</v>
      </c>
      <c r="S109" s="93">
        <f t="shared" si="47"/>
        <v>35.5</v>
      </c>
      <c r="T109" s="81">
        <v>6</v>
      </c>
      <c r="U109" s="81">
        <v>6</v>
      </c>
      <c r="V109" s="81">
        <v>0</v>
      </c>
      <c r="W109" s="81">
        <v>5</v>
      </c>
      <c r="X109" s="93">
        <f t="shared" si="48"/>
        <v>17</v>
      </c>
      <c r="Y109" s="82">
        <v>6</v>
      </c>
      <c r="Z109" s="82">
        <v>6</v>
      </c>
      <c r="AA109" s="82">
        <v>0</v>
      </c>
      <c r="AB109" s="82">
        <v>5</v>
      </c>
      <c r="AC109" s="82">
        <f t="shared" si="49"/>
        <v>17</v>
      </c>
      <c r="AD109" s="82">
        <f t="shared" ref="AD109:AD112" si="76">(Y109*9230+Z109*7215+AA109*5800+AB109*5100)*12</f>
        <v>1490040</v>
      </c>
      <c r="AE109" s="82">
        <f t="shared" si="50"/>
        <v>73440</v>
      </c>
      <c r="AF109" s="82">
        <f t="shared" si="51"/>
        <v>102000</v>
      </c>
      <c r="AG109" s="82">
        <f t="shared" si="52"/>
        <v>40800</v>
      </c>
      <c r="AH109" s="82">
        <f t="shared" ref="AH109:AH112" si="77">Y109*15400+(Z109+AA109+AB109)*9400</f>
        <v>195800</v>
      </c>
      <c r="AI109" s="82">
        <f t="shared" si="53"/>
        <v>13600</v>
      </c>
      <c r="AJ109" s="82">
        <f t="shared" si="60"/>
        <v>0</v>
      </c>
      <c r="AK109" s="82">
        <f t="shared" si="61"/>
        <v>16320</v>
      </c>
      <c r="AL109" s="82">
        <f t="shared" si="54"/>
        <v>516010.46</v>
      </c>
      <c r="AM109" s="82">
        <f t="shared" si="55"/>
        <v>2448010</v>
      </c>
      <c r="AN109" s="119">
        <v>49597.5</v>
      </c>
      <c r="AO109" s="119">
        <f t="shared" si="75"/>
        <v>2497607.5</v>
      </c>
    </row>
    <row r="110" spans="1:41" ht="18" customHeight="1">
      <c r="A110" s="79" t="s">
        <v>9</v>
      </c>
      <c r="B110" s="80" t="s">
        <v>727</v>
      </c>
      <c r="C110" s="80" t="s">
        <v>464</v>
      </c>
      <c r="D110" s="81"/>
      <c r="E110" s="90">
        <v>15.873949579832001</v>
      </c>
      <c r="F110" s="91">
        <v>10</v>
      </c>
      <c r="G110" s="90">
        <v>0</v>
      </c>
      <c r="H110" s="91">
        <v>9</v>
      </c>
      <c r="I110" s="82">
        <f t="shared" si="45"/>
        <v>34.873949579832001</v>
      </c>
      <c r="J110" s="81">
        <v>5</v>
      </c>
      <c r="K110" s="81">
        <v>2</v>
      </c>
      <c r="L110" s="81">
        <v>0</v>
      </c>
      <c r="M110" s="81">
        <v>0</v>
      </c>
      <c r="N110" s="82">
        <f t="shared" si="46"/>
        <v>7</v>
      </c>
      <c r="O110" s="82">
        <f t="shared" si="74"/>
        <v>20.873949579832001</v>
      </c>
      <c r="P110" s="82">
        <f t="shared" si="72"/>
        <v>12</v>
      </c>
      <c r="Q110" s="82">
        <f t="shared" si="72"/>
        <v>0</v>
      </c>
      <c r="R110" s="82">
        <f t="shared" si="72"/>
        <v>9</v>
      </c>
      <c r="S110" s="93">
        <f t="shared" si="47"/>
        <v>41.873949579832001</v>
      </c>
      <c r="T110" s="81">
        <v>5</v>
      </c>
      <c r="U110" s="81">
        <v>7</v>
      </c>
      <c r="V110" s="81">
        <v>0</v>
      </c>
      <c r="W110" s="81">
        <v>7</v>
      </c>
      <c r="X110" s="93">
        <f t="shared" si="48"/>
        <v>19</v>
      </c>
      <c r="Y110" s="82">
        <v>5</v>
      </c>
      <c r="Z110" s="82">
        <v>7</v>
      </c>
      <c r="AA110" s="82">
        <v>0</v>
      </c>
      <c r="AB110" s="82">
        <v>7</v>
      </c>
      <c r="AC110" s="82">
        <f t="shared" si="49"/>
        <v>19</v>
      </c>
      <c r="AD110" s="82">
        <f t="shared" si="76"/>
        <v>1588260</v>
      </c>
      <c r="AE110" s="82">
        <f t="shared" si="50"/>
        <v>82080</v>
      </c>
      <c r="AF110" s="82">
        <f t="shared" si="51"/>
        <v>114000</v>
      </c>
      <c r="AG110" s="82">
        <f t="shared" si="52"/>
        <v>45600</v>
      </c>
      <c r="AH110" s="82">
        <f t="shared" si="77"/>
        <v>208600</v>
      </c>
      <c r="AI110" s="82">
        <f t="shared" si="53"/>
        <v>15200</v>
      </c>
      <c r="AJ110" s="82">
        <f t="shared" si="60"/>
        <v>0</v>
      </c>
      <c r="AK110" s="82">
        <f t="shared" si="61"/>
        <v>18240</v>
      </c>
      <c r="AL110" s="82">
        <f t="shared" si="54"/>
        <v>576717.56999999995</v>
      </c>
      <c r="AM110" s="82">
        <f t="shared" si="55"/>
        <v>2648698</v>
      </c>
      <c r="AN110" s="119">
        <v>70329</v>
      </c>
      <c r="AO110" s="119">
        <f t="shared" si="75"/>
        <v>2719027</v>
      </c>
    </row>
    <row r="111" spans="1:41" ht="18" customHeight="1">
      <c r="A111" s="79" t="s">
        <v>9</v>
      </c>
      <c r="B111" s="80" t="s">
        <v>728</v>
      </c>
      <c r="C111" s="80" t="s">
        <v>972</v>
      </c>
      <c r="D111" s="81"/>
      <c r="E111" s="90">
        <v>13</v>
      </c>
      <c r="F111" s="91">
        <v>12</v>
      </c>
      <c r="G111" s="90">
        <v>0</v>
      </c>
      <c r="H111" s="91">
        <v>10</v>
      </c>
      <c r="I111" s="82">
        <f t="shared" si="45"/>
        <v>35</v>
      </c>
      <c r="J111" s="81">
        <v>0</v>
      </c>
      <c r="K111" s="81">
        <v>1</v>
      </c>
      <c r="L111" s="81">
        <v>0</v>
      </c>
      <c r="M111" s="81">
        <v>2</v>
      </c>
      <c r="N111" s="82">
        <f t="shared" si="46"/>
        <v>3</v>
      </c>
      <c r="O111" s="82">
        <f t="shared" si="74"/>
        <v>13</v>
      </c>
      <c r="P111" s="82">
        <f t="shared" si="72"/>
        <v>13</v>
      </c>
      <c r="Q111" s="82">
        <f t="shared" si="72"/>
        <v>0</v>
      </c>
      <c r="R111" s="82">
        <f t="shared" si="72"/>
        <v>12</v>
      </c>
      <c r="S111" s="93">
        <f t="shared" si="47"/>
        <v>38</v>
      </c>
      <c r="T111" s="81">
        <v>5</v>
      </c>
      <c r="U111" s="81">
        <v>9</v>
      </c>
      <c r="V111" s="81">
        <v>0</v>
      </c>
      <c r="W111" s="81">
        <v>7</v>
      </c>
      <c r="X111" s="93">
        <f t="shared" si="48"/>
        <v>21</v>
      </c>
      <c r="Y111" s="82">
        <v>5</v>
      </c>
      <c r="Z111" s="82">
        <v>9</v>
      </c>
      <c r="AA111" s="82">
        <v>0</v>
      </c>
      <c r="AB111" s="82">
        <v>7</v>
      </c>
      <c r="AC111" s="82">
        <f t="shared" si="49"/>
        <v>21</v>
      </c>
      <c r="AD111" s="82">
        <f t="shared" si="76"/>
        <v>1761420</v>
      </c>
      <c r="AE111" s="82">
        <f t="shared" si="50"/>
        <v>90720</v>
      </c>
      <c r="AF111" s="82">
        <f t="shared" si="51"/>
        <v>126000</v>
      </c>
      <c r="AG111" s="82">
        <f t="shared" si="52"/>
        <v>50400</v>
      </c>
      <c r="AH111" s="82">
        <f t="shared" si="77"/>
        <v>227400</v>
      </c>
      <c r="AI111" s="82">
        <f t="shared" si="53"/>
        <v>16800</v>
      </c>
      <c r="AJ111" s="82">
        <f t="shared" si="60"/>
        <v>0</v>
      </c>
      <c r="AK111" s="82">
        <f t="shared" si="61"/>
        <v>20160</v>
      </c>
      <c r="AL111" s="82">
        <f t="shared" si="54"/>
        <v>637424.68999999994</v>
      </c>
      <c r="AM111" s="82">
        <f t="shared" si="55"/>
        <v>2930325</v>
      </c>
      <c r="AN111" s="119">
        <v>44046.5</v>
      </c>
      <c r="AO111" s="119">
        <f t="shared" si="75"/>
        <v>2974371.5</v>
      </c>
    </row>
    <row r="112" spans="1:41" ht="18" customHeight="1">
      <c r="A112" s="79" t="s">
        <v>9</v>
      </c>
      <c r="B112" s="80" t="s">
        <v>729</v>
      </c>
      <c r="C112" s="80" t="s">
        <v>464</v>
      </c>
      <c r="D112" s="81"/>
      <c r="E112" s="90">
        <v>23.731092436975004</v>
      </c>
      <c r="F112" s="91">
        <v>11</v>
      </c>
      <c r="G112" s="90">
        <v>0</v>
      </c>
      <c r="H112" s="91">
        <v>6</v>
      </c>
      <c r="I112" s="82">
        <f t="shared" si="45"/>
        <v>40.731092436975004</v>
      </c>
      <c r="J112" s="81">
        <v>0</v>
      </c>
      <c r="K112" s="81">
        <v>0</v>
      </c>
      <c r="L112" s="81">
        <v>0</v>
      </c>
      <c r="M112" s="81">
        <v>0</v>
      </c>
      <c r="N112" s="82">
        <f t="shared" si="46"/>
        <v>0</v>
      </c>
      <c r="O112" s="82">
        <f t="shared" si="74"/>
        <v>23.731092436975004</v>
      </c>
      <c r="P112" s="82">
        <f t="shared" si="72"/>
        <v>11</v>
      </c>
      <c r="Q112" s="82">
        <f t="shared" si="72"/>
        <v>0</v>
      </c>
      <c r="R112" s="82">
        <f t="shared" si="72"/>
        <v>6</v>
      </c>
      <c r="S112" s="93">
        <f t="shared" si="47"/>
        <v>40.731092436975004</v>
      </c>
      <c r="T112" s="81">
        <v>4</v>
      </c>
      <c r="U112" s="81">
        <v>7</v>
      </c>
      <c r="V112" s="81">
        <v>0</v>
      </c>
      <c r="W112" s="81">
        <v>2</v>
      </c>
      <c r="X112" s="93">
        <f t="shared" si="48"/>
        <v>13</v>
      </c>
      <c r="Y112" s="82">
        <v>4</v>
      </c>
      <c r="Z112" s="82">
        <v>7</v>
      </c>
      <c r="AA112" s="82">
        <v>0</v>
      </c>
      <c r="AB112" s="82">
        <v>2</v>
      </c>
      <c r="AC112" s="82">
        <f t="shared" si="49"/>
        <v>13</v>
      </c>
      <c r="AD112" s="82">
        <f t="shared" si="76"/>
        <v>1171500</v>
      </c>
      <c r="AE112" s="82">
        <f t="shared" si="50"/>
        <v>56160</v>
      </c>
      <c r="AF112" s="82">
        <f t="shared" si="51"/>
        <v>78000</v>
      </c>
      <c r="AG112" s="82">
        <f t="shared" si="52"/>
        <v>31200</v>
      </c>
      <c r="AH112" s="82">
        <f t="shared" si="77"/>
        <v>146200</v>
      </c>
      <c r="AI112" s="82">
        <f t="shared" si="53"/>
        <v>10400</v>
      </c>
      <c r="AJ112" s="82">
        <f t="shared" si="60"/>
        <v>0</v>
      </c>
      <c r="AK112" s="82">
        <f t="shared" si="61"/>
        <v>12480</v>
      </c>
      <c r="AL112" s="82">
        <f t="shared" si="54"/>
        <v>394596.23</v>
      </c>
      <c r="AM112" s="82">
        <f t="shared" si="55"/>
        <v>1900536</v>
      </c>
      <c r="AN112" s="119">
        <v>43104</v>
      </c>
      <c r="AO112" s="119">
        <f t="shared" si="75"/>
        <v>1943640</v>
      </c>
    </row>
    <row r="113" spans="1:41" s="83" customFormat="1" ht="18" customHeight="1">
      <c r="A113" s="79" t="s">
        <v>9</v>
      </c>
      <c r="B113" s="80" t="s">
        <v>730</v>
      </c>
      <c r="C113" s="80" t="s">
        <v>649</v>
      </c>
      <c r="D113" s="81">
        <v>2</v>
      </c>
      <c r="E113" s="90">
        <v>1.1623931623932009</v>
      </c>
      <c r="F113" s="91">
        <v>3</v>
      </c>
      <c r="G113" s="90">
        <v>19.850000000000001</v>
      </c>
      <c r="H113" s="91">
        <v>2</v>
      </c>
      <c r="I113" s="82">
        <f t="shared" si="45"/>
        <v>26.012393162393202</v>
      </c>
      <c r="J113" s="81">
        <v>5</v>
      </c>
      <c r="K113" s="81">
        <v>1</v>
      </c>
      <c r="L113" s="81">
        <v>0</v>
      </c>
      <c r="M113" s="81">
        <v>0</v>
      </c>
      <c r="N113" s="82">
        <f t="shared" si="46"/>
        <v>6</v>
      </c>
      <c r="O113" s="82">
        <f t="shared" si="74"/>
        <v>6.1623931623932009</v>
      </c>
      <c r="P113" s="82">
        <f t="shared" si="72"/>
        <v>4</v>
      </c>
      <c r="Q113" s="82">
        <f t="shared" si="72"/>
        <v>19.850000000000001</v>
      </c>
      <c r="R113" s="82">
        <f t="shared" si="72"/>
        <v>2</v>
      </c>
      <c r="S113" s="93">
        <f t="shared" si="47"/>
        <v>32.012393162393202</v>
      </c>
      <c r="T113" s="81">
        <v>6</v>
      </c>
      <c r="U113" s="81">
        <v>4</v>
      </c>
      <c r="V113" s="81">
        <v>20</v>
      </c>
      <c r="W113" s="81">
        <v>2</v>
      </c>
      <c r="X113" s="93">
        <f t="shared" si="48"/>
        <v>32</v>
      </c>
      <c r="Y113" s="82">
        <v>6</v>
      </c>
      <c r="Z113" s="82">
        <v>4</v>
      </c>
      <c r="AA113" s="82">
        <v>20</v>
      </c>
      <c r="AB113" s="82">
        <v>2</v>
      </c>
      <c r="AC113" s="82">
        <f t="shared" si="49"/>
        <v>32</v>
      </c>
      <c r="AD113" s="82">
        <f>(Y113*7050+Z113*6485+AA113*5800+AB113*4900)*12</f>
        <v>2328480</v>
      </c>
      <c r="AE113" s="82">
        <f t="shared" si="50"/>
        <v>138240</v>
      </c>
      <c r="AF113" s="82">
        <f t="shared" si="51"/>
        <v>192000</v>
      </c>
      <c r="AG113" s="82">
        <f t="shared" si="52"/>
        <v>76800</v>
      </c>
      <c r="AH113" s="82">
        <f t="shared" si="59"/>
        <v>300800</v>
      </c>
      <c r="AI113" s="82">
        <f t="shared" si="53"/>
        <v>25600</v>
      </c>
      <c r="AJ113" s="82">
        <f t="shared" si="60"/>
        <v>20000</v>
      </c>
      <c r="AK113" s="82">
        <f t="shared" si="61"/>
        <v>30720</v>
      </c>
      <c r="AL113" s="82">
        <f t="shared" si="54"/>
        <v>971313.81</v>
      </c>
      <c r="AM113" s="82">
        <f t="shared" si="55"/>
        <v>4083954</v>
      </c>
      <c r="AN113" s="120"/>
      <c r="AO113" s="121">
        <f t="shared" si="75"/>
        <v>4083954</v>
      </c>
    </row>
    <row r="114" spans="1:41" s="83" customFormat="1" ht="18" customHeight="1">
      <c r="A114" s="79" t="s">
        <v>9</v>
      </c>
      <c r="B114" s="80" t="s">
        <v>731</v>
      </c>
      <c r="C114" s="80" t="s">
        <v>649</v>
      </c>
      <c r="D114" s="81">
        <v>1</v>
      </c>
      <c r="E114" s="90">
        <v>3.427350427350401</v>
      </c>
      <c r="F114" s="91">
        <v>2</v>
      </c>
      <c r="G114" s="90">
        <v>11.987500000000001</v>
      </c>
      <c r="H114" s="91">
        <v>1</v>
      </c>
      <c r="I114" s="82">
        <f t="shared" si="45"/>
        <v>18.414850427350402</v>
      </c>
      <c r="J114" s="81">
        <v>0</v>
      </c>
      <c r="K114" s="81">
        <v>0</v>
      </c>
      <c r="L114" s="81">
        <v>1</v>
      </c>
      <c r="M114" s="81">
        <v>0</v>
      </c>
      <c r="N114" s="82">
        <f t="shared" si="46"/>
        <v>1</v>
      </c>
      <c r="O114" s="82">
        <f t="shared" si="74"/>
        <v>3.427350427350401</v>
      </c>
      <c r="P114" s="82">
        <f t="shared" si="72"/>
        <v>2</v>
      </c>
      <c r="Q114" s="82">
        <f t="shared" si="72"/>
        <v>12.987500000000001</v>
      </c>
      <c r="R114" s="82">
        <f t="shared" si="72"/>
        <v>1</v>
      </c>
      <c r="S114" s="93">
        <f t="shared" si="47"/>
        <v>19.414850427350402</v>
      </c>
      <c r="T114" s="81">
        <v>3</v>
      </c>
      <c r="U114" s="81">
        <v>3</v>
      </c>
      <c r="V114" s="81">
        <v>13</v>
      </c>
      <c r="W114" s="81">
        <v>1</v>
      </c>
      <c r="X114" s="93">
        <f t="shared" si="48"/>
        <v>20</v>
      </c>
      <c r="Y114" s="82">
        <v>3.427350427350401</v>
      </c>
      <c r="Z114" s="82">
        <v>2</v>
      </c>
      <c r="AA114" s="82">
        <v>12.987500000000001</v>
      </c>
      <c r="AB114" s="82">
        <v>1</v>
      </c>
      <c r="AC114" s="82">
        <f t="shared" si="49"/>
        <v>19.414850427350402</v>
      </c>
      <c r="AD114" s="82">
        <f>(Y114*7050+Z114*6485+AA114*5800+AB114*4900)*12</f>
        <v>1408323.8461538439</v>
      </c>
      <c r="AE114" s="82">
        <f t="shared" si="50"/>
        <v>83872.153846153742</v>
      </c>
      <c r="AF114" s="82">
        <f t="shared" si="51"/>
        <v>116489.10256410242</v>
      </c>
      <c r="AG114" s="82">
        <f t="shared" si="52"/>
        <v>46595.641025640965</v>
      </c>
      <c r="AH114" s="82">
        <f t="shared" si="59"/>
        <v>182499.59401709377</v>
      </c>
      <c r="AI114" s="82">
        <f t="shared" si="53"/>
        <v>15531.880341880322</v>
      </c>
      <c r="AJ114" s="82">
        <f t="shared" si="60"/>
        <v>10000</v>
      </c>
      <c r="AK114" s="82">
        <f t="shared" si="61"/>
        <v>18638.256410256385</v>
      </c>
      <c r="AL114" s="82">
        <f t="shared" si="54"/>
        <v>589309.76</v>
      </c>
      <c r="AM114" s="82">
        <f t="shared" si="55"/>
        <v>2471260</v>
      </c>
      <c r="AN114" s="120"/>
      <c r="AO114" s="121">
        <f t="shared" si="75"/>
        <v>2471260</v>
      </c>
    </row>
    <row r="115" spans="1:41" s="85" customFormat="1" ht="18" customHeight="1">
      <c r="A115" s="164"/>
      <c r="B115" s="164" t="s">
        <v>732</v>
      </c>
      <c r="C115" s="164"/>
      <c r="D115" s="84">
        <f>SUM(D101:D114)</f>
        <v>13</v>
      </c>
      <c r="E115" s="84">
        <f t="shared" ref="E115:AO115" si="78">SUM(E101:E114)</f>
        <v>116.10813662334971</v>
      </c>
      <c r="F115" s="84">
        <f t="shared" si="78"/>
        <v>109.5</v>
      </c>
      <c r="G115" s="84">
        <f t="shared" si="78"/>
        <v>140.92500000000001</v>
      </c>
      <c r="H115" s="84">
        <f t="shared" si="78"/>
        <v>74</v>
      </c>
      <c r="I115" s="84">
        <f t="shared" si="78"/>
        <v>440.53313662334972</v>
      </c>
      <c r="J115" s="84">
        <f t="shared" si="78"/>
        <v>34</v>
      </c>
      <c r="K115" s="84">
        <f t="shared" si="78"/>
        <v>8</v>
      </c>
      <c r="L115" s="84">
        <f t="shared" si="78"/>
        <v>9</v>
      </c>
      <c r="M115" s="84">
        <f t="shared" si="78"/>
        <v>4</v>
      </c>
      <c r="N115" s="84">
        <f t="shared" si="78"/>
        <v>55</v>
      </c>
      <c r="O115" s="84">
        <f t="shared" si="78"/>
        <v>150.10813662334971</v>
      </c>
      <c r="P115" s="84">
        <f t="shared" si="78"/>
        <v>117.5</v>
      </c>
      <c r="Q115" s="84">
        <f t="shared" si="78"/>
        <v>149.92500000000001</v>
      </c>
      <c r="R115" s="84">
        <f t="shared" si="78"/>
        <v>78</v>
      </c>
      <c r="S115" s="84">
        <f t="shared" si="78"/>
        <v>495.53313662334972</v>
      </c>
      <c r="T115" s="84">
        <f t="shared" si="78"/>
        <v>77</v>
      </c>
      <c r="U115" s="84">
        <f t="shared" si="78"/>
        <v>70</v>
      </c>
      <c r="V115" s="84">
        <f t="shared" si="78"/>
        <v>143</v>
      </c>
      <c r="W115" s="84">
        <f t="shared" si="78"/>
        <v>57</v>
      </c>
      <c r="X115" s="84">
        <f t="shared" si="78"/>
        <v>347</v>
      </c>
      <c r="Y115" s="84">
        <f t="shared" si="78"/>
        <v>74.675213675213712</v>
      </c>
      <c r="Z115" s="84">
        <f t="shared" si="78"/>
        <v>68</v>
      </c>
      <c r="AA115" s="84">
        <f t="shared" si="78"/>
        <v>143.3125</v>
      </c>
      <c r="AB115" s="84">
        <f t="shared" si="78"/>
        <v>56</v>
      </c>
      <c r="AC115" s="84">
        <f t="shared" si="78"/>
        <v>341.98771367521374</v>
      </c>
      <c r="AD115" s="84">
        <f t="shared" si="78"/>
        <v>25704273.07692308</v>
      </c>
      <c r="AE115" s="84">
        <f t="shared" si="78"/>
        <v>1477386.9230769232</v>
      </c>
      <c r="AF115" s="84">
        <f t="shared" si="78"/>
        <v>2051926.2820512822</v>
      </c>
      <c r="AG115" s="84">
        <f t="shared" si="78"/>
        <v>820770.51282051299</v>
      </c>
      <c r="AH115" s="84">
        <f t="shared" si="78"/>
        <v>3334684.508547009</v>
      </c>
      <c r="AI115" s="84">
        <f t="shared" si="78"/>
        <v>273590.17094017094</v>
      </c>
      <c r="AJ115" s="84">
        <f t="shared" si="78"/>
        <v>130000</v>
      </c>
      <c r="AK115" s="84">
        <f t="shared" si="78"/>
        <v>328308.20512820513</v>
      </c>
      <c r="AL115" s="84">
        <f t="shared" si="78"/>
        <v>10380543.380000001</v>
      </c>
      <c r="AM115" s="84">
        <f t="shared" si="78"/>
        <v>44501482</v>
      </c>
      <c r="AN115" s="84">
        <f t="shared" si="78"/>
        <v>498486.25</v>
      </c>
      <c r="AO115" s="84">
        <f t="shared" si="78"/>
        <v>44999968.25</v>
      </c>
    </row>
    <row r="116" spans="1:41" s="85" customFormat="1" ht="18" customHeight="1">
      <c r="A116" s="164"/>
      <c r="B116" s="164" t="s">
        <v>252</v>
      </c>
      <c r="C116" s="164"/>
      <c r="D116" s="84">
        <f>SUM(D115,D100,D95,D90,D70,D51,D35,D23,D14)</f>
        <v>96</v>
      </c>
      <c r="E116" s="84">
        <f t="shared" ref="E116:AO116" si="79">SUM(E115,E100,E95,E90,E70,E51,E35,E23,E14)</f>
        <v>940.42292460750866</v>
      </c>
      <c r="F116" s="84">
        <f t="shared" si="79"/>
        <v>690.5</v>
      </c>
      <c r="G116" s="84">
        <f t="shared" si="79"/>
        <v>1230.0875000000001</v>
      </c>
      <c r="H116" s="84">
        <f t="shared" si="79"/>
        <v>493</v>
      </c>
      <c r="I116" s="84">
        <f t="shared" si="79"/>
        <v>3354.0104246075089</v>
      </c>
      <c r="J116" s="84">
        <f t="shared" si="79"/>
        <v>200</v>
      </c>
      <c r="K116" s="84">
        <f t="shared" si="79"/>
        <v>58</v>
      </c>
      <c r="L116" s="84">
        <f t="shared" si="79"/>
        <v>70</v>
      </c>
      <c r="M116" s="84">
        <f t="shared" si="79"/>
        <v>29</v>
      </c>
      <c r="N116" s="84">
        <f t="shared" si="79"/>
        <v>357</v>
      </c>
      <c r="O116" s="84">
        <f t="shared" si="79"/>
        <v>1140.4229246075088</v>
      </c>
      <c r="P116" s="84">
        <f t="shared" si="79"/>
        <v>748.5</v>
      </c>
      <c r="Q116" s="84">
        <f t="shared" si="79"/>
        <v>1300.0875000000001</v>
      </c>
      <c r="R116" s="84">
        <f t="shared" si="79"/>
        <v>522</v>
      </c>
      <c r="S116" s="84">
        <f t="shared" si="79"/>
        <v>3711.0104246075089</v>
      </c>
      <c r="T116" s="84">
        <f t="shared" si="79"/>
        <v>404</v>
      </c>
      <c r="U116" s="84">
        <f t="shared" si="79"/>
        <v>420</v>
      </c>
      <c r="V116" s="84">
        <f t="shared" si="79"/>
        <v>1231</v>
      </c>
      <c r="W116" s="84">
        <f t="shared" si="79"/>
        <v>467</v>
      </c>
      <c r="X116" s="84">
        <f t="shared" si="79"/>
        <v>2522</v>
      </c>
      <c r="Y116" s="84">
        <f t="shared" si="79"/>
        <v>400.52136752136749</v>
      </c>
      <c r="Z116" s="84">
        <f t="shared" si="79"/>
        <v>417</v>
      </c>
      <c r="AA116" s="84">
        <f t="shared" si="79"/>
        <v>1228.6000000000001</v>
      </c>
      <c r="AB116" s="84">
        <f t="shared" si="79"/>
        <v>464</v>
      </c>
      <c r="AC116" s="84">
        <f t="shared" si="79"/>
        <v>2510.1213675213676</v>
      </c>
      <c r="AD116" s="84">
        <f t="shared" si="79"/>
        <v>184478047.69230768</v>
      </c>
      <c r="AE116" s="84">
        <f t="shared" si="79"/>
        <v>10843724.307692308</v>
      </c>
      <c r="AF116" s="84">
        <f t="shared" si="79"/>
        <v>15060728.205128204</v>
      </c>
      <c r="AG116" s="84">
        <f t="shared" si="79"/>
        <v>6024291.282051282</v>
      </c>
      <c r="AH116" s="84">
        <f t="shared" si="79"/>
        <v>24339140.854700856</v>
      </c>
      <c r="AI116" s="84">
        <f t="shared" si="79"/>
        <v>2008097.094017094</v>
      </c>
      <c r="AJ116" s="84">
        <f t="shared" si="79"/>
        <v>950000</v>
      </c>
      <c r="AK116" s="84">
        <f t="shared" si="79"/>
        <v>2409716.512820513</v>
      </c>
      <c r="AL116" s="84">
        <f t="shared" si="79"/>
        <v>76191110.63000001</v>
      </c>
      <c r="AM116" s="84">
        <f t="shared" si="79"/>
        <v>322304855</v>
      </c>
      <c r="AN116" s="84">
        <f t="shared" si="79"/>
        <v>2956085.13</v>
      </c>
      <c r="AO116" s="84">
        <f t="shared" si="79"/>
        <v>325260940.13</v>
      </c>
    </row>
  </sheetData>
  <autoFilter ref="A2:AN116">
    <filterColumn colId="4" showButton="0"/>
    <filterColumn colId="5" showButton="0"/>
    <filterColumn colId="6" showButton="0"/>
    <filterColumn colId="7" showButton="0"/>
    <filterColumn colId="9" showButton="0"/>
    <filterColumn colId="10" showButton="0"/>
    <filterColumn colId="11" showButton="0"/>
    <filterColumn colId="12" showButton="0"/>
    <filterColumn colId="14" showButton="0"/>
    <filterColumn colId="15" showButton="0"/>
    <filterColumn colId="16" showButton="0"/>
    <filterColumn colId="17" showButton="0"/>
    <filterColumn colId="19" showButton="0"/>
    <filterColumn colId="20" showButton="0"/>
    <filterColumn colId="21" showButton="0"/>
    <filterColumn colId="22" showButton="0"/>
    <filterColumn colId="24" showButton="0"/>
    <filterColumn colId="25" showButton="0"/>
    <filterColumn colId="26" showButton="0"/>
    <filterColumn colId="27" showButton="0"/>
    <filterColumn colId="29" showButton="0"/>
    <filterColumn colId="30" showButton="0"/>
    <filterColumn colId="31" showButton="0"/>
    <filterColumn colId="32" showButton="0"/>
    <filterColumn colId="33" showButton="0"/>
    <filterColumn colId="34" showButton="0"/>
    <filterColumn colId="35" showButton="0"/>
    <filterColumn colId="36" showButton="0"/>
    <filterColumn colId="37" showButton="0"/>
  </autoFilter>
  <mergeCells count="13">
    <mergeCell ref="AN2:AN3"/>
    <mergeCell ref="AO2:AO3"/>
    <mergeCell ref="A1:AO1"/>
    <mergeCell ref="AD2:AM2"/>
    <mergeCell ref="A2:A3"/>
    <mergeCell ref="B2:B3"/>
    <mergeCell ref="C2:C3"/>
    <mergeCell ref="D2:D3"/>
    <mergeCell ref="E2:I2"/>
    <mergeCell ref="J2:N2"/>
    <mergeCell ref="O2:S2"/>
    <mergeCell ref="T2:X2"/>
    <mergeCell ref="Y2:AC2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80" orientation="landscape" verticalDpi="0" r:id="rId1"/>
  <headerFooter>
    <oddFooter>第 &amp;P 页，共 &amp;N 页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0"/>
  <sheetViews>
    <sheetView topLeftCell="A7" workbookViewId="0">
      <selection sqref="A1:XFD1048576"/>
    </sheetView>
  </sheetViews>
  <sheetFormatPr defaultRowHeight="13.5" outlineLevelRow="2"/>
  <cols>
    <col min="1" max="1" width="9.625" style="183" customWidth="1"/>
    <col min="2" max="2" width="30" style="183" customWidth="1"/>
    <col min="3" max="5" width="15.625" style="183" customWidth="1"/>
    <col min="6" max="16384" width="9" style="183"/>
  </cols>
  <sheetData>
    <row r="1" spans="1:5" ht="35.25" customHeight="1">
      <c r="A1" s="820" t="s">
        <v>1059</v>
      </c>
      <c r="B1" s="820"/>
      <c r="C1" s="820"/>
      <c r="D1" s="821"/>
      <c r="E1" s="821"/>
    </row>
    <row r="2" spans="1:5" s="185" customFormat="1" ht="18" customHeight="1">
      <c r="A2" s="173" t="s">
        <v>1060</v>
      </c>
      <c r="B2" s="184" t="s">
        <v>1061</v>
      </c>
      <c r="C2" s="184" t="s">
        <v>1062</v>
      </c>
      <c r="D2" s="176" t="s">
        <v>1063</v>
      </c>
      <c r="E2" s="176" t="s">
        <v>1064</v>
      </c>
    </row>
    <row r="3" spans="1:5" ht="18" customHeight="1" outlineLevel="2">
      <c r="A3" s="186" t="s">
        <v>1065</v>
      </c>
      <c r="B3" s="187" t="s">
        <v>244</v>
      </c>
      <c r="C3" s="188">
        <v>637.5</v>
      </c>
      <c r="D3" s="189"/>
      <c r="E3" s="189">
        <f>C3-D3</f>
        <v>637.5</v>
      </c>
    </row>
    <row r="4" spans="1:5" ht="18" customHeight="1" outlineLevel="1">
      <c r="A4" s="190" t="s">
        <v>254</v>
      </c>
      <c r="B4" s="187"/>
      <c r="C4" s="188">
        <f t="shared" ref="C4:E4" si="0">SUBTOTAL(9,C3:C3)</f>
        <v>637.5</v>
      </c>
      <c r="D4" s="189">
        <f t="shared" si="0"/>
        <v>0</v>
      </c>
      <c r="E4" s="189">
        <f t="shared" si="0"/>
        <v>637.5</v>
      </c>
    </row>
    <row r="5" spans="1:5" ht="18" customHeight="1" outlineLevel="2">
      <c r="A5" s="186" t="s">
        <v>1066</v>
      </c>
      <c r="B5" s="187" t="s">
        <v>165</v>
      </c>
      <c r="C5" s="188">
        <v>26524</v>
      </c>
      <c r="D5" s="189">
        <v>35062.5</v>
      </c>
      <c r="E5" s="189">
        <f t="shared" ref="E5:E58" si="1">C5-D5</f>
        <v>-8538.5</v>
      </c>
    </row>
    <row r="6" spans="1:5" ht="18" customHeight="1" outlineLevel="2">
      <c r="A6" s="186" t="s">
        <v>1066</v>
      </c>
      <c r="B6" s="187" t="s">
        <v>999</v>
      </c>
      <c r="C6" s="188">
        <v>12252</v>
      </c>
      <c r="D6" s="189">
        <v>29775</v>
      </c>
      <c r="E6" s="189">
        <f t="shared" si="1"/>
        <v>-17523</v>
      </c>
    </row>
    <row r="7" spans="1:5" ht="18" customHeight="1" outlineLevel="1">
      <c r="A7" s="191" t="s">
        <v>255</v>
      </c>
      <c r="B7" s="187"/>
      <c r="C7" s="188">
        <f t="shared" ref="C7:E7" si="2">SUBTOTAL(9,C5:C6)</f>
        <v>38776</v>
      </c>
      <c r="D7" s="189">
        <f t="shared" si="2"/>
        <v>64837.5</v>
      </c>
      <c r="E7" s="189">
        <f t="shared" si="2"/>
        <v>-26061.5</v>
      </c>
    </row>
    <row r="8" spans="1:5" ht="18" customHeight="1" outlineLevel="2">
      <c r="A8" s="186" t="s">
        <v>1067</v>
      </c>
      <c r="B8" s="187" t="s">
        <v>240</v>
      </c>
      <c r="C8" s="188">
        <v>12112.5</v>
      </c>
      <c r="D8" s="188">
        <v>12877.5</v>
      </c>
      <c r="E8" s="188">
        <f>C8-D8</f>
        <v>-765</v>
      </c>
    </row>
    <row r="9" spans="1:5" ht="18" customHeight="1" outlineLevel="2">
      <c r="A9" s="186" t="s">
        <v>1067</v>
      </c>
      <c r="B9" s="187" t="s">
        <v>263</v>
      </c>
      <c r="C9" s="188">
        <v>29327.5</v>
      </c>
      <c r="D9" s="192">
        <v>36465</v>
      </c>
      <c r="E9" s="188">
        <f>C9-D9</f>
        <v>-7137.5</v>
      </c>
    </row>
    <row r="10" spans="1:5" ht="18" customHeight="1" outlineLevel="2">
      <c r="A10" s="186" t="s">
        <v>1067</v>
      </c>
      <c r="B10" s="187" t="s">
        <v>241</v>
      </c>
      <c r="C10" s="188">
        <v>60579.5</v>
      </c>
      <c r="D10" s="193">
        <v>64523.75</v>
      </c>
      <c r="E10" s="189">
        <f t="shared" si="1"/>
        <v>-3944.25</v>
      </c>
    </row>
    <row r="11" spans="1:5" ht="18" customHeight="1" outlineLevel="2">
      <c r="A11" s="186" t="s">
        <v>1067</v>
      </c>
      <c r="B11" s="187" t="s">
        <v>243</v>
      </c>
      <c r="C11" s="188">
        <v>89519.5</v>
      </c>
      <c r="D11" s="193">
        <v>158478</v>
      </c>
      <c r="E11" s="189">
        <f t="shared" si="1"/>
        <v>-68958.5</v>
      </c>
    </row>
    <row r="12" spans="1:5" ht="18" customHeight="1" outlineLevel="2">
      <c r="A12" s="186" t="s">
        <v>1067</v>
      </c>
      <c r="B12" s="187" t="s">
        <v>242</v>
      </c>
      <c r="C12" s="188">
        <v>24416.25</v>
      </c>
      <c r="D12" s="193">
        <v>20400</v>
      </c>
      <c r="E12" s="189">
        <f t="shared" si="1"/>
        <v>4016.25</v>
      </c>
    </row>
    <row r="13" spans="1:5" ht="18" customHeight="1" outlineLevel="2">
      <c r="A13" s="186" t="s">
        <v>1067</v>
      </c>
      <c r="B13" s="187" t="s">
        <v>265</v>
      </c>
      <c r="C13" s="188">
        <v>127179</v>
      </c>
      <c r="D13" s="193">
        <v>114888.75</v>
      </c>
      <c r="E13" s="189">
        <f t="shared" si="1"/>
        <v>12290.25</v>
      </c>
    </row>
    <row r="14" spans="1:5" ht="18" customHeight="1" outlineLevel="2">
      <c r="A14" s="186" t="s">
        <v>1067</v>
      </c>
      <c r="B14" s="187" t="s">
        <v>236</v>
      </c>
      <c r="C14" s="188">
        <v>65282</v>
      </c>
      <c r="D14" s="193">
        <v>97730.75</v>
      </c>
      <c r="E14" s="189">
        <f t="shared" si="1"/>
        <v>-32448.75</v>
      </c>
    </row>
    <row r="15" spans="1:5" ht="18" customHeight="1" outlineLevel="2">
      <c r="A15" s="186" t="s">
        <v>1067</v>
      </c>
      <c r="B15" s="187" t="s">
        <v>237</v>
      </c>
      <c r="C15" s="188">
        <v>61073.5</v>
      </c>
      <c r="D15" s="193">
        <v>239229</v>
      </c>
      <c r="E15" s="189">
        <f t="shared" si="1"/>
        <v>-178155.5</v>
      </c>
    </row>
    <row r="16" spans="1:5" ht="18" customHeight="1" outlineLevel="2">
      <c r="A16" s="186" t="s">
        <v>1067</v>
      </c>
      <c r="B16" s="187" t="s">
        <v>238</v>
      </c>
      <c r="C16" s="188">
        <v>25283.25</v>
      </c>
      <c r="D16" s="193">
        <v>15204.38</v>
      </c>
      <c r="E16" s="189">
        <f t="shared" si="1"/>
        <v>10078.870000000001</v>
      </c>
    </row>
    <row r="17" spans="1:5" ht="18" customHeight="1" outlineLevel="2">
      <c r="A17" s="186" t="s">
        <v>1067</v>
      </c>
      <c r="B17" s="187" t="s">
        <v>239</v>
      </c>
      <c r="C17" s="188">
        <v>3825</v>
      </c>
      <c r="D17" s="188">
        <v>12431.25</v>
      </c>
      <c r="E17" s="189">
        <f t="shared" si="1"/>
        <v>-8606.25</v>
      </c>
    </row>
    <row r="18" spans="1:5" ht="18" customHeight="1" outlineLevel="1">
      <c r="A18" s="191" t="s">
        <v>256</v>
      </c>
      <c r="B18" s="187"/>
      <c r="C18" s="188">
        <f t="shared" ref="C18:E18" si="3">SUBTOTAL(9,C8:C17)</f>
        <v>498598</v>
      </c>
      <c r="D18" s="188">
        <f t="shared" si="3"/>
        <v>772228.38</v>
      </c>
      <c r="E18" s="188">
        <f t="shared" si="3"/>
        <v>-273630.38</v>
      </c>
    </row>
    <row r="19" spans="1:5" ht="18" customHeight="1" outlineLevel="2">
      <c r="A19" s="186" t="s">
        <v>1068</v>
      </c>
      <c r="B19" s="187" t="s">
        <v>231</v>
      </c>
      <c r="C19" s="188">
        <v>115139.5</v>
      </c>
      <c r="D19" s="189">
        <v>125152</v>
      </c>
      <c r="E19" s="189">
        <f t="shared" si="1"/>
        <v>-10012.5</v>
      </c>
    </row>
    <row r="20" spans="1:5" ht="18" customHeight="1" outlineLevel="2">
      <c r="A20" s="186" t="s">
        <v>1068</v>
      </c>
      <c r="B20" s="187" t="s">
        <v>232</v>
      </c>
      <c r="C20" s="188">
        <v>54769</v>
      </c>
      <c r="D20" s="189">
        <v>66087.5</v>
      </c>
      <c r="E20" s="189">
        <f t="shared" si="1"/>
        <v>-11318.5</v>
      </c>
    </row>
    <row r="21" spans="1:5" ht="18" customHeight="1" outlineLevel="2">
      <c r="A21" s="186" t="s">
        <v>1068</v>
      </c>
      <c r="B21" s="187" t="s">
        <v>233</v>
      </c>
      <c r="C21" s="188">
        <v>70194.25</v>
      </c>
      <c r="D21" s="189">
        <v>98406.25</v>
      </c>
      <c r="E21" s="189">
        <f t="shared" si="1"/>
        <v>-28212</v>
      </c>
    </row>
    <row r="22" spans="1:5" ht="18" customHeight="1" outlineLevel="2">
      <c r="A22" s="186" t="s">
        <v>1068</v>
      </c>
      <c r="B22" s="187" t="s">
        <v>234</v>
      </c>
      <c r="C22" s="188">
        <v>189595.75</v>
      </c>
      <c r="D22" s="189">
        <v>68976.25</v>
      </c>
      <c r="E22" s="189">
        <f t="shared" si="1"/>
        <v>120619.5</v>
      </c>
    </row>
    <row r="23" spans="1:5" ht="18" customHeight="1" outlineLevel="2">
      <c r="A23" s="186" t="s">
        <v>1068</v>
      </c>
      <c r="B23" s="187" t="s">
        <v>1011</v>
      </c>
      <c r="C23" s="188">
        <v>24225</v>
      </c>
      <c r="D23" s="189">
        <v>67830</v>
      </c>
      <c r="E23" s="189">
        <f t="shared" si="1"/>
        <v>-43605</v>
      </c>
    </row>
    <row r="24" spans="1:5" ht="18" customHeight="1" outlineLevel="2">
      <c r="A24" s="186" t="s">
        <v>1068</v>
      </c>
      <c r="B24" s="187" t="s">
        <v>230</v>
      </c>
      <c r="C24" s="188">
        <v>38527</v>
      </c>
      <c r="D24" s="189">
        <v>63959.5</v>
      </c>
      <c r="E24" s="189">
        <f t="shared" si="1"/>
        <v>-25432.5</v>
      </c>
    </row>
    <row r="25" spans="1:5" ht="18" customHeight="1" outlineLevel="2">
      <c r="A25" s="186" t="s">
        <v>1068</v>
      </c>
      <c r="B25" s="194" t="s">
        <v>235</v>
      </c>
      <c r="C25" s="188">
        <v>68616.25</v>
      </c>
      <c r="D25" s="189">
        <v>45124</v>
      </c>
      <c r="E25" s="189">
        <f t="shared" si="1"/>
        <v>23492.25</v>
      </c>
    </row>
    <row r="26" spans="1:5" ht="18" customHeight="1" outlineLevel="2">
      <c r="A26" s="186" t="s">
        <v>1068</v>
      </c>
      <c r="B26" s="187" t="s">
        <v>227</v>
      </c>
      <c r="C26" s="188">
        <v>111379</v>
      </c>
      <c r="D26" s="189">
        <v>118953.5</v>
      </c>
      <c r="E26" s="189">
        <f t="shared" si="1"/>
        <v>-7574.5</v>
      </c>
    </row>
    <row r="27" spans="1:5" ht="18" customHeight="1" outlineLevel="2">
      <c r="A27" s="186" t="s">
        <v>1068</v>
      </c>
      <c r="B27" s="187" t="s">
        <v>228</v>
      </c>
      <c r="C27" s="188">
        <v>21568</v>
      </c>
      <c r="D27" s="189">
        <v>70970</v>
      </c>
      <c r="E27" s="189">
        <f t="shared" si="1"/>
        <v>-49402</v>
      </c>
    </row>
    <row r="28" spans="1:5" ht="18" customHeight="1" outlineLevel="2">
      <c r="A28" s="186" t="s">
        <v>1068</v>
      </c>
      <c r="B28" s="187" t="s">
        <v>229</v>
      </c>
      <c r="C28" s="188">
        <v>33544</v>
      </c>
      <c r="D28" s="189">
        <v>16383.75</v>
      </c>
      <c r="E28" s="189">
        <f t="shared" si="1"/>
        <v>17160.25</v>
      </c>
    </row>
    <row r="29" spans="1:5" ht="18" customHeight="1" outlineLevel="1">
      <c r="A29" s="191" t="s">
        <v>257</v>
      </c>
      <c r="B29" s="187"/>
      <c r="C29" s="188">
        <f>SUBTOTAL(9,C19:C28)</f>
        <v>727557.75</v>
      </c>
      <c r="D29" s="189">
        <f>SUBTOTAL(9,D19:D28)</f>
        <v>741842.75</v>
      </c>
      <c r="E29" s="189">
        <f>SUBTOTAL(9,E19:E28)</f>
        <v>-14285</v>
      </c>
    </row>
    <row r="30" spans="1:5" ht="18" customHeight="1" outlineLevel="2">
      <c r="A30" s="186" t="s">
        <v>1069</v>
      </c>
      <c r="B30" s="187" t="s">
        <v>1021</v>
      </c>
      <c r="C30" s="188">
        <v>81413.75</v>
      </c>
      <c r="D30" s="189">
        <v>91103</v>
      </c>
      <c r="E30" s="189">
        <f t="shared" si="1"/>
        <v>-9689.25</v>
      </c>
    </row>
    <row r="31" spans="1:5" ht="18" customHeight="1" outlineLevel="2">
      <c r="A31" s="186" t="s">
        <v>1069</v>
      </c>
      <c r="B31" s="187" t="s">
        <v>1070</v>
      </c>
      <c r="C31" s="188">
        <v>2040</v>
      </c>
      <c r="D31" s="189"/>
      <c r="E31" s="189">
        <f t="shared" si="1"/>
        <v>2040</v>
      </c>
    </row>
    <row r="32" spans="1:5" ht="18" customHeight="1" outlineLevel="2">
      <c r="A32" s="186" t="s">
        <v>1069</v>
      </c>
      <c r="B32" s="177" t="s">
        <v>1019</v>
      </c>
      <c r="C32" s="188">
        <v>11857.5</v>
      </c>
      <c r="D32" s="189">
        <v>17212.5</v>
      </c>
      <c r="E32" s="189">
        <f t="shared" si="1"/>
        <v>-5355</v>
      </c>
    </row>
    <row r="33" spans="1:5" ht="18" customHeight="1" outlineLevel="2">
      <c r="A33" s="186" t="s">
        <v>1069</v>
      </c>
      <c r="B33" s="187" t="s">
        <v>226</v>
      </c>
      <c r="C33" s="188">
        <v>16328</v>
      </c>
      <c r="D33" s="189">
        <v>34499.25</v>
      </c>
      <c r="E33" s="189">
        <f t="shared" si="1"/>
        <v>-18171.25</v>
      </c>
    </row>
    <row r="34" spans="1:5" ht="18" customHeight="1" outlineLevel="2">
      <c r="A34" s="186" t="s">
        <v>1069</v>
      </c>
      <c r="B34" s="177" t="s">
        <v>466</v>
      </c>
      <c r="C34" s="188">
        <v>53465.5</v>
      </c>
      <c r="D34" s="189">
        <v>49126</v>
      </c>
      <c r="E34" s="189">
        <f t="shared" si="1"/>
        <v>4339.5</v>
      </c>
    </row>
    <row r="35" spans="1:5" ht="18" customHeight="1" outlineLevel="2">
      <c r="A35" s="186" t="s">
        <v>1069</v>
      </c>
      <c r="B35" s="187" t="s">
        <v>1020</v>
      </c>
      <c r="C35" s="188">
        <v>69704</v>
      </c>
      <c r="D35" s="189">
        <v>63316</v>
      </c>
      <c r="E35" s="189">
        <f t="shared" si="1"/>
        <v>6388</v>
      </c>
    </row>
    <row r="36" spans="1:5" ht="18" customHeight="1" outlineLevel="1">
      <c r="A36" s="191" t="s">
        <v>258</v>
      </c>
      <c r="B36" s="187"/>
      <c r="C36" s="188">
        <f>SUBTOTAL(9,C30:C35)</f>
        <v>234808.75</v>
      </c>
      <c r="D36" s="189">
        <f>SUBTOTAL(9,D30:D35)</f>
        <v>255256.75</v>
      </c>
      <c r="E36" s="189">
        <f>SUBTOTAL(9,E30:E35)</f>
        <v>-20448</v>
      </c>
    </row>
    <row r="37" spans="1:5" ht="18" customHeight="1" outlineLevel="2">
      <c r="A37" s="186" t="s">
        <v>1071</v>
      </c>
      <c r="B37" s="187" t="s">
        <v>1032</v>
      </c>
      <c r="C37" s="188">
        <v>24038</v>
      </c>
      <c r="D37" s="189">
        <v>31510.25</v>
      </c>
      <c r="E37" s="189">
        <f t="shared" si="1"/>
        <v>-7472.25</v>
      </c>
    </row>
    <row r="38" spans="1:5" ht="18" customHeight="1" outlineLevel="2">
      <c r="A38" s="186" t="s">
        <v>1071</v>
      </c>
      <c r="B38" s="187" t="s">
        <v>266</v>
      </c>
      <c r="C38" s="188">
        <v>141026</v>
      </c>
      <c r="D38" s="189">
        <v>146697.5</v>
      </c>
      <c r="E38" s="189">
        <f t="shared" si="1"/>
        <v>-5671.5</v>
      </c>
    </row>
    <row r="39" spans="1:5" ht="18" customHeight="1" outlineLevel="2">
      <c r="A39" s="186" t="s">
        <v>1071</v>
      </c>
      <c r="B39" s="187" t="s">
        <v>1030</v>
      </c>
      <c r="C39" s="188">
        <v>84887</v>
      </c>
      <c r="D39" s="189">
        <v>64001</v>
      </c>
      <c r="E39" s="189">
        <f t="shared" si="1"/>
        <v>20886</v>
      </c>
    </row>
    <row r="40" spans="1:5" ht="18" customHeight="1" outlineLevel="1">
      <c r="A40" s="191" t="s">
        <v>259</v>
      </c>
      <c r="B40" s="187"/>
      <c r="C40" s="188">
        <f t="shared" ref="C40:E40" si="4">SUBTOTAL(9,C37:C39)</f>
        <v>249951</v>
      </c>
      <c r="D40" s="189">
        <f t="shared" si="4"/>
        <v>242208.75</v>
      </c>
      <c r="E40" s="189">
        <f t="shared" si="4"/>
        <v>7742.25</v>
      </c>
    </row>
    <row r="41" spans="1:5" ht="18" customHeight="1" outlineLevel="2">
      <c r="A41" s="186" t="s">
        <v>1072</v>
      </c>
      <c r="B41" s="187" t="s">
        <v>224</v>
      </c>
      <c r="C41" s="188">
        <v>111842.75</v>
      </c>
      <c r="D41" s="189">
        <v>161001.5</v>
      </c>
      <c r="E41" s="189">
        <f t="shared" si="1"/>
        <v>-49158.75</v>
      </c>
    </row>
    <row r="42" spans="1:5" ht="18" customHeight="1" outlineLevel="2">
      <c r="A42" s="186" t="s">
        <v>1072</v>
      </c>
      <c r="B42" s="187" t="s">
        <v>1040</v>
      </c>
      <c r="C42" s="188">
        <v>1912.5</v>
      </c>
      <c r="D42" s="189"/>
      <c r="E42" s="189">
        <f t="shared" si="1"/>
        <v>1912.5</v>
      </c>
    </row>
    <row r="43" spans="1:5" ht="18" customHeight="1" outlineLevel="2">
      <c r="A43" s="186" t="s">
        <v>1072</v>
      </c>
      <c r="B43" s="187" t="s">
        <v>225</v>
      </c>
      <c r="C43" s="188">
        <v>86015</v>
      </c>
      <c r="D43" s="189">
        <v>131196.5</v>
      </c>
      <c r="E43" s="189">
        <f t="shared" si="1"/>
        <v>-45181.5</v>
      </c>
    </row>
    <row r="44" spans="1:5" ht="18" customHeight="1" outlineLevel="1">
      <c r="A44" s="191" t="s">
        <v>260</v>
      </c>
      <c r="B44" s="187"/>
      <c r="C44" s="188">
        <f t="shared" ref="C44:E44" si="5">SUBTOTAL(9,C41:C43)</f>
        <v>199770.25</v>
      </c>
      <c r="D44" s="189">
        <f t="shared" si="5"/>
        <v>292198</v>
      </c>
      <c r="E44" s="189">
        <f t="shared" si="5"/>
        <v>-92427.75</v>
      </c>
    </row>
    <row r="45" spans="1:5" ht="18" customHeight="1" outlineLevel="2">
      <c r="A45" s="186" t="s">
        <v>1073</v>
      </c>
      <c r="B45" s="187" t="s">
        <v>249</v>
      </c>
      <c r="C45" s="188">
        <v>235209.5</v>
      </c>
      <c r="D45" s="189">
        <v>253414.25</v>
      </c>
      <c r="E45" s="189">
        <f t="shared" si="1"/>
        <v>-18204.75</v>
      </c>
    </row>
    <row r="46" spans="1:5" ht="18" customHeight="1" outlineLevel="2">
      <c r="A46" s="186" t="s">
        <v>1073</v>
      </c>
      <c r="B46" s="187" t="s">
        <v>251</v>
      </c>
      <c r="C46" s="188">
        <v>26520</v>
      </c>
      <c r="D46" s="189">
        <v>37867.5</v>
      </c>
      <c r="E46" s="189">
        <f t="shared" si="1"/>
        <v>-11347.5</v>
      </c>
    </row>
    <row r="47" spans="1:5" ht="18" customHeight="1" outlineLevel="2">
      <c r="A47" s="186" t="s">
        <v>1073</v>
      </c>
      <c r="B47" s="187" t="s">
        <v>248</v>
      </c>
      <c r="C47" s="188">
        <v>66453.5</v>
      </c>
      <c r="D47" s="189">
        <v>44046.5</v>
      </c>
      <c r="E47" s="189">
        <f t="shared" si="1"/>
        <v>22407</v>
      </c>
    </row>
    <row r="48" spans="1:5" ht="18" customHeight="1" outlineLevel="2">
      <c r="A48" s="186" t="s">
        <v>1073</v>
      </c>
      <c r="B48" s="187" t="s">
        <v>246</v>
      </c>
      <c r="C48" s="188">
        <v>71272.5</v>
      </c>
      <c r="D48" s="189">
        <v>49597.5</v>
      </c>
      <c r="E48" s="189">
        <f t="shared" si="1"/>
        <v>21675</v>
      </c>
    </row>
    <row r="49" spans="1:5" ht="18" customHeight="1" outlineLevel="2">
      <c r="A49" s="186" t="s">
        <v>1073</v>
      </c>
      <c r="B49" s="187" t="s">
        <v>1075</v>
      </c>
      <c r="C49" s="188"/>
      <c r="D49" s="189">
        <v>127.5</v>
      </c>
      <c r="E49" s="189">
        <f>C49-D49</f>
        <v>-127.5</v>
      </c>
    </row>
    <row r="50" spans="1:5" ht="18" customHeight="1" outlineLevel="2">
      <c r="A50" s="186" t="s">
        <v>1073</v>
      </c>
      <c r="B50" s="187" t="s">
        <v>245</v>
      </c>
      <c r="C50" s="188">
        <v>39082.5</v>
      </c>
      <c r="D50" s="189">
        <v>70329</v>
      </c>
      <c r="E50" s="189">
        <f t="shared" si="1"/>
        <v>-31246.5</v>
      </c>
    </row>
    <row r="51" spans="1:5" ht="18" customHeight="1" outlineLevel="2">
      <c r="A51" s="186" t="s">
        <v>1073</v>
      </c>
      <c r="B51" s="187" t="s">
        <v>247</v>
      </c>
      <c r="C51" s="188">
        <v>29281.5</v>
      </c>
      <c r="D51" s="189">
        <v>43104</v>
      </c>
      <c r="E51" s="189">
        <f t="shared" si="1"/>
        <v>-13822.5</v>
      </c>
    </row>
    <row r="52" spans="1:5" ht="18" customHeight="1" outlineLevel="2">
      <c r="A52" s="186" t="s">
        <v>1073</v>
      </c>
      <c r="B52" s="187" t="s">
        <v>250</v>
      </c>
      <c r="C52" s="188">
        <v>127.5</v>
      </c>
      <c r="D52" s="189"/>
      <c r="E52" s="189">
        <f t="shared" si="1"/>
        <v>127.5</v>
      </c>
    </row>
    <row r="53" spans="1:5" ht="18" customHeight="1" outlineLevel="1">
      <c r="A53" s="191" t="s">
        <v>261</v>
      </c>
      <c r="B53" s="187"/>
      <c r="C53" s="188">
        <f t="shared" ref="C53:E53" si="6">SUBTOTAL(9,C45:C52)</f>
        <v>467947</v>
      </c>
      <c r="D53" s="189">
        <f t="shared" si="6"/>
        <v>498486.25</v>
      </c>
      <c r="E53" s="189">
        <f t="shared" si="6"/>
        <v>-30539.25</v>
      </c>
    </row>
    <row r="54" spans="1:5" ht="18" customHeight="1" outlineLevel="2">
      <c r="A54" s="186" t="s">
        <v>1074</v>
      </c>
      <c r="B54" s="187" t="s">
        <v>222</v>
      </c>
      <c r="C54" s="188">
        <v>74857.5</v>
      </c>
      <c r="D54" s="189">
        <v>52657.5</v>
      </c>
      <c r="E54" s="189">
        <f t="shared" si="1"/>
        <v>22200</v>
      </c>
    </row>
    <row r="55" spans="1:5" ht="18" customHeight="1" outlineLevel="2">
      <c r="A55" s="186" t="s">
        <v>1074</v>
      </c>
      <c r="B55" s="187" t="s">
        <v>223</v>
      </c>
      <c r="C55" s="188">
        <v>31685.5</v>
      </c>
      <c r="D55" s="189">
        <v>40770</v>
      </c>
      <c r="E55" s="189">
        <f t="shared" si="1"/>
        <v>-9084.5</v>
      </c>
    </row>
    <row r="56" spans="1:5" ht="18" customHeight="1" outlineLevel="2">
      <c r="A56" s="186" t="s">
        <v>1074</v>
      </c>
      <c r="B56" s="177" t="s">
        <v>1052</v>
      </c>
      <c r="C56" s="188">
        <v>2240</v>
      </c>
      <c r="D56" s="189">
        <v>4256</v>
      </c>
      <c r="E56" s="189">
        <f t="shared" si="1"/>
        <v>-2016</v>
      </c>
    </row>
    <row r="57" spans="1:5" ht="18" customHeight="1" outlineLevel="2">
      <c r="A57" s="186" t="s">
        <v>1074</v>
      </c>
      <c r="B57" s="177" t="s">
        <v>654</v>
      </c>
      <c r="C57" s="188">
        <v>765</v>
      </c>
      <c r="D57" s="189">
        <v>7395</v>
      </c>
      <c r="E57" s="189">
        <f t="shared" si="1"/>
        <v>-6630</v>
      </c>
    </row>
    <row r="58" spans="1:5" ht="18" customHeight="1" outlineLevel="2">
      <c r="A58" s="186" t="s">
        <v>1074</v>
      </c>
      <c r="B58" s="187" t="s">
        <v>221</v>
      </c>
      <c r="C58" s="188">
        <v>46321.5</v>
      </c>
      <c r="D58" s="189">
        <v>13723.25</v>
      </c>
      <c r="E58" s="189">
        <f t="shared" si="1"/>
        <v>32598.25</v>
      </c>
    </row>
    <row r="59" spans="1:5" ht="18" customHeight="1" outlineLevel="1">
      <c r="A59" s="191" t="s">
        <v>262</v>
      </c>
      <c r="B59" s="187"/>
      <c r="C59" s="188">
        <f>SUBTOTAL(9,C54:C58)</f>
        <v>155869.5</v>
      </c>
      <c r="D59" s="189">
        <f>SUBTOTAL(9,D54:D58)</f>
        <v>118801.75</v>
      </c>
      <c r="E59" s="189">
        <f>SUBTOTAL(9,E54:E58)</f>
        <v>37067.75</v>
      </c>
    </row>
    <row r="60" spans="1:5" ht="18" customHeight="1">
      <c r="A60" s="191" t="s">
        <v>252</v>
      </c>
      <c r="B60" s="187"/>
      <c r="C60" s="188">
        <f>SUBTOTAL(9,C3:C58)</f>
        <v>2573915.75</v>
      </c>
      <c r="D60" s="189">
        <f>SUBTOTAL(9,D3:D58)</f>
        <v>2985860.13</v>
      </c>
      <c r="E60" s="189">
        <f>SUBTOTAL(9,E3:E58)</f>
        <v>-411944.38</v>
      </c>
    </row>
  </sheetData>
  <mergeCells count="1">
    <mergeCell ref="A1:E1"/>
  </mergeCells>
  <phoneticPr fontId="1" type="noConversion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7"/>
  <sheetViews>
    <sheetView workbookViewId="0">
      <selection activeCell="C26" activeCellId="6" sqref="C4 C8 C11 C14 C19 C21 C26"/>
    </sheetView>
  </sheetViews>
  <sheetFormatPr defaultColWidth="9" defaultRowHeight="13.5" outlineLevelRow="2"/>
  <cols>
    <col min="1" max="1" width="41.25" style="308" customWidth="1"/>
    <col min="2" max="2" width="31.25" customWidth="1"/>
    <col min="3" max="3" width="33.625" customWidth="1"/>
  </cols>
  <sheetData>
    <row r="1" spans="1:3" ht="24" customHeight="1">
      <c r="A1" s="822" t="s">
        <v>1657</v>
      </c>
      <c r="B1" s="822"/>
      <c r="C1" s="822"/>
    </row>
    <row r="2" spans="1:3" ht="15" customHeight="1">
      <c r="A2" s="302" t="s">
        <v>1</v>
      </c>
      <c r="B2" s="26" t="s">
        <v>1658</v>
      </c>
      <c r="C2" s="26" t="s">
        <v>1659</v>
      </c>
    </row>
    <row r="3" spans="1:3" ht="15" customHeight="1" outlineLevel="2">
      <c r="A3" s="303" t="s">
        <v>244</v>
      </c>
      <c r="B3" s="26" t="s">
        <v>1660</v>
      </c>
      <c r="C3" s="26">
        <v>141336</v>
      </c>
    </row>
    <row r="4" spans="1:3" ht="15" customHeight="1" outlineLevel="1">
      <c r="A4" s="303"/>
      <c r="B4" s="309" t="s">
        <v>254</v>
      </c>
      <c r="C4" s="26">
        <f>SUBTOTAL(9,C3:C3)</f>
        <v>141336</v>
      </c>
    </row>
    <row r="5" spans="1:3" ht="15" customHeight="1" outlineLevel="2">
      <c r="A5" s="304" t="s">
        <v>1041</v>
      </c>
      <c r="B5" s="26" t="s">
        <v>1661</v>
      </c>
      <c r="C5" s="26">
        <v>141814</v>
      </c>
    </row>
    <row r="6" spans="1:3" ht="15" customHeight="1" outlineLevel="2">
      <c r="A6" s="303" t="s">
        <v>225</v>
      </c>
      <c r="B6" s="302" t="s">
        <v>1661</v>
      </c>
      <c r="C6" s="302">
        <v>270916</v>
      </c>
    </row>
    <row r="7" spans="1:3" ht="15" customHeight="1" outlineLevel="2">
      <c r="A7" s="303" t="s">
        <v>224</v>
      </c>
      <c r="B7" s="26" t="s">
        <v>1661</v>
      </c>
      <c r="C7" s="26">
        <v>157730</v>
      </c>
    </row>
    <row r="8" spans="1:3" ht="15" customHeight="1" outlineLevel="1">
      <c r="A8" s="303"/>
      <c r="B8" s="310" t="s">
        <v>260</v>
      </c>
      <c r="C8" s="26">
        <f>SUBTOTAL(9,C5:C7)</f>
        <v>570460</v>
      </c>
    </row>
    <row r="9" spans="1:3" ht="15" customHeight="1" outlineLevel="2">
      <c r="A9" s="303" t="s">
        <v>1032</v>
      </c>
      <c r="B9" s="26" t="s">
        <v>1662</v>
      </c>
      <c r="C9" s="26">
        <v>128102</v>
      </c>
    </row>
    <row r="10" spans="1:3" ht="15" customHeight="1" outlineLevel="2">
      <c r="A10" s="303" t="s">
        <v>1031</v>
      </c>
      <c r="B10" s="302" t="s">
        <v>1662</v>
      </c>
      <c r="C10" s="302">
        <v>318960</v>
      </c>
    </row>
    <row r="11" spans="1:3" ht="15" customHeight="1" outlineLevel="1">
      <c r="A11" s="303"/>
      <c r="B11" s="27" t="s">
        <v>259</v>
      </c>
      <c r="C11" s="302">
        <f>SUBTOTAL(9,C9:C10)</f>
        <v>447062</v>
      </c>
    </row>
    <row r="12" spans="1:3" ht="15" customHeight="1" outlineLevel="2">
      <c r="A12" s="303" t="s">
        <v>1019</v>
      </c>
      <c r="B12" s="26" t="s">
        <v>1663</v>
      </c>
      <c r="C12" s="26">
        <v>287510</v>
      </c>
    </row>
    <row r="13" spans="1:3" ht="15" customHeight="1" outlineLevel="2">
      <c r="A13" s="303" t="s">
        <v>466</v>
      </c>
      <c r="B13" s="26" t="s">
        <v>1663</v>
      </c>
      <c r="C13" s="26">
        <v>163664</v>
      </c>
    </row>
    <row r="14" spans="1:3" ht="15" customHeight="1" outlineLevel="1">
      <c r="A14" s="303"/>
      <c r="B14" s="310" t="s">
        <v>258</v>
      </c>
      <c r="C14" s="26">
        <f>SUBTOTAL(9,C12:C13)</f>
        <v>451174</v>
      </c>
    </row>
    <row r="15" spans="1:3" ht="15" customHeight="1" outlineLevel="2">
      <c r="A15" s="303" t="s">
        <v>236</v>
      </c>
      <c r="B15" s="26" t="s">
        <v>1664</v>
      </c>
      <c r="C15" s="26">
        <v>95436</v>
      </c>
    </row>
    <row r="16" spans="1:3" ht="15" customHeight="1" outlineLevel="2">
      <c r="A16" s="303" t="s">
        <v>237</v>
      </c>
      <c r="B16" s="26" t="s">
        <v>1664</v>
      </c>
      <c r="C16" s="302">
        <v>127464</v>
      </c>
    </row>
    <row r="17" spans="1:3" ht="15" customHeight="1" outlineLevel="2">
      <c r="A17" s="303" t="s">
        <v>238</v>
      </c>
      <c r="B17" s="26" t="s">
        <v>1664</v>
      </c>
      <c r="C17" s="26">
        <v>143438</v>
      </c>
    </row>
    <row r="18" spans="1:3" ht="15" customHeight="1" outlineLevel="2">
      <c r="A18" s="303" t="s">
        <v>241</v>
      </c>
      <c r="B18" s="26" t="s">
        <v>1664</v>
      </c>
      <c r="C18" s="26">
        <v>455656</v>
      </c>
    </row>
    <row r="19" spans="1:3" ht="15" customHeight="1" outlineLevel="1">
      <c r="A19" s="303"/>
      <c r="B19" s="310" t="s">
        <v>256</v>
      </c>
      <c r="C19" s="26">
        <f>SUBTOTAL(9,C15:C18)</f>
        <v>821994</v>
      </c>
    </row>
    <row r="20" spans="1:3" ht="15" customHeight="1" outlineLevel="2">
      <c r="A20" s="303" t="s">
        <v>809</v>
      </c>
      <c r="B20" s="26" t="s">
        <v>1665</v>
      </c>
      <c r="C20" s="26">
        <v>119856</v>
      </c>
    </row>
    <row r="21" spans="1:3" ht="15" customHeight="1" outlineLevel="1">
      <c r="A21" s="303"/>
      <c r="B21" s="310" t="s">
        <v>261</v>
      </c>
      <c r="C21" s="26">
        <f>SUBTOTAL(9,C20:C20)</f>
        <v>119856</v>
      </c>
    </row>
    <row r="22" spans="1:3" ht="15" customHeight="1" outlineLevel="2">
      <c r="A22" s="305" t="s">
        <v>1666</v>
      </c>
      <c r="B22" s="26" t="s">
        <v>1667</v>
      </c>
      <c r="C22" s="26">
        <v>126650</v>
      </c>
    </row>
    <row r="23" spans="1:3" ht="15" customHeight="1" outlineLevel="2">
      <c r="A23" s="306" t="s">
        <v>1668</v>
      </c>
      <c r="B23" s="26" t="s">
        <v>1667</v>
      </c>
      <c r="C23" s="302">
        <v>107748</v>
      </c>
    </row>
    <row r="24" spans="1:3" ht="15" customHeight="1" outlineLevel="2">
      <c r="A24" s="307" t="s">
        <v>1669</v>
      </c>
      <c r="B24" s="26" t="s">
        <v>1667</v>
      </c>
      <c r="C24" s="26">
        <v>107260</v>
      </c>
    </row>
    <row r="25" spans="1:3" ht="15" customHeight="1" outlineLevel="2">
      <c r="A25" s="307" t="s">
        <v>1670</v>
      </c>
      <c r="B25" s="26" t="s">
        <v>1667</v>
      </c>
      <c r="C25" s="26">
        <v>109704</v>
      </c>
    </row>
    <row r="26" spans="1:3" ht="15" customHeight="1" outlineLevel="1">
      <c r="A26" s="307"/>
      <c r="B26" s="310" t="s">
        <v>257</v>
      </c>
      <c r="C26" s="26">
        <f>SUBTOTAL(9,C22:C25)</f>
        <v>451362</v>
      </c>
    </row>
    <row r="27" spans="1:3" ht="15" customHeight="1">
      <c r="A27" s="307"/>
      <c r="B27" s="310" t="s">
        <v>252</v>
      </c>
      <c r="C27" s="26">
        <f>SUBTOTAL(9,C3:C25)</f>
        <v>3003244</v>
      </c>
    </row>
  </sheetData>
  <mergeCells count="1">
    <mergeCell ref="A1:C1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第 &amp;P 页，共 &amp;N 页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6"/>
  <sheetViews>
    <sheetView workbookViewId="0">
      <selection activeCell="A121" sqref="A1:XFD1048576"/>
    </sheetView>
  </sheetViews>
  <sheetFormatPr defaultRowHeight="15" outlineLevelRow="2"/>
  <cols>
    <col min="1" max="1" width="25.625" style="255" customWidth="1"/>
    <col min="2" max="2" width="11.25" style="255" customWidth="1"/>
    <col min="3" max="3" width="8.625" style="255" customWidth="1"/>
    <col min="4" max="4" width="8.5" style="255" customWidth="1"/>
    <col min="5" max="5" width="30.875" style="255" customWidth="1"/>
    <col min="6" max="6" width="20.5" style="255" customWidth="1"/>
    <col min="7" max="7" width="26.625" style="255" customWidth="1"/>
    <col min="8" max="8" width="7.25" style="255" customWidth="1"/>
    <col min="9" max="9" width="11.625" style="256" customWidth="1"/>
    <col min="10" max="10" width="12.5" style="714" customWidth="1"/>
    <col min="11" max="11" width="9" style="358"/>
    <col min="12" max="12" width="9" style="226"/>
    <col min="13" max="16384" width="9" style="227"/>
  </cols>
  <sheetData>
    <row r="1" spans="1:11" ht="22.5">
      <c r="A1" s="823" t="s">
        <v>1301</v>
      </c>
      <c r="B1" s="823"/>
      <c r="C1" s="823"/>
      <c r="D1" s="823"/>
      <c r="E1" s="823"/>
      <c r="F1" s="823"/>
      <c r="G1" s="823"/>
      <c r="H1" s="823"/>
      <c r="I1" s="823"/>
      <c r="J1" s="823"/>
    </row>
    <row r="2" spans="1:11" ht="29.1" customHeight="1">
      <c r="A2" s="228" t="s">
        <v>632</v>
      </c>
      <c r="B2" s="228" t="s">
        <v>1248</v>
      </c>
      <c r="C2" s="228" t="s">
        <v>955</v>
      </c>
      <c r="D2" s="228" t="s">
        <v>1241</v>
      </c>
      <c r="E2" s="228" t="s">
        <v>13</v>
      </c>
      <c r="F2" s="228" t="s">
        <v>1242</v>
      </c>
      <c r="G2" s="228" t="s">
        <v>1243</v>
      </c>
      <c r="H2" s="228" t="s">
        <v>1244</v>
      </c>
      <c r="I2" s="228" t="s">
        <v>1245</v>
      </c>
      <c r="J2" s="710" t="s">
        <v>1249</v>
      </c>
    </row>
    <row r="3" spans="1:11" ht="29.1" customHeight="1" outlineLevel="2">
      <c r="A3" s="229" t="s">
        <v>1250</v>
      </c>
      <c r="B3" s="230" t="s">
        <v>10</v>
      </c>
      <c r="C3" s="230" t="s">
        <v>464</v>
      </c>
      <c r="D3" s="230" t="s">
        <v>1247</v>
      </c>
      <c r="E3" s="231" t="s">
        <v>1251</v>
      </c>
      <c r="F3" s="231" t="s">
        <v>1252</v>
      </c>
      <c r="G3" s="231" t="s">
        <v>1253</v>
      </c>
      <c r="H3" s="230">
        <v>1</v>
      </c>
      <c r="I3" s="232">
        <v>800000</v>
      </c>
      <c r="J3" s="704">
        <f t="shared" ref="J3:J8" si="0">I3*H3</f>
        <v>800000</v>
      </c>
      <c r="K3" s="359"/>
    </row>
    <row r="4" spans="1:11" ht="29.1" customHeight="1" outlineLevel="2">
      <c r="A4" s="708" t="s">
        <v>221</v>
      </c>
      <c r="B4" s="705" t="s">
        <v>10</v>
      </c>
      <c r="C4" s="705" t="s">
        <v>2378</v>
      </c>
      <c r="D4" s="705" t="s">
        <v>2379</v>
      </c>
      <c r="E4" s="706" t="s">
        <v>2373</v>
      </c>
      <c r="F4" s="706" t="s">
        <v>2373</v>
      </c>
      <c r="G4" s="706" t="s">
        <v>2373</v>
      </c>
      <c r="H4" s="705">
        <v>1</v>
      </c>
      <c r="I4" s="707">
        <v>70000</v>
      </c>
      <c r="J4" s="707">
        <f t="shared" si="0"/>
        <v>70000</v>
      </c>
      <c r="K4" s="359"/>
    </row>
    <row r="5" spans="1:11" ht="29.1" customHeight="1" outlineLevel="2">
      <c r="A5" s="708" t="s">
        <v>654</v>
      </c>
      <c r="B5" s="705" t="s">
        <v>10</v>
      </c>
      <c r="C5" s="705" t="s">
        <v>2378</v>
      </c>
      <c r="D5" s="705" t="s">
        <v>2379</v>
      </c>
      <c r="E5" s="706" t="s">
        <v>2373</v>
      </c>
      <c r="F5" s="706" t="s">
        <v>2373</v>
      </c>
      <c r="G5" s="706" t="s">
        <v>2373</v>
      </c>
      <c r="H5" s="705">
        <v>1</v>
      </c>
      <c r="I5" s="707">
        <v>70000</v>
      </c>
      <c r="J5" s="707">
        <f t="shared" si="0"/>
        <v>70000</v>
      </c>
      <c r="K5" s="359"/>
    </row>
    <row r="6" spans="1:11" ht="29.1" customHeight="1" outlineLevel="2">
      <c r="A6" s="708" t="s">
        <v>223</v>
      </c>
      <c r="B6" s="705" t="s">
        <v>10</v>
      </c>
      <c r="C6" s="705" t="s">
        <v>2380</v>
      </c>
      <c r="D6" s="705" t="s">
        <v>2379</v>
      </c>
      <c r="E6" s="706" t="s">
        <v>2373</v>
      </c>
      <c r="F6" s="706" t="s">
        <v>2373</v>
      </c>
      <c r="G6" s="706" t="s">
        <v>2373</v>
      </c>
      <c r="H6" s="705">
        <v>1</v>
      </c>
      <c r="I6" s="707">
        <v>70000</v>
      </c>
      <c r="J6" s="707">
        <f t="shared" si="0"/>
        <v>70000</v>
      </c>
      <c r="K6" s="359"/>
    </row>
    <row r="7" spans="1:11" ht="29.1" customHeight="1" outlineLevel="2">
      <c r="A7" s="708" t="s">
        <v>734</v>
      </c>
      <c r="B7" s="705" t="s">
        <v>10</v>
      </c>
      <c r="C7" s="705" t="s">
        <v>2381</v>
      </c>
      <c r="D7" s="705" t="s">
        <v>2379</v>
      </c>
      <c r="E7" s="706" t="s">
        <v>2373</v>
      </c>
      <c r="F7" s="706" t="s">
        <v>2373</v>
      </c>
      <c r="G7" s="706" t="s">
        <v>2373</v>
      </c>
      <c r="H7" s="705">
        <v>1</v>
      </c>
      <c r="I7" s="707">
        <v>90000</v>
      </c>
      <c r="J7" s="707">
        <f t="shared" si="0"/>
        <v>90000</v>
      </c>
      <c r="K7" s="359"/>
    </row>
    <row r="8" spans="1:11" ht="29.1" customHeight="1" outlineLevel="2">
      <c r="A8" s="708" t="s">
        <v>222</v>
      </c>
      <c r="B8" s="705" t="s">
        <v>10</v>
      </c>
      <c r="C8" s="705" t="s">
        <v>2380</v>
      </c>
      <c r="D8" s="705" t="s">
        <v>2379</v>
      </c>
      <c r="E8" s="706" t="s">
        <v>2373</v>
      </c>
      <c r="F8" s="706" t="s">
        <v>2373</v>
      </c>
      <c r="G8" s="706" t="s">
        <v>2373</v>
      </c>
      <c r="H8" s="705">
        <v>1</v>
      </c>
      <c r="I8" s="707">
        <v>90000</v>
      </c>
      <c r="J8" s="707">
        <f t="shared" si="0"/>
        <v>90000</v>
      </c>
      <c r="K8" s="359"/>
    </row>
    <row r="9" spans="1:11" ht="29.1" customHeight="1" outlineLevel="2">
      <c r="A9" s="233" t="s">
        <v>654</v>
      </c>
      <c r="B9" s="234" t="s">
        <v>10</v>
      </c>
      <c r="C9" s="234" t="s">
        <v>464</v>
      </c>
      <c r="D9" s="234" t="s">
        <v>1247</v>
      </c>
      <c r="E9" s="233" t="s">
        <v>1254</v>
      </c>
      <c r="F9" s="233" t="s">
        <v>1254</v>
      </c>
      <c r="G9" s="235" t="s">
        <v>1255</v>
      </c>
      <c r="H9" s="234">
        <v>1</v>
      </c>
      <c r="I9" s="236">
        <v>500000</v>
      </c>
      <c r="J9" s="236">
        <v>500000</v>
      </c>
    </row>
    <row r="10" spans="1:11" ht="29.1" customHeight="1" outlineLevel="2">
      <c r="A10" s="233" t="s">
        <v>221</v>
      </c>
      <c r="B10" s="234" t="s">
        <v>10</v>
      </c>
      <c r="C10" s="234" t="s">
        <v>464</v>
      </c>
      <c r="D10" s="234" t="s">
        <v>1247</v>
      </c>
      <c r="E10" s="233" t="s">
        <v>1254</v>
      </c>
      <c r="F10" s="233" t="s">
        <v>1254</v>
      </c>
      <c r="G10" s="235" t="s">
        <v>1255</v>
      </c>
      <c r="H10" s="234">
        <v>1</v>
      </c>
      <c r="I10" s="236">
        <v>500000</v>
      </c>
      <c r="J10" s="236">
        <v>500000</v>
      </c>
    </row>
    <row r="11" spans="1:11" ht="29.1" customHeight="1" outlineLevel="2">
      <c r="A11" s="233" t="s">
        <v>734</v>
      </c>
      <c r="B11" s="234" t="s">
        <v>10</v>
      </c>
      <c r="C11" s="234" t="s">
        <v>958</v>
      </c>
      <c r="D11" s="234" t="s">
        <v>1247</v>
      </c>
      <c r="E11" s="233" t="s">
        <v>1254</v>
      </c>
      <c r="F11" s="233" t="s">
        <v>1254</v>
      </c>
      <c r="G11" s="235" t="s">
        <v>1255</v>
      </c>
      <c r="H11" s="234">
        <v>1</v>
      </c>
      <c r="I11" s="236">
        <v>500000</v>
      </c>
      <c r="J11" s="236">
        <v>500000</v>
      </c>
    </row>
    <row r="12" spans="1:11" ht="29.1" customHeight="1" outlineLevel="1">
      <c r="A12" s="237"/>
      <c r="B12" s="238" t="s">
        <v>262</v>
      </c>
      <c r="C12" s="239"/>
      <c r="D12" s="239"/>
      <c r="E12" s="237"/>
      <c r="F12" s="237"/>
      <c r="G12" s="240"/>
      <c r="H12" s="239"/>
      <c r="I12" s="241"/>
      <c r="J12" s="241">
        <f>SUBTOTAL(9,J3:J11)</f>
        <v>2690000</v>
      </c>
    </row>
    <row r="13" spans="1:11" ht="29.1" customHeight="1" outlineLevel="2">
      <c r="A13" s="242" t="s">
        <v>1256</v>
      </c>
      <c r="B13" s="243" t="s">
        <v>8</v>
      </c>
      <c r="C13" s="243" t="s">
        <v>464</v>
      </c>
      <c r="D13" s="243" t="s">
        <v>1247</v>
      </c>
      <c r="E13" s="244" t="s">
        <v>1251</v>
      </c>
      <c r="F13" s="231" t="s">
        <v>1252</v>
      </c>
      <c r="G13" s="244" t="s">
        <v>1253</v>
      </c>
      <c r="H13" s="243">
        <v>1</v>
      </c>
      <c r="I13" s="232">
        <v>800000</v>
      </c>
      <c r="J13" s="704">
        <f t="shared" ref="J13" si="1">I13*H13</f>
        <v>800000</v>
      </c>
    </row>
    <row r="14" spans="1:11" ht="29.1" customHeight="1" outlineLevel="2">
      <c r="A14" s="708" t="s">
        <v>1040</v>
      </c>
      <c r="B14" s="709" t="s">
        <v>8</v>
      </c>
      <c r="C14" s="709" t="s">
        <v>2371</v>
      </c>
      <c r="D14" s="709" t="s">
        <v>2377</v>
      </c>
      <c r="E14" s="706" t="s">
        <v>2373</v>
      </c>
      <c r="F14" s="706" t="s">
        <v>2373</v>
      </c>
      <c r="G14" s="706" t="s">
        <v>2373</v>
      </c>
      <c r="H14" s="709">
        <v>1</v>
      </c>
      <c r="I14" s="707">
        <v>90000</v>
      </c>
      <c r="J14" s="707">
        <f>H14*I14</f>
        <v>90000</v>
      </c>
    </row>
    <row r="15" spans="1:11" ht="29.1" customHeight="1" outlineLevel="2">
      <c r="A15" s="708" t="s">
        <v>224</v>
      </c>
      <c r="B15" s="709" t="s">
        <v>8</v>
      </c>
      <c r="C15" s="709" t="s">
        <v>2371</v>
      </c>
      <c r="D15" s="709" t="s">
        <v>2377</v>
      </c>
      <c r="E15" s="706" t="s">
        <v>2373</v>
      </c>
      <c r="F15" s="706" t="s">
        <v>2373</v>
      </c>
      <c r="G15" s="706" t="s">
        <v>2373</v>
      </c>
      <c r="H15" s="709">
        <v>1</v>
      </c>
      <c r="I15" s="707">
        <v>105000</v>
      </c>
      <c r="J15" s="707">
        <f>H15*I15</f>
        <v>105000</v>
      </c>
    </row>
    <row r="16" spans="1:11" ht="29.1" customHeight="1" outlineLevel="2">
      <c r="A16" s="708" t="s">
        <v>225</v>
      </c>
      <c r="B16" s="709" t="s">
        <v>8</v>
      </c>
      <c r="C16" s="709" t="s">
        <v>2371</v>
      </c>
      <c r="D16" s="709" t="s">
        <v>2377</v>
      </c>
      <c r="E16" s="706" t="s">
        <v>2373</v>
      </c>
      <c r="F16" s="706" t="s">
        <v>2373</v>
      </c>
      <c r="G16" s="706" t="s">
        <v>2373</v>
      </c>
      <c r="H16" s="709">
        <v>1</v>
      </c>
      <c r="I16" s="707">
        <v>105000</v>
      </c>
      <c r="J16" s="707">
        <f>H16*I16</f>
        <v>105000</v>
      </c>
    </row>
    <row r="17" spans="1:11" ht="29.1" customHeight="1" outlineLevel="2">
      <c r="A17" s="245" t="s">
        <v>224</v>
      </c>
      <c r="B17" s="234" t="s">
        <v>8</v>
      </c>
      <c r="C17" s="234" t="s">
        <v>958</v>
      </c>
      <c r="D17" s="246" t="s">
        <v>1247</v>
      </c>
      <c r="E17" s="233" t="s">
        <v>1254</v>
      </c>
      <c r="F17" s="233" t="s">
        <v>1254</v>
      </c>
      <c r="G17" s="235" t="s">
        <v>1255</v>
      </c>
      <c r="H17" s="234">
        <v>1</v>
      </c>
      <c r="I17" s="236">
        <v>500000</v>
      </c>
      <c r="J17" s="236">
        <v>500000</v>
      </c>
      <c r="K17" s="359"/>
    </row>
    <row r="18" spans="1:11" ht="29.1" customHeight="1" outlineLevel="2">
      <c r="A18" s="245" t="s">
        <v>1040</v>
      </c>
      <c r="B18" s="234" t="s">
        <v>8</v>
      </c>
      <c r="C18" s="234" t="s">
        <v>958</v>
      </c>
      <c r="D18" s="246" t="s">
        <v>1247</v>
      </c>
      <c r="E18" s="233" t="s">
        <v>1254</v>
      </c>
      <c r="F18" s="233" t="s">
        <v>1254</v>
      </c>
      <c r="G18" s="235" t="s">
        <v>1255</v>
      </c>
      <c r="H18" s="234">
        <v>1</v>
      </c>
      <c r="I18" s="236">
        <v>500000</v>
      </c>
      <c r="J18" s="236">
        <v>500000</v>
      </c>
      <c r="K18" s="359"/>
    </row>
    <row r="19" spans="1:11" ht="29.1" customHeight="1" outlineLevel="2">
      <c r="A19" s="245" t="s">
        <v>225</v>
      </c>
      <c r="B19" s="234" t="s">
        <v>8</v>
      </c>
      <c r="C19" s="234" t="s">
        <v>958</v>
      </c>
      <c r="D19" s="246" t="s">
        <v>1247</v>
      </c>
      <c r="E19" s="233" t="s">
        <v>1254</v>
      </c>
      <c r="F19" s="233" t="s">
        <v>1254</v>
      </c>
      <c r="G19" s="235" t="s">
        <v>1255</v>
      </c>
      <c r="H19" s="234">
        <v>1</v>
      </c>
      <c r="I19" s="236">
        <v>500000</v>
      </c>
      <c r="J19" s="236">
        <v>500000</v>
      </c>
      <c r="K19" s="359"/>
    </row>
    <row r="20" spans="1:11" ht="29.1" customHeight="1" outlineLevel="1">
      <c r="A20" s="100"/>
      <c r="B20" s="238" t="s">
        <v>260</v>
      </c>
      <c r="C20" s="239"/>
      <c r="D20" s="247"/>
      <c r="E20" s="237"/>
      <c r="F20" s="237"/>
      <c r="G20" s="240"/>
      <c r="H20" s="239"/>
      <c r="I20" s="241"/>
      <c r="J20" s="241">
        <f>SUBTOTAL(9,J13:J19)</f>
        <v>2600000</v>
      </c>
      <c r="K20" s="359"/>
    </row>
    <row r="21" spans="1:11" ht="29.1" customHeight="1" outlineLevel="2">
      <c r="A21" s="229" t="s">
        <v>1257</v>
      </c>
      <c r="B21" s="230" t="s">
        <v>7</v>
      </c>
      <c r="C21" s="230" t="s">
        <v>464</v>
      </c>
      <c r="D21" s="230" t="s">
        <v>1247</v>
      </c>
      <c r="E21" s="231" t="s">
        <v>1251</v>
      </c>
      <c r="F21" s="231" t="s">
        <v>1252</v>
      </c>
      <c r="G21" s="231" t="s">
        <v>1253</v>
      </c>
      <c r="H21" s="230">
        <v>1</v>
      </c>
      <c r="I21" s="232">
        <v>800000</v>
      </c>
      <c r="J21" s="704">
        <f>I21*H21</f>
        <v>800000</v>
      </c>
    </row>
    <row r="22" spans="1:11" ht="29.1" customHeight="1" outlineLevel="2">
      <c r="A22" s="708" t="s">
        <v>1030</v>
      </c>
      <c r="B22" s="705" t="s">
        <v>7</v>
      </c>
      <c r="C22" s="705" t="s">
        <v>464</v>
      </c>
      <c r="D22" s="705" t="s">
        <v>2377</v>
      </c>
      <c r="E22" s="706" t="s">
        <v>2373</v>
      </c>
      <c r="F22" s="706" t="s">
        <v>2373</v>
      </c>
      <c r="G22" s="706" t="s">
        <v>2373</v>
      </c>
      <c r="H22" s="705">
        <v>1</v>
      </c>
      <c r="I22" s="707">
        <v>90000</v>
      </c>
      <c r="J22" s="707">
        <v>90000</v>
      </c>
    </row>
    <row r="23" spans="1:11" ht="29.1" customHeight="1" outlineLevel="2">
      <c r="A23" s="708" t="s">
        <v>1031</v>
      </c>
      <c r="B23" s="705" t="s">
        <v>7</v>
      </c>
      <c r="C23" s="705" t="s">
        <v>2371</v>
      </c>
      <c r="D23" s="705" t="s">
        <v>2377</v>
      </c>
      <c r="E23" s="706" t="s">
        <v>2373</v>
      </c>
      <c r="F23" s="706" t="s">
        <v>2373</v>
      </c>
      <c r="G23" s="706" t="s">
        <v>2373</v>
      </c>
      <c r="H23" s="705">
        <v>1</v>
      </c>
      <c r="I23" s="707">
        <v>90000</v>
      </c>
      <c r="J23" s="707">
        <f>H23*I23</f>
        <v>90000</v>
      </c>
    </row>
    <row r="24" spans="1:11" ht="29.1" customHeight="1" outlineLevel="2">
      <c r="A24" s="708" t="s">
        <v>266</v>
      </c>
      <c r="B24" s="705" t="s">
        <v>7</v>
      </c>
      <c r="C24" s="705" t="s">
        <v>2371</v>
      </c>
      <c r="D24" s="705" t="s">
        <v>2377</v>
      </c>
      <c r="E24" s="706" t="s">
        <v>2373</v>
      </c>
      <c r="F24" s="706" t="s">
        <v>2373</v>
      </c>
      <c r="G24" s="706" t="s">
        <v>2373</v>
      </c>
      <c r="H24" s="705">
        <v>1</v>
      </c>
      <c r="I24" s="707">
        <v>90000</v>
      </c>
      <c r="J24" s="707">
        <f>H24*I24</f>
        <v>90000</v>
      </c>
    </row>
    <row r="25" spans="1:11" ht="29.1" customHeight="1" outlineLevel="2">
      <c r="A25" s="708" t="s">
        <v>1032</v>
      </c>
      <c r="B25" s="705" t="s">
        <v>7</v>
      </c>
      <c r="C25" s="705" t="s">
        <v>2372</v>
      </c>
      <c r="D25" s="705" t="s">
        <v>2377</v>
      </c>
      <c r="E25" s="706" t="s">
        <v>2373</v>
      </c>
      <c r="F25" s="706" t="s">
        <v>2373</v>
      </c>
      <c r="G25" s="706" t="s">
        <v>2373</v>
      </c>
      <c r="H25" s="705">
        <v>1</v>
      </c>
      <c r="I25" s="707">
        <v>105000</v>
      </c>
      <c r="J25" s="707">
        <f>H25*I25</f>
        <v>105000</v>
      </c>
    </row>
    <row r="26" spans="1:11" ht="29.1" customHeight="1" outlineLevel="2">
      <c r="A26" s="233" t="s">
        <v>1030</v>
      </c>
      <c r="B26" s="234" t="s">
        <v>7</v>
      </c>
      <c r="C26" s="234" t="s">
        <v>464</v>
      </c>
      <c r="D26" s="234" t="s">
        <v>1247</v>
      </c>
      <c r="E26" s="233" t="s">
        <v>1254</v>
      </c>
      <c r="F26" s="233" t="s">
        <v>1254</v>
      </c>
      <c r="G26" s="235" t="s">
        <v>1255</v>
      </c>
      <c r="H26" s="234">
        <v>1</v>
      </c>
      <c r="I26" s="236">
        <v>500000</v>
      </c>
      <c r="J26" s="236">
        <v>500000</v>
      </c>
    </row>
    <row r="27" spans="1:11" ht="29.1" customHeight="1" outlineLevel="2">
      <c r="A27" s="233" t="s">
        <v>1031</v>
      </c>
      <c r="B27" s="234" t="s">
        <v>7</v>
      </c>
      <c r="C27" s="234" t="s">
        <v>958</v>
      </c>
      <c r="D27" s="234" t="s">
        <v>1247</v>
      </c>
      <c r="E27" s="233" t="s">
        <v>1254</v>
      </c>
      <c r="F27" s="233" t="s">
        <v>1254</v>
      </c>
      <c r="G27" s="235" t="s">
        <v>1255</v>
      </c>
      <c r="H27" s="234">
        <v>1</v>
      </c>
      <c r="I27" s="236">
        <v>500000</v>
      </c>
      <c r="J27" s="236">
        <v>500000</v>
      </c>
    </row>
    <row r="28" spans="1:11" ht="29.1" customHeight="1" outlineLevel="2">
      <c r="A28" s="233" t="s">
        <v>266</v>
      </c>
      <c r="B28" s="234" t="s">
        <v>7</v>
      </c>
      <c r="C28" s="234" t="s">
        <v>958</v>
      </c>
      <c r="D28" s="234" t="s">
        <v>1247</v>
      </c>
      <c r="E28" s="233" t="s">
        <v>1254</v>
      </c>
      <c r="F28" s="233" t="s">
        <v>1254</v>
      </c>
      <c r="G28" s="235" t="s">
        <v>1255</v>
      </c>
      <c r="H28" s="234">
        <v>1</v>
      </c>
      <c r="I28" s="236">
        <v>500000</v>
      </c>
      <c r="J28" s="236">
        <v>500000</v>
      </c>
    </row>
    <row r="29" spans="1:11" ht="29.1" customHeight="1" outlineLevel="1">
      <c r="A29" s="237"/>
      <c r="B29" s="238" t="s">
        <v>259</v>
      </c>
      <c r="C29" s="239"/>
      <c r="D29" s="239"/>
      <c r="E29" s="237"/>
      <c r="F29" s="237"/>
      <c r="G29" s="240"/>
      <c r="H29" s="239"/>
      <c r="I29" s="241"/>
      <c r="J29" s="241">
        <f>SUBTOTAL(9,J21:J28)</f>
        <v>2675000</v>
      </c>
    </row>
    <row r="30" spans="1:11" ht="29.1" customHeight="1" outlineLevel="2">
      <c r="A30" s="229" t="s">
        <v>1258</v>
      </c>
      <c r="B30" s="230" t="s">
        <v>6</v>
      </c>
      <c r="C30" s="230" t="s">
        <v>464</v>
      </c>
      <c r="D30" s="230" t="s">
        <v>1247</v>
      </c>
      <c r="E30" s="231" t="s">
        <v>1251</v>
      </c>
      <c r="F30" s="231" t="s">
        <v>1259</v>
      </c>
      <c r="G30" s="231" t="s">
        <v>1260</v>
      </c>
      <c r="H30" s="230">
        <v>1</v>
      </c>
      <c r="I30" s="232">
        <v>500000</v>
      </c>
      <c r="J30" s="704">
        <f t="shared" ref="J30:J39" si="2">I30*H30</f>
        <v>500000</v>
      </c>
    </row>
    <row r="31" spans="1:11" ht="29.1" customHeight="1" outlineLevel="2">
      <c r="A31" s="229" t="s">
        <v>1258</v>
      </c>
      <c r="B31" s="230" t="s">
        <v>6</v>
      </c>
      <c r="C31" s="230" t="s">
        <v>464</v>
      </c>
      <c r="D31" s="230" t="s">
        <v>1247</v>
      </c>
      <c r="E31" s="231" t="s">
        <v>1251</v>
      </c>
      <c r="F31" s="231" t="s">
        <v>1261</v>
      </c>
      <c r="G31" s="231" t="s">
        <v>1261</v>
      </c>
      <c r="H31" s="230">
        <v>1</v>
      </c>
      <c r="I31" s="232">
        <v>500000</v>
      </c>
      <c r="J31" s="704">
        <f t="shared" si="2"/>
        <v>500000</v>
      </c>
    </row>
    <row r="32" spans="1:11" ht="29.1" customHeight="1" outlineLevel="2">
      <c r="A32" s="229" t="s">
        <v>1258</v>
      </c>
      <c r="B32" s="230" t="s">
        <v>6</v>
      </c>
      <c r="C32" s="230" t="s">
        <v>464</v>
      </c>
      <c r="D32" s="230" t="s">
        <v>1247</v>
      </c>
      <c r="E32" s="231" t="s">
        <v>1251</v>
      </c>
      <c r="F32" s="231" t="s">
        <v>1252</v>
      </c>
      <c r="G32" s="231" t="s">
        <v>1253</v>
      </c>
      <c r="H32" s="230">
        <v>1</v>
      </c>
      <c r="I32" s="232">
        <v>300000</v>
      </c>
      <c r="J32" s="704">
        <f t="shared" si="2"/>
        <v>300000</v>
      </c>
    </row>
    <row r="33" spans="1:10" ht="29.1" customHeight="1" outlineLevel="2">
      <c r="A33" s="708" t="s">
        <v>468</v>
      </c>
      <c r="B33" s="705" t="s">
        <v>6</v>
      </c>
      <c r="C33" s="705" t="s">
        <v>2372</v>
      </c>
      <c r="D33" s="705" t="s">
        <v>2377</v>
      </c>
      <c r="E33" s="706" t="s">
        <v>2373</v>
      </c>
      <c r="F33" s="706" t="s">
        <v>2373</v>
      </c>
      <c r="G33" s="706" t="s">
        <v>2373</v>
      </c>
      <c r="H33" s="705">
        <v>1</v>
      </c>
      <c r="I33" s="707">
        <v>70000</v>
      </c>
      <c r="J33" s="707">
        <f t="shared" si="2"/>
        <v>70000</v>
      </c>
    </row>
    <row r="34" spans="1:10" ht="29.1" customHeight="1" outlineLevel="2">
      <c r="A34" s="708" t="s">
        <v>467</v>
      </c>
      <c r="B34" s="705" t="s">
        <v>6</v>
      </c>
      <c r="C34" s="705" t="s">
        <v>2372</v>
      </c>
      <c r="D34" s="705" t="s">
        <v>2377</v>
      </c>
      <c r="E34" s="706" t="s">
        <v>2373</v>
      </c>
      <c r="F34" s="706" t="s">
        <v>2373</v>
      </c>
      <c r="G34" s="706" t="s">
        <v>2373</v>
      </c>
      <c r="H34" s="705">
        <v>1</v>
      </c>
      <c r="I34" s="707">
        <v>70000</v>
      </c>
      <c r="J34" s="707">
        <f t="shared" si="2"/>
        <v>70000</v>
      </c>
    </row>
    <row r="35" spans="1:10" ht="29.1" customHeight="1" outlineLevel="2">
      <c r="A35" s="708" t="s">
        <v>466</v>
      </c>
      <c r="B35" s="705" t="s">
        <v>6</v>
      </c>
      <c r="C35" s="705" t="s">
        <v>2375</v>
      </c>
      <c r="D35" s="705" t="s">
        <v>2377</v>
      </c>
      <c r="E35" s="706" t="s">
        <v>2373</v>
      </c>
      <c r="F35" s="706" t="s">
        <v>2373</v>
      </c>
      <c r="G35" s="706" t="s">
        <v>2373</v>
      </c>
      <c r="H35" s="705">
        <v>1</v>
      </c>
      <c r="I35" s="707">
        <v>70000</v>
      </c>
      <c r="J35" s="707">
        <f t="shared" si="2"/>
        <v>70000</v>
      </c>
    </row>
    <row r="36" spans="1:10" ht="29.1" customHeight="1" outlineLevel="2">
      <c r="A36" s="708" t="s">
        <v>226</v>
      </c>
      <c r="B36" s="705" t="s">
        <v>6</v>
      </c>
      <c r="C36" s="705" t="s">
        <v>2375</v>
      </c>
      <c r="D36" s="705" t="s">
        <v>2377</v>
      </c>
      <c r="E36" s="706" t="s">
        <v>2373</v>
      </c>
      <c r="F36" s="706" t="s">
        <v>2373</v>
      </c>
      <c r="G36" s="706" t="s">
        <v>2373</v>
      </c>
      <c r="H36" s="705">
        <v>1</v>
      </c>
      <c r="I36" s="707">
        <v>90000</v>
      </c>
      <c r="J36" s="707">
        <f t="shared" si="2"/>
        <v>90000</v>
      </c>
    </row>
    <row r="37" spans="1:10" ht="29.1" customHeight="1" outlineLevel="2">
      <c r="A37" s="708" t="s">
        <v>1020</v>
      </c>
      <c r="B37" s="705" t="s">
        <v>6</v>
      </c>
      <c r="C37" s="705" t="s">
        <v>2375</v>
      </c>
      <c r="D37" s="705" t="s">
        <v>2377</v>
      </c>
      <c r="E37" s="706" t="s">
        <v>2373</v>
      </c>
      <c r="F37" s="706" t="s">
        <v>2373</v>
      </c>
      <c r="G37" s="706" t="s">
        <v>2373</v>
      </c>
      <c r="H37" s="705">
        <v>1</v>
      </c>
      <c r="I37" s="707">
        <v>90000</v>
      </c>
      <c r="J37" s="707">
        <f t="shared" si="2"/>
        <v>90000</v>
      </c>
    </row>
    <row r="38" spans="1:10" ht="29.1" customHeight="1" outlineLevel="2">
      <c r="A38" s="708" t="s">
        <v>1019</v>
      </c>
      <c r="B38" s="705" t="s">
        <v>6</v>
      </c>
      <c r="C38" s="705" t="s">
        <v>2371</v>
      </c>
      <c r="D38" s="705" t="s">
        <v>2377</v>
      </c>
      <c r="E38" s="706" t="s">
        <v>2373</v>
      </c>
      <c r="F38" s="706" t="s">
        <v>2373</v>
      </c>
      <c r="G38" s="706" t="s">
        <v>2373</v>
      </c>
      <c r="H38" s="705">
        <v>1</v>
      </c>
      <c r="I38" s="707">
        <v>90000</v>
      </c>
      <c r="J38" s="707">
        <f t="shared" si="2"/>
        <v>90000</v>
      </c>
    </row>
    <row r="39" spans="1:10" ht="29.1" customHeight="1" outlineLevel="2">
      <c r="A39" s="708" t="s">
        <v>1021</v>
      </c>
      <c r="B39" s="705" t="s">
        <v>6</v>
      </c>
      <c r="C39" s="705" t="s">
        <v>2372</v>
      </c>
      <c r="D39" s="705" t="s">
        <v>2377</v>
      </c>
      <c r="E39" s="706" t="s">
        <v>2373</v>
      </c>
      <c r="F39" s="706" t="s">
        <v>2373</v>
      </c>
      <c r="G39" s="706" t="s">
        <v>2373</v>
      </c>
      <c r="H39" s="705">
        <v>1</v>
      </c>
      <c r="I39" s="707">
        <v>90000</v>
      </c>
      <c r="J39" s="707">
        <f t="shared" si="2"/>
        <v>90000</v>
      </c>
    </row>
    <row r="40" spans="1:10" ht="29.1" customHeight="1" outlineLevel="2">
      <c r="A40" s="248" t="s">
        <v>1019</v>
      </c>
      <c r="B40" s="234" t="s">
        <v>6</v>
      </c>
      <c r="C40" s="234" t="s">
        <v>958</v>
      </c>
      <c r="D40" s="234" t="s">
        <v>1247</v>
      </c>
      <c r="E40" s="233" t="s">
        <v>1254</v>
      </c>
      <c r="F40" s="233" t="s">
        <v>1254</v>
      </c>
      <c r="G40" s="235" t="s">
        <v>1255</v>
      </c>
      <c r="H40" s="234">
        <v>1</v>
      </c>
      <c r="I40" s="236">
        <v>500000</v>
      </c>
      <c r="J40" s="236">
        <v>500000</v>
      </c>
    </row>
    <row r="41" spans="1:10" ht="29.1" customHeight="1" outlineLevel="2">
      <c r="A41" s="248" t="s">
        <v>226</v>
      </c>
      <c r="B41" s="234" t="s">
        <v>6</v>
      </c>
      <c r="C41" s="234" t="s">
        <v>464</v>
      </c>
      <c r="D41" s="234" t="s">
        <v>1247</v>
      </c>
      <c r="E41" s="233" t="s">
        <v>1254</v>
      </c>
      <c r="F41" s="233" t="s">
        <v>1254</v>
      </c>
      <c r="G41" s="235" t="s">
        <v>1255</v>
      </c>
      <c r="H41" s="234">
        <v>1</v>
      </c>
      <c r="I41" s="236">
        <v>500000</v>
      </c>
      <c r="J41" s="236">
        <v>500000</v>
      </c>
    </row>
    <row r="42" spans="1:10" ht="29.1" customHeight="1" outlineLevel="2">
      <c r="A42" s="248" t="s">
        <v>466</v>
      </c>
      <c r="B42" s="234" t="s">
        <v>6</v>
      </c>
      <c r="C42" s="234" t="s">
        <v>464</v>
      </c>
      <c r="D42" s="234" t="s">
        <v>1247</v>
      </c>
      <c r="E42" s="233" t="s">
        <v>1254</v>
      </c>
      <c r="F42" s="233" t="s">
        <v>1254</v>
      </c>
      <c r="G42" s="235" t="s">
        <v>1255</v>
      </c>
      <c r="H42" s="234">
        <v>1</v>
      </c>
      <c r="I42" s="236">
        <v>500000</v>
      </c>
      <c r="J42" s="236">
        <v>500000</v>
      </c>
    </row>
    <row r="43" spans="1:10" ht="29.1" customHeight="1" outlineLevel="2">
      <c r="A43" s="248" t="s">
        <v>1020</v>
      </c>
      <c r="B43" s="234" t="s">
        <v>6</v>
      </c>
      <c r="C43" s="234" t="s">
        <v>464</v>
      </c>
      <c r="D43" s="234" t="s">
        <v>1247</v>
      </c>
      <c r="E43" s="233" t="s">
        <v>1254</v>
      </c>
      <c r="F43" s="233" t="s">
        <v>1254</v>
      </c>
      <c r="G43" s="235" t="s">
        <v>1255</v>
      </c>
      <c r="H43" s="234">
        <v>1</v>
      </c>
      <c r="I43" s="236">
        <v>500000</v>
      </c>
      <c r="J43" s="236">
        <v>500000</v>
      </c>
    </row>
    <row r="44" spans="1:10" ht="29.1" customHeight="1" outlineLevel="1">
      <c r="A44" s="249"/>
      <c r="B44" s="238" t="s">
        <v>258</v>
      </c>
      <c r="C44" s="239"/>
      <c r="D44" s="239"/>
      <c r="E44" s="237"/>
      <c r="F44" s="237"/>
      <c r="G44" s="240"/>
      <c r="H44" s="239"/>
      <c r="I44" s="241"/>
      <c r="J44" s="241">
        <f>SUBTOTAL(9,J30:J43)</f>
        <v>3870000</v>
      </c>
    </row>
    <row r="45" spans="1:10" ht="29.1" customHeight="1" outlineLevel="2">
      <c r="A45" s="229" t="s">
        <v>1262</v>
      </c>
      <c r="B45" s="230" t="s">
        <v>5</v>
      </c>
      <c r="C45" s="230" t="s">
        <v>464</v>
      </c>
      <c r="D45" s="230" t="s">
        <v>1247</v>
      </c>
      <c r="E45" s="231" t="s">
        <v>1251</v>
      </c>
      <c r="F45" s="231" t="s">
        <v>1263</v>
      </c>
      <c r="G45" s="231" t="s">
        <v>1264</v>
      </c>
      <c r="H45" s="230">
        <v>1</v>
      </c>
      <c r="I45" s="232">
        <v>170000</v>
      </c>
      <c r="J45" s="824">
        <f>I45+I46+I47+I48+I49</f>
        <v>1300000</v>
      </c>
    </row>
    <row r="46" spans="1:10" ht="29.1" customHeight="1" outlineLevel="2">
      <c r="A46" s="229" t="s">
        <v>1262</v>
      </c>
      <c r="B46" s="230" t="s">
        <v>5</v>
      </c>
      <c r="C46" s="230" t="s">
        <v>464</v>
      </c>
      <c r="D46" s="230" t="s">
        <v>1247</v>
      </c>
      <c r="E46" s="231" t="s">
        <v>1251</v>
      </c>
      <c r="F46" s="231" t="s">
        <v>1265</v>
      </c>
      <c r="G46" s="231" t="s">
        <v>1266</v>
      </c>
      <c r="H46" s="230">
        <v>1</v>
      </c>
      <c r="I46" s="232">
        <v>330000</v>
      </c>
      <c r="J46" s="825"/>
    </row>
    <row r="47" spans="1:10" ht="29.1" customHeight="1" outlineLevel="2">
      <c r="A47" s="229" t="s">
        <v>1262</v>
      </c>
      <c r="B47" s="230" t="s">
        <v>5</v>
      </c>
      <c r="C47" s="230" t="s">
        <v>464</v>
      </c>
      <c r="D47" s="230" t="s">
        <v>1247</v>
      </c>
      <c r="E47" s="231" t="s">
        <v>1251</v>
      </c>
      <c r="F47" s="231" t="s">
        <v>1267</v>
      </c>
      <c r="G47" s="231" t="s">
        <v>1268</v>
      </c>
      <c r="H47" s="230">
        <v>1</v>
      </c>
      <c r="I47" s="232">
        <v>250000</v>
      </c>
      <c r="J47" s="825"/>
    </row>
    <row r="48" spans="1:10" ht="29.1" customHeight="1" outlineLevel="2">
      <c r="A48" s="229" t="s">
        <v>1262</v>
      </c>
      <c r="B48" s="230" t="s">
        <v>5</v>
      </c>
      <c r="C48" s="230" t="s">
        <v>464</v>
      </c>
      <c r="D48" s="230" t="s">
        <v>1247</v>
      </c>
      <c r="E48" s="231" t="s">
        <v>1251</v>
      </c>
      <c r="F48" s="231" t="s">
        <v>1252</v>
      </c>
      <c r="G48" s="231" t="s">
        <v>1253</v>
      </c>
      <c r="H48" s="230">
        <v>1</v>
      </c>
      <c r="I48" s="232">
        <v>300000</v>
      </c>
      <c r="J48" s="825"/>
    </row>
    <row r="49" spans="1:10" ht="29.1" customHeight="1" outlineLevel="2">
      <c r="A49" s="229" t="s">
        <v>1262</v>
      </c>
      <c r="B49" s="230" t="s">
        <v>5</v>
      </c>
      <c r="C49" s="230" t="s">
        <v>464</v>
      </c>
      <c r="D49" s="230" t="s">
        <v>1247</v>
      </c>
      <c r="E49" s="231" t="s">
        <v>1251</v>
      </c>
      <c r="F49" s="231" t="s">
        <v>1269</v>
      </c>
      <c r="G49" s="231" t="s">
        <v>1270</v>
      </c>
      <c r="H49" s="230">
        <v>1</v>
      </c>
      <c r="I49" s="232">
        <v>250000</v>
      </c>
      <c r="J49" s="825"/>
    </row>
    <row r="50" spans="1:10" ht="29.1" customHeight="1" outlineLevel="2">
      <c r="A50" s="708" t="s">
        <v>227</v>
      </c>
      <c r="B50" s="705" t="s">
        <v>5</v>
      </c>
      <c r="C50" s="705" t="s">
        <v>464</v>
      </c>
      <c r="D50" s="705" t="s">
        <v>2377</v>
      </c>
      <c r="E50" s="706" t="s">
        <v>2373</v>
      </c>
      <c r="F50" s="706" t="s">
        <v>2373</v>
      </c>
      <c r="G50" s="706" t="s">
        <v>2373</v>
      </c>
      <c r="H50" s="705">
        <v>1</v>
      </c>
      <c r="I50" s="707">
        <v>90000</v>
      </c>
      <c r="J50" s="711">
        <f>H50*I50</f>
        <v>90000</v>
      </c>
    </row>
    <row r="51" spans="1:10" ht="29.1" customHeight="1" outlineLevel="2">
      <c r="A51" s="708" t="s">
        <v>228</v>
      </c>
      <c r="B51" s="705" t="s">
        <v>5</v>
      </c>
      <c r="C51" s="705" t="s">
        <v>464</v>
      </c>
      <c r="D51" s="705" t="s">
        <v>2377</v>
      </c>
      <c r="E51" s="706" t="s">
        <v>2373</v>
      </c>
      <c r="F51" s="706" t="s">
        <v>2373</v>
      </c>
      <c r="G51" s="706" t="s">
        <v>2373</v>
      </c>
      <c r="H51" s="705">
        <v>1</v>
      </c>
      <c r="I51" s="707">
        <v>90000</v>
      </c>
      <c r="J51" s="711">
        <f>H51*I51</f>
        <v>90000</v>
      </c>
    </row>
    <row r="52" spans="1:10" ht="29.1" customHeight="1" outlineLevel="2">
      <c r="A52" s="708" t="s">
        <v>235</v>
      </c>
      <c r="B52" s="705" t="s">
        <v>5</v>
      </c>
      <c r="C52" s="705" t="s">
        <v>2371</v>
      </c>
      <c r="D52" s="705" t="s">
        <v>2377</v>
      </c>
      <c r="E52" s="706" t="s">
        <v>2373</v>
      </c>
      <c r="F52" s="706" t="s">
        <v>2373</v>
      </c>
      <c r="G52" s="706" t="s">
        <v>2373</v>
      </c>
      <c r="H52" s="705">
        <v>1</v>
      </c>
      <c r="I52" s="707">
        <v>70000</v>
      </c>
      <c r="J52" s="707">
        <f>I52*H52</f>
        <v>70000</v>
      </c>
    </row>
    <row r="53" spans="1:10" ht="29.1" customHeight="1" outlineLevel="2">
      <c r="A53" s="708" t="s">
        <v>1011</v>
      </c>
      <c r="B53" s="705" t="s">
        <v>5</v>
      </c>
      <c r="C53" s="705" t="s">
        <v>2372</v>
      </c>
      <c r="D53" s="705" t="s">
        <v>2377</v>
      </c>
      <c r="E53" s="706" t="s">
        <v>2373</v>
      </c>
      <c r="F53" s="706" t="s">
        <v>2373</v>
      </c>
      <c r="G53" s="706" t="s">
        <v>2373</v>
      </c>
      <c r="H53" s="705">
        <v>1</v>
      </c>
      <c r="I53" s="707">
        <v>90000</v>
      </c>
      <c r="J53" s="711">
        <f t="shared" ref="J53:J59" si="3">H53*I53</f>
        <v>90000</v>
      </c>
    </row>
    <row r="54" spans="1:10" ht="29.1" customHeight="1" outlineLevel="2">
      <c r="A54" s="708" t="s">
        <v>232</v>
      </c>
      <c r="B54" s="705" t="s">
        <v>5</v>
      </c>
      <c r="C54" s="705" t="s">
        <v>2372</v>
      </c>
      <c r="D54" s="705" t="s">
        <v>2377</v>
      </c>
      <c r="E54" s="706" t="s">
        <v>2373</v>
      </c>
      <c r="F54" s="706" t="s">
        <v>2373</v>
      </c>
      <c r="G54" s="706" t="s">
        <v>2373</v>
      </c>
      <c r="H54" s="705">
        <v>1</v>
      </c>
      <c r="I54" s="707">
        <v>90000</v>
      </c>
      <c r="J54" s="711">
        <f t="shared" si="3"/>
        <v>90000</v>
      </c>
    </row>
    <row r="55" spans="1:10" ht="29.1" customHeight="1" outlineLevel="2">
      <c r="A55" s="708" t="s">
        <v>230</v>
      </c>
      <c r="B55" s="705" t="s">
        <v>5</v>
      </c>
      <c r="C55" s="705" t="s">
        <v>2371</v>
      </c>
      <c r="D55" s="705" t="s">
        <v>2377</v>
      </c>
      <c r="E55" s="706" t="s">
        <v>2373</v>
      </c>
      <c r="F55" s="706" t="s">
        <v>2373</v>
      </c>
      <c r="G55" s="706" t="s">
        <v>2373</v>
      </c>
      <c r="H55" s="705">
        <v>1</v>
      </c>
      <c r="I55" s="707">
        <v>90000</v>
      </c>
      <c r="J55" s="711">
        <f t="shared" si="3"/>
        <v>90000</v>
      </c>
    </row>
    <row r="56" spans="1:10" ht="29.1" customHeight="1" outlineLevel="2">
      <c r="A56" s="708" t="s">
        <v>233</v>
      </c>
      <c r="B56" s="705" t="s">
        <v>5</v>
      </c>
      <c r="C56" s="705" t="s">
        <v>2372</v>
      </c>
      <c r="D56" s="705" t="s">
        <v>2377</v>
      </c>
      <c r="E56" s="706" t="s">
        <v>2373</v>
      </c>
      <c r="F56" s="706" t="s">
        <v>2373</v>
      </c>
      <c r="G56" s="706" t="s">
        <v>2373</v>
      </c>
      <c r="H56" s="705">
        <v>1</v>
      </c>
      <c r="I56" s="707">
        <v>90000</v>
      </c>
      <c r="J56" s="711">
        <f t="shared" si="3"/>
        <v>90000</v>
      </c>
    </row>
    <row r="57" spans="1:10" ht="29.1" customHeight="1" outlineLevel="2">
      <c r="A57" s="708" t="s">
        <v>229</v>
      </c>
      <c r="B57" s="705" t="s">
        <v>5</v>
      </c>
      <c r="C57" s="705" t="s">
        <v>2375</v>
      </c>
      <c r="D57" s="705" t="s">
        <v>2377</v>
      </c>
      <c r="E57" s="706" t="s">
        <v>2373</v>
      </c>
      <c r="F57" s="706" t="s">
        <v>2373</v>
      </c>
      <c r="G57" s="706" t="s">
        <v>2373</v>
      </c>
      <c r="H57" s="705">
        <v>1</v>
      </c>
      <c r="I57" s="707">
        <v>90000</v>
      </c>
      <c r="J57" s="711">
        <f t="shared" si="3"/>
        <v>90000</v>
      </c>
    </row>
    <row r="58" spans="1:10" ht="29.1" customHeight="1" outlineLevel="2">
      <c r="A58" s="708" t="s">
        <v>234</v>
      </c>
      <c r="B58" s="705" t="s">
        <v>5</v>
      </c>
      <c r="C58" s="705" t="s">
        <v>2372</v>
      </c>
      <c r="D58" s="705" t="s">
        <v>2377</v>
      </c>
      <c r="E58" s="706" t="s">
        <v>2373</v>
      </c>
      <c r="F58" s="706" t="s">
        <v>2373</v>
      </c>
      <c r="G58" s="706" t="s">
        <v>2373</v>
      </c>
      <c r="H58" s="705">
        <v>1</v>
      </c>
      <c r="I58" s="707">
        <v>90000</v>
      </c>
      <c r="J58" s="711">
        <f t="shared" si="3"/>
        <v>90000</v>
      </c>
    </row>
    <row r="59" spans="1:10" ht="29.1" customHeight="1" outlineLevel="2">
      <c r="A59" s="708" t="s">
        <v>231</v>
      </c>
      <c r="B59" s="705" t="s">
        <v>5</v>
      </c>
      <c r="C59" s="705" t="s">
        <v>2372</v>
      </c>
      <c r="D59" s="705" t="s">
        <v>2377</v>
      </c>
      <c r="E59" s="706" t="s">
        <v>2373</v>
      </c>
      <c r="F59" s="706" t="s">
        <v>2373</v>
      </c>
      <c r="G59" s="706" t="s">
        <v>2373</v>
      </c>
      <c r="H59" s="705">
        <v>1</v>
      </c>
      <c r="I59" s="707">
        <v>90000</v>
      </c>
      <c r="J59" s="711">
        <f t="shared" si="3"/>
        <v>90000</v>
      </c>
    </row>
    <row r="60" spans="1:10" ht="29.1" customHeight="1" outlineLevel="2">
      <c r="A60" s="233" t="s">
        <v>227</v>
      </c>
      <c r="B60" s="234" t="s">
        <v>5</v>
      </c>
      <c r="C60" s="234" t="s">
        <v>464</v>
      </c>
      <c r="D60" s="234" t="s">
        <v>1247</v>
      </c>
      <c r="E60" s="233" t="s">
        <v>1254</v>
      </c>
      <c r="F60" s="233" t="s">
        <v>1254</v>
      </c>
      <c r="G60" s="235" t="s">
        <v>1255</v>
      </c>
      <c r="H60" s="234">
        <v>1</v>
      </c>
      <c r="I60" s="236">
        <v>500000</v>
      </c>
      <c r="J60" s="236">
        <v>500000</v>
      </c>
    </row>
    <row r="61" spans="1:10" ht="29.1" customHeight="1" outlineLevel="2">
      <c r="A61" s="233" t="s">
        <v>228</v>
      </c>
      <c r="B61" s="234" t="s">
        <v>5</v>
      </c>
      <c r="C61" s="234" t="s">
        <v>464</v>
      </c>
      <c r="D61" s="234" t="s">
        <v>1247</v>
      </c>
      <c r="E61" s="233" t="s">
        <v>1254</v>
      </c>
      <c r="F61" s="233" t="s">
        <v>1254</v>
      </c>
      <c r="G61" s="235" t="s">
        <v>1255</v>
      </c>
      <c r="H61" s="234">
        <v>1</v>
      </c>
      <c r="I61" s="236">
        <v>500000</v>
      </c>
      <c r="J61" s="236">
        <v>500000</v>
      </c>
    </row>
    <row r="62" spans="1:10" ht="29.1" customHeight="1" outlineLevel="2">
      <c r="A62" s="233" t="s">
        <v>229</v>
      </c>
      <c r="B62" s="234" t="s">
        <v>5</v>
      </c>
      <c r="C62" s="234" t="s">
        <v>464</v>
      </c>
      <c r="D62" s="234" t="s">
        <v>1247</v>
      </c>
      <c r="E62" s="233" t="s">
        <v>1254</v>
      </c>
      <c r="F62" s="233" t="s">
        <v>1254</v>
      </c>
      <c r="G62" s="235" t="s">
        <v>1255</v>
      </c>
      <c r="H62" s="234">
        <v>1</v>
      </c>
      <c r="I62" s="236">
        <v>500000</v>
      </c>
      <c r="J62" s="236">
        <v>500000</v>
      </c>
    </row>
    <row r="63" spans="1:10" ht="29.1" customHeight="1" outlineLevel="2">
      <c r="A63" s="233" t="s">
        <v>230</v>
      </c>
      <c r="B63" s="234" t="s">
        <v>5</v>
      </c>
      <c r="C63" s="234" t="s">
        <v>958</v>
      </c>
      <c r="D63" s="234" t="s">
        <v>1247</v>
      </c>
      <c r="E63" s="233" t="s">
        <v>1254</v>
      </c>
      <c r="F63" s="233" t="s">
        <v>1254</v>
      </c>
      <c r="G63" s="235" t="s">
        <v>1255</v>
      </c>
      <c r="H63" s="234">
        <v>1</v>
      </c>
      <c r="I63" s="236">
        <v>500000</v>
      </c>
      <c r="J63" s="236">
        <v>500000</v>
      </c>
    </row>
    <row r="64" spans="1:10" ht="29.1" customHeight="1" outlineLevel="2">
      <c r="A64" s="233" t="s">
        <v>235</v>
      </c>
      <c r="B64" s="234" t="s">
        <v>5</v>
      </c>
      <c r="C64" s="234" t="s">
        <v>958</v>
      </c>
      <c r="D64" s="234" t="s">
        <v>1247</v>
      </c>
      <c r="E64" s="233" t="s">
        <v>1254</v>
      </c>
      <c r="F64" s="233" t="s">
        <v>1254</v>
      </c>
      <c r="G64" s="235" t="s">
        <v>1255</v>
      </c>
      <c r="H64" s="234">
        <v>1</v>
      </c>
      <c r="I64" s="236">
        <v>500000</v>
      </c>
      <c r="J64" s="236">
        <v>500000</v>
      </c>
    </row>
    <row r="65" spans="1:10" ht="29.1" customHeight="1" outlineLevel="2">
      <c r="A65" s="233" t="s">
        <v>229</v>
      </c>
      <c r="B65" s="234" t="s">
        <v>5</v>
      </c>
      <c r="C65" s="234" t="s">
        <v>464</v>
      </c>
      <c r="D65" s="234" t="s">
        <v>1247</v>
      </c>
      <c r="E65" s="248" t="s">
        <v>1271</v>
      </c>
      <c r="F65" s="248" t="s">
        <v>1272</v>
      </c>
      <c r="G65" s="248" t="s">
        <v>1273</v>
      </c>
      <c r="H65" s="250">
        <v>1</v>
      </c>
      <c r="I65" s="251">
        <v>200000</v>
      </c>
      <c r="J65" s="712">
        <f t="shared" ref="J65:J67" si="4">I65*H65</f>
        <v>200000</v>
      </c>
    </row>
    <row r="66" spans="1:10" ht="29.1" customHeight="1" outlineLevel="2">
      <c r="A66" s="233" t="s">
        <v>228</v>
      </c>
      <c r="B66" s="234" t="s">
        <v>5</v>
      </c>
      <c r="C66" s="234" t="s">
        <v>464</v>
      </c>
      <c r="D66" s="234" t="s">
        <v>1247</v>
      </c>
      <c r="E66" s="248" t="s">
        <v>1271</v>
      </c>
      <c r="F66" s="248" t="s">
        <v>1272</v>
      </c>
      <c r="G66" s="248" t="s">
        <v>1273</v>
      </c>
      <c r="H66" s="250">
        <v>1</v>
      </c>
      <c r="I66" s="251">
        <v>200000</v>
      </c>
      <c r="J66" s="712">
        <f t="shared" si="4"/>
        <v>200000</v>
      </c>
    </row>
    <row r="67" spans="1:10" ht="29.1" customHeight="1" outlineLevel="2">
      <c r="A67" s="233" t="s">
        <v>231</v>
      </c>
      <c r="B67" s="234" t="s">
        <v>5</v>
      </c>
      <c r="C67" s="234" t="s">
        <v>463</v>
      </c>
      <c r="D67" s="234" t="s">
        <v>1247</v>
      </c>
      <c r="E67" s="248" t="s">
        <v>1271</v>
      </c>
      <c r="F67" s="248" t="s">
        <v>1272</v>
      </c>
      <c r="G67" s="248" t="s">
        <v>1273</v>
      </c>
      <c r="H67" s="250">
        <v>1</v>
      </c>
      <c r="I67" s="251">
        <v>200000</v>
      </c>
      <c r="J67" s="712">
        <f t="shared" si="4"/>
        <v>200000</v>
      </c>
    </row>
    <row r="68" spans="1:10" ht="29.1" customHeight="1" outlineLevel="1">
      <c r="A68" s="237"/>
      <c r="B68" s="238" t="s">
        <v>257</v>
      </c>
      <c r="C68" s="239"/>
      <c r="D68" s="239"/>
      <c r="E68" s="249"/>
      <c r="F68" s="249"/>
      <c r="G68" s="249"/>
      <c r="H68" s="252"/>
      <c r="I68" s="253"/>
      <c r="J68" s="713">
        <f>SUBTOTAL(9,J45:J67)</f>
        <v>5280000</v>
      </c>
    </row>
    <row r="69" spans="1:10" ht="29.1" customHeight="1" outlineLevel="2">
      <c r="A69" s="229" t="s">
        <v>1274</v>
      </c>
      <c r="B69" s="230" t="s">
        <v>4</v>
      </c>
      <c r="C69" s="230" t="s">
        <v>464</v>
      </c>
      <c r="D69" s="230" t="s">
        <v>1247</v>
      </c>
      <c r="E69" s="231" t="s">
        <v>1251</v>
      </c>
      <c r="F69" s="231" t="s">
        <v>1275</v>
      </c>
      <c r="G69" s="231" t="s">
        <v>1275</v>
      </c>
      <c r="H69" s="230">
        <v>1</v>
      </c>
      <c r="I69" s="232">
        <v>350000</v>
      </c>
      <c r="J69" s="704">
        <f t="shared" ref="J69:J82" si="5">I69*H69</f>
        <v>350000</v>
      </c>
    </row>
    <row r="70" spans="1:10" ht="29.1" customHeight="1" outlineLevel="2">
      <c r="A70" s="229" t="s">
        <v>1274</v>
      </c>
      <c r="B70" s="230" t="s">
        <v>4</v>
      </c>
      <c r="C70" s="230" t="s">
        <v>464</v>
      </c>
      <c r="D70" s="230" t="s">
        <v>1247</v>
      </c>
      <c r="E70" s="231" t="s">
        <v>1251</v>
      </c>
      <c r="F70" s="231" t="s">
        <v>1276</v>
      </c>
      <c r="G70" s="231" t="s">
        <v>1276</v>
      </c>
      <c r="H70" s="230">
        <v>1</v>
      </c>
      <c r="I70" s="232">
        <v>350000</v>
      </c>
      <c r="J70" s="704">
        <f t="shared" si="5"/>
        <v>350000</v>
      </c>
    </row>
    <row r="71" spans="1:10" ht="29.1" customHeight="1" outlineLevel="2">
      <c r="A71" s="229" t="s">
        <v>1274</v>
      </c>
      <c r="B71" s="230" t="s">
        <v>4</v>
      </c>
      <c r="C71" s="230" t="s">
        <v>464</v>
      </c>
      <c r="D71" s="230" t="s">
        <v>1247</v>
      </c>
      <c r="E71" s="231" t="s">
        <v>1251</v>
      </c>
      <c r="F71" s="231" t="s">
        <v>1277</v>
      </c>
      <c r="G71" s="231" t="s">
        <v>1277</v>
      </c>
      <c r="H71" s="230">
        <v>1</v>
      </c>
      <c r="I71" s="232">
        <v>300000</v>
      </c>
      <c r="J71" s="704">
        <f t="shared" si="5"/>
        <v>300000</v>
      </c>
    </row>
    <row r="72" spans="1:10" ht="29.1" customHeight="1" outlineLevel="2">
      <c r="A72" s="229" t="s">
        <v>1274</v>
      </c>
      <c r="B72" s="230" t="s">
        <v>4</v>
      </c>
      <c r="C72" s="230" t="s">
        <v>464</v>
      </c>
      <c r="D72" s="230" t="s">
        <v>1247</v>
      </c>
      <c r="E72" s="231" t="s">
        <v>1251</v>
      </c>
      <c r="F72" s="231" t="s">
        <v>1252</v>
      </c>
      <c r="G72" s="231" t="s">
        <v>1253</v>
      </c>
      <c r="H72" s="230">
        <v>1</v>
      </c>
      <c r="I72" s="232">
        <v>300000</v>
      </c>
      <c r="J72" s="704">
        <f t="shared" si="5"/>
        <v>300000</v>
      </c>
    </row>
    <row r="73" spans="1:10" ht="29.1" customHeight="1" outlineLevel="2">
      <c r="A73" s="708" t="s">
        <v>240</v>
      </c>
      <c r="B73" s="705" t="s">
        <v>4</v>
      </c>
      <c r="C73" s="705" t="s">
        <v>2372</v>
      </c>
      <c r="D73" s="705" t="s">
        <v>2374</v>
      </c>
      <c r="E73" s="706" t="s">
        <v>2373</v>
      </c>
      <c r="F73" s="706" t="s">
        <v>2373</v>
      </c>
      <c r="G73" s="706" t="s">
        <v>2373</v>
      </c>
      <c r="H73" s="705">
        <v>1</v>
      </c>
      <c r="I73" s="707">
        <v>70000</v>
      </c>
      <c r="J73" s="707">
        <f t="shared" si="5"/>
        <v>70000</v>
      </c>
    </row>
    <row r="74" spans="1:10" ht="29.1" customHeight="1" outlineLevel="2">
      <c r="A74" s="708" t="s">
        <v>242</v>
      </c>
      <c r="B74" s="705" t="s">
        <v>4</v>
      </c>
      <c r="C74" s="705" t="s">
        <v>2372</v>
      </c>
      <c r="D74" s="705" t="s">
        <v>2374</v>
      </c>
      <c r="E74" s="706" t="s">
        <v>2373</v>
      </c>
      <c r="F74" s="706" t="s">
        <v>2373</v>
      </c>
      <c r="G74" s="706" t="s">
        <v>2373</v>
      </c>
      <c r="H74" s="705">
        <v>1</v>
      </c>
      <c r="I74" s="707">
        <v>70000</v>
      </c>
      <c r="J74" s="707">
        <f t="shared" si="5"/>
        <v>70000</v>
      </c>
    </row>
    <row r="75" spans="1:10" ht="29.1" customHeight="1" outlineLevel="2">
      <c r="A75" s="708" t="s">
        <v>236</v>
      </c>
      <c r="B75" s="705" t="s">
        <v>4</v>
      </c>
      <c r="C75" s="705" t="s">
        <v>2375</v>
      </c>
      <c r="D75" s="705" t="s">
        <v>2374</v>
      </c>
      <c r="E75" s="706" t="s">
        <v>2373</v>
      </c>
      <c r="F75" s="706" t="s">
        <v>2373</v>
      </c>
      <c r="G75" s="706" t="s">
        <v>2373</v>
      </c>
      <c r="H75" s="705">
        <v>1</v>
      </c>
      <c r="I75" s="707">
        <v>90000</v>
      </c>
      <c r="J75" s="707">
        <f t="shared" si="5"/>
        <v>90000</v>
      </c>
    </row>
    <row r="76" spans="1:10" ht="29.1" customHeight="1" outlineLevel="2">
      <c r="A76" s="708" t="s">
        <v>238</v>
      </c>
      <c r="B76" s="705" t="s">
        <v>4</v>
      </c>
      <c r="C76" s="705" t="s">
        <v>2375</v>
      </c>
      <c r="D76" s="705" t="s">
        <v>2374</v>
      </c>
      <c r="E76" s="706" t="s">
        <v>2373</v>
      </c>
      <c r="F76" s="706" t="s">
        <v>2373</v>
      </c>
      <c r="G76" s="706" t="s">
        <v>2373</v>
      </c>
      <c r="H76" s="705">
        <v>1</v>
      </c>
      <c r="I76" s="707">
        <v>90000</v>
      </c>
      <c r="J76" s="707">
        <f t="shared" si="5"/>
        <v>90000</v>
      </c>
    </row>
    <row r="77" spans="1:10" ht="29.1" customHeight="1" outlineLevel="2">
      <c r="A77" s="708" t="s">
        <v>239</v>
      </c>
      <c r="B77" s="705" t="s">
        <v>4</v>
      </c>
      <c r="C77" s="705" t="s">
        <v>2375</v>
      </c>
      <c r="D77" s="705" t="s">
        <v>2374</v>
      </c>
      <c r="E77" s="706" t="s">
        <v>2373</v>
      </c>
      <c r="F77" s="706" t="s">
        <v>2373</v>
      </c>
      <c r="G77" s="706" t="s">
        <v>2373</v>
      </c>
      <c r="H77" s="705">
        <v>1</v>
      </c>
      <c r="I77" s="707">
        <v>90000</v>
      </c>
      <c r="J77" s="707">
        <f t="shared" si="5"/>
        <v>90000</v>
      </c>
    </row>
    <row r="78" spans="1:10" ht="29.1" customHeight="1" outlineLevel="2">
      <c r="A78" s="708" t="s">
        <v>265</v>
      </c>
      <c r="B78" s="705" t="s">
        <v>4</v>
      </c>
      <c r="C78" s="705" t="s">
        <v>2371</v>
      </c>
      <c r="D78" s="705" t="s">
        <v>2374</v>
      </c>
      <c r="E78" s="706" t="s">
        <v>2373</v>
      </c>
      <c r="F78" s="706" t="s">
        <v>2373</v>
      </c>
      <c r="G78" s="706" t="s">
        <v>2373</v>
      </c>
      <c r="H78" s="705">
        <v>1</v>
      </c>
      <c r="I78" s="707">
        <v>105000</v>
      </c>
      <c r="J78" s="707">
        <f t="shared" si="5"/>
        <v>105000</v>
      </c>
    </row>
    <row r="79" spans="1:10" ht="29.1" customHeight="1" outlineLevel="2">
      <c r="A79" s="708" t="s">
        <v>747</v>
      </c>
      <c r="B79" s="705" t="s">
        <v>4</v>
      </c>
      <c r="C79" s="705" t="s">
        <v>2372</v>
      </c>
      <c r="D79" s="705" t="s">
        <v>2374</v>
      </c>
      <c r="E79" s="706" t="s">
        <v>2373</v>
      </c>
      <c r="F79" s="706" t="s">
        <v>2373</v>
      </c>
      <c r="G79" s="706" t="s">
        <v>2373</v>
      </c>
      <c r="H79" s="705">
        <v>1</v>
      </c>
      <c r="I79" s="707">
        <v>105000</v>
      </c>
      <c r="J79" s="707">
        <f t="shared" si="5"/>
        <v>105000</v>
      </c>
    </row>
    <row r="80" spans="1:10" ht="29.1" customHeight="1" outlineLevel="2">
      <c r="A80" s="708" t="s">
        <v>243</v>
      </c>
      <c r="B80" s="705" t="s">
        <v>4</v>
      </c>
      <c r="C80" s="705" t="s">
        <v>2372</v>
      </c>
      <c r="D80" s="705" t="s">
        <v>2374</v>
      </c>
      <c r="E80" s="706" t="s">
        <v>2373</v>
      </c>
      <c r="F80" s="706" t="s">
        <v>2373</v>
      </c>
      <c r="G80" s="706" t="s">
        <v>2373</v>
      </c>
      <c r="H80" s="705">
        <v>1</v>
      </c>
      <c r="I80" s="707">
        <v>105000</v>
      </c>
      <c r="J80" s="707">
        <f t="shared" si="5"/>
        <v>105000</v>
      </c>
    </row>
    <row r="81" spans="1:10" ht="29.1" customHeight="1" outlineLevel="2">
      <c r="A81" s="708" t="s">
        <v>237</v>
      </c>
      <c r="B81" s="705" t="s">
        <v>4</v>
      </c>
      <c r="C81" s="705" t="s">
        <v>2375</v>
      </c>
      <c r="D81" s="705" t="s">
        <v>2374</v>
      </c>
      <c r="E81" s="706" t="s">
        <v>2373</v>
      </c>
      <c r="F81" s="706" t="s">
        <v>2373</v>
      </c>
      <c r="G81" s="706" t="s">
        <v>2373</v>
      </c>
      <c r="H81" s="705">
        <v>1</v>
      </c>
      <c r="I81" s="707">
        <v>105000</v>
      </c>
      <c r="J81" s="707">
        <f t="shared" si="5"/>
        <v>105000</v>
      </c>
    </row>
    <row r="82" spans="1:10" ht="29.1" customHeight="1" outlineLevel="2">
      <c r="A82" s="708" t="s">
        <v>241</v>
      </c>
      <c r="B82" s="705" t="s">
        <v>4</v>
      </c>
      <c r="C82" s="705" t="s">
        <v>2372</v>
      </c>
      <c r="D82" s="705" t="s">
        <v>2374</v>
      </c>
      <c r="E82" s="706" t="s">
        <v>2373</v>
      </c>
      <c r="F82" s="706" t="s">
        <v>2373</v>
      </c>
      <c r="G82" s="706" t="s">
        <v>2373</v>
      </c>
      <c r="H82" s="705">
        <v>1</v>
      </c>
      <c r="I82" s="707">
        <v>105000</v>
      </c>
      <c r="J82" s="707">
        <f t="shared" si="5"/>
        <v>105000</v>
      </c>
    </row>
    <row r="83" spans="1:10" ht="29.1" customHeight="1" outlineLevel="2">
      <c r="A83" s="233" t="s">
        <v>236</v>
      </c>
      <c r="B83" s="234" t="s">
        <v>4</v>
      </c>
      <c r="C83" s="234" t="s">
        <v>464</v>
      </c>
      <c r="D83" s="234" t="s">
        <v>1247</v>
      </c>
      <c r="E83" s="233" t="s">
        <v>1254</v>
      </c>
      <c r="F83" s="233" t="s">
        <v>1254</v>
      </c>
      <c r="G83" s="235" t="s">
        <v>1255</v>
      </c>
      <c r="H83" s="234">
        <v>1</v>
      </c>
      <c r="I83" s="236">
        <v>500000</v>
      </c>
      <c r="J83" s="236">
        <v>500000</v>
      </c>
    </row>
    <row r="84" spans="1:10" ht="29.1" customHeight="1" outlineLevel="2">
      <c r="A84" s="233" t="s">
        <v>237</v>
      </c>
      <c r="B84" s="234" t="s">
        <v>4</v>
      </c>
      <c r="C84" s="234" t="s">
        <v>464</v>
      </c>
      <c r="D84" s="234" t="s">
        <v>1247</v>
      </c>
      <c r="E84" s="233" t="s">
        <v>1254</v>
      </c>
      <c r="F84" s="233" t="s">
        <v>1254</v>
      </c>
      <c r="G84" s="235" t="s">
        <v>1255</v>
      </c>
      <c r="H84" s="234">
        <v>1</v>
      </c>
      <c r="I84" s="236">
        <v>500000</v>
      </c>
      <c r="J84" s="236">
        <v>500000</v>
      </c>
    </row>
    <row r="85" spans="1:10" ht="29.1" customHeight="1" outlineLevel="2">
      <c r="A85" s="233" t="s">
        <v>238</v>
      </c>
      <c r="B85" s="234" t="s">
        <v>4</v>
      </c>
      <c r="C85" s="234" t="s">
        <v>464</v>
      </c>
      <c r="D85" s="234" t="s">
        <v>1247</v>
      </c>
      <c r="E85" s="233" t="s">
        <v>1254</v>
      </c>
      <c r="F85" s="233" t="s">
        <v>1254</v>
      </c>
      <c r="G85" s="235" t="s">
        <v>1255</v>
      </c>
      <c r="H85" s="234">
        <v>1</v>
      </c>
      <c r="I85" s="236">
        <v>500000</v>
      </c>
      <c r="J85" s="236">
        <v>500000</v>
      </c>
    </row>
    <row r="86" spans="1:10" ht="29.1" customHeight="1" outlineLevel="2">
      <c r="A86" s="233" t="s">
        <v>239</v>
      </c>
      <c r="B86" s="234" t="s">
        <v>4</v>
      </c>
      <c r="C86" s="234" t="s">
        <v>464</v>
      </c>
      <c r="D86" s="234" t="s">
        <v>1247</v>
      </c>
      <c r="E86" s="233" t="s">
        <v>1254</v>
      </c>
      <c r="F86" s="233" t="s">
        <v>1254</v>
      </c>
      <c r="G86" s="235" t="s">
        <v>1255</v>
      </c>
      <c r="H86" s="234">
        <v>1</v>
      </c>
      <c r="I86" s="236">
        <v>500000</v>
      </c>
      <c r="J86" s="236">
        <v>500000</v>
      </c>
    </row>
    <row r="87" spans="1:10" ht="29.1" customHeight="1" outlineLevel="2">
      <c r="A87" s="233" t="s">
        <v>265</v>
      </c>
      <c r="B87" s="234" t="s">
        <v>4</v>
      </c>
      <c r="C87" s="234" t="s">
        <v>958</v>
      </c>
      <c r="D87" s="234" t="s">
        <v>1247</v>
      </c>
      <c r="E87" s="233" t="s">
        <v>1254</v>
      </c>
      <c r="F87" s="233" t="s">
        <v>1254</v>
      </c>
      <c r="G87" s="235" t="s">
        <v>1255</v>
      </c>
      <c r="H87" s="234">
        <v>1</v>
      </c>
      <c r="I87" s="236">
        <v>500000</v>
      </c>
      <c r="J87" s="236">
        <v>500000</v>
      </c>
    </row>
    <row r="88" spans="1:10" ht="29.1" customHeight="1" outlineLevel="2">
      <c r="A88" s="248" t="s">
        <v>236</v>
      </c>
      <c r="B88" s="234" t="s">
        <v>4</v>
      </c>
      <c r="C88" s="234" t="s">
        <v>464</v>
      </c>
      <c r="D88" s="234" t="s">
        <v>1247</v>
      </c>
      <c r="E88" s="248" t="s">
        <v>1271</v>
      </c>
      <c r="F88" s="248" t="s">
        <v>1272</v>
      </c>
      <c r="G88" s="248" t="s">
        <v>1273</v>
      </c>
      <c r="H88" s="250">
        <v>1</v>
      </c>
      <c r="I88" s="251">
        <v>200000</v>
      </c>
      <c r="J88" s="712">
        <f>I88*H88</f>
        <v>200000</v>
      </c>
    </row>
    <row r="89" spans="1:10" ht="29.1" customHeight="1" outlineLevel="2">
      <c r="A89" s="248" t="s">
        <v>242</v>
      </c>
      <c r="B89" s="234" t="s">
        <v>4</v>
      </c>
      <c r="C89" s="234" t="s">
        <v>463</v>
      </c>
      <c r="D89" s="234" t="s">
        <v>1247</v>
      </c>
      <c r="E89" s="248" t="s">
        <v>1271</v>
      </c>
      <c r="F89" s="248" t="s">
        <v>1272</v>
      </c>
      <c r="G89" s="248" t="s">
        <v>1273</v>
      </c>
      <c r="H89" s="250">
        <v>1</v>
      </c>
      <c r="I89" s="251">
        <v>200000</v>
      </c>
      <c r="J89" s="712">
        <f>I89*H89</f>
        <v>200000</v>
      </c>
    </row>
    <row r="90" spans="1:10" ht="29.1" customHeight="1" outlineLevel="1">
      <c r="A90" s="237"/>
      <c r="B90" s="238" t="s">
        <v>256</v>
      </c>
      <c r="C90" s="239"/>
      <c r="D90" s="239"/>
      <c r="E90" s="254"/>
      <c r="F90" s="254"/>
      <c r="G90" s="254"/>
      <c r="H90" s="239"/>
      <c r="I90" s="241"/>
      <c r="J90" s="241">
        <f>SUBTOTAL(9,J69:J89)</f>
        <v>5135000</v>
      </c>
    </row>
    <row r="91" spans="1:10" ht="29.1" customHeight="1" outlineLevel="2">
      <c r="A91" s="229" t="s">
        <v>1278</v>
      </c>
      <c r="B91" s="230" t="s">
        <v>2</v>
      </c>
      <c r="C91" s="230" t="s">
        <v>464</v>
      </c>
      <c r="D91" s="230" t="s">
        <v>1247</v>
      </c>
      <c r="E91" s="231" t="s">
        <v>1251</v>
      </c>
      <c r="F91" s="231" t="s">
        <v>1279</v>
      </c>
      <c r="G91" s="231" t="s">
        <v>1280</v>
      </c>
      <c r="H91" s="230">
        <v>1</v>
      </c>
      <c r="I91" s="232">
        <v>99000</v>
      </c>
      <c r="J91" s="704">
        <v>99000</v>
      </c>
    </row>
    <row r="92" spans="1:10" ht="29.1" customHeight="1" outlineLevel="2">
      <c r="A92" s="229" t="s">
        <v>1278</v>
      </c>
      <c r="B92" s="230" t="s">
        <v>2</v>
      </c>
      <c r="C92" s="230" t="s">
        <v>464</v>
      </c>
      <c r="D92" s="230" t="s">
        <v>1247</v>
      </c>
      <c r="E92" s="231" t="s">
        <v>1251</v>
      </c>
      <c r="F92" s="231" t="s">
        <v>1281</v>
      </c>
      <c r="G92" s="231" t="s">
        <v>1282</v>
      </c>
      <c r="H92" s="230">
        <v>1</v>
      </c>
      <c r="I92" s="232">
        <v>100000</v>
      </c>
      <c r="J92" s="704">
        <v>100000</v>
      </c>
    </row>
    <row r="93" spans="1:10" ht="29.1" customHeight="1" outlineLevel="2">
      <c r="A93" s="229" t="s">
        <v>1278</v>
      </c>
      <c r="B93" s="230" t="s">
        <v>2</v>
      </c>
      <c r="C93" s="230" t="s">
        <v>464</v>
      </c>
      <c r="D93" s="230" t="s">
        <v>1247</v>
      </c>
      <c r="E93" s="231" t="s">
        <v>1251</v>
      </c>
      <c r="F93" s="231" t="s">
        <v>1283</v>
      </c>
      <c r="G93" s="231" t="s">
        <v>1284</v>
      </c>
      <c r="H93" s="230">
        <v>1</v>
      </c>
      <c r="I93" s="232">
        <v>100000</v>
      </c>
      <c r="J93" s="704">
        <v>100000</v>
      </c>
    </row>
    <row r="94" spans="1:10" ht="29.1" customHeight="1" outlineLevel="2">
      <c r="A94" s="229" t="s">
        <v>1278</v>
      </c>
      <c r="B94" s="230" t="s">
        <v>2</v>
      </c>
      <c r="C94" s="230" t="s">
        <v>464</v>
      </c>
      <c r="D94" s="230" t="s">
        <v>1247</v>
      </c>
      <c r="E94" s="231" t="s">
        <v>1251</v>
      </c>
      <c r="F94" s="231" t="s">
        <v>1285</v>
      </c>
      <c r="G94" s="231" t="s">
        <v>1286</v>
      </c>
      <c r="H94" s="230">
        <v>1</v>
      </c>
      <c r="I94" s="232">
        <v>50000</v>
      </c>
      <c r="J94" s="704">
        <v>50000</v>
      </c>
    </row>
    <row r="95" spans="1:10" ht="29.1" customHeight="1" outlineLevel="2">
      <c r="A95" s="229" t="s">
        <v>1278</v>
      </c>
      <c r="B95" s="230" t="s">
        <v>2</v>
      </c>
      <c r="C95" s="230" t="s">
        <v>464</v>
      </c>
      <c r="D95" s="230" t="s">
        <v>1247</v>
      </c>
      <c r="E95" s="231" t="s">
        <v>1251</v>
      </c>
      <c r="F95" s="231" t="s">
        <v>1287</v>
      </c>
      <c r="G95" s="231" t="s">
        <v>1288</v>
      </c>
      <c r="H95" s="230">
        <v>1</v>
      </c>
      <c r="I95" s="232">
        <v>76000</v>
      </c>
      <c r="J95" s="704">
        <v>76000</v>
      </c>
    </row>
    <row r="96" spans="1:10" ht="29.1" customHeight="1" outlineLevel="2">
      <c r="A96" s="229" t="s">
        <v>1278</v>
      </c>
      <c r="B96" s="230" t="s">
        <v>2</v>
      </c>
      <c r="C96" s="230" t="s">
        <v>464</v>
      </c>
      <c r="D96" s="230" t="s">
        <v>1247</v>
      </c>
      <c r="E96" s="231" t="s">
        <v>1251</v>
      </c>
      <c r="F96" s="231" t="s">
        <v>1289</v>
      </c>
      <c r="G96" s="231" t="s">
        <v>1290</v>
      </c>
      <c r="H96" s="230">
        <v>1</v>
      </c>
      <c r="I96" s="232">
        <v>75000</v>
      </c>
      <c r="J96" s="704">
        <v>75000</v>
      </c>
    </row>
    <row r="97" spans="1:10" ht="29.1" customHeight="1" outlineLevel="2">
      <c r="A97" s="229" t="s">
        <v>1278</v>
      </c>
      <c r="B97" s="230" t="s">
        <v>2</v>
      </c>
      <c r="C97" s="230" t="s">
        <v>464</v>
      </c>
      <c r="D97" s="230" t="s">
        <v>1247</v>
      </c>
      <c r="E97" s="231" t="s">
        <v>1251</v>
      </c>
      <c r="F97" s="231" t="s">
        <v>1252</v>
      </c>
      <c r="G97" s="231" t="s">
        <v>1253</v>
      </c>
      <c r="H97" s="230">
        <v>1</v>
      </c>
      <c r="I97" s="232">
        <v>300000</v>
      </c>
      <c r="J97" s="704">
        <v>300000</v>
      </c>
    </row>
    <row r="98" spans="1:10" ht="29.1" customHeight="1" outlineLevel="2">
      <c r="A98" s="708" t="s">
        <v>244</v>
      </c>
      <c r="B98" s="705" t="s">
        <v>2</v>
      </c>
      <c r="C98" s="705" t="s">
        <v>2371</v>
      </c>
      <c r="D98" s="705" t="s">
        <v>2377</v>
      </c>
      <c r="E98" s="706" t="s">
        <v>2373</v>
      </c>
      <c r="F98" s="706" t="s">
        <v>2373</v>
      </c>
      <c r="G98" s="706" t="s">
        <v>2373</v>
      </c>
      <c r="H98" s="705">
        <v>1</v>
      </c>
      <c r="I98" s="707">
        <v>90000</v>
      </c>
      <c r="J98" s="707">
        <f>H98*I98</f>
        <v>90000</v>
      </c>
    </row>
    <row r="99" spans="1:10" ht="29.1" customHeight="1" outlineLevel="2">
      <c r="A99" s="248" t="s">
        <v>244</v>
      </c>
      <c r="B99" s="234" t="s">
        <v>2</v>
      </c>
      <c r="C99" s="234" t="s">
        <v>958</v>
      </c>
      <c r="D99" s="234" t="s">
        <v>1247</v>
      </c>
      <c r="E99" s="233" t="s">
        <v>1254</v>
      </c>
      <c r="F99" s="233" t="s">
        <v>1254</v>
      </c>
      <c r="G99" s="235" t="s">
        <v>1255</v>
      </c>
      <c r="H99" s="234">
        <v>1</v>
      </c>
      <c r="I99" s="236">
        <v>500000</v>
      </c>
      <c r="J99" s="236">
        <v>500000</v>
      </c>
    </row>
    <row r="100" spans="1:10" ht="29.1" customHeight="1" outlineLevel="1">
      <c r="A100" s="249"/>
      <c r="B100" s="238" t="s">
        <v>254</v>
      </c>
      <c r="C100" s="239"/>
      <c r="D100" s="239"/>
      <c r="E100" s="237"/>
      <c r="F100" s="237"/>
      <c r="G100" s="240"/>
      <c r="H100" s="239"/>
      <c r="I100" s="241"/>
      <c r="J100" s="241">
        <f>SUBTOTAL(9,J91:J99)</f>
        <v>1390000</v>
      </c>
    </row>
    <row r="101" spans="1:10" ht="29.1" customHeight="1" outlineLevel="2">
      <c r="A101" s="708" t="s">
        <v>165</v>
      </c>
      <c r="B101" s="705" t="s">
        <v>2376</v>
      </c>
      <c r="C101" s="705" t="s">
        <v>2372</v>
      </c>
      <c r="D101" s="705" t="s">
        <v>2374</v>
      </c>
      <c r="E101" s="706" t="s">
        <v>2373</v>
      </c>
      <c r="F101" s="706" t="s">
        <v>2373</v>
      </c>
      <c r="G101" s="706" t="s">
        <v>2373</v>
      </c>
      <c r="H101" s="705">
        <v>1</v>
      </c>
      <c r="I101" s="707">
        <v>90000</v>
      </c>
      <c r="J101" s="707">
        <f>H101*I101</f>
        <v>90000</v>
      </c>
    </row>
    <row r="102" spans="1:10" ht="29.1" customHeight="1" outlineLevel="2">
      <c r="A102" s="229" t="s">
        <v>1291</v>
      </c>
      <c r="B102" s="230" t="s">
        <v>3</v>
      </c>
      <c r="C102" s="230" t="s">
        <v>464</v>
      </c>
      <c r="D102" s="230" t="s">
        <v>1247</v>
      </c>
      <c r="E102" s="231" t="s">
        <v>1251</v>
      </c>
      <c r="F102" s="231" t="s">
        <v>1252</v>
      </c>
      <c r="G102" s="231" t="s">
        <v>1253</v>
      </c>
      <c r="H102" s="230">
        <v>1</v>
      </c>
      <c r="I102" s="703">
        <v>300000</v>
      </c>
      <c r="J102" s="704">
        <v>300000</v>
      </c>
    </row>
    <row r="103" spans="1:10" ht="29.1" customHeight="1" outlineLevel="2">
      <c r="A103" s="229" t="s">
        <v>1291</v>
      </c>
      <c r="B103" s="230" t="s">
        <v>3</v>
      </c>
      <c r="C103" s="230" t="s">
        <v>464</v>
      </c>
      <c r="D103" s="230" t="s">
        <v>1247</v>
      </c>
      <c r="E103" s="231" t="s">
        <v>1251</v>
      </c>
      <c r="F103" s="231" t="s">
        <v>1292</v>
      </c>
      <c r="G103" s="231" t="s">
        <v>1293</v>
      </c>
      <c r="H103" s="230">
        <v>1</v>
      </c>
      <c r="I103" s="232">
        <v>100000</v>
      </c>
      <c r="J103" s="704">
        <v>100000</v>
      </c>
    </row>
    <row r="104" spans="1:10" ht="29.1" customHeight="1" outlineLevel="2">
      <c r="A104" s="229" t="s">
        <v>1291</v>
      </c>
      <c r="B104" s="230" t="s">
        <v>3</v>
      </c>
      <c r="C104" s="230" t="s">
        <v>464</v>
      </c>
      <c r="D104" s="230" t="s">
        <v>1247</v>
      </c>
      <c r="E104" s="231" t="s">
        <v>1251</v>
      </c>
      <c r="F104" s="231" t="s">
        <v>1294</v>
      </c>
      <c r="G104" s="231" t="s">
        <v>1295</v>
      </c>
      <c r="H104" s="230">
        <v>1</v>
      </c>
      <c r="I104" s="232">
        <v>100000</v>
      </c>
      <c r="J104" s="704">
        <v>100000</v>
      </c>
    </row>
    <row r="105" spans="1:10" ht="29.1" customHeight="1" outlineLevel="2">
      <c r="A105" s="229" t="s">
        <v>1291</v>
      </c>
      <c r="B105" s="230" t="s">
        <v>3</v>
      </c>
      <c r="C105" s="230" t="s">
        <v>464</v>
      </c>
      <c r="D105" s="230" t="s">
        <v>1247</v>
      </c>
      <c r="E105" s="231" t="s">
        <v>1251</v>
      </c>
      <c r="F105" s="231" t="s">
        <v>1296</v>
      </c>
      <c r="G105" s="231" t="s">
        <v>1297</v>
      </c>
      <c r="H105" s="230">
        <v>1</v>
      </c>
      <c r="I105" s="232">
        <v>150000</v>
      </c>
      <c r="J105" s="704">
        <v>150000</v>
      </c>
    </row>
    <row r="106" spans="1:10" ht="29.1" customHeight="1" outlineLevel="2">
      <c r="A106" s="229" t="s">
        <v>1291</v>
      </c>
      <c r="B106" s="230" t="s">
        <v>3</v>
      </c>
      <c r="C106" s="230" t="s">
        <v>464</v>
      </c>
      <c r="D106" s="230" t="s">
        <v>1247</v>
      </c>
      <c r="E106" s="231" t="s">
        <v>1251</v>
      </c>
      <c r="F106" s="231" t="s">
        <v>1298</v>
      </c>
      <c r="G106" s="231" t="s">
        <v>1299</v>
      </c>
      <c r="H106" s="230">
        <v>1</v>
      </c>
      <c r="I106" s="232">
        <v>150000</v>
      </c>
      <c r="J106" s="704">
        <v>150000</v>
      </c>
    </row>
    <row r="107" spans="1:10" ht="29.1" customHeight="1" outlineLevel="1">
      <c r="A107" s="237"/>
      <c r="B107" s="238" t="s">
        <v>255</v>
      </c>
      <c r="C107" s="239"/>
      <c r="D107" s="239"/>
      <c r="E107" s="254"/>
      <c r="F107" s="254"/>
      <c r="G107" s="254"/>
      <c r="H107" s="239"/>
      <c r="I107" s="241"/>
      <c r="J107" s="241">
        <f>SUBTOTAL(9,J101:J106)</f>
        <v>890000</v>
      </c>
    </row>
    <row r="108" spans="1:10" ht="29.1" customHeight="1" outlineLevel="2">
      <c r="A108" s="229" t="s">
        <v>1300</v>
      </c>
      <c r="B108" s="230" t="s">
        <v>9</v>
      </c>
      <c r="C108" s="230" t="s">
        <v>464</v>
      </c>
      <c r="D108" s="230" t="s">
        <v>1247</v>
      </c>
      <c r="E108" s="231" t="s">
        <v>1251</v>
      </c>
      <c r="F108" s="231" t="s">
        <v>1252</v>
      </c>
      <c r="G108" s="231" t="s">
        <v>1253</v>
      </c>
      <c r="H108" s="230">
        <v>1</v>
      </c>
      <c r="I108" s="232">
        <v>1300000</v>
      </c>
      <c r="J108" s="704">
        <f>I108*H108</f>
        <v>1300000</v>
      </c>
    </row>
    <row r="109" spans="1:10" ht="29.1" customHeight="1" outlineLevel="2">
      <c r="A109" s="229" t="s">
        <v>1300</v>
      </c>
      <c r="B109" s="230" t="s">
        <v>9</v>
      </c>
      <c r="C109" s="230" t="s">
        <v>464</v>
      </c>
      <c r="D109" s="230" t="s">
        <v>1247</v>
      </c>
      <c r="E109" s="231" t="s">
        <v>1251</v>
      </c>
      <c r="F109" s="231" t="s">
        <v>1252</v>
      </c>
      <c r="G109" s="231" t="s">
        <v>1275</v>
      </c>
      <c r="H109" s="230">
        <v>1</v>
      </c>
      <c r="I109" s="232">
        <v>500000</v>
      </c>
      <c r="J109" s="704">
        <v>500000</v>
      </c>
    </row>
    <row r="110" spans="1:10" ht="29.1" customHeight="1" outlineLevel="2">
      <c r="A110" s="708" t="s">
        <v>251</v>
      </c>
      <c r="B110" s="705" t="s">
        <v>9</v>
      </c>
      <c r="C110" s="705" t="s">
        <v>2372</v>
      </c>
      <c r="D110" s="705" t="s">
        <v>2377</v>
      </c>
      <c r="E110" s="706" t="s">
        <v>2373</v>
      </c>
      <c r="F110" s="706" t="s">
        <v>2373</v>
      </c>
      <c r="G110" s="706" t="s">
        <v>2373</v>
      </c>
      <c r="H110" s="705">
        <v>1</v>
      </c>
      <c r="I110" s="707">
        <v>70000</v>
      </c>
      <c r="J110" s="707">
        <f t="shared" ref="J110:J117" si="6">H110*I110</f>
        <v>70000</v>
      </c>
    </row>
    <row r="111" spans="1:10" ht="29.1" customHeight="1" outlineLevel="2">
      <c r="A111" s="708" t="s">
        <v>246</v>
      </c>
      <c r="B111" s="705" t="s">
        <v>9</v>
      </c>
      <c r="C111" s="705" t="s">
        <v>2375</v>
      </c>
      <c r="D111" s="705" t="s">
        <v>2377</v>
      </c>
      <c r="E111" s="706" t="s">
        <v>2373</v>
      </c>
      <c r="F111" s="706" t="s">
        <v>2373</v>
      </c>
      <c r="G111" s="706" t="s">
        <v>2373</v>
      </c>
      <c r="H111" s="705">
        <v>1</v>
      </c>
      <c r="I111" s="707">
        <v>70000</v>
      </c>
      <c r="J111" s="707">
        <f t="shared" si="6"/>
        <v>70000</v>
      </c>
    </row>
    <row r="112" spans="1:10" ht="29.1" customHeight="1" outlineLevel="2">
      <c r="A112" s="708" t="s">
        <v>250</v>
      </c>
      <c r="B112" s="705" t="s">
        <v>9</v>
      </c>
      <c r="C112" s="705" t="s">
        <v>2372</v>
      </c>
      <c r="D112" s="705" t="s">
        <v>2377</v>
      </c>
      <c r="E112" s="706" t="s">
        <v>2373</v>
      </c>
      <c r="F112" s="706" t="s">
        <v>2373</v>
      </c>
      <c r="G112" s="706" t="s">
        <v>2373</v>
      </c>
      <c r="H112" s="705">
        <v>1</v>
      </c>
      <c r="I112" s="707">
        <v>90000</v>
      </c>
      <c r="J112" s="707">
        <f t="shared" si="6"/>
        <v>90000</v>
      </c>
    </row>
    <row r="113" spans="1:10" ht="29.1" customHeight="1" outlineLevel="2">
      <c r="A113" s="708" t="s">
        <v>725</v>
      </c>
      <c r="B113" s="705" t="s">
        <v>9</v>
      </c>
      <c r="C113" s="705" t="s">
        <v>2372</v>
      </c>
      <c r="D113" s="705" t="s">
        <v>2377</v>
      </c>
      <c r="E113" s="706" t="s">
        <v>2373</v>
      </c>
      <c r="F113" s="706" t="s">
        <v>2373</v>
      </c>
      <c r="G113" s="706" t="s">
        <v>2373</v>
      </c>
      <c r="H113" s="705">
        <v>1</v>
      </c>
      <c r="I113" s="707">
        <v>90000</v>
      </c>
      <c r="J113" s="707">
        <f t="shared" si="6"/>
        <v>90000</v>
      </c>
    </row>
    <row r="114" spans="1:10" ht="29.1" customHeight="1" outlineLevel="2">
      <c r="A114" s="708" t="s">
        <v>247</v>
      </c>
      <c r="B114" s="705" t="s">
        <v>9</v>
      </c>
      <c r="C114" s="705" t="s">
        <v>2375</v>
      </c>
      <c r="D114" s="705" t="s">
        <v>2377</v>
      </c>
      <c r="E114" s="706" t="s">
        <v>2373</v>
      </c>
      <c r="F114" s="706" t="s">
        <v>2373</v>
      </c>
      <c r="G114" s="706" t="s">
        <v>2373</v>
      </c>
      <c r="H114" s="705">
        <v>1</v>
      </c>
      <c r="I114" s="707">
        <v>90000</v>
      </c>
      <c r="J114" s="707">
        <f t="shared" si="6"/>
        <v>90000</v>
      </c>
    </row>
    <row r="115" spans="1:10" ht="29.1" customHeight="1" outlineLevel="2">
      <c r="A115" s="708" t="s">
        <v>245</v>
      </c>
      <c r="B115" s="705" t="s">
        <v>9</v>
      </c>
      <c r="C115" s="705" t="s">
        <v>2375</v>
      </c>
      <c r="D115" s="705" t="s">
        <v>2377</v>
      </c>
      <c r="E115" s="706" t="s">
        <v>2373</v>
      </c>
      <c r="F115" s="706" t="s">
        <v>2373</v>
      </c>
      <c r="G115" s="706" t="s">
        <v>2373</v>
      </c>
      <c r="H115" s="705">
        <v>1</v>
      </c>
      <c r="I115" s="707">
        <v>90000</v>
      </c>
      <c r="J115" s="707">
        <f t="shared" si="6"/>
        <v>90000</v>
      </c>
    </row>
    <row r="116" spans="1:10" ht="29.1" customHeight="1" outlineLevel="2">
      <c r="A116" s="708" t="s">
        <v>248</v>
      </c>
      <c r="B116" s="705" t="s">
        <v>9</v>
      </c>
      <c r="C116" s="705" t="s">
        <v>2371</v>
      </c>
      <c r="D116" s="705" t="s">
        <v>2377</v>
      </c>
      <c r="E116" s="706" t="s">
        <v>2373</v>
      </c>
      <c r="F116" s="706" t="s">
        <v>2373</v>
      </c>
      <c r="G116" s="706" t="s">
        <v>2373</v>
      </c>
      <c r="H116" s="705">
        <v>1</v>
      </c>
      <c r="I116" s="707">
        <v>90000</v>
      </c>
      <c r="J116" s="707">
        <f t="shared" si="6"/>
        <v>90000</v>
      </c>
    </row>
    <row r="117" spans="1:10" ht="29.1" customHeight="1" outlineLevel="2">
      <c r="A117" s="708" t="s">
        <v>249</v>
      </c>
      <c r="B117" s="705" t="s">
        <v>9</v>
      </c>
      <c r="C117" s="705" t="s">
        <v>2372</v>
      </c>
      <c r="D117" s="705" t="s">
        <v>2377</v>
      </c>
      <c r="E117" s="706" t="s">
        <v>2373</v>
      </c>
      <c r="F117" s="706" t="s">
        <v>2373</v>
      </c>
      <c r="G117" s="706" t="s">
        <v>2373</v>
      </c>
      <c r="H117" s="705">
        <v>1</v>
      </c>
      <c r="I117" s="707">
        <v>105000</v>
      </c>
      <c r="J117" s="707">
        <f t="shared" si="6"/>
        <v>105000</v>
      </c>
    </row>
    <row r="118" spans="1:10" ht="29.1" customHeight="1" outlineLevel="2">
      <c r="A118" s="233" t="s">
        <v>246</v>
      </c>
      <c r="B118" s="234" t="s">
        <v>9</v>
      </c>
      <c r="C118" s="234" t="s">
        <v>464</v>
      </c>
      <c r="D118" s="234" t="s">
        <v>1247</v>
      </c>
      <c r="E118" s="233" t="s">
        <v>1254</v>
      </c>
      <c r="F118" s="233" t="s">
        <v>1254</v>
      </c>
      <c r="G118" s="235" t="s">
        <v>1255</v>
      </c>
      <c r="H118" s="234">
        <v>1</v>
      </c>
      <c r="I118" s="236">
        <v>500000</v>
      </c>
      <c r="J118" s="236">
        <v>500000</v>
      </c>
    </row>
    <row r="119" spans="1:10" ht="29.1" customHeight="1" outlineLevel="2">
      <c r="A119" s="233" t="s">
        <v>245</v>
      </c>
      <c r="B119" s="234" t="s">
        <v>9</v>
      </c>
      <c r="C119" s="234" t="s">
        <v>464</v>
      </c>
      <c r="D119" s="234" t="s">
        <v>1247</v>
      </c>
      <c r="E119" s="233" t="s">
        <v>1254</v>
      </c>
      <c r="F119" s="233" t="s">
        <v>1254</v>
      </c>
      <c r="G119" s="235" t="s">
        <v>1255</v>
      </c>
      <c r="H119" s="234">
        <v>1</v>
      </c>
      <c r="I119" s="236">
        <v>500000</v>
      </c>
      <c r="J119" s="236">
        <v>500000</v>
      </c>
    </row>
    <row r="120" spans="1:10" ht="29.1" customHeight="1" outlineLevel="2">
      <c r="A120" s="233" t="s">
        <v>247</v>
      </c>
      <c r="B120" s="234" t="s">
        <v>9</v>
      </c>
      <c r="C120" s="234" t="s">
        <v>464</v>
      </c>
      <c r="D120" s="234" t="s">
        <v>1247</v>
      </c>
      <c r="E120" s="233" t="s">
        <v>1254</v>
      </c>
      <c r="F120" s="233" t="s">
        <v>1254</v>
      </c>
      <c r="G120" s="235" t="s">
        <v>1255</v>
      </c>
      <c r="H120" s="234">
        <v>1</v>
      </c>
      <c r="I120" s="236">
        <v>500000</v>
      </c>
      <c r="J120" s="236">
        <v>500000</v>
      </c>
    </row>
    <row r="121" spans="1:10" ht="29.1" customHeight="1" outlineLevel="2">
      <c r="A121" s="233" t="s">
        <v>248</v>
      </c>
      <c r="B121" s="234" t="s">
        <v>9</v>
      </c>
      <c r="C121" s="234" t="s">
        <v>958</v>
      </c>
      <c r="D121" s="234" t="s">
        <v>1247</v>
      </c>
      <c r="E121" s="233" t="s">
        <v>1254</v>
      </c>
      <c r="F121" s="233" t="s">
        <v>1254</v>
      </c>
      <c r="G121" s="235" t="s">
        <v>1255</v>
      </c>
      <c r="H121" s="234">
        <v>1</v>
      </c>
      <c r="I121" s="236">
        <v>500000</v>
      </c>
      <c r="J121" s="236">
        <v>500000</v>
      </c>
    </row>
    <row r="122" spans="1:10" ht="29.1" customHeight="1" outlineLevel="2">
      <c r="A122" s="233" t="s">
        <v>250</v>
      </c>
      <c r="B122" s="234" t="s">
        <v>9</v>
      </c>
      <c r="C122" s="234" t="s">
        <v>463</v>
      </c>
      <c r="D122" s="234" t="s">
        <v>1247</v>
      </c>
      <c r="E122" s="233" t="s">
        <v>1271</v>
      </c>
      <c r="F122" s="233" t="s">
        <v>1272</v>
      </c>
      <c r="G122" s="235" t="s">
        <v>1273</v>
      </c>
      <c r="H122" s="234">
        <v>2</v>
      </c>
      <c r="I122" s="236">
        <v>200000</v>
      </c>
      <c r="J122" s="236">
        <v>200000</v>
      </c>
    </row>
    <row r="123" spans="1:10" ht="29.1" customHeight="1" outlineLevel="2">
      <c r="A123" s="233" t="s">
        <v>248</v>
      </c>
      <c r="B123" s="234" t="s">
        <v>9</v>
      </c>
      <c r="C123" s="234" t="s">
        <v>958</v>
      </c>
      <c r="D123" s="234" t="s">
        <v>1247</v>
      </c>
      <c r="E123" s="233" t="s">
        <v>1271</v>
      </c>
      <c r="F123" s="233" t="s">
        <v>1272</v>
      </c>
      <c r="G123" s="235" t="s">
        <v>1273</v>
      </c>
      <c r="H123" s="234">
        <v>3</v>
      </c>
      <c r="I123" s="236">
        <v>200000</v>
      </c>
      <c r="J123" s="236">
        <v>200000</v>
      </c>
    </row>
    <row r="124" spans="1:10" ht="29.1" customHeight="1" outlineLevel="2">
      <c r="A124" s="233" t="s">
        <v>251</v>
      </c>
      <c r="B124" s="234" t="s">
        <v>9</v>
      </c>
      <c r="C124" s="234" t="s">
        <v>463</v>
      </c>
      <c r="D124" s="234" t="s">
        <v>1247</v>
      </c>
      <c r="E124" s="233" t="s">
        <v>1271</v>
      </c>
      <c r="F124" s="233" t="s">
        <v>1272</v>
      </c>
      <c r="G124" s="235" t="s">
        <v>1273</v>
      </c>
      <c r="H124" s="234">
        <v>4</v>
      </c>
      <c r="I124" s="236">
        <v>200000</v>
      </c>
      <c r="J124" s="236">
        <v>200000</v>
      </c>
    </row>
    <row r="125" spans="1:10" ht="29.1" customHeight="1" outlineLevel="1">
      <c r="A125" s="237"/>
      <c r="B125" s="238" t="s">
        <v>261</v>
      </c>
      <c r="C125" s="239"/>
      <c r="D125" s="239"/>
      <c r="E125" s="237"/>
      <c r="F125" s="237"/>
      <c r="G125" s="240"/>
      <c r="H125" s="239"/>
      <c r="I125" s="241"/>
      <c r="J125" s="241">
        <f>SUBTOTAL(9,J108:J124)</f>
        <v>5095000</v>
      </c>
    </row>
    <row r="126" spans="1:10" ht="29.1" customHeight="1">
      <c r="A126" s="237"/>
      <c r="B126" s="238" t="s">
        <v>252</v>
      </c>
      <c r="C126" s="239"/>
      <c r="D126" s="239"/>
      <c r="E126" s="237"/>
      <c r="F126" s="237"/>
      <c r="G126" s="240"/>
      <c r="H126" s="239"/>
      <c r="I126" s="241"/>
      <c r="J126" s="241">
        <f>SUBTOTAL(9,J3:J124)</f>
        <v>29625000</v>
      </c>
    </row>
  </sheetData>
  <autoFilter ref="A2:L125"/>
  <mergeCells count="2">
    <mergeCell ref="A1:J1"/>
    <mergeCell ref="J45:J49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Footer>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workbookViewId="0">
      <selection sqref="A1:K1"/>
    </sheetView>
  </sheetViews>
  <sheetFormatPr defaultRowHeight="11.25"/>
  <cols>
    <col min="1" max="1" width="4.75" style="13" customWidth="1"/>
    <col min="2" max="2" width="28.75" style="1" customWidth="1"/>
    <col min="3" max="3" width="9" style="1"/>
    <col min="4" max="4" width="9" style="14"/>
    <col min="5" max="10" width="12.625" style="1" customWidth="1"/>
    <col min="11" max="16384" width="9" style="1"/>
  </cols>
  <sheetData>
    <row r="1" spans="1:11" ht="18" customHeight="1">
      <c r="A1" s="789" t="s">
        <v>827</v>
      </c>
      <c r="B1" s="790"/>
      <c r="C1" s="790"/>
      <c r="D1" s="790"/>
      <c r="E1" s="790"/>
      <c r="F1" s="790"/>
      <c r="G1" s="790"/>
      <c r="H1" s="790"/>
      <c r="I1" s="790"/>
      <c r="J1" s="790"/>
      <c r="K1" s="790"/>
    </row>
    <row r="2" spans="1:11" ht="15" customHeight="1">
      <c r="A2" s="791" t="s">
        <v>12</v>
      </c>
      <c r="B2" s="791" t="s">
        <v>13</v>
      </c>
      <c r="C2" s="791" t="s">
        <v>14</v>
      </c>
      <c r="D2" s="791" t="s">
        <v>15</v>
      </c>
      <c r="E2" s="33" t="s">
        <v>271</v>
      </c>
      <c r="F2" s="33" t="s">
        <v>264</v>
      </c>
      <c r="G2" s="33" t="s">
        <v>272</v>
      </c>
      <c r="H2" s="33" t="s">
        <v>273</v>
      </c>
      <c r="I2" s="33" t="s">
        <v>274</v>
      </c>
      <c r="J2" s="791" t="s">
        <v>17</v>
      </c>
      <c r="K2" s="791" t="s">
        <v>18</v>
      </c>
    </row>
    <row r="3" spans="1:11" ht="15" customHeight="1">
      <c r="A3" s="792"/>
      <c r="B3" s="792"/>
      <c r="C3" s="792"/>
      <c r="D3" s="792"/>
      <c r="E3" s="33" t="s">
        <v>460</v>
      </c>
      <c r="F3" s="33" t="s">
        <v>460</v>
      </c>
      <c r="G3" s="33" t="s">
        <v>460</v>
      </c>
      <c r="H3" s="33" t="s">
        <v>461</v>
      </c>
      <c r="I3" s="33" t="s">
        <v>462</v>
      </c>
      <c r="J3" s="792"/>
      <c r="K3" s="792"/>
    </row>
    <row r="4" spans="1:11" ht="15" customHeight="1">
      <c r="A4" s="35" t="s">
        <v>19</v>
      </c>
      <c r="B4" s="36" t="s">
        <v>20</v>
      </c>
      <c r="C4" s="36"/>
      <c r="D4" s="37" t="s">
        <v>21</v>
      </c>
      <c r="E4" s="38">
        <f>E5+E32+E37</f>
        <v>17619019.269999996</v>
      </c>
      <c r="F4" s="38">
        <f>F5+F32+F37</f>
        <v>9755894.75</v>
      </c>
      <c r="G4" s="38">
        <f>G5+G32+G37</f>
        <v>24250814.319999997</v>
      </c>
      <c r="H4" s="38">
        <f>H5+H32+H37</f>
        <v>2653451.42</v>
      </c>
      <c r="I4" s="38">
        <f>I5+I32+I37</f>
        <v>57531782.719999999</v>
      </c>
      <c r="J4" s="38">
        <f t="shared" ref="J4:J67" si="0">SUM(E4:I4)</f>
        <v>111810962.47999999</v>
      </c>
      <c r="K4" s="39"/>
    </row>
    <row r="5" spans="1:11" ht="15" customHeight="1">
      <c r="A5" s="35" t="s">
        <v>22</v>
      </c>
      <c r="B5" s="36" t="s">
        <v>0</v>
      </c>
      <c r="C5" s="36"/>
      <c r="D5" s="37" t="s">
        <v>21</v>
      </c>
      <c r="E5" s="38">
        <f>E6+E9+E13+E16+E21+E26+E28+E30+E31</f>
        <v>15094926.849999998</v>
      </c>
      <c r="F5" s="38">
        <f>F6+F9+F13+F16+F21+F26+F28+F30+F31</f>
        <v>8460670.2899999991</v>
      </c>
      <c r="G5" s="38">
        <f>G6+G9+G13+G16+G21+G26+G28+G30+G31</f>
        <v>20900510.849999998</v>
      </c>
      <c r="H5" s="38">
        <f>H6+H9+H13+H16+H21+H26+H28+H30+H31</f>
        <v>2281278.85</v>
      </c>
      <c r="I5" s="38">
        <f>I6+I9+I13+I16+I21+I26+I28+I30+I31</f>
        <v>47620767.850000001</v>
      </c>
      <c r="J5" s="38">
        <f t="shared" si="0"/>
        <v>94358154.689999998</v>
      </c>
      <c r="K5" s="39"/>
    </row>
    <row r="6" spans="1:11" ht="15" customHeight="1">
      <c r="A6" s="35" t="s">
        <v>23</v>
      </c>
      <c r="B6" s="36" t="s">
        <v>24</v>
      </c>
      <c r="C6" s="36"/>
      <c r="D6" s="37" t="s">
        <v>21</v>
      </c>
      <c r="E6" s="38">
        <f>E7+E8</f>
        <v>1957440</v>
      </c>
      <c r="F6" s="38">
        <f>F7+F8</f>
        <v>1103004</v>
      </c>
      <c r="G6" s="38">
        <f>G7+G8</f>
        <v>2887752</v>
      </c>
      <c r="H6" s="38">
        <f>H7+H8</f>
        <v>320544</v>
      </c>
      <c r="I6" s="38">
        <f>I7+I8</f>
        <v>6541143</v>
      </c>
      <c r="J6" s="38">
        <f t="shared" si="0"/>
        <v>12809883</v>
      </c>
      <c r="K6" s="39"/>
    </row>
    <row r="7" spans="1:11" ht="15" customHeight="1">
      <c r="A7" s="35" t="s">
        <v>25</v>
      </c>
      <c r="B7" s="36" t="s">
        <v>26</v>
      </c>
      <c r="C7" s="36" t="s">
        <v>27</v>
      </c>
      <c r="D7" s="37" t="s">
        <v>28</v>
      </c>
      <c r="E7" s="40">
        <v>1198320</v>
      </c>
      <c r="F7" s="40">
        <v>691680</v>
      </c>
      <c r="G7" s="40">
        <v>1686048</v>
      </c>
      <c r="H7" s="40">
        <v>158928</v>
      </c>
      <c r="I7" s="40">
        <v>3317756</v>
      </c>
      <c r="J7" s="38">
        <f t="shared" si="0"/>
        <v>7052732</v>
      </c>
      <c r="K7" s="41"/>
    </row>
    <row r="8" spans="1:11" ht="15" customHeight="1">
      <c r="A8" s="35" t="s">
        <v>29</v>
      </c>
      <c r="B8" s="36" t="s">
        <v>30</v>
      </c>
      <c r="C8" s="36" t="s">
        <v>27</v>
      </c>
      <c r="D8" s="37" t="s">
        <v>28</v>
      </c>
      <c r="E8" s="40">
        <v>759120</v>
      </c>
      <c r="F8" s="40">
        <v>411324</v>
      </c>
      <c r="G8" s="40">
        <v>1201704</v>
      </c>
      <c r="H8" s="40">
        <v>161616</v>
      </c>
      <c r="I8" s="40">
        <v>3223387</v>
      </c>
      <c r="J8" s="38">
        <f t="shared" si="0"/>
        <v>5757151</v>
      </c>
      <c r="K8" s="39"/>
    </row>
    <row r="9" spans="1:11" ht="15" customHeight="1">
      <c r="A9" s="35" t="s">
        <v>31</v>
      </c>
      <c r="B9" s="36" t="s">
        <v>32</v>
      </c>
      <c r="C9" s="36"/>
      <c r="D9" s="37" t="s">
        <v>21</v>
      </c>
      <c r="E9" s="38">
        <f>E10+E11</f>
        <v>256032</v>
      </c>
      <c r="F9" s="38">
        <f>F10+F11</f>
        <v>144084</v>
      </c>
      <c r="G9" s="38">
        <f>G10+G11</f>
        <v>347796</v>
      </c>
      <c r="H9" s="38">
        <f>H10+H11</f>
        <v>32196</v>
      </c>
      <c r="I9" s="38">
        <f>I10+I11</f>
        <v>670440</v>
      </c>
      <c r="J9" s="38">
        <f t="shared" si="0"/>
        <v>1450548</v>
      </c>
      <c r="K9" s="39"/>
    </row>
    <row r="10" spans="1:11" ht="15" customHeight="1">
      <c r="A10" s="35" t="s">
        <v>33</v>
      </c>
      <c r="B10" s="36" t="s">
        <v>34</v>
      </c>
      <c r="C10" s="36" t="s">
        <v>27</v>
      </c>
      <c r="D10" s="37" t="s">
        <v>28</v>
      </c>
      <c r="E10" s="40">
        <v>2592</v>
      </c>
      <c r="F10" s="40">
        <v>1524</v>
      </c>
      <c r="G10" s="40">
        <v>4596</v>
      </c>
      <c r="H10" s="40">
        <v>516</v>
      </c>
      <c r="I10" s="40">
        <v>21000</v>
      </c>
      <c r="J10" s="38">
        <f t="shared" si="0"/>
        <v>30228</v>
      </c>
      <c r="K10" s="39"/>
    </row>
    <row r="11" spans="1:11" ht="15" customHeight="1">
      <c r="A11" s="35" t="s">
        <v>35</v>
      </c>
      <c r="B11" s="36" t="s">
        <v>36</v>
      </c>
      <c r="C11" s="36"/>
      <c r="D11" s="37" t="s">
        <v>21</v>
      </c>
      <c r="E11" s="38">
        <f>E12</f>
        <v>253440</v>
      </c>
      <c r="F11" s="38">
        <f>F12</f>
        <v>142560</v>
      </c>
      <c r="G11" s="38">
        <f>G12</f>
        <v>343200</v>
      </c>
      <c r="H11" s="38">
        <f>H12</f>
        <v>31680</v>
      </c>
      <c r="I11" s="38">
        <f>I12</f>
        <v>649440</v>
      </c>
      <c r="J11" s="38">
        <f t="shared" si="0"/>
        <v>1420320</v>
      </c>
      <c r="K11" s="39"/>
    </row>
    <row r="12" spans="1:11" s="2" customFormat="1" ht="15" customHeight="1">
      <c r="A12" s="35" t="s">
        <v>37</v>
      </c>
      <c r="B12" s="42" t="s">
        <v>195</v>
      </c>
      <c r="C12" s="42" t="s">
        <v>27</v>
      </c>
      <c r="D12" s="39" t="s">
        <v>21</v>
      </c>
      <c r="E12" s="38">
        <f>440*12*E60</f>
        <v>253440</v>
      </c>
      <c r="F12" s="38">
        <f>440*12*F60</f>
        <v>142560</v>
      </c>
      <c r="G12" s="38">
        <f>440*12*G60</f>
        <v>343200</v>
      </c>
      <c r="H12" s="38">
        <f>440*12*H60</f>
        <v>31680</v>
      </c>
      <c r="I12" s="38">
        <f>440*12*I60</f>
        <v>649440</v>
      </c>
      <c r="J12" s="38">
        <f t="shared" si="0"/>
        <v>1420320</v>
      </c>
      <c r="K12" s="39"/>
    </row>
    <row r="13" spans="1:11" ht="15" customHeight="1">
      <c r="A13" s="35" t="s">
        <v>39</v>
      </c>
      <c r="B13" s="36" t="s">
        <v>40</v>
      </c>
      <c r="C13" s="36"/>
      <c r="D13" s="37" t="s">
        <v>41</v>
      </c>
      <c r="E13" s="38">
        <f>E14+E15</f>
        <v>100330.28</v>
      </c>
      <c r="F13" s="38">
        <f>F14+F15</f>
        <v>55719.42</v>
      </c>
      <c r="G13" s="38">
        <f>G14+G15</f>
        <v>140782.28</v>
      </c>
      <c r="H13" s="38">
        <f>H14+H15</f>
        <v>15586.28</v>
      </c>
      <c r="I13" s="38">
        <f>I14+I15</f>
        <v>315142.28000000003</v>
      </c>
      <c r="J13" s="38">
        <f t="shared" si="0"/>
        <v>627560.54</v>
      </c>
      <c r="K13" s="39"/>
    </row>
    <row r="14" spans="1:11" s="2" customFormat="1" ht="15" customHeight="1">
      <c r="A14" s="35" t="s">
        <v>42</v>
      </c>
      <c r="B14" s="42" t="s">
        <v>275</v>
      </c>
      <c r="C14" s="42" t="s">
        <v>27</v>
      </c>
      <c r="D14" s="39" t="s">
        <v>43</v>
      </c>
      <c r="E14" s="38">
        <f>ROUND(E30/0.07*0.005,2)</f>
        <v>50165.14</v>
      </c>
      <c r="F14" s="38">
        <f>ROUND(F30/0.07*0.005,2)</f>
        <v>27859.71</v>
      </c>
      <c r="G14" s="38">
        <f>ROUND(G30/0.07*0.005,2)</f>
        <v>70391.14</v>
      </c>
      <c r="H14" s="38">
        <f>ROUND(H30/0.07*0.005,2)</f>
        <v>7793.14</v>
      </c>
      <c r="I14" s="38">
        <f>ROUND(I30/0.07*0.005,2)</f>
        <v>157571.14000000001</v>
      </c>
      <c r="J14" s="38">
        <f t="shared" si="0"/>
        <v>313780.27</v>
      </c>
      <c r="K14" s="39"/>
    </row>
    <row r="15" spans="1:11" s="2" customFormat="1" ht="15" customHeight="1">
      <c r="A15" s="35" t="s">
        <v>44</v>
      </c>
      <c r="B15" s="42" t="s">
        <v>196</v>
      </c>
      <c r="C15" s="42" t="s">
        <v>27</v>
      </c>
      <c r="D15" s="39" t="s">
        <v>43</v>
      </c>
      <c r="E15" s="38">
        <f>ROUND(E30/0.07*0.005,2)</f>
        <v>50165.14</v>
      </c>
      <c r="F15" s="38">
        <f>ROUND(F30/0.07*0.005,2)</f>
        <v>27859.71</v>
      </c>
      <c r="G15" s="38">
        <f>ROUND(G30/0.07*0.005,2)</f>
        <v>70391.14</v>
      </c>
      <c r="H15" s="38">
        <f>ROUND(H30/0.07*0.005,2)</f>
        <v>7793.14</v>
      </c>
      <c r="I15" s="38">
        <f>ROUND(I30/0.07*0.005,2)</f>
        <v>157571.14000000001</v>
      </c>
      <c r="J15" s="38">
        <f t="shared" si="0"/>
        <v>313780.27</v>
      </c>
      <c r="K15" s="39"/>
    </row>
    <row r="16" spans="1:11" ht="15" customHeight="1">
      <c r="A16" s="35" t="s">
        <v>46</v>
      </c>
      <c r="B16" s="36" t="s">
        <v>47</v>
      </c>
      <c r="C16" s="36"/>
      <c r="D16" s="37" t="s">
        <v>21</v>
      </c>
      <c r="E16" s="38">
        <f>E17+E18+E19+E20</f>
        <v>8366592</v>
      </c>
      <c r="F16" s="38">
        <f>F17+F18+F19+F20</f>
        <v>4706208</v>
      </c>
      <c r="G16" s="38">
        <f>G17+G18+G19+G20</f>
        <v>11329760</v>
      </c>
      <c r="H16" s="38">
        <f>H17+H18+H19+H20</f>
        <v>1227156</v>
      </c>
      <c r="I16" s="38">
        <f>I17+I18+I19+I20</f>
        <v>26227782</v>
      </c>
      <c r="J16" s="38">
        <f t="shared" si="0"/>
        <v>51857498</v>
      </c>
      <c r="K16" s="39"/>
    </row>
    <row r="17" spans="1:11" ht="15" customHeight="1">
      <c r="A17" s="35" t="s">
        <v>48</v>
      </c>
      <c r="B17" s="43" t="s">
        <v>49</v>
      </c>
      <c r="C17" s="43" t="s">
        <v>27</v>
      </c>
      <c r="D17" s="44" t="s">
        <v>197</v>
      </c>
      <c r="E17" s="45">
        <v>7853488</v>
      </c>
      <c r="F17" s="45">
        <v>4544208</v>
      </c>
      <c r="G17" s="45">
        <v>10455216</v>
      </c>
      <c r="H17" s="45">
        <v>1191156</v>
      </c>
      <c r="I17" s="45">
        <v>23696676</v>
      </c>
      <c r="J17" s="38">
        <f t="shared" si="0"/>
        <v>47740744</v>
      </c>
      <c r="K17" s="44"/>
    </row>
    <row r="18" spans="1:11" ht="15" customHeight="1">
      <c r="A18" s="35" t="s">
        <v>51</v>
      </c>
      <c r="B18" s="43" t="s">
        <v>52</v>
      </c>
      <c r="C18" s="43" t="s">
        <v>27</v>
      </c>
      <c r="D18" s="44" t="s">
        <v>53</v>
      </c>
      <c r="E18" s="45">
        <v>225104</v>
      </c>
      <c r="F18" s="45"/>
      <c r="G18" s="45">
        <v>484544</v>
      </c>
      <c r="H18" s="45"/>
      <c r="I18" s="45">
        <v>563106</v>
      </c>
      <c r="J18" s="38">
        <f t="shared" si="0"/>
        <v>1272754</v>
      </c>
      <c r="K18" s="44"/>
    </row>
    <row r="19" spans="1:11" ht="15" customHeight="1">
      <c r="A19" s="35" t="s">
        <v>54</v>
      </c>
      <c r="B19" s="43" t="s">
        <v>198</v>
      </c>
      <c r="C19" s="43" t="s">
        <v>27</v>
      </c>
      <c r="D19" s="37" t="s">
        <v>21</v>
      </c>
      <c r="E19" s="46">
        <f>E60*500*12</f>
        <v>288000</v>
      </c>
      <c r="F19" s="46">
        <f>F60*500*12</f>
        <v>162000</v>
      </c>
      <c r="G19" s="46">
        <f>G60*500*12</f>
        <v>390000</v>
      </c>
      <c r="H19" s="46">
        <f>H60*500*12</f>
        <v>36000</v>
      </c>
      <c r="I19" s="46">
        <f>I60*500*12</f>
        <v>738000</v>
      </c>
      <c r="J19" s="38">
        <f t="shared" si="0"/>
        <v>1614000</v>
      </c>
      <c r="K19" s="44"/>
    </row>
    <row r="20" spans="1:11" ht="15" customHeight="1">
      <c r="A20" s="35" t="s">
        <v>56</v>
      </c>
      <c r="B20" s="43" t="s">
        <v>199</v>
      </c>
      <c r="C20" s="43" t="s">
        <v>27</v>
      </c>
      <c r="D20" s="37" t="s">
        <v>28</v>
      </c>
      <c r="E20" s="45"/>
      <c r="F20" s="45"/>
      <c r="G20" s="45"/>
      <c r="H20" s="45"/>
      <c r="I20" s="45">
        <v>1230000</v>
      </c>
      <c r="J20" s="38">
        <f t="shared" si="0"/>
        <v>1230000</v>
      </c>
      <c r="K20" s="44"/>
    </row>
    <row r="21" spans="1:11" ht="15" customHeight="1">
      <c r="A21" s="35" t="s">
        <v>58</v>
      </c>
      <c r="B21" s="36" t="s">
        <v>59</v>
      </c>
      <c r="C21" s="36"/>
      <c r="D21" s="44" t="s">
        <v>21</v>
      </c>
      <c r="E21" s="46">
        <f>E22+E23</f>
        <v>1304293.71</v>
      </c>
      <c r="F21" s="46">
        <f>F22+F23</f>
        <v>724352.58</v>
      </c>
      <c r="G21" s="46">
        <f>G22+G23</f>
        <v>1830169.71</v>
      </c>
      <c r="H21" s="46">
        <f>H22+H23</f>
        <v>202621.71000000002</v>
      </c>
      <c r="I21" s="46">
        <f>I22+I23</f>
        <v>4096849.71</v>
      </c>
      <c r="J21" s="38">
        <f t="shared" si="0"/>
        <v>8158287.4199999999</v>
      </c>
      <c r="K21" s="44"/>
    </row>
    <row r="22" spans="1:11" ht="15" customHeight="1">
      <c r="A22" s="35" t="s">
        <v>60</v>
      </c>
      <c r="B22" s="36" t="s">
        <v>276</v>
      </c>
      <c r="C22" s="36" t="s">
        <v>61</v>
      </c>
      <c r="D22" s="44" t="s">
        <v>21</v>
      </c>
      <c r="E22" s="46">
        <f>ROUND(E30/0.07*0.09,2)</f>
        <v>902972.57</v>
      </c>
      <c r="F22" s="46">
        <f>ROUND(F30/0.07*0.09,2)</f>
        <v>501474.86</v>
      </c>
      <c r="G22" s="46">
        <f>ROUND(G30/0.07*0.09,2)</f>
        <v>1267040.57</v>
      </c>
      <c r="H22" s="46">
        <f>ROUND(H30/0.07*0.09,2)</f>
        <v>140276.57</v>
      </c>
      <c r="I22" s="46">
        <f>ROUND(I30/0.07*0.09,2)</f>
        <v>2836280.57</v>
      </c>
      <c r="J22" s="38">
        <f t="shared" si="0"/>
        <v>5648045.1399999997</v>
      </c>
      <c r="K22" s="44"/>
    </row>
    <row r="23" spans="1:11" ht="15" customHeight="1">
      <c r="A23" s="35" t="s">
        <v>62</v>
      </c>
      <c r="B23" s="36" t="s">
        <v>200</v>
      </c>
      <c r="C23" s="36" t="s">
        <v>61</v>
      </c>
      <c r="D23" s="44" t="s">
        <v>43</v>
      </c>
      <c r="E23" s="46">
        <f>E24+E25</f>
        <v>401321.14</v>
      </c>
      <c r="F23" s="46">
        <f>F24+F25</f>
        <v>222877.72</v>
      </c>
      <c r="G23" s="46">
        <f>G24+G25</f>
        <v>563129.14</v>
      </c>
      <c r="H23" s="46">
        <f>H24+H25</f>
        <v>62345.14</v>
      </c>
      <c r="I23" s="46">
        <f>I24+I25</f>
        <v>1260569.1399999999</v>
      </c>
      <c r="J23" s="38">
        <f t="shared" si="0"/>
        <v>2510242.2799999998</v>
      </c>
      <c r="K23" s="44"/>
    </row>
    <row r="24" spans="1:11" ht="15" customHeight="1">
      <c r="A24" s="35" t="s">
        <v>64</v>
      </c>
      <c r="B24" s="36" t="s">
        <v>277</v>
      </c>
      <c r="C24" s="36" t="s">
        <v>61</v>
      </c>
      <c r="D24" s="44" t="s">
        <v>43</v>
      </c>
      <c r="E24" s="46">
        <f>ROUND(E30/0.07*0.02,2)</f>
        <v>200660.57</v>
      </c>
      <c r="F24" s="46">
        <f>ROUND(F30/0.07*0.02,2)</f>
        <v>111438.86</v>
      </c>
      <c r="G24" s="46">
        <f>ROUND(G30/0.07*0.02,2)</f>
        <v>281564.57</v>
      </c>
      <c r="H24" s="46">
        <f>ROUND(H30/0.07*0.02,2)</f>
        <v>31172.57</v>
      </c>
      <c r="I24" s="46">
        <f>ROUND(I30/0.07*0.02,2)</f>
        <v>630284.56999999995</v>
      </c>
      <c r="J24" s="38">
        <f t="shared" si="0"/>
        <v>1255121.1399999999</v>
      </c>
      <c r="K24" s="44"/>
    </row>
    <row r="25" spans="1:11" ht="15" customHeight="1">
      <c r="A25" s="35" t="s">
        <v>65</v>
      </c>
      <c r="B25" s="36" t="s">
        <v>278</v>
      </c>
      <c r="C25" s="36" t="s">
        <v>61</v>
      </c>
      <c r="D25" s="44" t="s">
        <v>43</v>
      </c>
      <c r="E25" s="46">
        <f>ROUND(E30/0.07*0.02,2)</f>
        <v>200660.57</v>
      </c>
      <c r="F25" s="46">
        <f>ROUND(F30/0.07*0.02,2)</f>
        <v>111438.86</v>
      </c>
      <c r="G25" s="46">
        <f>ROUND(G30/0.07*0.02,2)</f>
        <v>281564.57</v>
      </c>
      <c r="H25" s="46">
        <f>ROUND(H30/0.07*0.02,2)</f>
        <v>31172.57</v>
      </c>
      <c r="I25" s="46">
        <f>ROUND(I30/0.07*0.02,2)</f>
        <v>630284.56999999995</v>
      </c>
      <c r="J25" s="38">
        <f t="shared" si="0"/>
        <v>1255121.1399999999</v>
      </c>
      <c r="K25" s="44"/>
    </row>
    <row r="26" spans="1:11" ht="15" customHeight="1">
      <c r="A26" s="35" t="s">
        <v>66</v>
      </c>
      <c r="B26" s="36" t="s">
        <v>67</v>
      </c>
      <c r="C26" s="36"/>
      <c r="D26" s="37" t="s">
        <v>21</v>
      </c>
      <c r="E26" s="38">
        <f>E27</f>
        <v>1605284.57</v>
      </c>
      <c r="F26" s="38">
        <f>F27</f>
        <v>891510.86</v>
      </c>
      <c r="G26" s="38">
        <f>G27</f>
        <v>2252516.5699999998</v>
      </c>
      <c r="H26" s="38">
        <f>H27</f>
        <v>249380.57</v>
      </c>
      <c r="I26" s="38">
        <f>I27</f>
        <v>5042276.57</v>
      </c>
      <c r="J26" s="38">
        <f t="shared" si="0"/>
        <v>10040969.140000001</v>
      </c>
      <c r="K26" s="39"/>
    </row>
    <row r="27" spans="1:11" s="2" customFormat="1" ht="15" customHeight="1">
      <c r="A27" s="35" t="s">
        <v>68</v>
      </c>
      <c r="B27" s="42" t="s">
        <v>201</v>
      </c>
      <c r="C27" s="42" t="s">
        <v>70</v>
      </c>
      <c r="D27" s="39" t="s">
        <v>43</v>
      </c>
      <c r="E27" s="38">
        <f>ROUND(E30/0.07*0.16,2)</f>
        <v>1605284.57</v>
      </c>
      <c r="F27" s="38">
        <f>ROUND(F30/0.07*0.16,2)</f>
        <v>891510.86</v>
      </c>
      <c r="G27" s="38">
        <f>ROUND(G30/0.07*0.16,2)</f>
        <v>2252516.5699999998</v>
      </c>
      <c r="H27" s="38">
        <f>ROUND(H30/0.07*0.16,2)</f>
        <v>249380.57</v>
      </c>
      <c r="I27" s="38">
        <f>ROUND(I30/0.07*0.16,2)</f>
        <v>5042276.57</v>
      </c>
      <c r="J27" s="38">
        <f t="shared" si="0"/>
        <v>10040969.140000001</v>
      </c>
      <c r="K27" s="39"/>
    </row>
    <row r="28" spans="1:11" ht="15" customHeight="1">
      <c r="A28" s="35" t="s">
        <v>71</v>
      </c>
      <c r="B28" s="36" t="s">
        <v>72</v>
      </c>
      <c r="C28" s="36"/>
      <c r="D28" s="37" t="s">
        <v>21</v>
      </c>
      <c r="E28" s="38">
        <f>E29</f>
        <v>802642.29</v>
      </c>
      <c r="F28" s="38">
        <f>F29</f>
        <v>445755.43</v>
      </c>
      <c r="G28" s="38">
        <f>G29</f>
        <v>1126258.29</v>
      </c>
      <c r="H28" s="38">
        <f>H29</f>
        <v>124690.29</v>
      </c>
      <c r="I28" s="38">
        <f>I29</f>
        <v>2521138.29</v>
      </c>
      <c r="J28" s="38">
        <f t="shared" si="0"/>
        <v>5020484.59</v>
      </c>
      <c r="K28" s="39"/>
    </row>
    <row r="29" spans="1:11" s="2" customFormat="1" ht="15" customHeight="1">
      <c r="A29" s="35" t="s">
        <v>73</v>
      </c>
      <c r="B29" s="42" t="s">
        <v>74</v>
      </c>
      <c r="C29" s="42" t="s">
        <v>75</v>
      </c>
      <c r="D29" s="39" t="s">
        <v>43</v>
      </c>
      <c r="E29" s="38">
        <f>ROUND(E30/0.07*0.08,2)</f>
        <v>802642.29</v>
      </c>
      <c r="F29" s="38">
        <f>ROUND(F30/0.07*0.08,2)</f>
        <v>445755.43</v>
      </c>
      <c r="G29" s="38">
        <f>ROUND(G30/0.07*0.08,2)</f>
        <v>1126258.29</v>
      </c>
      <c r="H29" s="38">
        <f>ROUND(H30/0.07*0.08,2)</f>
        <v>124690.29</v>
      </c>
      <c r="I29" s="38">
        <f>ROUND(I30/0.07*0.08,2)</f>
        <v>2521138.29</v>
      </c>
      <c r="J29" s="38">
        <f t="shared" si="0"/>
        <v>5020484.59</v>
      </c>
      <c r="K29" s="39"/>
    </row>
    <row r="30" spans="1:11" ht="15" customHeight="1">
      <c r="A30" s="35" t="s">
        <v>76</v>
      </c>
      <c r="B30" s="36" t="s">
        <v>202</v>
      </c>
      <c r="C30" s="36" t="s">
        <v>78</v>
      </c>
      <c r="D30" s="37" t="s">
        <v>28</v>
      </c>
      <c r="E30" s="45">
        <v>702312</v>
      </c>
      <c r="F30" s="45">
        <v>390036</v>
      </c>
      <c r="G30" s="45">
        <v>985476</v>
      </c>
      <c r="H30" s="45">
        <v>109104</v>
      </c>
      <c r="I30" s="45">
        <v>2205996</v>
      </c>
      <c r="J30" s="38">
        <f t="shared" si="0"/>
        <v>4392924</v>
      </c>
      <c r="K30" s="44"/>
    </row>
    <row r="31" spans="1:11" ht="15" customHeight="1">
      <c r="A31" s="35" t="s">
        <v>80</v>
      </c>
      <c r="B31" s="36" t="s">
        <v>203</v>
      </c>
      <c r="C31" s="43" t="s">
        <v>27</v>
      </c>
      <c r="D31" s="39" t="s">
        <v>204</v>
      </c>
      <c r="E31" s="45">
        <v>0</v>
      </c>
      <c r="F31" s="45"/>
      <c r="G31" s="45"/>
      <c r="H31" s="45"/>
      <c r="I31" s="45"/>
      <c r="J31" s="38">
        <f t="shared" si="0"/>
        <v>0</v>
      </c>
      <c r="K31" s="44"/>
    </row>
    <row r="32" spans="1:11" ht="15" customHeight="1">
      <c r="A32" s="35" t="s">
        <v>83</v>
      </c>
      <c r="B32" s="36" t="s">
        <v>84</v>
      </c>
      <c r="C32" s="36"/>
      <c r="D32" s="37" t="s">
        <v>21</v>
      </c>
      <c r="E32" s="38">
        <f>E33+E35</f>
        <v>15540</v>
      </c>
      <c r="F32" s="38">
        <f>F33+F35</f>
        <v>1440</v>
      </c>
      <c r="G32" s="38">
        <f>G33+G35</f>
        <v>237240</v>
      </c>
      <c r="H32" s="38">
        <f>H33+H35</f>
        <v>55620</v>
      </c>
      <c r="I32" s="38">
        <f>I33+I35</f>
        <v>1753960</v>
      </c>
      <c r="J32" s="38">
        <f t="shared" si="0"/>
        <v>2063800</v>
      </c>
      <c r="K32" s="39"/>
    </row>
    <row r="33" spans="1:11" ht="15" customHeight="1">
      <c r="A33" s="35" t="s">
        <v>85</v>
      </c>
      <c r="B33" s="36" t="s">
        <v>205</v>
      </c>
      <c r="C33" s="36" t="s">
        <v>87</v>
      </c>
      <c r="D33" s="44" t="s">
        <v>206</v>
      </c>
      <c r="E33" s="46">
        <f>E34</f>
        <v>13020</v>
      </c>
      <c r="F33" s="46">
        <f>F34</f>
        <v>0</v>
      </c>
      <c r="G33" s="46">
        <f>G34</f>
        <v>233280</v>
      </c>
      <c r="H33" s="46">
        <f>H34</f>
        <v>55620</v>
      </c>
      <c r="I33" s="46">
        <f>I34</f>
        <v>1750000</v>
      </c>
      <c r="J33" s="38">
        <f t="shared" si="0"/>
        <v>2051920</v>
      </c>
      <c r="K33" s="44"/>
    </row>
    <row r="34" spans="1:11" ht="15" customHeight="1">
      <c r="A34" s="35" t="s">
        <v>89</v>
      </c>
      <c r="B34" s="36" t="s">
        <v>207</v>
      </c>
      <c r="C34" s="36" t="s">
        <v>87</v>
      </c>
      <c r="D34" s="44" t="s">
        <v>206</v>
      </c>
      <c r="E34" s="40">
        <v>13020</v>
      </c>
      <c r="F34" s="40"/>
      <c r="G34" s="40">
        <v>233280</v>
      </c>
      <c r="H34" s="40">
        <v>55620</v>
      </c>
      <c r="I34" s="40">
        <v>1750000</v>
      </c>
      <c r="J34" s="38">
        <f t="shared" si="0"/>
        <v>2051920</v>
      </c>
      <c r="K34" s="39"/>
    </row>
    <row r="35" spans="1:11" ht="15" customHeight="1">
      <c r="A35" s="35" t="s">
        <v>91</v>
      </c>
      <c r="B35" s="36" t="s">
        <v>92</v>
      </c>
      <c r="C35" s="36"/>
      <c r="D35" s="37" t="s">
        <v>21</v>
      </c>
      <c r="E35" s="38">
        <f>E36</f>
        <v>2520</v>
      </c>
      <c r="F35" s="38">
        <f>F36</f>
        <v>1440</v>
      </c>
      <c r="G35" s="38">
        <f>G36</f>
        <v>3960</v>
      </c>
      <c r="H35" s="38">
        <f>H36</f>
        <v>0</v>
      </c>
      <c r="I35" s="38">
        <f>I36</f>
        <v>3960</v>
      </c>
      <c r="J35" s="38">
        <f t="shared" si="0"/>
        <v>11880</v>
      </c>
      <c r="K35" s="39"/>
    </row>
    <row r="36" spans="1:11" ht="15" customHeight="1">
      <c r="A36" s="35" t="s">
        <v>93</v>
      </c>
      <c r="B36" s="36" t="s">
        <v>94</v>
      </c>
      <c r="C36" s="36" t="s">
        <v>27</v>
      </c>
      <c r="D36" s="37" t="s">
        <v>28</v>
      </c>
      <c r="E36" s="40">
        <v>2520</v>
      </c>
      <c r="F36" s="40">
        <v>1440</v>
      </c>
      <c r="G36" s="40">
        <v>3960</v>
      </c>
      <c r="H36" s="40"/>
      <c r="I36" s="40">
        <v>3960</v>
      </c>
      <c r="J36" s="38">
        <f t="shared" si="0"/>
        <v>11880</v>
      </c>
      <c r="K36" s="39"/>
    </row>
    <row r="37" spans="1:11" ht="15" customHeight="1">
      <c r="A37" s="35" t="s">
        <v>95</v>
      </c>
      <c r="B37" s="36" t="s">
        <v>98</v>
      </c>
      <c r="C37" s="36"/>
      <c r="D37" s="37" t="s">
        <v>21</v>
      </c>
      <c r="E37" s="38">
        <f>E38+E40+E42+E44+E46+E49+E51+E53+E55+E57</f>
        <v>2508552.42</v>
      </c>
      <c r="F37" s="38">
        <f>F38+F40+F42+F44+F46+F49+F51+F53+F55+F57</f>
        <v>1293784.4600000002</v>
      </c>
      <c r="G37" s="38">
        <f>G38+G40+G42+G44+G46+G49+G51+G53+G55+G57</f>
        <v>3113063.4699999997</v>
      </c>
      <c r="H37" s="38">
        <f>H38+H40+H42+H44+H46+H49+H51+H53+H55+H57</f>
        <v>316552.57</v>
      </c>
      <c r="I37" s="38">
        <f>I38+I40+I42+I44+I46+I49+I51+I53+I55+I57</f>
        <v>8157054.8700000001</v>
      </c>
      <c r="J37" s="38">
        <f t="shared" si="0"/>
        <v>15389007.789999999</v>
      </c>
      <c r="K37" s="39"/>
    </row>
    <row r="38" spans="1:11" ht="15" customHeight="1">
      <c r="A38" s="35" t="s">
        <v>96</v>
      </c>
      <c r="B38" s="36" t="s">
        <v>100</v>
      </c>
      <c r="C38" s="36"/>
      <c r="D38" s="37" t="s">
        <v>101</v>
      </c>
      <c r="E38" s="40">
        <v>1910480</v>
      </c>
      <c r="F38" s="40">
        <v>858000</v>
      </c>
      <c r="G38" s="40">
        <v>2255000</v>
      </c>
      <c r="H38" s="40">
        <v>134400</v>
      </c>
      <c r="I38" s="40">
        <v>5913680</v>
      </c>
      <c r="J38" s="38">
        <f t="shared" si="0"/>
        <v>11071560</v>
      </c>
      <c r="K38" s="39"/>
    </row>
    <row r="39" spans="1:11" ht="15" customHeight="1">
      <c r="A39" s="35" t="s">
        <v>97</v>
      </c>
      <c r="B39" s="36" t="s">
        <v>208</v>
      </c>
      <c r="C39" s="36" t="s">
        <v>27</v>
      </c>
      <c r="D39" s="47" t="s">
        <v>209</v>
      </c>
      <c r="E39" s="40">
        <v>69498</v>
      </c>
      <c r="F39" s="40">
        <v>35178</v>
      </c>
      <c r="G39" s="40">
        <v>86204</v>
      </c>
      <c r="H39" s="40">
        <v>6720</v>
      </c>
      <c r="I39" s="40">
        <v>295684</v>
      </c>
      <c r="J39" s="38">
        <f t="shared" si="0"/>
        <v>493284</v>
      </c>
      <c r="K39" s="39"/>
    </row>
    <row r="40" spans="1:11" ht="15" customHeight="1">
      <c r="A40" s="35" t="s">
        <v>99</v>
      </c>
      <c r="B40" s="36" t="s">
        <v>107</v>
      </c>
      <c r="C40" s="36"/>
      <c r="D40" s="37"/>
      <c r="E40" s="38">
        <f>E41</f>
        <v>19200</v>
      </c>
      <c r="F40" s="38">
        <f>F41</f>
        <v>10800</v>
      </c>
      <c r="G40" s="38">
        <f>G41</f>
        <v>26000</v>
      </c>
      <c r="H40" s="38">
        <f>H41</f>
        <v>2400</v>
      </c>
      <c r="I40" s="38">
        <f>I41</f>
        <v>49200</v>
      </c>
      <c r="J40" s="38">
        <f t="shared" si="0"/>
        <v>107600</v>
      </c>
      <c r="K40" s="39"/>
    </row>
    <row r="41" spans="1:11" s="2" customFormat="1" ht="15" customHeight="1">
      <c r="A41" s="35" t="s">
        <v>102</v>
      </c>
      <c r="B41" s="42" t="s">
        <v>109</v>
      </c>
      <c r="C41" s="42" t="s">
        <v>27</v>
      </c>
      <c r="D41" s="48" t="s">
        <v>110</v>
      </c>
      <c r="E41" s="38">
        <f>E60*400</f>
        <v>19200</v>
      </c>
      <c r="F41" s="38">
        <f>F60*400</f>
        <v>10800</v>
      </c>
      <c r="G41" s="38">
        <f>G60*400</f>
        <v>26000</v>
      </c>
      <c r="H41" s="38">
        <f>H60*400</f>
        <v>2400</v>
      </c>
      <c r="I41" s="38">
        <f>I60*400</f>
        <v>49200</v>
      </c>
      <c r="J41" s="38">
        <f t="shared" si="0"/>
        <v>107600</v>
      </c>
      <c r="K41" s="39"/>
    </row>
    <row r="42" spans="1:11" ht="15" customHeight="1">
      <c r="A42" s="35" t="s">
        <v>106</v>
      </c>
      <c r="B42" s="36" t="s">
        <v>112</v>
      </c>
      <c r="C42" s="36"/>
      <c r="D42" s="37" t="s">
        <v>21</v>
      </c>
      <c r="E42" s="38">
        <f>E43</f>
        <v>102155.85</v>
      </c>
      <c r="F42" s="38">
        <f>F43</f>
        <v>133521.60000000001</v>
      </c>
      <c r="G42" s="38">
        <f>G43</f>
        <v>133698.9</v>
      </c>
      <c r="H42" s="38">
        <f>H43</f>
        <v>54900</v>
      </c>
      <c r="I42" s="38">
        <f>I43</f>
        <v>424758.30000000005</v>
      </c>
      <c r="J42" s="38">
        <f t="shared" si="0"/>
        <v>849034.65</v>
      </c>
      <c r="K42" s="39"/>
    </row>
    <row r="43" spans="1:11" s="2" customFormat="1" ht="15" customHeight="1">
      <c r="A43" s="35" t="s">
        <v>108</v>
      </c>
      <c r="B43" s="42" t="s">
        <v>114</v>
      </c>
      <c r="C43" s="42" t="s">
        <v>27</v>
      </c>
      <c r="D43" s="48" t="s">
        <v>115</v>
      </c>
      <c r="E43" s="38">
        <f>E71*15</f>
        <v>102155.85</v>
      </c>
      <c r="F43" s="38">
        <f>F71*15</f>
        <v>133521.60000000001</v>
      </c>
      <c r="G43" s="38">
        <f>G71*15</f>
        <v>133698.9</v>
      </c>
      <c r="H43" s="38">
        <f>H71*15</f>
        <v>54900</v>
      </c>
      <c r="I43" s="38">
        <f>I71*15</f>
        <v>424758.30000000005</v>
      </c>
      <c r="J43" s="38">
        <f t="shared" si="0"/>
        <v>849034.65</v>
      </c>
      <c r="K43" s="39"/>
    </row>
    <row r="44" spans="1:11" ht="15" customHeight="1">
      <c r="A44" s="35" t="s">
        <v>111</v>
      </c>
      <c r="B44" s="36" t="s">
        <v>117</v>
      </c>
      <c r="C44" s="36"/>
      <c r="D44" s="37" t="s">
        <v>21</v>
      </c>
      <c r="E44" s="38">
        <f>E45</f>
        <v>26976</v>
      </c>
      <c r="F44" s="38">
        <f>F45</f>
        <v>28984</v>
      </c>
      <c r="G44" s="38">
        <f>G45</f>
        <v>26120</v>
      </c>
      <c r="H44" s="38">
        <f>H45</f>
        <v>21600</v>
      </c>
      <c r="I44" s="38">
        <f>I45</f>
        <v>119152</v>
      </c>
      <c r="J44" s="38">
        <f t="shared" si="0"/>
        <v>222832</v>
      </c>
      <c r="K44" s="39"/>
    </row>
    <row r="45" spans="1:11" s="2" customFormat="1" ht="15" customHeight="1">
      <c r="A45" s="35" t="s">
        <v>113</v>
      </c>
      <c r="B45" s="42" t="s">
        <v>119</v>
      </c>
      <c r="C45" s="42" t="s">
        <v>27</v>
      </c>
      <c r="D45" s="48" t="s">
        <v>120</v>
      </c>
      <c r="E45" s="38">
        <f>E72*8</f>
        <v>26976</v>
      </c>
      <c r="F45" s="38">
        <f>F72*8</f>
        <v>28984</v>
      </c>
      <c r="G45" s="38">
        <f>G72*8</f>
        <v>26120</v>
      </c>
      <c r="H45" s="38">
        <f>H72*8</f>
        <v>21600</v>
      </c>
      <c r="I45" s="38">
        <f>I72*8</f>
        <v>119152</v>
      </c>
      <c r="J45" s="38">
        <f t="shared" si="0"/>
        <v>222832</v>
      </c>
      <c r="K45" s="39"/>
    </row>
    <row r="46" spans="1:11" ht="15" customHeight="1">
      <c r="A46" s="35" t="s">
        <v>116</v>
      </c>
      <c r="B46" s="36" t="s">
        <v>210</v>
      </c>
      <c r="C46" s="36"/>
      <c r="D46" s="37" t="s">
        <v>21</v>
      </c>
      <c r="E46" s="38">
        <f>E47+E48</f>
        <v>211680</v>
      </c>
      <c r="F46" s="38">
        <f>F47+F48</f>
        <v>116640</v>
      </c>
      <c r="G46" s="38">
        <f>G47+G48</f>
        <v>341280</v>
      </c>
      <c r="H46" s="38">
        <f>H47+H48</f>
        <v>38880</v>
      </c>
      <c r="I46" s="38">
        <f>I47+I48</f>
        <v>946080</v>
      </c>
      <c r="J46" s="38">
        <f t="shared" si="0"/>
        <v>1654560</v>
      </c>
      <c r="K46" s="39"/>
    </row>
    <row r="47" spans="1:11" s="2" customFormat="1" ht="15" customHeight="1">
      <c r="A47" s="35" t="s">
        <v>118</v>
      </c>
      <c r="B47" s="42" t="s">
        <v>211</v>
      </c>
      <c r="C47" s="42" t="s">
        <v>27</v>
      </c>
      <c r="D47" s="48" t="s">
        <v>124</v>
      </c>
      <c r="E47" s="38">
        <f>E60*4320</f>
        <v>207360</v>
      </c>
      <c r="F47" s="38">
        <f>F60*4320</f>
        <v>116640</v>
      </c>
      <c r="G47" s="38">
        <f>G60*4320</f>
        <v>280800</v>
      </c>
      <c r="H47" s="38">
        <f>H60*4320</f>
        <v>25920</v>
      </c>
      <c r="I47" s="38">
        <f>I60*4320</f>
        <v>531360</v>
      </c>
      <c r="J47" s="38">
        <f t="shared" si="0"/>
        <v>1162080</v>
      </c>
      <c r="K47" s="39"/>
    </row>
    <row r="48" spans="1:11" s="2" customFormat="1" ht="15" customHeight="1">
      <c r="A48" s="35" t="s">
        <v>121</v>
      </c>
      <c r="B48" s="42" t="s">
        <v>212</v>
      </c>
      <c r="C48" s="42" t="s">
        <v>27</v>
      </c>
      <c r="D48" s="48" t="s">
        <v>213</v>
      </c>
      <c r="E48" s="38">
        <f>E70*4320</f>
        <v>4320</v>
      </c>
      <c r="F48" s="38">
        <f>F70*4320</f>
        <v>0</v>
      </c>
      <c r="G48" s="38">
        <f>G70*4320</f>
        <v>60480</v>
      </c>
      <c r="H48" s="38">
        <f>H70*4320</f>
        <v>12960</v>
      </c>
      <c r="I48" s="38">
        <f>I70*4320</f>
        <v>414720</v>
      </c>
      <c r="J48" s="38">
        <f t="shared" si="0"/>
        <v>492480</v>
      </c>
      <c r="K48" s="39"/>
    </row>
    <row r="49" spans="1:11" ht="15" customHeight="1">
      <c r="A49" s="35" t="s">
        <v>123</v>
      </c>
      <c r="B49" s="36" t="s">
        <v>214</v>
      </c>
      <c r="C49" s="36"/>
      <c r="D49" s="37" t="s">
        <v>21</v>
      </c>
      <c r="E49" s="38">
        <f>E50</f>
        <v>200660.57</v>
      </c>
      <c r="F49" s="38">
        <f>F50</f>
        <v>111438.86</v>
      </c>
      <c r="G49" s="38">
        <f>G50</f>
        <v>281564.57</v>
      </c>
      <c r="H49" s="38">
        <f>H50</f>
        <v>31172.57</v>
      </c>
      <c r="I49" s="38">
        <f>I50</f>
        <v>630284.56999999995</v>
      </c>
      <c r="J49" s="38">
        <f t="shared" si="0"/>
        <v>1255121.1399999999</v>
      </c>
      <c r="K49" s="39"/>
    </row>
    <row r="50" spans="1:11" s="2" customFormat="1" ht="15" customHeight="1">
      <c r="A50" s="35" t="s">
        <v>125</v>
      </c>
      <c r="B50" s="42" t="s">
        <v>129</v>
      </c>
      <c r="C50" s="42" t="s">
        <v>27</v>
      </c>
      <c r="D50" s="39" t="s">
        <v>43</v>
      </c>
      <c r="E50" s="38">
        <f>ROUND(E30/0.07*0.02,2)</f>
        <v>200660.57</v>
      </c>
      <c r="F50" s="38">
        <f>ROUND(F30/0.07*0.02,2)</f>
        <v>111438.86</v>
      </c>
      <c r="G50" s="38">
        <f>ROUND(G30/0.07*0.02,2)</f>
        <v>281564.57</v>
      </c>
      <c r="H50" s="38">
        <f>ROUND(H30/0.07*0.02,2)</f>
        <v>31172.57</v>
      </c>
      <c r="I50" s="38">
        <f>ROUND(I30/0.07*0.02,2)</f>
        <v>630284.56999999995</v>
      </c>
      <c r="J50" s="38">
        <f t="shared" si="0"/>
        <v>1255121.1399999999</v>
      </c>
      <c r="K50" s="39"/>
    </row>
    <row r="51" spans="1:11" ht="15" customHeight="1">
      <c r="A51" s="35" t="s">
        <v>126</v>
      </c>
      <c r="B51" s="36" t="s">
        <v>215</v>
      </c>
      <c r="C51" s="36"/>
      <c r="D51" s="37" t="s">
        <v>21</v>
      </c>
      <c r="E51" s="38">
        <f>E52</f>
        <v>0</v>
      </c>
      <c r="F51" s="38">
        <f>F52</f>
        <v>0</v>
      </c>
      <c r="G51" s="38">
        <f>G52</f>
        <v>32000</v>
      </c>
      <c r="H51" s="38">
        <f>H52</f>
        <v>0</v>
      </c>
      <c r="I51" s="38">
        <f>I52</f>
        <v>32000</v>
      </c>
      <c r="J51" s="38">
        <f t="shared" si="0"/>
        <v>64000</v>
      </c>
      <c r="K51" s="39"/>
    </row>
    <row r="52" spans="1:11" ht="15" customHeight="1">
      <c r="A52" s="35" t="s">
        <v>128</v>
      </c>
      <c r="B52" s="36" t="s">
        <v>132</v>
      </c>
      <c r="C52" s="36" t="s">
        <v>27</v>
      </c>
      <c r="D52" s="47" t="s">
        <v>133</v>
      </c>
      <c r="E52" s="40"/>
      <c r="F52" s="40"/>
      <c r="G52" s="40">
        <v>32000</v>
      </c>
      <c r="H52" s="40"/>
      <c r="I52" s="40">
        <v>32000</v>
      </c>
      <c r="J52" s="38">
        <f t="shared" si="0"/>
        <v>64000</v>
      </c>
      <c r="K52" s="39"/>
    </row>
    <row r="53" spans="1:11" ht="15" customHeight="1">
      <c r="A53" s="35" t="s">
        <v>130</v>
      </c>
      <c r="B53" s="36" t="s">
        <v>279</v>
      </c>
      <c r="C53" s="36"/>
      <c r="D53" s="37" t="s">
        <v>21</v>
      </c>
      <c r="E53" s="38">
        <f>E54</f>
        <v>400</v>
      </c>
      <c r="F53" s="38">
        <f>F54</f>
        <v>0</v>
      </c>
      <c r="G53" s="38">
        <f>G54</f>
        <v>5600</v>
      </c>
      <c r="H53" s="38">
        <f>H54</f>
        <v>1200</v>
      </c>
      <c r="I53" s="38">
        <f>I54</f>
        <v>38400</v>
      </c>
      <c r="J53" s="38">
        <f t="shared" si="0"/>
        <v>45600</v>
      </c>
      <c r="K53" s="39"/>
    </row>
    <row r="54" spans="1:11" s="2" customFormat="1" ht="15" customHeight="1">
      <c r="A54" s="35" t="s">
        <v>131</v>
      </c>
      <c r="B54" s="42" t="s">
        <v>280</v>
      </c>
      <c r="C54" s="42" t="s">
        <v>27</v>
      </c>
      <c r="D54" s="48" t="s">
        <v>216</v>
      </c>
      <c r="E54" s="38">
        <f>E70*400</f>
        <v>400</v>
      </c>
      <c r="F54" s="38">
        <f>F70*400</f>
        <v>0</v>
      </c>
      <c r="G54" s="38">
        <f>G70*400</f>
        <v>5600</v>
      </c>
      <c r="H54" s="38">
        <f>H70*400</f>
        <v>1200</v>
      </c>
      <c r="I54" s="38">
        <f>I70*400</f>
        <v>38400</v>
      </c>
      <c r="J54" s="38">
        <f t="shared" si="0"/>
        <v>45600</v>
      </c>
      <c r="K54" s="39"/>
    </row>
    <row r="55" spans="1:11" s="2" customFormat="1" ht="15" customHeight="1">
      <c r="A55" s="35" t="s">
        <v>134</v>
      </c>
      <c r="B55" s="36" t="s">
        <v>281</v>
      </c>
      <c r="C55" s="42"/>
      <c r="D55" s="48"/>
      <c r="E55" s="38">
        <f>E56</f>
        <v>5000</v>
      </c>
      <c r="F55" s="38">
        <f>F56</f>
        <v>2400</v>
      </c>
      <c r="G55" s="38">
        <f>G56</f>
        <v>1800</v>
      </c>
      <c r="H55" s="38">
        <f>H56</f>
        <v>0</v>
      </c>
      <c r="I55" s="38">
        <f>I56</f>
        <v>3500</v>
      </c>
      <c r="J55" s="38">
        <f t="shared" si="0"/>
        <v>12700</v>
      </c>
      <c r="K55" s="39"/>
    </row>
    <row r="56" spans="1:11" ht="15" customHeight="1">
      <c r="A56" s="35" t="s">
        <v>135</v>
      </c>
      <c r="B56" s="36" t="s">
        <v>282</v>
      </c>
      <c r="C56" s="36" t="s">
        <v>27</v>
      </c>
      <c r="D56" s="47" t="s">
        <v>140</v>
      </c>
      <c r="E56" s="49">
        <v>5000</v>
      </c>
      <c r="F56" s="49">
        <v>2400</v>
      </c>
      <c r="G56" s="49">
        <v>1800</v>
      </c>
      <c r="H56" s="49"/>
      <c r="I56" s="49">
        <v>3500</v>
      </c>
      <c r="J56" s="38">
        <f t="shared" si="0"/>
        <v>12700</v>
      </c>
      <c r="K56" s="44"/>
    </row>
    <row r="57" spans="1:11" ht="15" customHeight="1">
      <c r="A57" s="35" t="s">
        <v>136</v>
      </c>
      <c r="B57" s="36" t="s">
        <v>283</v>
      </c>
      <c r="C57" s="36"/>
      <c r="D57" s="37" t="s">
        <v>21</v>
      </c>
      <c r="E57" s="38">
        <f>E58</f>
        <v>32000</v>
      </c>
      <c r="F57" s="38">
        <f>F58</f>
        <v>32000</v>
      </c>
      <c r="G57" s="38">
        <f>G58</f>
        <v>10000</v>
      </c>
      <c r="H57" s="38">
        <f>H58</f>
        <v>32000</v>
      </c>
      <c r="I57" s="38">
        <f>I58</f>
        <v>0</v>
      </c>
      <c r="J57" s="38">
        <f t="shared" si="0"/>
        <v>106000</v>
      </c>
      <c r="K57" s="39"/>
    </row>
    <row r="58" spans="1:11" ht="15" customHeight="1" thickBot="1">
      <c r="A58" s="35" t="s">
        <v>139</v>
      </c>
      <c r="B58" s="4" t="s">
        <v>284</v>
      </c>
      <c r="C58" s="36" t="s">
        <v>27</v>
      </c>
      <c r="D58" s="5" t="s">
        <v>217</v>
      </c>
      <c r="E58" s="6">
        <v>32000</v>
      </c>
      <c r="F58" s="6">
        <v>32000</v>
      </c>
      <c r="G58" s="6">
        <v>10000</v>
      </c>
      <c r="H58" s="6">
        <v>32000</v>
      </c>
      <c r="I58" s="6"/>
      <c r="J58" s="38">
        <f t="shared" si="0"/>
        <v>106000</v>
      </c>
      <c r="K58" s="8"/>
    </row>
    <row r="59" spans="1:11" ht="15" customHeight="1" thickTop="1">
      <c r="A59" s="35" t="s">
        <v>141</v>
      </c>
      <c r="B59" s="9" t="s">
        <v>145</v>
      </c>
      <c r="C59" s="9"/>
      <c r="D59" s="10"/>
      <c r="E59" s="11"/>
      <c r="F59" s="11"/>
      <c r="G59" s="11"/>
      <c r="H59" s="11"/>
      <c r="I59" s="11"/>
      <c r="J59" s="38">
        <f t="shared" si="0"/>
        <v>0</v>
      </c>
      <c r="K59" s="12"/>
    </row>
    <row r="60" spans="1:11" ht="15" customHeight="1">
      <c r="A60" s="35" t="s">
        <v>142</v>
      </c>
      <c r="B60" s="36" t="s">
        <v>147</v>
      </c>
      <c r="C60" s="36"/>
      <c r="D60" s="37" t="s">
        <v>285</v>
      </c>
      <c r="E60" s="38">
        <f>E61+E62+E63+E64</f>
        <v>48</v>
      </c>
      <c r="F60" s="38">
        <f>F61+F62+F63+F64</f>
        <v>27</v>
      </c>
      <c r="G60" s="38">
        <f>G61+G62+G63+G64</f>
        <v>65</v>
      </c>
      <c r="H60" s="38">
        <f>H61+H62+H63+H64</f>
        <v>6</v>
      </c>
      <c r="I60" s="38">
        <f>I61+I62+I63+I64</f>
        <v>123</v>
      </c>
      <c r="J60" s="38">
        <f t="shared" si="0"/>
        <v>269</v>
      </c>
      <c r="K60" s="39"/>
    </row>
    <row r="61" spans="1:11" ht="15" customHeight="1">
      <c r="A61" s="35" t="s">
        <v>144</v>
      </c>
      <c r="B61" s="50" t="s">
        <v>149</v>
      </c>
      <c r="C61" s="50"/>
      <c r="D61" s="44"/>
      <c r="E61" s="45"/>
      <c r="F61" s="45"/>
      <c r="G61" s="45"/>
      <c r="H61" s="45"/>
      <c r="I61" s="45">
        <v>61</v>
      </c>
      <c r="J61" s="38">
        <f t="shared" si="0"/>
        <v>61</v>
      </c>
      <c r="K61" s="39"/>
    </row>
    <row r="62" spans="1:11" ht="15" customHeight="1">
      <c r="A62" s="35" t="s">
        <v>146</v>
      </c>
      <c r="B62" s="50" t="s">
        <v>151</v>
      </c>
      <c r="C62" s="50"/>
      <c r="D62" s="37"/>
      <c r="E62" s="40"/>
      <c r="F62" s="40"/>
      <c r="G62" s="40"/>
      <c r="H62" s="40"/>
      <c r="I62" s="40">
        <v>62</v>
      </c>
      <c r="J62" s="38">
        <f t="shared" si="0"/>
        <v>62</v>
      </c>
      <c r="K62" s="39"/>
    </row>
    <row r="63" spans="1:11" ht="15" customHeight="1">
      <c r="A63" s="35" t="s">
        <v>148</v>
      </c>
      <c r="B63" s="50" t="s">
        <v>153</v>
      </c>
      <c r="C63" s="50"/>
      <c r="D63" s="44"/>
      <c r="E63" s="45">
        <v>48</v>
      </c>
      <c r="F63" s="45">
        <v>27</v>
      </c>
      <c r="G63" s="45">
        <v>65</v>
      </c>
      <c r="H63" s="45"/>
      <c r="I63" s="45"/>
      <c r="J63" s="38">
        <f t="shared" si="0"/>
        <v>140</v>
      </c>
      <c r="K63" s="39"/>
    </row>
    <row r="64" spans="1:11" ht="15" customHeight="1">
      <c r="A64" s="35" t="s">
        <v>150</v>
      </c>
      <c r="B64" s="50" t="s">
        <v>155</v>
      </c>
      <c r="C64" s="50"/>
      <c r="D64" s="44"/>
      <c r="E64" s="45"/>
      <c r="F64" s="45"/>
      <c r="G64" s="45"/>
      <c r="H64" s="45">
        <v>6</v>
      </c>
      <c r="I64" s="45"/>
      <c r="J64" s="38">
        <f t="shared" si="0"/>
        <v>6</v>
      </c>
      <c r="K64" s="39"/>
    </row>
    <row r="65" spans="1:11" ht="15" customHeight="1">
      <c r="A65" s="35" t="s">
        <v>152</v>
      </c>
      <c r="B65" s="36" t="s">
        <v>157</v>
      </c>
      <c r="C65" s="36"/>
      <c r="D65" s="37" t="s">
        <v>286</v>
      </c>
      <c r="E65" s="38">
        <f>E66+E67+E68+E69</f>
        <v>486</v>
      </c>
      <c r="F65" s="38">
        <f>F66+F67+F68+F69</f>
        <v>246</v>
      </c>
      <c r="G65" s="38">
        <f>G66+G67+G68+G69</f>
        <v>568</v>
      </c>
      <c r="H65" s="38">
        <f>H66+H67+H68+H69</f>
        <v>0</v>
      </c>
      <c r="I65" s="38">
        <f>I66+I67+I68+I69</f>
        <v>1672</v>
      </c>
      <c r="J65" s="38">
        <f t="shared" si="0"/>
        <v>2972</v>
      </c>
      <c r="K65" s="39"/>
    </row>
    <row r="66" spans="1:11" ht="15" customHeight="1">
      <c r="A66" s="35" t="s">
        <v>154</v>
      </c>
      <c r="B66" s="50" t="s">
        <v>149</v>
      </c>
      <c r="C66" s="50"/>
      <c r="D66" s="44"/>
      <c r="E66" s="45"/>
      <c r="F66" s="45"/>
      <c r="G66" s="45"/>
      <c r="H66" s="45"/>
      <c r="I66" s="45">
        <v>854</v>
      </c>
      <c r="J66" s="38">
        <f t="shared" si="0"/>
        <v>854</v>
      </c>
      <c r="K66" s="39"/>
    </row>
    <row r="67" spans="1:11" ht="15" customHeight="1">
      <c r="A67" s="35" t="s">
        <v>156</v>
      </c>
      <c r="B67" s="50" t="s">
        <v>151</v>
      </c>
      <c r="C67" s="50"/>
      <c r="D67" s="37"/>
      <c r="E67" s="40"/>
      <c r="F67" s="40"/>
      <c r="G67" s="40"/>
      <c r="H67" s="40"/>
      <c r="I67" s="40">
        <v>818</v>
      </c>
      <c r="J67" s="38">
        <f t="shared" si="0"/>
        <v>818</v>
      </c>
      <c r="K67" s="39"/>
    </row>
    <row r="68" spans="1:11" ht="15" customHeight="1">
      <c r="A68" s="35" t="s">
        <v>158</v>
      </c>
      <c r="B68" s="50" t="s">
        <v>153</v>
      </c>
      <c r="C68" s="50"/>
      <c r="D68" s="44"/>
      <c r="E68" s="45">
        <v>486</v>
      </c>
      <c r="F68" s="45">
        <v>246</v>
      </c>
      <c r="G68" s="45">
        <v>568</v>
      </c>
      <c r="H68" s="45"/>
      <c r="I68" s="45"/>
      <c r="J68" s="38">
        <f t="shared" ref="J68:J72" si="1">SUM(E68:I68)</f>
        <v>1300</v>
      </c>
      <c r="K68" s="39"/>
    </row>
    <row r="69" spans="1:11" ht="15" customHeight="1">
      <c r="A69" s="35" t="s">
        <v>159</v>
      </c>
      <c r="B69" s="50" t="s">
        <v>155</v>
      </c>
      <c r="C69" s="50"/>
      <c r="D69" s="44"/>
      <c r="E69" s="45"/>
      <c r="F69" s="45"/>
      <c r="G69" s="45"/>
      <c r="H69" s="45"/>
      <c r="I69" s="45"/>
      <c r="J69" s="38">
        <f t="shared" si="1"/>
        <v>0</v>
      </c>
      <c r="K69" s="39"/>
    </row>
    <row r="70" spans="1:11" ht="15" customHeight="1">
      <c r="A70" s="35" t="s">
        <v>160</v>
      </c>
      <c r="B70" s="36" t="s">
        <v>218</v>
      </c>
      <c r="C70" s="36"/>
      <c r="D70" s="37"/>
      <c r="E70" s="40">
        <v>1</v>
      </c>
      <c r="F70" s="40"/>
      <c r="G70" s="40">
        <v>14</v>
      </c>
      <c r="H70" s="40">
        <v>3</v>
      </c>
      <c r="I70" s="40">
        <v>96</v>
      </c>
      <c r="J70" s="38">
        <f t="shared" si="1"/>
        <v>114</v>
      </c>
      <c r="K70" s="39"/>
    </row>
    <row r="71" spans="1:11" ht="15" customHeight="1">
      <c r="A71" s="35" t="s">
        <v>161</v>
      </c>
      <c r="B71" s="50" t="s">
        <v>219</v>
      </c>
      <c r="C71" s="50"/>
      <c r="D71" s="47"/>
      <c r="E71" s="40">
        <v>6810.39</v>
      </c>
      <c r="F71" s="40">
        <v>8901.44</v>
      </c>
      <c r="G71" s="40">
        <v>8913.26</v>
      </c>
      <c r="H71" s="40">
        <v>3660</v>
      </c>
      <c r="I71" s="40">
        <v>28317.22</v>
      </c>
      <c r="J71" s="38">
        <f t="shared" si="1"/>
        <v>56602.310000000005</v>
      </c>
      <c r="K71" s="39"/>
    </row>
    <row r="72" spans="1:11" ht="15" customHeight="1">
      <c r="A72" s="35" t="s">
        <v>162</v>
      </c>
      <c r="B72" s="50" t="s">
        <v>220</v>
      </c>
      <c r="C72" s="50"/>
      <c r="D72" s="47"/>
      <c r="E72" s="40">
        <v>3372</v>
      </c>
      <c r="F72" s="40">
        <v>3623</v>
      </c>
      <c r="G72" s="40">
        <v>3265</v>
      </c>
      <c r="H72" s="40">
        <v>2700</v>
      </c>
      <c r="I72" s="40">
        <v>14894</v>
      </c>
      <c r="J72" s="38">
        <f t="shared" si="1"/>
        <v>27854</v>
      </c>
      <c r="K72" s="39"/>
    </row>
    <row r="73" spans="1:11">
      <c r="E73" s="1">
        <f t="shared" ref="E73:J73" si="2">E5/E60</f>
        <v>314477.64270833327</v>
      </c>
      <c r="F73" s="1">
        <f t="shared" si="2"/>
        <v>313358.15888888884</v>
      </c>
      <c r="G73" s="1">
        <f t="shared" si="2"/>
        <v>321546.32076923072</v>
      </c>
      <c r="H73" s="1">
        <f t="shared" si="2"/>
        <v>380213.14166666666</v>
      </c>
      <c r="I73" s="1">
        <f t="shared" si="2"/>
        <v>387160.71422764228</v>
      </c>
      <c r="J73" s="1">
        <f t="shared" si="2"/>
        <v>350773.80925650557</v>
      </c>
    </row>
    <row r="74" spans="1:11">
      <c r="E74" s="1">
        <f>E34/E70</f>
        <v>13020</v>
      </c>
      <c r="G74" s="1">
        <f>G34/G70</f>
        <v>16662.857142857141</v>
      </c>
      <c r="H74" s="1">
        <f>H34/H70</f>
        <v>18540</v>
      </c>
      <c r="I74" s="1">
        <f>I34/I70</f>
        <v>18229.166666666668</v>
      </c>
      <c r="J74" s="1">
        <f>J34/J70</f>
        <v>17999.298245614034</v>
      </c>
    </row>
  </sheetData>
  <protectedRanges>
    <protectedRange password="E9C1" sqref="D30 C31 A5:D6 B7:D29 A2:K2 J5:K72 B32:D72 A7:A72 A4:K4 A3:D3 J3:K3" name="区域1_1"/>
    <protectedRange password="E9C1" sqref="B30:C30 B31" name="区域1_1_1"/>
    <protectedRange password="E9C1" sqref="D31" name="区域1_2"/>
    <protectedRange password="E9C1" sqref="E3:I3" name="区域1_1_2"/>
  </protectedRanges>
  <mergeCells count="7">
    <mergeCell ref="A1:K1"/>
    <mergeCell ref="A2:A3"/>
    <mergeCell ref="B2:B3"/>
    <mergeCell ref="C2:C3"/>
    <mergeCell ref="D2:D3"/>
    <mergeCell ref="J2:J3"/>
    <mergeCell ref="K2:K3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85" orientation="landscape" r:id="rId1"/>
  <headerFooter>
    <oddFooter>第 &amp;P 页，共 &amp;N 页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0"/>
  <sheetViews>
    <sheetView topLeftCell="A46" workbookViewId="0">
      <selection activeCell="F13" sqref="F13"/>
    </sheetView>
  </sheetViews>
  <sheetFormatPr defaultRowHeight="13.5"/>
  <cols>
    <col min="1" max="1" width="12.875" style="295" customWidth="1"/>
    <col min="2" max="2" width="11.25" style="295" customWidth="1"/>
    <col min="3" max="3" width="12.625" style="295" customWidth="1"/>
    <col min="4" max="4" width="20.375" style="295" customWidth="1"/>
    <col min="5" max="5" width="10" style="295" customWidth="1"/>
    <col min="6" max="6" width="20.375" style="295" customWidth="1"/>
    <col min="7" max="7" width="22.5" style="295" customWidth="1"/>
    <col min="8" max="8" width="8.5" style="274" bestFit="1" customWidth="1"/>
    <col min="9" max="9" width="10.875" style="295" bestFit="1" customWidth="1"/>
    <col min="10" max="10" width="5.25" style="295" bestFit="1" customWidth="1"/>
    <col min="11" max="11" width="11.75" style="295" bestFit="1" customWidth="1"/>
    <col min="12" max="12" width="15.875" style="295" customWidth="1"/>
    <col min="13" max="13" width="9" style="295"/>
    <col min="14" max="14" width="11.625" style="295" bestFit="1" customWidth="1"/>
    <col min="15" max="16384" width="9" style="295"/>
  </cols>
  <sheetData>
    <row r="1" spans="1:14" s="195" customFormat="1" ht="39.75" customHeight="1">
      <c r="A1" s="826" t="s">
        <v>1681</v>
      </c>
      <c r="B1" s="827"/>
      <c r="C1" s="827"/>
      <c r="D1" s="827"/>
      <c r="E1" s="827"/>
      <c r="F1" s="827"/>
      <c r="G1" s="827"/>
      <c r="H1" s="827"/>
      <c r="I1" s="827"/>
      <c r="J1" s="827"/>
      <c r="K1" s="827"/>
      <c r="L1" s="827"/>
    </row>
    <row r="2" spans="1:14" s="195" customFormat="1" ht="36">
      <c r="A2" s="290" t="s">
        <v>1452</v>
      </c>
      <c r="B2" s="290" t="s">
        <v>1437</v>
      </c>
      <c r="C2" s="290" t="s">
        <v>1438</v>
      </c>
      <c r="D2" s="290" t="s">
        <v>1439</v>
      </c>
      <c r="E2" s="290" t="s">
        <v>1440</v>
      </c>
      <c r="F2" s="290" t="s">
        <v>1441</v>
      </c>
      <c r="G2" s="290" t="s">
        <v>1442</v>
      </c>
      <c r="H2" s="290" t="s">
        <v>1443</v>
      </c>
      <c r="I2" s="290" t="s">
        <v>1245</v>
      </c>
      <c r="J2" s="290" t="s">
        <v>1244</v>
      </c>
      <c r="K2" s="290" t="s">
        <v>1246</v>
      </c>
      <c r="L2" s="290" t="s">
        <v>1444</v>
      </c>
    </row>
    <row r="3" spans="1:14" s="195" customFormat="1" ht="27.95" customHeight="1">
      <c r="A3" s="541" t="s">
        <v>1453</v>
      </c>
      <c r="B3" s="541" t="s">
        <v>1454</v>
      </c>
      <c r="C3" s="542" t="s">
        <v>1455</v>
      </c>
      <c r="D3" s="543" t="s">
        <v>1456</v>
      </c>
      <c r="E3" s="543" t="s">
        <v>1457</v>
      </c>
      <c r="F3" s="543" t="s">
        <v>1457</v>
      </c>
      <c r="G3" s="543" t="s">
        <v>1457</v>
      </c>
      <c r="H3" s="541" t="s">
        <v>1458</v>
      </c>
      <c r="I3" s="544">
        <v>1051500</v>
      </c>
      <c r="J3" s="545">
        <v>1</v>
      </c>
      <c r="K3" s="544">
        <f t="shared" ref="K3:K8" si="0">I3*J3</f>
        <v>1051500</v>
      </c>
      <c r="L3" s="541" t="s">
        <v>1459</v>
      </c>
      <c r="N3" s="540"/>
    </row>
    <row r="4" spans="1:14" s="195" customFormat="1" ht="27.95" customHeight="1">
      <c r="A4" s="269" t="s">
        <v>1446</v>
      </c>
      <c r="B4" s="269" t="s">
        <v>1454</v>
      </c>
      <c r="C4" s="291" t="s">
        <v>1460</v>
      </c>
      <c r="D4" s="357" t="s">
        <v>1461</v>
      </c>
      <c r="E4" s="357" t="s">
        <v>1462</v>
      </c>
      <c r="F4" s="357" t="s">
        <v>1463</v>
      </c>
      <c r="G4" s="357" t="s">
        <v>1463</v>
      </c>
      <c r="H4" s="269" t="s">
        <v>1458</v>
      </c>
      <c r="I4" s="292">
        <v>62000</v>
      </c>
      <c r="J4" s="293">
        <v>1</v>
      </c>
      <c r="K4" s="292">
        <f t="shared" si="0"/>
        <v>62000</v>
      </c>
      <c r="L4" s="269"/>
    </row>
    <row r="5" spans="1:14" s="195" customFormat="1" ht="27.95" customHeight="1">
      <c r="A5" s="269" t="s">
        <v>1464</v>
      </c>
      <c r="B5" s="269" t="s">
        <v>1465</v>
      </c>
      <c r="C5" s="291" t="s">
        <v>1466</v>
      </c>
      <c r="D5" s="357" t="s">
        <v>1467</v>
      </c>
      <c r="E5" s="357" t="s">
        <v>1468</v>
      </c>
      <c r="F5" s="357" t="s">
        <v>1469</v>
      </c>
      <c r="G5" s="357" t="s">
        <v>1470</v>
      </c>
      <c r="H5" s="269" t="s">
        <v>1471</v>
      </c>
      <c r="I5" s="292">
        <v>7000</v>
      </c>
      <c r="J5" s="293">
        <v>27</v>
      </c>
      <c r="K5" s="292">
        <f t="shared" si="0"/>
        <v>189000</v>
      </c>
      <c r="L5" s="269"/>
    </row>
    <row r="6" spans="1:14" s="195" customFormat="1" ht="27.95" customHeight="1">
      <c r="A6" s="269" t="s">
        <v>1453</v>
      </c>
      <c r="B6" s="269" t="s">
        <v>1472</v>
      </c>
      <c r="C6" s="291" t="s">
        <v>1460</v>
      </c>
      <c r="D6" s="357" t="s">
        <v>1473</v>
      </c>
      <c r="E6" s="357" t="s">
        <v>1462</v>
      </c>
      <c r="F6" s="357" t="s">
        <v>1474</v>
      </c>
      <c r="G6" s="357" t="s">
        <v>1475</v>
      </c>
      <c r="H6" s="269" t="s">
        <v>1471</v>
      </c>
      <c r="I6" s="292">
        <v>6000</v>
      </c>
      <c r="J6" s="293">
        <v>60</v>
      </c>
      <c r="K6" s="292">
        <f t="shared" si="0"/>
        <v>360000</v>
      </c>
      <c r="L6" s="269"/>
    </row>
    <row r="7" spans="1:14" s="195" customFormat="1" ht="27.95" customHeight="1">
      <c r="A7" s="269" t="s">
        <v>1476</v>
      </c>
      <c r="B7" s="269" t="s">
        <v>1472</v>
      </c>
      <c r="C7" s="291" t="s">
        <v>1460</v>
      </c>
      <c r="D7" s="357" t="s">
        <v>1473</v>
      </c>
      <c r="E7" s="357" t="s">
        <v>1477</v>
      </c>
      <c r="F7" s="357" t="s">
        <v>1478</v>
      </c>
      <c r="G7" s="357" t="s">
        <v>1479</v>
      </c>
      <c r="H7" s="269" t="s">
        <v>1480</v>
      </c>
      <c r="I7" s="292">
        <v>1500</v>
      </c>
      <c r="J7" s="293">
        <v>62</v>
      </c>
      <c r="K7" s="292">
        <f t="shared" si="0"/>
        <v>93000</v>
      </c>
      <c r="L7" s="269"/>
    </row>
    <row r="8" spans="1:14" s="195" customFormat="1" ht="27.95" customHeight="1">
      <c r="A8" s="269" t="s">
        <v>1476</v>
      </c>
      <c r="B8" s="269" t="s">
        <v>1472</v>
      </c>
      <c r="C8" s="291" t="s">
        <v>1460</v>
      </c>
      <c r="D8" s="357" t="s">
        <v>1473</v>
      </c>
      <c r="E8" s="357" t="s">
        <v>1477</v>
      </c>
      <c r="F8" s="357" t="s">
        <v>1478</v>
      </c>
      <c r="G8" s="357" t="s">
        <v>1481</v>
      </c>
      <c r="H8" s="269" t="s">
        <v>1480</v>
      </c>
      <c r="I8" s="292">
        <v>2000</v>
      </c>
      <c r="J8" s="293">
        <v>30</v>
      </c>
      <c r="K8" s="292">
        <f t="shared" si="0"/>
        <v>60000</v>
      </c>
      <c r="L8" s="269"/>
    </row>
    <row r="9" spans="1:14" s="195" customFormat="1" ht="27.95" customHeight="1">
      <c r="A9" s="294" t="s">
        <v>946</v>
      </c>
      <c r="B9" s="269"/>
      <c r="C9" s="291"/>
      <c r="D9" s="357"/>
      <c r="E9" s="357"/>
      <c r="F9" s="357"/>
      <c r="G9" s="357"/>
      <c r="H9" s="269"/>
      <c r="I9" s="292"/>
      <c r="J9" s="293"/>
      <c r="K9" s="292">
        <f>SUBTOTAL(9,K3:K8)</f>
        <v>1815500</v>
      </c>
      <c r="L9" s="269"/>
    </row>
    <row r="10" spans="1:14" s="195" customFormat="1" ht="27.95" customHeight="1">
      <c r="A10" s="269" t="s">
        <v>1445</v>
      </c>
      <c r="B10" s="269" t="s">
        <v>1454</v>
      </c>
      <c r="C10" s="291" t="s">
        <v>1455</v>
      </c>
      <c r="D10" s="357" t="s">
        <v>1482</v>
      </c>
      <c r="E10" s="357" t="s">
        <v>1483</v>
      </c>
      <c r="F10" s="357" t="s">
        <v>1484</v>
      </c>
      <c r="G10" s="357" t="s">
        <v>1485</v>
      </c>
      <c r="H10" s="269" t="s">
        <v>1458</v>
      </c>
      <c r="I10" s="292">
        <v>2800000</v>
      </c>
      <c r="J10" s="293">
        <v>1</v>
      </c>
      <c r="K10" s="292">
        <v>0</v>
      </c>
      <c r="L10" s="269" t="s">
        <v>2437</v>
      </c>
    </row>
    <row r="11" spans="1:14" s="195" customFormat="1" ht="27.95" customHeight="1">
      <c r="A11" s="269" t="s">
        <v>1486</v>
      </c>
      <c r="B11" s="269" t="s">
        <v>1472</v>
      </c>
      <c r="C11" s="291" t="s">
        <v>1466</v>
      </c>
      <c r="D11" s="357" t="s">
        <v>1487</v>
      </c>
      <c r="E11" s="357" t="s">
        <v>1488</v>
      </c>
      <c r="F11" s="357" t="s">
        <v>1469</v>
      </c>
      <c r="G11" s="357" t="s">
        <v>1470</v>
      </c>
      <c r="H11" s="269" t="s">
        <v>1471</v>
      </c>
      <c r="I11" s="292">
        <v>7000</v>
      </c>
      <c r="J11" s="293">
        <v>64</v>
      </c>
      <c r="K11" s="292">
        <f t="shared" ref="K11:K15" si="1">I11*J11</f>
        <v>448000</v>
      </c>
      <c r="L11" s="269"/>
    </row>
    <row r="12" spans="1:14" s="195" customFormat="1" ht="27.95" customHeight="1">
      <c r="A12" s="269" t="s">
        <v>1486</v>
      </c>
      <c r="B12" s="269" t="s">
        <v>1472</v>
      </c>
      <c r="C12" s="291" t="s">
        <v>1466</v>
      </c>
      <c r="D12" s="357" t="s">
        <v>1487</v>
      </c>
      <c r="E12" s="357" t="s">
        <v>1489</v>
      </c>
      <c r="F12" s="357" t="s">
        <v>1469</v>
      </c>
      <c r="G12" s="357" t="s">
        <v>1470</v>
      </c>
      <c r="H12" s="269" t="s">
        <v>1471</v>
      </c>
      <c r="I12" s="292">
        <v>7000</v>
      </c>
      <c r="J12" s="293">
        <v>8</v>
      </c>
      <c r="K12" s="292">
        <f t="shared" si="1"/>
        <v>56000</v>
      </c>
      <c r="L12" s="269"/>
    </row>
    <row r="13" spans="1:14" s="195" customFormat="1" ht="27.95" customHeight="1">
      <c r="A13" s="269" t="s">
        <v>1486</v>
      </c>
      <c r="B13" s="269" t="s">
        <v>1472</v>
      </c>
      <c r="C13" s="291" t="s">
        <v>1490</v>
      </c>
      <c r="D13" s="357" t="s">
        <v>1491</v>
      </c>
      <c r="E13" s="357" t="s">
        <v>1492</v>
      </c>
      <c r="F13" s="357" t="s">
        <v>1492</v>
      </c>
      <c r="G13" s="357" t="s">
        <v>1493</v>
      </c>
      <c r="H13" s="269" t="s">
        <v>1494</v>
      </c>
      <c r="I13" s="292">
        <v>147900</v>
      </c>
      <c r="J13" s="293">
        <v>1</v>
      </c>
      <c r="K13" s="292">
        <f t="shared" si="1"/>
        <v>147900</v>
      </c>
      <c r="L13" s="269" t="s">
        <v>1495</v>
      </c>
    </row>
    <row r="14" spans="1:14" s="195" customFormat="1" ht="27.95" customHeight="1">
      <c r="A14" s="269" t="s">
        <v>1496</v>
      </c>
      <c r="B14" s="269" t="s">
        <v>1497</v>
      </c>
      <c r="C14" s="291" t="s">
        <v>1490</v>
      </c>
      <c r="D14" s="357" t="s">
        <v>1498</v>
      </c>
      <c r="E14" s="357" t="s">
        <v>1492</v>
      </c>
      <c r="F14" s="357" t="s">
        <v>1492</v>
      </c>
      <c r="G14" s="357" t="s">
        <v>1499</v>
      </c>
      <c r="H14" s="269" t="s">
        <v>1494</v>
      </c>
      <c r="I14" s="292">
        <v>251000</v>
      </c>
      <c r="J14" s="293">
        <v>1</v>
      </c>
      <c r="K14" s="292">
        <f t="shared" si="1"/>
        <v>251000</v>
      </c>
      <c r="L14" s="269" t="s">
        <v>1495</v>
      </c>
    </row>
    <row r="15" spans="1:14" s="195" customFormat="1" ht="27.95" customHeight="1">
      <c r="A15" s="269" t="s">
        <v>1496</v>
      </c>
      <c r="B15" s="269" t="s">
        <v>1497</v>
      </c>
      <c r="C15" s="291" t="s">
        <v>1500</v>
      </c>
      <c r="D15" s="357" t="s">
        <v>1501</v>
      </c>
      <c r="E15" s="357" t="s">
        <v>1502</v>
      </c>
      <c r="F15" s="357" t="s">
        <v>1503</v>
      </c>
      <c r="G15" s="357" t="s">
        <v>1504</v>
      </c>
      <c r="H15" s="269" t="s">
        <v>1505</v>
      </c>
      <c r="I15" s="292">
        <v>500</v>
      </c>
      <c r="J15" s="293">
        <v>504</v>
      </c>
      <c r="K15" s="292">
        <f t="shared" si="1"/>
        <v>252000</v>
      </c>
      <c r="L15" s="269"/>
    </row>
    <row r="16" spans="1:14" s="195" customFormat="1" ht="27.95" customHeight="1">
      <c r="A16" s="261" t="s">
        <v>949</v>
      </c>
      <c r="B16" s="269"/>
      <c r="C16" s="291"/>
      <c r="D16" s="357"/>
      <c r="E16" s="357"/>
      <c r="F16" s="357"/>
      <c r="G16" s="357"/>
      <c r="H16" s="269"/>
      <c r="I16" s="292"/>
      <c r="J16" s="293"/>
      <c r="K16" s="292">
        <f>SUBTOTAL(9,K10:K15)</f>
        <v>1154900</v>
      </c>
      <c r="L16" s="269"/>
    </row>
    <row r="17" spans="1:12" s="195" customFormat="1" ht="27.95" customHeight="1">
      <c r="A17" s="269" t="s">
        <v>1506</v>
      </c>
      <c r="B17" s="269" t="s">
        <v>1497</v>
      </c>
      <c r="C17" s="291" t="s">
        <v>1507</v>
      </c>
      <c r="D17" s="357" t="s">
        <v>1508</v>
      </c>
      <c r="E17" s="357" t="s">
        <v>1509</v>
      </c>
      <c r="F17" s="357" t="s">
        <v>1510</v>
      </c>
      <c r="G17" s="357" t="s">
        <v>1511</v>
      </c>
      <c r="H17" s="269" t="s">
        <v>1512</v>
      </c>
      <c r="I17" s="292">
        <v>6000</v>
      </c>
      <c r="J17" s="293">
        <v>38</v>
      </c>
      <c r="K17" s="292">
        <f>I17*J17</f>
        <v>228000</v>
      </c>
      <c r="L17" s="269"/>
    </row>
    <row r="18" spans="1:12" s="195" customFormat="1" ht="27.95" customHeight="1">
      <c r="A18" s="269" t="s">
        <v>1513</v>
      </c>
      <c r="B18" s="269" t="s">
        <v>1497</v>
      </c>
      <c r="C18" s="291" t="s">
        <v>1514</v>
      </c>
      <c r="D18" s="357" t="s">
        <v>1515</v>
      </c>
      <c r="E18" s="357" t="s">
        <v>1516</v>
      </c>
      <c r="F18" s="357" t="s">
        <v>1516</v>
      </c>
      <c r="G18" s="357" t="s">
        <v>1516</v>
      </c>
      <c r="H18" s="269" t="s">
        <v>1505</v>
      </c>
      <c r="I18" s="292">
        <v>1088838</v>
      </c>
      <c r="J18" s="293">
        <v>1</v>
      </c>
      <c r="K18" s="292">
        <f>I18*J18</f>
        <v>1088838</v>
      </c>
      <c r="L18" s="291" t="s">
        <v>1655</v>
      </c>
    </row>
    <row r="19" spans="1:12" s="195" customFormat="1" ht="27.95" customHeight="1">
      <c r="A19" s="269" t="s">
        <v>1517</v>
      </c>
      <c r="B19" s="269" t="s">
        <v>1518</v>
      </c>
      <c r="C19" s="291" t="s">
        <v>1500</v>
      </c>
      <c r="D19" s="357" t="s">
        <v>1519</v>
      </c>
      <c r="E19" s="357" t="s">
        <v>1520</v>
      </c>
      <c r="F19" s="357" t="s">
        <v>1521</v>
      </c>
      <c r="G19" s="357" t="s">
        <v>1521</v>
      </c>
      <c r="H19" s="269" t="s">
        <v>1522</v>
      </c>
      <c r="I19" s="292">
        <v>360000</v>
      </c>
      <c r="J19" s="293">
        <v>1</v>
      </c>
      <c r="K19" s="292">
        <f>I19*J19</f>
        <v>360000</v>
      </c>
      <c r="L19" s="269"/>
    </row>
    <row r="20" spans="1:12" s="195" customFormat="1" ht="27.95" customHeight="1">
      <c r="A20" s="269" t="s">
        <v>1523</v>
      </c>
      <c r="B20" s="269" t="s">
        <v>1524</v>
      </c>
      <c r="C20" s="291" t="s">
        <v>1525</v>
      </c>
      <c r="D20" s="357" t="s">
        <v>1519</v>
      </c>
      <c r="E20" s="357" t="s">
        <v>1520</v>
      </c>
      <c r="F20" s="357" t="s">
        <v>1526</v>
      </c>
      <c r="G20" s="357" t="s">
        <v>1526</v>
      </c>
      <c r="H20" s="269" t="s">
        <v>1522</v>
      </c>
      <c r="I20" s="292">
        <v>350000</v>
      </c>
      <c r="J20" s="293">
        <v>1</v>
      </c>
      <c r="K20" s="292">
        <f>I20*J20</f>
        <v>350000</v>
      </c>
      <c r="L20" s="269"/>
    </row>
    <row r="21" spans="1:12" s="195" customFormat="1" ht="27.95" customHeight="1">
      <c r="A21" s="269" t="s">
        <v>1523</v>
      </c>
      <c r="B21" s="269" t="s">
        <v>1524</v>
      </c>
      <c r="C21" s="291" t="s">
        <v>1525</v>
      </c>
      <c r="D21" s="357" t="s">
        <v>1519</v>
      </c>
      <c r="E21" s="357" t="s">
        <v>1520</v>
      </c>
      <c r="F21" s="357" t="s">
        <v>1527</v>
      </c>
      <c r="G21" s="357" t="s">
        <v>1528</v>
      </c>
      <c r="H21" s="269" t="s">
        <v>1529</v>
      </c>
      <c r="I21" s="292">
        <v>8000</v>
      </c>
      <c r="J21" s="293">
        <v>12</v>
      </c>
      <c r="K21" s="292">
        <f>I21*J21</f>
        <v>96000</v>
      </c>
      <c r="L21" s="269"/>
    </row>
    <row r="22" spans="1:12" s="195" customFormat="1" ht="27.95" customHeight="1">
      <c r="A22" s="261" t="s">
        <v>945</v>
      </c>
      <c r="B22" s="269"/>
      <c r="C22" s="291"/>
      <c r="D22" s="357"/>
      <c r="E22" s="357"/>
      <c r="F22" s="357"/>
      <c r="G22" s="357"/>
      <c r="H22" s="269"/>
      <c r="I22" s="292"/>
      <c r="J22" s="293"/>
      <c r="K22" s="292">
        <f>SUBTOTAL(9,K17:K21)</f>
        <v>2122838</v>
      </c>
      <c r="L22" s="269"/>
    </row>
    <row r="23" spans="1:12" s="195" customFormat="1" ht="27.95" customHeight="1">
      <c r="A23" s="269" t="s">
        <v>1530</v>
      </c>
      <c r="B23" s="269" t="s">
        <v>1531</v>
      </c>
      <c r="C23" s="291" t="s">
        <v>1532</v>
      </c>
      <c r="D23" s="357" t="s">
        <v>1533</v>
      </c>
      <c r="E23" s="357" t="s">
        <v>1534</v>
      </c>
      <c r="F23" s="357" t="s">
        <v>1535</v>
      </c>
      <c r="G23" s="357" t="s">
        <v>1536</v>
      </c>
      <c r="H23" s="269" t="s">
        <v>1537</v>
      </c>
      <c r="I23" s="292">
        <v>8000</v>
      </c>
      <c r="J23" s="293">
        <v>37</v>
      </c>
      <c r="K23" s="292">
        <f t="shared" ref="K23:K29" si="2">I23*J23</f>
        <v>296000</v>
      </c>
      <c r="L23" s="269"/>
    </row>
    <row r="24" spans="1:12" s="195" customFormat="1" ht="27.95" customHeight="1">
      <c r="A24" s="269" t="s">
        <v>1448</v>
      </c>
      <c r="B24" s="269" t="s">
        <v>1531</v>
      </c>
      <c r="C24" s="291" t="s">
        <v>1525</v>
      </c>
      <c r="D24" s="357" t="s">
        <v>1533</v>
      </c>
      <c r="E24" s="357" t="s">
        <v>1520</v>
      </c>
      <c r="F24" s="357" t="s">
        <v>1526</v>
      </c>
      <c r="G24" s="357" t="s">
        <v>1526</v>
      </c>
      <c r="H24" s="269" t="s">
        <v>1522</v>
      </c>
      <c r="I24" s="292">
        <v>68000</v>
      </c>
      <c r="J24" s="293">
        <v>1</v>
      </c>
      <c r="K24" s="292">
        <f t="shared" si="2"/>
        <v>68000</v>
      </c>
      <c r="L24" s="269"/>
    </row>
    <row r="25" spans="1:12" s="195" customFormat="1" ht="27.95" customHeight="1">
      <c r="A25" s="269" t="s">
        <v>1538</v>
      </c>
      <c r="B25" s="269" t="s">
        <v>1539</v>
      </c>
      <c r="C25" s="291" t="s">
        <v>1525</v>
      </c>
      <c r="D25" s="357" t="s">
        <v>1540</v>
      </c>
      <c r="E25" s="357" t="s">
        <v>1520</v>
      </c>
      <c r="F25" s="357" t="s">
        <v>1541</v>
      </c>
      <c r="G25" s="357" t="s">
        <v>1542</v>
      </c>
      <c r="H25" s="269" t="s">
        <v>1537</v>
      </c>
      <c r="I25" s="292">
        <v>6000</v>
      </c>
      <c r="J25" s="293">
        <v>60</v>
      </c>
      <c r="K25" s="292">
        <f t="shared" si="2"/>
        <v>360000</v>
      </c>
      <c r="L25" s="269"/>
    </row>
    <row r="26" spans="1:12" s="195" customFormat="1" ht="27.95" customHeight="1">
      <c r="A26" s="269" t="s">
        <v>1538</v>
      </c>
      <c r="B26" s="269" t="s">
        <v>1539</v>
      </c>
      <c r="C26" s="291" t="s">
        <v>1525</v>
      </c>
      <c r="D26" s="357" t="s">
        <v>1540</v>
      </c>
      <c r="E26" s="357" t="s">
        <v>1520</v>
      </c>
      <c r="F26" s="357" t="s">
        <v>1526</v>
      </c>
      <c r="G26" s="357" t="s">
        <v>1526</v>
      </c>
      <c r="H26" s="269" t="s">
        <v>1522</v>
      </c>
      <c r="I26" s="292">
        <v>300000</v>
      </c>
      <c r="J26" s="293">
        <v>1</v>
      </c>
      <c r="K26" s="292">
        <f t="shared" si="2"/>
        <v>300000</v>
      </c>
      <c r="L26" s="269"/>
    </row>
    <row r="27" spans="1:12" s="195" customFormat="1" ht="27.95" customHeight="1">
      <c r="A27" s="269" t="s">
        <v>1530</v>
      </c>
      <c r="B27" s="269" t="s">
        <v>1524</v>
      </c>
      <c r="C27" s="291" t="s">
        <v>1543</v>
      </c>
      <c r="D27" s="357" t="s">
        <v>1544</v>
      </c>
      <c r="E27" s="357" t="s">
        <v>1545</v>
      </c>
      <c r="F27" s="357" t="s">
        <v>1545</v>
      </c>
      <c r="G27" s="357" t="s">
        <v>1546</v>
      </c>
      <c r="H27" s="269" t="s">
        <v>1547</v>
      </c>
      <c r="I27" s="292">
        <v>147900</v>
      </c>
      <c r="J27" s="293">
        <v>1</v>
      </c>
      <c r="K27" s="292">
        <f t="shared" si="2"/>
        <v>147900</v>
      </c>
      <c r="L27" s="269" t="s">
        <v>1548</v>
      </c>
    </row>
    <row r="28" spans="1:12" s="195" customFormat="1" ht="27.95" customHeight="1">
      <c r="A28" s="269" t="s">
        <v>1530</v>
      </c>
      <c r="B28" s="269" t="s">
        <v>1524</v>
      </c>
      <c r="C28" s="291" t="s">
        <v>1525</v>
      </c>
      <c r="D28" s="357" t="s">
        <v>1549</v>
      </c>
      <c r="E28" s="357" t="s">
        <v>1502</v>
      </c>
      <c r="F28" s="357" t="s">
        <v>1550</v>
      </c>
      <c r="G28" s="357" t="s">
        <v>1550</v>
      </c>
      <c r="H28" s="269" t="s">
        <v>1505</v>
      </c>
      <c r="I28" s="292">
        <v>300000</v>
      </c>
      <c r="J28" s="293">
        <v>1</v>
      </c>
      <c r="K28" s="292">
        <f t="shared" si="2"/>
        <v>300000</v>
      </c>
      <c r="L28" s="269"/>
    </row>
    <row r="29" spans="1:12" s="195" customFormat="1" ht="27.95" customHeight="1">
      <c r="A29" s="269" t="s">
        <v>1551</v>
      </c>
      <c r="B29" s="269" t="s">
        <v>1518</v>
      </c>
      <c r="C29" s="291" t="s">
        <v>1500</v>
      </c>
      <c r="D29" s="357" t="s">
        <v>1549</v>
      </c>
      <c r="E29" s="357" t="s">
        <v>1502</v>
      </c>
      <c r="F29" s="357" t="s">
        <v>1552</v>
      </c>
      <c r="G29" s="357" t="s">
        <v>1552</v>
      </c>
      <c r="H29" s="269" t="s">
        <v>1505</v>
      </c>
      <c r="I29" s="292">
        <v>120000</v>
      </c>
      <c r="J29" s="293">
        <v>1</v>
      </c>
      <c r="K29" s="292">
        <f t="shared" si="2"/>
        <v>120000</v>
      </c>
      <c r="L29" s="269"/>
    </row>
    <row r="30" spans="1:12" s="195" customFormat="1" ht="27.95" customHeight="1">
      <c r="A30" s="261" t="s">
        <v>951</v>
      </c>
      <c r="B30" s="269"/>
      <c r="C30" s="291"/>
      <c r="D30" s="357"/>
      <c r="E30" s="357"/>
      <c r="F30" s="357"/>
      <c r="G30" s="357"/>
      <c r="H30" s="269"/>
      <c r="I30" s="292"/>
      <c r="J30" s="293"/>
      <c r="K30" s="292">
        <f>SUBTOTAL(9,K23:K29)</f>
        <v>1591900</v>
      </c>
      <c r="L30" s="269"/>
    </row>
    <row r="31" spans="1:12" ht="27.95" customHeight="1">
      <c r="A31" s="269" t="s">
        <v>1451</v>
      </c>
      <c r="B31" s="269" t="s">
        <v>1553</v>
      </c>
      <c r="C31" s="291" t="s">
        <v>1500</v>
      </c>
      <c r="D31" s="357" t="s">
        <v>1554</v>
      </c>
      <c r="E31" s="357" t="s">
        <v>1502</v>
      </c>
      <c r="F31" s="357" t="s">
        <v>1555</v>
      </c>
      <c r="G31" s="357" t="s">
        <v>1556</v>
      </c>
      <c r="H31" s="269" t="s">
        <v>1505</v>
      </c>
      <c r="I31" s="292">
        <v>100000</v>
      </c>
      <c r="J31" s="293">
        <v>1</v>
      </c>
      <c r="K31" s="292">
        <f t="shared" ref="K31:K46" si="3">I31*J31</f>
        <v>100000</v>
      </c>
      <c r="L31" s="269"/>
    </row>
    <row r="32" spans="1:12" s="195" customFormat="1" ht="27.95" customHeight="1">
      <c r="A32" s="269" t="s">
        <v>1451</v>
      </c>
      <c r="B32" s="269" t="s">
        <v>1553</v>
      </c>
      <c r="C32" s="291" t="s">
        <v>1500</v>
      </c>
      <c r="D32" s="357" t="s">
        <v>1557</v>
      </c>
      <c r="E32" s="357" t="s">
        <v>1520</v>
      </c>
      <c r="F32" s="357" t="s">
        <v>1558</v>
      </c>
      <c r="G32" s="357" t="s">
        <v>1559</v>
      </c>
      <c r="H32" s="269" t="s">
        <v>1512</v>
      </c>
      <c r="I32" s="292">
        <v>50000</v>
      </c>
      <c r="J32" s="293">
        <v>1</v>
      </c>
      <c r="K32" s="292">
        <f t="shared" si="3"/>
        <v>50000</v>
      </c>
      <c r="L32" s="269"/>
    </row>
    <row r="33" spans="1:14" s="195" customFormat="1" ht="27.95" customHeight="1">
      <c r="A33" s="269" t="s">
        <v>1451</v>
      </c>
      <c r="B33" s="269" t="s">
        <v>1553</v>
      </c>
      <c r="C33" s="291" t="s">
        <v>1500</v>
      </c>
      <c r="D33" s="357" t="s">
        <v>1560</v>
      </c>
      <c r="E33" s="357" t="s">
        <v>1502</v>
      </c>
      <c r="F33" s="357" t="s">
        <v>1555</v>
      </c>
      <c r="G33" s="357" t="s">
        <v>1561</v>
      </c>
      <c r="H33" s="269" t="s">
        <v>1505</v>
      </c>
      <c r="I33" s="292">
        <v>30000</v>
      </c>
      <c r="J33" s="293">
        <v>1</v>
      </c>
      <c r="K33" s="292">
        <f t="shared" si="3"/>
        <v>30000</v>
      </c>
      <c r="L33" s="269"/>
    </row>
    <row r="34" spans="1:14" s="195" customFormat="1" ht="27.95" customHeight="1">
      <c r="A34" s="269" t="s">
        <v>1451</v>
      </c>
      <c r="B34" s="269" t="s">
        <v>1553</v>
      </c>
      <c r="C34" s="291" t="s">
        <v>1500</v>
      </c>
      <c r="D34" s="357" t="s">
        <v>1560</v>
      </c>
      <c r="E34" s="357" t="s">
        <v>1502</v>
      </c>
      <c r="F34" s="357" t="s">
        <v>1555</v>
      </c>
      <c r="G34" s="357" t="s">
        <v>1555</v>
      </c>
      <c r="H34" s="269" t="s">
        <v>1505</v>
      </c>
      <c r="I34" s="292">
        <v>151000</v>
      </c>
      <c r="J34" s="293">
        <v>1</v>
      </c>
      <c r="K34" s="292">
        <f t="shared" si="3"/>
        <v>151000</v>
      </c>
      <c r="L34" s="269"/>
    </row>
    <row r="35" spans="1:14" s="195" customFormat="1" ht="27.95" customHeight="1">
      <c r="A35" s="269" t="s">
        <v>1451</v>
      </c>
      <c r="B35" s="269" t="s">
        <v>1562</v>
      </c>
      <c r="C35" s="291" t="s">
        <v>1507</v>
      </c>
      <c r="D35" s="357" t="s">
        <v>1563</v>
      </c>
      <c r="E35" s="357" t="s">
        <v>1564</v>
      </c>
      <c r="F35" s="357" t="s">
        <v>1510</v>
      </c>
      <c r="G35" s="357" t="s">
        <v>1565</v>
      </c>
      <c r="H35" s="269" t="s">
        <v>1512</v>
      </c>
      <c r="I35" s="292">
        <v>11000</v>
      </c>
      <c r="J35" s="293">
        <v>36</v>
      </c>
      <c r="K35" s="292">
        <f t="shared" si="3"/>
        <v>396000</v>
      </c>
      <c r="L35" s="269"/>
    </row>
    <row r="36" spans="1:14" s="195" customFormat="1" ht="27.95" customHeight="1">
      <c r="A36" s="269" t="s">
        <v>1451</v>
      </c>
      <c r="B36" s="269" t="s">
        <v>1562</v>
      </c>
      <c r="C36" s="291" t="s">
        <v>1500</v>
      </c>
      <c r="D36" s="357" t="s">
        <v>1563</v>
      </c>
      <c r="E36" s="357" t="s">
        <v>1502</v>
      </c>
      <c r="F36" s="357" t="s">
        <v>1555</v>
      </c>
      <c r="G36" s="357" t="s">
        <v>1555</v>
      </c>
      <c r="H36" s="269" t="s">
        <v>1505</v>
      </c>
      <c r="I36" s="292">
        <v>300000</v>
      </c>
      <c r="J36" s="293">
        <v>1</v>
      </c>
      <c r="K36" s="292">
        <f t="shared" si="3"/>
        <v>300000</v>
      </c>
      <c r="L36" s="269"/>
    </row>
    <row r="37" spans="1:14" s="195" customFormat="1" ht="27.95" customHeight="1">
      <c r="A37" s="269" t="s">
        <v>1451</v>
      </c>
      <c r="B37" s="269" t="s">
        <v>1562</v>
      </c>
      <c r="C37" s="291" t="s">
        <v>1500</v>
      </c>
      <c r="D37" s="357" t="s">
        <v>1566</v>
      </c>
      <c r="E37" s="357" t="s">
        <v>1502</v>
      </c>
      <c r="F37" s="357" t="s">
        <v>1555</v>
      </c>
      <c r="G37" s="357" t="s">
        <v>1555</v>
      </c>
      <c r="H37" s="269" t="s">
        <v>1505</v>
      </c>
      <c r="I37" s="292">
        <v>200000</v>
      </c>
      <c r="J37" s="293">
        <v>1</v>
      </c>
      <c r="K37" s="292">
        <f t="shared" si="3"/>
        <v>200000</v>
      </c>
      <c r="L37" s="269"/>
    </row>
    <row r="38" spans="1:14" ht="27.95" customHeight="1">
      <c r="A38" s="269" t="s">
        <v>1567</v>
      </c>
      <c r="B38" s="269" t="s">
        <v>1497</v>
      </c>
      <c r="C38" s="291" t="s">
        <v>1514</v>
      </c>
      <c r="D38" s="357" t="s">
        <v>1568</v>
      </c>
      <c r="E38" s="357" t="s">
        <v>1516</v>
      </c>
      <c r="F38" s="357" t="s">
        <v>1516</v>
      </c>
      <c r="G38" s="357" t="s">
        <v>1516</v>
      </c>
      <c r="H38" s="269" t="s">
        <v>1505</v>
      </c>
      <c r="I38" s="292">
        <v>1268838</v>
      </c>
      <c r="J38" s="293">
        <v>1</v>
      </c>
      <c r="K38" s="292">
        <f t="shared" si="3"/>
        <v>1268838</v>
      </c>
      <c r="L38" s="291" t="s">
        <v>1656</v>
      </c>
    </row>
    <row r="39" spans="1:14" s="195" customFormat="1" ht="27.95" customHeight="1">
      <c r="A39" s="269" t="s">
        <v>1567</v>
      </c>
      <c r="B39" s="269" t="s">
        <v>1497</v>
      </c>
      <c r="C39" s="291" t="s">
        <v>1500</v>
      </c>
      <c r="D39" s="357" t="s">
        <v>1568</v>
      </c>
      <c r="E39" s="357" t="s">
        <v>1502</v>
      </c>
      <c r="F39" s="357" t="s">
        <v>1569</v>
      </c>
      <c r="G39" s="357" t="s">
        <v>1570</v>
      </c>
      <c r="H39" s="269" t="s">
        <v>1505</v>
      </c>
      <c r="I39" s="292">
        <v>8000</v>
      </c>
      <c r="J39" s="293">
        <v>32</v>
      </c>
      <c r="K39" s="292">
        <f t="shared" si="3"/>
        <v>256000</v>
      </c>
      <c r="L39" s="269"/>
    </row>
    <row r="40" spans="1:14" s="195" customFormat="1" ht="27.95" customHeight="1">
      <c r="A40" s="269" t="s">
        <v>1571</v>
      </c>
      <c r="B40" s="269" t="s">
        <v>1518</v>
      </c>
      <c r="C40" s="291" t="s">
        <v>1490</v>
      </c>
      <c r="D40" s="357" t="s">
        <v>1572</v>
      </c>
      <c r="E40" s="357" t="s">
        <v>1492</v>
      </c>
      <c r="F40" s="357" t="s">
        <v>1492</v>
      </c>
      <c r="G40" s="357" t="s">
        <v>1499</v>
      </c>
      <c r="H40" s="269" t="s">
        <v>1494</v>
      </c>
      <c r="I40" s="292">
        <v>250200</v>
      </c>
      <c r="J40" s="293">
        <v>1</v>
      </c>
      <c r="K40" s="292">
        <f t="shared" si="3"/>
        <v>250200</v>
      </c>
      <c r="L40" s="269" t="s">
        <v>1495</v>
      </c>
    </row>
    <row r="41" spans="1:14" s="298" customFormat="1" ht="27.95" customHeight="1">
      <c r="A41" s="75" t="s">
        <v>1571</v>
      </c>
      <c r="B41" s="269" t="s">
        <v>1497</v>
      </c>
      <c r="C41" s="137" t="s">
        <v>1500</v>
      </c>
      <c r="D41" s="161" t="s">
        <v>1573</v>
      </c>
      <c r="E41" s="161" t="s">
        <v>1502</v>
      </c>
      <c r="F41" s="161" t="s">
        <v>1574</v>
      </c>
      <c r="G41" s="161" t="s">
        <v>1575</v>
      </c>
      <c r="H41" s="75" t="s">
        <v>1505</v>
      </c>
      <c r="I41" s="296">
        <v>255600</v>
      </c>
      <c r="J41" s="297">
        <v>1</v>
      </c>
      <c r="K41" s="296">
        <f t="shared" si="3"/>
        <v>255600</v>
      </c>
      <c r="L41" s="75"/>
    </row>
    <row r="42" spans="1:14" s="195" customFormat="1" ht="27.95" customHeight="1">
      <c r="A42" s="269" t="s">
        <v>1571</v>
      </c>
      <c r="B42" s="269" t="s">
        <v>1497</v>
      </c>
      <c r="C42" s="291" t="s">
        <v>1500</v>
      </c>
      <c r="D42" s="357" t="s">
        <v>1573</v>
      </c>
      <c r="E42" s="357" t="s">
        <v>1502</v>
      </c>
      <c r="F42" s="357" t="s">
        <v>1576</v>
      </c>
      <c r="G42" s="357" t="s">
        <v>1577</v>
      </c>
      <c r="H42" s="269" t="s">
        <v>1505</v>
      </c>
      <c r="I42" s="292">
        <v>150000</v>
      </c>
      <c r="J42" s="293">
        <v>1</v>
      </c>
      <c r="K42" s="292">
        <f t="shared" si="3"/>
        <v>150000</v>
      </c>
      <c r="L42" s="269"/>
    </row>
    <row r="43" spans="1:14" s="195" customFormat="1" ht="27.95" customHeight="1">
      <c r="A43" s="269" t="s">
        <v>1571</v>
      </c>
      <c r="B43" s="269" t="s">
        <v>1497</v>
      </c>
      <c r="C43" s="291" t="s">
        <v>1500</v>
      </c>
      <c r="D43" s="357" t="s">
        <v>1573</v>
      </c>
      <c r="E43" s="357" t="s">
        <v>1502</v>
      </c>
      <c r="F43" s="357" t="s">
        <v>1510</v>
      </c>
      <c r="G43" s="357" t="s">
        <v>1578</v>
      </c>
      <c r="H43" s="269" t="s">
        <v>1512</v>
      </c>
      <c r="I43" s="292">
        <v>7000</v>
      </c>
      <c r="J43" s="293">
        <v>2</v>
      </c>
      <c r="K43" s="292">
        <f t="shared" si="3"/>
        <v>14000</v>
      </c>
      <c r="L43" s="269"/>
    </row>
    <row r="44" spans="1:14" s="195" customFormat="1" ht="27.95" customHeight="1">
      <c r="A44" s="269" t="s">
        <v>1571</v>
      </c>
      <c r="B44" s="269" t="s">
        <v>1518</v>
      </c>
      <c r="C44" s="291" t="s">
        <v>1500</v>
      </c>
      <c r="D44" s="357" t="s">
        <v>1579</v>
      </c>
      <c r="E44" s="357" t="s">
        <v>1502</v>
      </c>
      <c r="F44" s="357" t="s">
        <v>1510</v>
      </c>
      <c r="G44" s="357" t="s">
        <v>1580</v>
      </c>
      <c r="H44" s="269" t="s">
        <v>1512</v>
      </c>
      <c r="I44" s="292">
        <v>11000</v>
      </c>
      <c r="J44" s="293">
        <v>4</v>
      </c>
      <c r="K44" s="292">
        <f t="shared" si="3"/>
        <v>44000</v>
      </c>
      <c r="L44" s="269"/>
    </row>
    <row r="45" spans="1:14" s="195" customFormat="1" ht="27.95" customHeight="1">
      <c r="A45" s="269" t="s">
        <v>1571</v>
      </c>
      <c r="B45" s="269" t="s">
        <v>1518</v>
      </c>
      <c r="C45" s="291" t="s">
        <v>1500</v>
      </c>
      <c r="D45" s="357" t="s">
        <v>1579</v>
      </c>
      <c r="E45" s="357" t="s">
        <v>1502</v>
      </c>
      <c r="F45" s="357" t="s">
        <v>1550</v>
      </c>
      <c r="G45" s="357" t="s">
        <v>1550</v>
      </c>
      <c r="H45" s="269" t="s">
        <v>1505</v>
      </c>
      <c r="I45" s="292">
        <v>360000</v>
      </c>
      <c r="J45" s="293">
        <v>1</v>
      </c>
      <c r="K45" s="292">
        <f t="shared" si="3"/>
        <v>360000</v>
      </c>
      <c r="L45" s="269"/>
    </row>
    <row r="46" spans="1:14" s="195" customFormat="1" ht="27.95" customHeight="1">
      <c r="A46" s="269" t="s">
        <v>1571</v>
      </c>
      <c r="B46" s="269" t="s">
        <v>1518</v>
      </c>
      <c r="C46" s="291" t="s">
        <v>1500</v>
      </c>
      <c r="D46" s="357" t="s">
        <v>1579</v>
      </c>
      <c r="E46" s="357" t="s">
        <v>1502</v>
      </c>
      <c r="F46" s="357" t="s">
        <v>1581</v>
      </c>
      <c r="G46" s="357" t="s">
        <v>1582</v>
      </c>
      <c r="H46" s="269" t="s">
        <v>1583</v>
      </c>
      <c r="I46" s="292">
        <v>3500</v>
      </c>
      <c r="J46" s="293">
        <v>27</v>
      </c>
      <c r="K46" s="292">
        <f t="shared" si="3"/>
        <v>94500</v>
      </c>
      <c r="L46" s="269"/>
    </row>
    <row r="47" spans="1:14" s="195" customFormat="1" ht="27.95" customHeight="1">
      <c r="A47" s="261" t="s">
        <v>952</v>
      </c>
      <c r="B47" s="269"/>
      <c r="C47" s="291"/>
      <c r="D47" s="357"/>
      <c r="E47" s="357"/>
      <c r="F47" s="357"/>
      <c r="G47" s="357"/>
      <c r="H47" s="269"/>
      <c r="I47" s="292"/>
      <c r="J47" s="293"/>
      <c r="K47" s="292">
        <f>SUBTOTAL(9,K31:K46)</f>
        <v>3920138</v>
      </c>
      <c r="L47" s="269"/>
    </row>
    <row r="48" spans="1:14" s="195" customFormat="1" ht="27.95" customHeight="1">
      <c r="A48" s="541" t="s">
        <v>1584</v>
      </c>
      <c r="B48" s="541" t="s">
        <v>1553</v>
      </c>
      <c r="C48" s="542" t="s">
        <v>1585</v>
      </c>
      <c r="D48" s="543" t="s">
        <v>1586</v>
      </c>
      <c r="E48" s="543" t="s">
        <v>1587</v>
      </c>
      <c r="F48" s="543" t="s">
        <v>1587</v>
      </c>
      <c r="G48" s="543" t="s">
        <v>1587</v>
      </c>
      <c r="H48" s="541" t="s">
        <v>1505</v>
      </c>
      <c r="I48" s="544">
        <v>1448100</v>
      </c>
      <c r="J48" s="545">
        <v>1</v>
      </c>
      <c r="K48" s="544">
        <f t="shared" ref="K48:K59" si="4">I48*J48</f>
        <v>1448100</v>
      </c>
      <c r="L48" s="541" t="s">
        <v>2139</v>
      </c>
      <c r="N48" s="540"/>
    </row>
    <row r="49" spans="1:12" s="195" customFormat="1" ht="27.95" customHeight="1">
      <c r="A49" s="269" t="s">
        <v>1447</v>
      </c>
      <c r="B49" s="269" t="s">
        <v>1562</v>
      </c>
      <c r="C49" s="291" t="s">
        <v>1490</v>
      </c>
      <c r="D49" s="357" t="s">
        <v>1588</v>
      </c>
      <c r="E49" s="357" t="s">
        <v>1492</v>
      </c>
      <c r="F49" s="357" t="s">
        <v>1492</v>
      </c>
      <c r="G49" s="357" t="s">
        <v>1493</v>
      </c>
      <c r="H49" s="269" t="s">
        <v>1494</v>
      </c>
      <c r="I49" s="292">
        <v>147900</v>
      </c>
      <c r="J49" s="293">
        <v>1</v>
      </c>
      <c r="K49" s="292">
        <f t="shared" si="4"/>
        <v>147900</v>
      </c>
      <c r="L49" s="269" t="s">
        <v>1495</v>
      </c>
    </row>
    <row r="50" spans="1:12" s="195" customFormat="1" ht="27.95" customHeight="1">
      <c r="A50" s="269" t="s">
        <v>1584</v>
      </c>
      <c r="B50" s="269" t="s">
        <v>1497</v>
      </c>
      <c r="C50" s="291" t="s">
        <v>1514</v>
      </c>
      <c r="D50" s="357" t="s">
        <v>1589</v>
      </c>
      <c r="E50" s="357" t="s">
        <v>1516</v>
      </c>
      <c r="F50" s="357" t="s">
        <v>1516</v>
      </c>
      <c r="G50" s="357" t="s">
        <v>1516</v>
      </c>
      <c r="H50" s="269" t="s">
        <v>1505</v>
      </c>
      <c r="I50" s="292">
        <v>1738238</v>
      </c>
      <c r="J50" s="293">
        <v>1</v>
      </c>
      <c r="K50" s="292">
        <f t="shared" si="4"/>
        <v>1738238</v>
      </c>
      <c r="L50" s="291" t="s">
        <v>1682</v>
      </c>
    </row>
    <row r="51" spans="1:12" s="195" customFormat="1" ht="27.95" customHeight="1">
      <c r="A51" s="269" t="s">
        <v>1590</v>
      </c>
      <c r="B51" s="269" t="s">
        <v>1497</v>
      </c>
      <c r="C51" s="291" t="s">
        <v>1500</v>
      </c>
      <c r="D51" s="357" t="s">
        <v>1589</v>
      </c>
      <c r="E51" s="357" t="s">
        <v>1502</v>
      </c>
      <c r="F51" s="357" t="s">
        <v>1510</v>
      </c>
      <c r="G51" s="357" t="s">
        <v>1591</v>
      </c>
      <c r="H51" s="269" t="s">
        <v>1512</v>
      </c>
      <c r="I51" s="292">
        <v>7000</v>
      </c>
      <c r="J51" s="293">
        <v>10</v>
      </c>
      <c r="K51" s="292">
        <f t="shared" si="4"/>
        <v>70000</v>
      </c>
      <c r="L51" s="269"/>
    </row>
    <row r="52" spans="1:12" s="195" customFormat="1" ht="27.95" customHeight="1">
      <c r="A52" s="269" t="s">
        <v>1584</v>
      </c>
      <c r="B52" s="269" t="s">
        <v>1518</v>
      </c>
      <c r="C52" s="291" t="s">
        <v>1490</v>
      </c>
      <c r="D52" s="357" t="s">
        <v>1592</v>
      </c>
      <c r="E52" s="357" t="s">
        <v>1492</v>
      </c>
      <c r="F52" s="357" t="s">
        <v>1492</v>
      </c>
      <c r="G52" s="357" t="s">
        <v>1493</v>
      </c>
      <c r="H52" s="269" t="s">
        <v>1494</v>
      </c>
      <c r="I52" s="292">
        <v>147900</v>
      </c>
      <c r="J52" s="293">
        <v>1</v>
      </c>
      <c r="K52" s="292">
        <f t="shared" si="4"/>
        <v>147900</v>
      </c>
      <c r="L52" s="269" t="s">
        <v>1495</v>
      </c>
    </row>
    <row r="53" spans="1:12" s="195" customFormat="1" ht="27.95" customHeight="1">
      <c r="A53" s="269" t="s">
        <v>1584</v>
      </c>
      <c r="B53" s="269" t="s">
        <v>1518</v>
      </c>
      <c r="C53" s="291" t="s">
        <v>1500</v>
      </c>
      <c r="D53" s="357" t="s">
        <v>1593</v>
      </c>
      <c r="E53" s="357" t="s">
        <v>1502</v>
      </c>
      <c r="F53" s="357" t="s">
        <v>1594</v>
      </c>
      <c r="G53" s="357" t="s">
        <v>1594</v>
      </c>
      <c r="H53" s="269" t="s">
        <v>1505</v>
      </c>
      <c r="I53" s="292">
        <v>150000</v>
      </c>
      <c r="J53" s="293">
        <v>1</v>
      </c>
      <c r="K53" s="292">
        <f t="shared" si="4"/>
        <v>150000</v>
      </c>
      <c r="L53" s="269"/>
    </row>
    <row r="54" spans="1:12" s="195" customFormat="1" ht="27.95" customHeight="1">
      <c r="A54" s="269" t="s">
        <v>1584</v>
      </c>
      <c r="B54" s="269" t="s">
        <v>1518</v>
      </c>
      <c r="C54" s="291" t="s">
        <v>1500</v>
      </c>
      <c r="D54" s="357" t="s">
        <v>1593</v>
      </c>
      <c r="E54" s="357" t="s">
        <v>1502</v>
      </c>
      <c r="F54" s="357" t="s">
        <v>1510</v>
      </c>
      <c r="G54" s="357" t="s">
        <v>1580</v>
      </c>
      <c r="H54" s="269" t="s">
        <v>1512</v>
      </c>
      <c r="I54" s="292">
        <v>11000</v>
      </c>
      <c r="J54" s="293">
        <v>8</v>
      </c>
      <c r="K54" s="292">
        <f t="shared" si="4"/>
        <v>88000</v>
      </c>
      <c r="L54" s="269"/>
    </row>
    <row r="55" spans="1:12" s="195" customFormat="1" ht="27.95" customHeight="1">
      <c r="A55" s="269" t="s">
        <v>1590</v>
      </c>
      <c r="B55" s="269" t="s">
        <v>1518</v>
      </c>
      <c r="C55" s="291" t="s">
        <v>1500</v>
      </c>
      <c r="D55" s="357" t="s">
        <v>1593</v>
      </c>
      <c r="E55" s="357" t="s">
        <v>1502</v>
      </c>
      <c r="F55" s="357" t="s">
        <v>1595</v>
      </c>
      <c r="G55" s="357" t="s">
        <v>1596</v>
      </c>
      <c r="H55" s="269" t="s">
        <v>1505</v>
      </c>
      <c r="I55" s="292">
        <v>50000</v>
      </c>
      <c r="J55" s="293">
        <v>1</v>
      </c>
      <c r="K55" s="292">
        <f t="shared" si="4"/>
        <v>50000</v>
      </c>
      <c r="L55" s="269"/>
    </row>
    <row r="56" spans="1:12" ht="27.95" customHeight="1">
      <c r="A56" s="269" t="s">
        <v>1590</v>
      </c>
      <c r="B56" s="269" t="s">
        <v>1518</v>
      </c>
      <c r="C56" s="291" t="s">
        <v>1500</v>
      </c>
      <c r="D56" s="357" t="s">
        <v>1597</v>
      </c>
      <c r="E56" s="357" t="s">
        <v>1502</v>
      </c>
      <c r="F56" s="357" t="s">
        <v>1510</v>
      </c>
      <c r="G56" s="357" t="s">
        <v>1580</v>
      </c>
      <c r="H56" s="269" t="s">
        <v>1512</v>
      </c>
      <c r="I56" s="292">
        <v>11000</v>
      </c>
      <c r="J56" s="293">
        <v>6</v>
      </c>
      <c r="K56" s="292">
        <f t="shared" si="4"/>
        <v>66000</v>
      </c>
      <c r="L56" s="269"/>
    </row>
    <row r="57" spans="1:12" ht="27.95" customHeight="1">
      <c r="A57" s="269" t="s">
        <v>1590</v>
      </c>
      <c r="B57" s="269" t="s">
        <v>1518</v>
      </c>
      <c r="C57" s="291" t="s">
        <v>1500</v>
      </c>
      <c r="D57" s="357" t="s">
        <v>1597</v>
      </c>
      <c r="E57" s="357" t="s">
        <v>1502</v>
      </c>
      <c r="F57" s="357" t="s">
        <v>1598</v>
      </c>
      <c r="G57" s="357" t="s">
        <v>1599</v>
      </c>
      <c r="H57" s="269" t="s">
        <v>1505</v>
      </c>
      <c r="I57" s="292">
        <v>50000</v>
      </c>
      <c r="J57" s="293">
        <v>1</v>
      </c>
      <c r="K57" s="292">
        <f t="shared" si="4"/>
        <v>50000</v>
      </c>
      <c r="L57" s="269"/>
    </row>
    <row r="58" spans="1:12" s="195" customFormat="1" ht="27.95" customHeight="1">
      <c r="A58" s="269" t="s">
        <v>1590</v>
      </c>
      <c r="B58" s="269" t="s">
        <v>1518</v>
      </c>
      <c r="C58" s="291" t="s">
        <v>1500</v>
      </c>
      <c r="D58" s="357" t="s">
        <v>1597</v>
      </c>
      <c r="E58" s="357" t="s">
        <v>1502</v>
      </c>
      <c r="F58" s="357" t="s">
        <v>1600</v>
      </c>
      <c r="G58" s="357" t="s">
        <v>1601</v>
      </c>
      <c r="H58" s="269" t="s">
        <v>1529</v>
      </c>
      <c r="I58" s="292">
        <v>18000</v>
      </c>
      <c r="J58" s="293">
        <v>4</v>
      </c>
      <c r="K58" s="292">
        <f t="shared" si="4"/>
        <v>72000</v>
      </c>
      <c r="L58" s="269"/>
    </row>
    <row r="59" spans="1:12" s="299" customFormat="1" ht="27.95" customHeight="1">
      <c r="A59" s="269" t="s">
        <v>1602</v>
      </c>
      <c r="B59" s="269" t="s">
        <v>1524</v>
      </c>
      <c r="C59" s="291" t="s">
        <v>1525</v>
      </c>
      <c r="D59" s="357" t="s">
        <v>1603</v>
      </c>
      <c r="E59" s="357" t="s">
        <v>1520</v>
      </c>
      <c r="F59" s="357" t="s">
        <v>1541</v>
      </c>
      <c r="G59" s="357" t="s">
        <v>1542</v>
      </c>
      <c r="H59" s="269" t="s">
        <v>1537</v>
      </c>
      <c r="I59" s="292">
        <v>6000</v>
      </c>
      <c r="J59" s="293">
        <v>40</v>
      </c>
      <c r="K59" s="292">
        <f t="shared" si="4"/>
        <v>240000</v>
      </c>
      <c r="L59" s="269"/>
    </row>
    <row r="60" spans="1:12" s="300" customFormat="1" ht="27.95" customHeight="1">
      <c r="A60" s="75" t="s">
        <v>1604</v>
      </c>
      <c r="B60" s="75" t="s">
        <v>1524</v>
      </c>
      <c r="C60" s="137" t="s">
        <v>1605</v>
      </c>
      <c r="D60" s="161" t="s">
        <v>1606</v>
      </c>
      <c r="E60" s="161" t="s">
        <v>1607</v>
      </c>
      <c r="F60" s="161" t="s">
        <v>1607</v>
      </c>
      <c r="G60" s="161" t="s">
        <v>1607</v>
      </c>
      <c r="H60" s="75" t="s">
        <v>1522</v>
      </c>
      <c r="I60" s="296">
        <v>470000</v>
      </c>
      <c r="J60" s="297">
        <v>1</v>
      </c>
      <c r="K60" s="296">
        <v>0</v>
      </c>
      <c r="L60" s="75" t="s">
        <v>1608</v>
      </c>
    </row>
    <row r="61" spans="1:12" s="300" customFormat="1" ht="27.95" customHeight="1">
      <c r="A61" s="301" t="s">
        <v>948</v>
      </c>
      <c r="B61" s="75"/>
      <c r="C61" s="137"/>
      <c r="D61" s="161"/>
      <c r="E61" s="161"/>
      <c r="F61" s="161"/>
      <c r="G61" s="161"/>
      <c r="H61" s="75"/>
      <c r="I61" s="296"/>
      <c r="J61" s="297"/>
      <c r="K61" s="296">
        <f>SUBTOTAL(9,K48:K60)</f>
        <v>4268138</v>
      </c>
      <c r="L61" s="75"/>
    </row>
    <row r="62" spans="1:12" s="195" customFormat="1" ht="27.95" customHeight="1">
      <c r="A62" s="269" t="s">
        <v>1609</v>
      </c>
      <c r="B62" s="269" t="s">
        <v>1610</v>
      </c>
      <c r="C62" s="291" t="s">
        <v>1611</v>
      </c>
      <c r="D62" s="357" t="s">
        <v>1612</v>
      </c>
      <c r="E62" s="357" t="s">
        <v>1613</v>
      </c>
      <c r="F62" s="357" t="s">
        <v>1613</v>
      </c>
      <c r="G62" s="357" t="s">
        <v>1613</v>
      </c>
      <c r="H62" s="269" t="s">
        <v>1522</v>
      </c>
      <c r="I62" s="292">
        <v>1923100</v>
      </c>
      <c r="J62" s="293">
        <v>1</v>
      </c>
      <c r="K62" s="292">
        <f>I62*J62</f>
        <v>1923100</v>
      </c>
      <c r="L62" s="269" t="s">
        <v>1614</v>
      </c>
    </row>
    <row r="63" spans="1:12" s="195" customFormat="1" ht="27.95" customHeight="1">
      <c r="A63" s="261" t="s">
        <v>947</v>
      </c>
      <c r="B63" s="269"/>
      <c r="C63" s="291"/>
      <c r="D63" s="357"/>
      <c r="E63" s="357"/>
      <c r="F63" s="357"/>
      <c r="G63" s="357"/>
      <c r="H63" s="269"/>
      <c r="I63" s="292"/>
      <c r="J63" s="293"/>
      <c r="K63" s="292">
        <f>SUBTOTAL(9,K62:K62)</f>
        <v>1923100</v>
      </c>
      <c r="L63" s="269"/>
    </row>
    <row r="64" spans="1:12" s="195" customFormat="1" ht="27.95" customHeight="1">
      <c r="A64" s="269" t="s">
        <v>1450</v>
      </c>
      <c r="B64" s="269" t="s">
        <v>1610</v>
      </c>
      <c r="C64" s="291" t="s">
        <v>1525</v>
      </c>
      <c r="D64" s="357" t="s">
        <v>1615</v>
      </c>
      <c r="E64" s="357" t="s">
        <v>1520</v>
      </c>
      <c r="F64" s="357" t="s">
        <v>1526</v>
      </c>
      <c r="G64" s="357" t="s">
        <v>1526</v>
      </c>
      <c r="H64" s="269" t="s">
        <v>1522</v>
      </c>
      <c r="I64" s="292">
        <v>160000</v>
      </c>
      <c r="J64" s="293">
        <v>1</v>
      </c>
      <c r="K64" s="292">
        <f>I64*J64</f>
        <v>160000</v>
      </c>
      <c r="L64" s="269"/>
    </row>
    <row r="65" spans="1:12" s="195" customFormat="1" ht="27.95" customHeight="1">
      <c r="A65" s="269" t="s">
        <v>1616</v>
      </c>
      <c r="B65" s="269" t="s">
        <v>1531</v>
      </c>
      <c r="C65" s="291" t="s">
        <v>1532</v>
      </c>
      <c r="D65" s="357" t="s">
        <v>1617</v>
      </c>
      <c r="E65" s="357" t="s">
        <v>1618</v>
      </c>
      <c r="F65" s="357" t="s">
        <v>1510</v>
      </c>
      <c r="G65" s="357" t="s">
        <v>1511</v>
      </c>
      <c r="H65" s="269" t="s">
        <v>1512</v>
      </c>
      <c r="I65" s="292">
        <v>6000</v>
      </c>
      <c r="J65" s="293">
        <v>40</v>
      </c>
      <c r="K65" s="292">
        <f>I65*J65</f>
        <v>240000</v>
      </c>
      <c r="L65" s="269"/>
    </row>
    <row r="66" spans="1:12" s="195" customFormat="1" ht="27.95" customHeight="1">
      <c r="A66" s="269" t="s">
        <v>1619</v>
      </c>
      <c r="B66" s="269" t="s">
        <v>1562</v>
      </c>
      <c r="C66" s="291" t="s">
        <v>1620</v>
      </c>
      <c r="D66" s="357" t="s">
        <v>1617</v>
      </c>
      <c r="E66" s="357" t="s">
        <v>1621</v>
      </c>
      <c r="F66" s="357" t="s">
        <v>1622</v>
      </c>
      <c r="G66" s="357" t="s">
        <v>1622</v>
      </c>
      <c r="H66" s="269" t="s">
        <v>1505</v>
      </c>
      <c r="I66" s="292">
        <v>350000</v>
      </c>
      <c r="J66" s="293">
        <v>1</v>
      </c>
      <c r="K66" s="292">
        <f>I66*J66</f>
        <v>350000</v>
      </c>
      <c r="L66" s="269"/>
    </row>
    <row r="67" spans="1:12" s="195" customFormat="1" ht="27.95" customHeight="1">
      <c r="A67" s="261" t="s">
        <v>953</v>
      </c>
      <c r="B67" s="269"/>
      <c r="C67" s="291"/>
      <c r="D67" s="357"/>
      <c r="E67" s="357"/>
      <c r="F67" s="357"/>
      <c r="G67" s="357"/>
      <c r="H67" s="269"/>
      <c r="I67" s="292"/>
      <c r="J67" s="293"/>
      <c r="K67" s="292">
        <f>SUBTOTAL(9,K64:K66)</f>
        <v>750000</v>
      </c>
      <c r="L67" s="269"/>
    </row>
    <row r="68" spans="1:12" s="195" customFormat="1" ht="27.95" customHeight="1">
      <c r="A68" s="269" t="s">
        <v>1449</v>
      </c>
      <c r="B68" s="269" t="s">
        <v>1553</v>
      </c>
      <c r="C68" s="291" t="s">
        <v>1500</v>
      </c>
      <c r="D68" s="357" t="s">
        <v>1623</v>
      </c>
      <c r="E68" s="357" t="s">
        <v>1502</v>
      </c>
      <c r="F68" s="357" t="s">
        <v>1555</v>
      </c>
      <c r="G68" s="357" t="s">
        <v>1555</v>
      </c>
      <c r="H68" s="269" t="s">
        <v>1505</v>
      </c>
      <c r="I68" s="292">
        <v>90000</v>
      </c>
      <c r="J68" s="293">
        <v>1</v>
      </c>
      <c r="K68" s="292">
        <f t="shared" ref="K68:K88" si="5">I68*J68</f>
        <v>90000</v>
      </c>
      <c r="L68" s="269"/>
    </row>
    <row r="69" spans="1:12" s="195" customFormat="1" ht="27.95" customHeight="1">
      <c r="A69" s="541" t="s">
        <v>1449</v>
      </c>
      <c r="B69" s="541" t="s">
        <v>460</v>
      </c>
      <c r="C69" s="542" t="s">
        <v>1460</v>
      </c>
      <c r="D69" s="543" t="s">
        <v>1623</v>
      </c>
      <c r="E69" s="543" t="s">
        <v>1502</v>
      </c>
      <c r="F69" s="543" t="s">
        <v>1469</v>
      </c>
      <c r="G69" s="543" t="s">
        <v>2137</v>
      </c>
      <c r="H69" s="541" t="s">
        <v>1512</v>
      </c>
      <c r="I69" s="544">
        <v>11000</v>
      </c>
      <c r="J69" s="545">
        <v>8</v>
      </c>
      <c r="K69" s="544">
        <f t="shared" si="5"/>
        <v>88000</v>
      </c>
      <c r="L69" s="541" t="s">
        <v>2138</v>
      </c>
    </row>
    <row r="70" spans="1:12" s="195" customFormat="1" ht="27.95" customHeight="1">
      <c r="A70" s="269" t="s">
        <v>1449</v>
      </c>
      <c r="B70" s="269" t="s">
        <v>1553</v>
      </c>
      <c r="C70" s="291" t="s">
        <v>1500</v>
      </c>
      <c r="D70" s="357" t="s">
        <v>1624</v>
      </c>
      <c r="E70" s="357" t="s">
        <v>1502</v>
      </c>
      <c r="F70" s="357" t="s">
        <v>1555</v>
      </c>
      <c r="G70" s="357" t="s">
        <v>1555</v>
      </c>
      <c r="H70" s="269" t="s">
        <v>1505</v>
      </c>
      <c r="I70" s="292">
        <v>260000</v>
      </c>
      <c r="J70" s="293">
        <v>1</v>
      </c>
      <c r="K70" s="292">
        <f t="shared" si="5"/>
        <v>260000</v>
      </c>
      <c r="L70" s="269"/>
    </row>
    <row r="71" spans="1:12" s="195" customFormat="1" ht="27.95" customHeight="1">
      <c r="A71" s="269" t="s">
        <v>1625</v>
      </c>
      <c r="B71" s="269" t="s">
        <v>1562</v>
      </c>
      <c r="C71" s="291" t="s">
        <v>1507</v>
      </c>
      <c r="D71" s="357" t="s">
        <v>1626</v>
      </c>
      <c r="E71" s="357" t="s">
        <v>1627</v>
      </c>
      <c r="F71" s="357" t="s">
        <v>1510</v>
      </c>
      <c r="G71" s="357" t="s">
        <v>1628</v>
      </c>
      <c r="H71" s="269" t="s">
        <v>1512</v>
      </c>
      <c r="I71" s="292">
        <v>7000</v>
      </c>
      <c r="J71" s="293">
        <v>13</v>
      </c>
      <c r="K71" s="292">
        <f t="shared" si="5"/>
        <v>91000</v>
      </c>
      <c r="L71" s="269"/>
    </row>
    <row r="72" spans="1:12" s="195" customFormat="1" ht="27.95" customHeight="1">
      <c r="A72" s="269" t="s">
        <v>1629</v>
      </c>
      <c r="B72" s="269" t="s">
        <v>1562</v>
      </c>
      <c r="C72" s="291" t="s">
        <v>1507</v>
      </c>
      <c r="D72" s="357" t="s">
        <v>1630</v>
      </c>
      <c r="E72" s="357" t="s">
        <v>1631</v>
      </c>
      <c r="F72" s="357" t="s">
        <v>1510</v>
      </c>
      <c r="G72" s="357" t="s">
        <v>1628</v>
      </c>
      <c r="H72" s="269" t="s">
        <v>1512</v>
      </c>
      <c r="I72" s="292">
        <v>7000</v>
      </c>
      <c r="J72" s="293">
        <v>9</v>
      </c>
      <c r="K72" s="292">
        <f t="shared" si="5"/>
        <v>63000</v>
      </c>
      <c r="L72" s="269"/>
    </row>
    <row r="73" spans="1:12" s="195" customFormat="1" ht="27.95" customHeight="1">
      <c r="A73" s="269" t="s">
        <v>1449</v>
      </c>
      <c r="B73" s="269" t="s">
        <v>1562</v>
      </c>
      <c r="C73" s="291" t="s">
        <v>1490</v>
      </c>
      <c r="D73" s="357" t="s">
        <v>1632</v>
      </c>
      <c r="E73" s="357" t="s">
        <v>1492</v>
      </c>
      <c r="F73" s="357" t="s">
        <v>1492</v>
      </c>
      <c r="G73" s="357" t="s">
        <v>1493</v>
      </c>
      <c r="H73" s="269" t="s">
        <v>1494</v>
      </c>
      <c r="I73" s="292">
        <v>147900</v>
      </c>
      <c r="J73" s="293">
        <v>1</v>
      </c>
      <c r="K73" s="292">
        <f t="shared" si="5"/>
        <v>147900</v>
      </c>
      <c r="L73" s="269" t="s">
        <v>1495</v>
      </c>
    </row>
    <row r="74" spans="1:12" s="195" customFormat="1" ht="27.95" customHeight="1">
      <c r="A74" s="269" t="s">
        <v>1629</v>
      </c>
      <c r="B74" s="269" t="s">
        <v>1497</v>
      </c>
      <c r="C74" s="291" t="s">
        <v>1500</v>
      </c>
      <c r="D74" s="357" t="s">
        <v>1633</v>
      </c>
      <c r="E74" s="357" t="s">
        <v>1520</v>
      </c>
      <c r="F74" s="357" t="s">
        <v>1634</v>
      </c>
      <c r="G74" s="357" t="s">
        <v>1634</v>
      </c>
      <c r="H74" s="269" t="s">
        <v>1522</v>
      </c>
      <c r="I74" s="292">
        <v>400000</v>
      </c>
      <c r="J74" s="293">
        <v>1</v>
      </c>
      <c r="K74" s="292">
        <f t="shared" si="5"/>
        <v>400000</v>
      </c>
      <c r="L74" s="269"/>
    </row>
    <row r="75" spans="1:12" s="195" customFormat="1" ht="27.95" customHeight="1">
      <c r="A75" s="269" t="s">
        <v>1449</v>
      </c>
      <c r="B75" s="269" t="s">
        <v>1539</v>
      </c>
      <c r="C75" s="291" t="s">
        <v>1525</v>
      </c>
      <c r="D75" s="357" t="s">
        <v>1633</v>
      </c>
      <c r="E75" s="357" t="s">
        <v>1520</v>
      </c>
      <c r="F75" s="357" t="s">
        <v>1535</v>
      </c>
      <c r="G75" s="357" t="s">
        <v>1635</v>
      </c>
      <c r="H75" s="269" t="s">
        <v>1512</v>
      </c>
      <c r="I75" s="292">
        <v>7000</v>
      </c>
      <c r="J75" s="293">
        <v>10</v>
      </c>
      <c r="K75" s="292">
        <f t="shared" si="5"/>
        <v>70000</v>
      </c>
      <c r="L75" s="269"/>
    </row>
    <row r="76" spans="1:12" s="195" customFormat="1" ht="27.95" customHeight="1">
      <c r="A76" s="269" t="s">
        <v>1449</v>
      </c>
      <c r="B76" s="269" t="s">
        <v>1497</v>
      </c>
      <c r="C76" s="291" t="s">
        <v>1500</v>
      </c>
      <c r="D76" s="357" t="s">
        <v>1636</v>
      </c>
      <c r="E76" s="357" t="s">
        <v>1502</v>
      </c>
      <c r="F76" s="357" t="s">
        <v>1510</v>
      </c>
      <c r="G76" s="357" t="s">
        <v>1580</v>
      </c>
      <c r="H76" s="269" t="s">
        <v>1512</v>
      </c>
      <c r="I76" s="292">
        <v>11000</v>
      </c>
      <c r="J76" s="293">
        <v>12</v>
      </c>
      <c r="K76" s="292">
        <f t="shared" si="5"/>
        <v>132000</v>
      </c>
      <c r="L76" s="269"/>
    </row>
    <row r="77" spans="1:12" s="195" customFormat="1" ht="27.95" customHeight="1">
      <c r="A77" s="269" t="s">
        <v>1449</v>
      </c>
      <c r="B77" s="269" t="s">
        <v>1497</v>
      </c>
      <c r="C77" s="291" t="s">
        <v>1500</v>
      </c>
      <c r="D77" s="357" t="s">
        <v>1636</v>
      </c>
      <c r="E77" s="357" t="s">
        <v>1502</v>
      </c>
      <c r="F77" s="357" t="s">
        <v>1510</v>
      </c>
      <c r="G77" s="357" t="s">
        <v>1637</v>
      </c>
      <c r="H77" s="269" t="s">
        <v>1512</v>
      </c>
      <c r="I77" s="292">
        <v>12000</v>
      </c>
      <c r="J77" s="293">
        <v>14</v>
      </c>
      <c r="K77" s="292">
        <f t="shared" si="5"/>
        <v>168000</v>
      </c>
      <c r="L77" s="269"/>
    </row>
    <row r="78" spans="1:12" s="195" customFormat="1" ht="27.95" customHeight="1">
      <c r="A78" s="269" t="s">
        <v>1449</v>
      </c>
      <c r="B78" s="269" t="s">
        <v>1497</v>
      </c>
      <c r="C78" s="291" t="s">
        <v>1500</v>
      </c>
      <c r="D78" s="357" t="s">
        <v>1636</v>
      </c>
      <c r="E78" s="357" t="s">
        <v>1502</v>
      </c>
      <c r="F78" s="357" t="s">
        <v>1503</v>
      </c>
      <c r="G78" s="357" t="s">
        <v>1503</v>
      </c>
      <c r="H78" s="269" t="s">
        <v>1505</v>
      </c>
      <c r="I78" s="292">
        <v>500</v>
      </c>
      <c r="J78" s="293">
        <v>336</v>
      </c>
      <c r="K78" s="292">
        <f t="shared" si="5"/>
        <v>168000</v>
      </c>
      <c r="L78" s="269"/>
    </row>
    <row r="79" spans="1:12" s="195" customFormat="1" ht="27.95" customHeight="1">
      <c r="A79" s="269" t="s">
        <v>1449</v>
      </c>
      <c r="B79" s="269" t="s">
        <v>1497</v>
      </c>
      <c r="C79" s="291" t="s">
        <v>1500</v>
      </c>
      <c r="D79" s="357" t="s">
        <v>1636</v>
      </c>
      <c r="E79" s="357" t="s">
        <v>1502</v>
      </c>
      <c r="F79" s="357" t="s">
        <v>1638</v>
      </c>
      <c r="G79" s="357" t="s">
        <v>1639</v>
      </c>
      <c r="H79" s="269" t="s">
        <v>1505</v>
      </c>
      <c r="I79" s="292">
        <v>685900</v>
      </c>
      <c r="J79" s="293">
        <v>1</v>
      </c>
      <c r="K79" s="292">
        <f t="shared" si="5"/>
        <v>685900</v>
      </c>
      <c r="L79" s="269" t="s">
        <v>2438</v>
      </c>
    </row>
    <row r="80" spans="1:12" s="195" customFormat="1" ht="27.95" customHeight="1">
      <c r="A80" s="269" t="s">
        <v>1449</v>
      </c>
      <c r="B80" s="269" t="s">
        <v>1497</v>
      </c>
      <c r="C80" s="291" t="s">
        <v>1500</v>
      </c>
      <c r="D80" s="357" t="s">
        <v>1636</v>
      </c>
      <c r="E80" s="357" t="s">
        <v>1502</v>
      </c>
      <c r="F80" s="357" t="s">
        <v>1640</v>
      </c>
      <c r="G80" s="357" t="s">
        <v>1640</v>
      </c>
      <c r="H80" s="269" t="s">
        <v>1512</v>
      </c>
      <c r="I80" s="292">
        <v>5000</v>
      </c>
      <c r="J80" s="293">
        <v>46</v>
      </c>
      <c r="K80" s="292">
        <f t="shared" si="5"/>
        <v>230000</v>
      </c>
      <c r="L80" s="269"/>
    </row>
    <row r="81" spans="1:12" s="195" customFormat="1" ht="27.95" customHeight="1">
      <c r="A81" s="269" t="s">
        <v>1449</v>
      </c>
      <c r="B81" s="269" t="s">
        <v>1497</v>
      </c>
      <c r="C81" s="291" t="s">
        <v>1500</v>
      </c>
      <c r="D81" s="357" t="s">
        <v>1636</v>
      </c>
      <c r="E81" s="357" t="s">
        <v>1502</v>
      </c>
      <c r="F81" s="357" t="s">
        <v>1641</v>
      </c>
      <c r="G81" s="357" t="s">
        <v>1642</v>
      </c>
      <c r="H81" s="269" t="s">
        <v>1512</v>
      </c>
      <c r="I81" s="292">
        <v>6000</v>
      </c>
      <c r="J81" s="293">
        <v>34</v>
      </c>
      <c r="K81" s="292">
        <f t="shared" si="5"/>
        <v>204000</v>
      </c>
      <c r="L81" s="269"/>
    </row>
    <row r="82" spans="1:12" s="195" customFormat="1" ht="27.95" customHeight="1">
      <c r="A82" s="269" t="s">
        <v>1449</v>
      </c>
      <c r="B82" s="269" t="s">
        <v>1497</v>
      </c>
      <c r="C82" s="291" t="s">
        <v>1500</v>
      </c>
      <c r="D82" s="357" t="s">
        <v>1636</v>
      </c>
      <c r="E82" s="357" t="s">
        <v>1502</v>
      </c>
      <c r="F82" s="357" t="s">
        <v>1643</v>
      </c>
      <c r="G82" s="357" t="s">
        <v>1644</v>
      </c>
      <c r="H82" s="269" t="s">
        <v>1645</v>
      </c>
      <c r="I82" s="292">
        <v>18000</v>
      </c>
      <c r="J82" s="293">
        <v>33</v>
      </c>
      <c r="K82" s="292">
        <f t="shared" si="5"/>
        <v>594000</v>
      </c>
      <c r="L82" s="269"/>
    </row>
    <row r="83" spans="1:12" s="195" customFormat="1" ht="27.95" customHeight="1">
      <c r="A83" s="269" t="s">
        <v>1449</v>
      </c>
      <c r="B83" s="269" t="s">
        <v>1497</v>
      </c>
      <c r="C83" s="291" t="s">
        <v>1500</v>
      </c>
      <c r="D83" s="357" t="s">
        <v>1636</v>
      </c>
      <c r="E83" s="357" t="s">
        <v>1502</v>
      </c>
      <c r="F83" s="357" t="s">
        <v>1646</v>
      </c>
      <c r="G83" s="357" t="s">
        <v>1646</v>
      </c>
      <c r="H83" s="269" t="s">
        <v>1505</v>
      </c>
      <c r="I83" s="292">
        <v>150000</v>
      </c>
      <c r="J83" s="293">
        <v>1</v>
      </c>
      <c r="K83" s="292">
        <f t="shared" si="5"/>
        <v>150000</v>
      </c>
      <c r="L83" s="269"/>
    </row>
    <row r="84" spans="1:12" s="195" customFormat="1" ht="27.95" customHeight="1">
      <c r="A84" s="269" t="s">
        <v>1449</v>
      </c>
      <c r="B84" s="269" t="s">
        <v>1497</v>
      </c>
      <c r="C84" s="291" t="s">
        <v>1500</v>
      </c>
      <c r="D84" s="357" t="s">
        <v>1636</v>
      </c>
      <c r="E84" s="357" t="s">
        <v>1502</v>
      </c>
      <c r="F84" s="357" t="s">
        <v>1647</v>
      </c>
      <c r="G84" s="357" t="s">
        <v>1648</v>
      </c>
      <c r="H84" s="269" t="s">
        <v>1505</v>
      </c>
      <c r="I84" s="292">
        <v>100000</v>
      </c>
      <c r="J84" s="293">
        <v>1</v>
      </c>
      <c r="K84" s="292">
        <f t="shared" si="5"/>
        <v>100000</v>
      </c>
      <c r="L84" s="269"/>
    </row>
    <row r="85" spans="1:12" s="195" customFormat="1" ht="27.95" customHeight="1">
      <c r="A85" s="269" t="s">
        <v>1449</v>
      </c>
      <c r="B85" s="269" t="s">
        <v>1497</v>
      </c>
      <c r="C85" s="291" t="s">
        <v>1500</v>
      </c>
      <c r="D85" s="357" t="s">
        <v>1636</v>
      </c>
      <c r="E85" s="357" t="s">
        <v>1502</v>
      </c>
      <c r="F85" s="357" t="s">
        <v>1649</v>
      </c>
      <c r="G85" s="357" t="s">
        <v>1650</v>
      </c>
      <c r="H85" s="269" t="s">
        <v>1505</v>
      </c>
      <c r="I85" s="292">
        <v>860000</v>
      </c>
      <c r="J85" s="293">
        <v>1</v>
      </c>
      <c r="K85" s="292">
        <f t="shared" si="5"/>
        <v>860000</v>
      </c>
      <c r="L85" s="269" t="s">
        <v>2438</v>
      </c>
    </row>
    <row r="86" spans="1:12" s="195" customFormat="1" ht="27.95" customHeight="1">
      <c r="A86" s="269" t="s">
        <v>1449</v>
      </c>
      <c r="B86" s="269" t="s">
        <v>1497</v>
      </c>
      <c r="C86" s="291" t="s">
        <v>1500</v>
      </c>
      <c r="D86" s="357" t="s">
        <v>1636</v>
      </c>
      <c r="E86" s="357" t="s">
        <v>1502</v>
      </c>
      <c r="F86" s="357" t="s">
        <v>1651</v>
      </c>
      <c r="G86" s="357" t="s">
        <v>1651</v>
      </c>
      <c r="H86" s="269" t="s">
        <v>1505</v>
      </c>
      <c r="I86" s="292">
        <v>250000</v>
      </c>
      <c r="J86" s="293">
        <v>1</v>
      </c>
      <c r="K86" s="292">
        <f t="shared" si="5"/>
        <v>250000</v>
      </c>
      <c r="L86" s="269"/>
    </row>
    <row r="87" spans="1:12" ht="27.95" customHeight="1">
      <c r="A87" s="269" t="s">
        <v>1625</v>
      </c>
      <c r="B87" s="269" t="s">
        <v>1518</v>
      </c>
      <c r="C87" s="291" t="s">
        <v>1500</v>
      </c>
      <c r="D87" s="357" t="s">
        <v>1652</v>
      </c>
      <c r="E87" s="357" t="s">
        <v>1502</v>
      </c>
      <c r="F87" s="357" t="s">
        <v>1555</v>
      </c>
      <c r="G87" s="357" t="s">
        <v>1555</v>
      </c>
      <c r="H87" s="269" t="s">
        <v>1505</v>
      </c>
      <c r="I87" s="292">
        <v>92000</v>
      </c>
      <c r="J87" s="293">
        <v>1</v>
      </c>
      <c r="K87" s="292">
        <f t="shared" si="5"/>
        <v>92000</v>
      </c>
      <c r="L87" s="269"/>
    </row>
    <row r="88" spans="1:12" ht="27.95" customHeight="1">
      <c r="A88" s="269" t="s">
        <v>1625</v>
      </c>
      <c r="B88" s="269" t="s">
        <v>1518</v>
      </c>
      <c r="C88" s="291" t="s">
        <v>1620</v>
      </c>
      <c r="D88" s="357" t="s">
        <v>1653</v>
      </c>
      <c r="E88" s="357" t="s">
        <v>1654</v>
      </c>
      <c r="F88" s="357" t="s">
        <v>1654</v>
      </c>
      <c r="G88" s="357" t="s">
        <v>1654</v>
      </c>
      <c r="H88" s="269" t="s">
        <v>1522</v>
      </c>
      <c r="I88" s="292">
        <v>863000</v>
      </c>
      <c r="J88" s="293">
        <v>1</v>
      </c>
      <c r="K88" s="292">
        <f t="shared" si="5"/>
        <v>863000</v>
      </c>
      <c r="L88" s="269" t="s">
        <v>1614</v>
      </c>
    </row>
    <row r="89" spans="1:12" ht="27.95" customHeight="1">
      <c r="A89" s="261" t="s">
        <v>950</v>
      </c>
      <c r="B89" s="269"/>
      <c r="C89" s="291"/>
      <c r="D89" s="357"/>
      <c r="E89" s="357"/>
      <c r="F89" s="357"/>
      <c r="G89" s="357"/>
      <c r="H89" s="269"/>
      <c r="I89" s="292"/>
      <c r="J89" s="293"/>
      <c r="K89" s="292">
        <f>SUBTOTAL(9,K68:K88)</f>
        <v>5706800</v>
      </c>
      <c r="L89" s="269"/>
    </row>
    <row r="90" spans="1:12" ht="27.95" customHeight="1">
      <c r="A90" s="261" t="s">
        <v>252</v>
      </c>
      <c r="B90" s="269"/>
      <c r="C90" s="291"/>
      <c r="D90" s="357"/>
      <c r="E90" s="357"/>
      <c r="F90" s="357"/>
      <c r="G90" s="357"/>
      <c r="H90" s="269"/>
      <c r="I90" s="292"/>
      <c r="J90" s="293"/>
      <c r="K90" s="292">
        <f>SUBTOTAL(9,K3:K88)</f>
        <v>23253314</v>
      </c>
      <c r="L90" s="269"/>
    </row>
  </sheetData>
  <autoFilter ref="A2:N89"/>
  <mergeCells count="1">
    <mergeCell ref="A1:L1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Footer>第 &amp;P 页，共 &amp;N 页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8"/>
  <sheetViews>
    <sheetView workbookViewId="0">
      <selection sqref="A1:XFD1048576"/>
    </sheetView>
  </sheetViews>
  <sheetFormatPr defaultColWidth="9" defaultRowHeight="15.75"/>
  <cols>
    <col min="1" max="1" width="3.5" style="614" customWidth="1"/>
    <col min="2" max="2" width="24.875" style="554" customWidth="1"/>
    <col min="3" max="3" width="3.125" style="547" customWidth="1"/>
    <col min="4" max="4" width="22.375" style="611" customWidth="1"/>
    <col min="5" max="5" width="9.875" style="613" customWidth="1"/>
    <col min="6" max="6" width="4.625" style="547" customWidth="1"/>
    <col min="7" max="7" width="12.25" style="613" customWidth="1"/>
    <col min="8" max="8" width="18.125" style="553" customWidth="1"/>
    <col min="9" max="13" width="9" style="547"/>
    <col min="14" max="16384" width="9" style="548"/>
  </cols>
  <sheetData>
    <row r="1" spans="1:13" ht="26.25" customHeight="1">
      <c r="A1" s="828" t="s">
        <v>2140</v>
      </c>
      <c r="B1" s="829"/>
      <c r="C1" s="829"/>
      <c r="D1" s="829"/>
      <c r="E1" s="829"/>
      <c r="F1" s="829"/>
      <c r="G1" s="829"/>
      <c r="H1" s="829"/>
    </row>
    <row r="2" spans="1:13" s="550" customFormat="1" ht="12.75">
      <c r="A2" s="830" t="s">
        <v>2141</v>
      </c>
      <c r="B2" s="830" t="s">
        <v>2142</v>
      </c>
      <c r="C2" s="830" t="s">
        <v>2143</v>
      </c>
      <c r="D2" s="830" t="s">
        <v>2144</v>
      </c>
      <c r="E2" s="833" t="s">
        <v>2145</v>
      </c>
      <c r="F2" s="835" t="s">
        <v>2146</v>
      </c>
      <c r="G2" s="836"/>
      <c r="H2" s="837" t="s">
        <v>18</v>
      </c>
      <c r="I2" s="549"/>
      <c r="J2" s="549"/>
      <c r="K2" s="549"/>
      <c r="L2" s="549"/>
      <c r="M2" s="549"/>
    </row>
    <row r="3" spans="1:13" s="554" customFormat="1" ht="12.75">
      <c r="A3" s="831"/>
      <c r="B3" s="831"/>
      <c r="C3" s="831"/>
      <c r="D3" s="832"/>
      <c r="E3" s="834"/>
      <c r="F3" s="551" t="s">
        <v>2147</v>
      </c>
      <c r="G3" s="552" t="s">
        <v>2148</v>
      </c>
      <c r="H3" s="838"/>
      <c r="I3" s="553"/>
      <c r="J3" s="553"/>
      <c r="K3" s="553"/>
      <c r="L3" s="553"/>
      <c r="M3" s="553"/>
    </row>
    <row r="4" spans="1:13" s="554" customFormat="1" ht="32.450000000000003" customHeight="1">
      <c r="A4" s="555" t="s">
        <v>2149</v>
      </c>
      <c r="B4" s="556" t="s">
        <v>2150</v>
      </c>
      <c r="C4" s="557"/>
      <c r="D4" s="558"/>
      <c r="E4" s="559"/>
      <c r="F4" s="551"/>
      <c r="G4" s="560"/>
      <c r="H4" s="561" t="s">
        <v>2151</v>
      </c>
      <c r="I4" s="553"/>
      <c r="J4" s="553"/>
      <c r="K4" s="553"/>
      <c r="L4" s="553"/>
      <c r="M4" s="553"/>
    </row>
    <row r="5" spans="1:13" ht="20.100000000000001" customHeight="1">
      <c r="A5" s="562" t="s">
        <v>2152</v>
      </c>
      <c r="B5" s="563" t="s">
        <v>2153</v>
      </c>
      <c r="C5" s="546"/>
      <c r="D5" s="564"/>
      <c r="E5" s="565"/>
      <c r="F5" s="555"/>
      <c r="G5" s="566"/>
      <c r="H5" s="567"/>
      <c r="J5" s="568"/>
    </row>
    <row r="6" spans="1:13" s="573" customFormat="1" ht="25.35" customHeight="1">
      <c r="A6" s="569" t="s">
        <v>2154</v>
      </c>
      <c r="B6" s="570" t="s">
        <v>2155</v>
      </c>
      <c r="C6" s="555"/>
      <c r="D6" s="571"/>
      <c r="E6" s="566"/>
      <c r="F6" s="555"/>
      <c r="G6" s="566"/>
      <c r="H6" s="572"/>
      <c r="I6" s="568"/>
      <c r="J6" s="568"/>
      <c r="K6" s="568"/>
      <c r="L6" s="568"/>
      <c r="M6" s="568"/>
    </row>
    <row r="7" spans="1:13" s="573" customFormat="1" ht="21" customHeight="1">
      <c r="A7" s="569" t="s">
        <v>2156</v>
      </c>
      <c r="B7" s="570" t="s">
        <v>2157</v>
      </c>
      <c r="C7" s="555"/>
      <c r="D7" s="571"/>
      <c r="E7" s="566"/>
      <c r="F7" s="555"/>
      <c r="G7" s="566"/>
      <c r="H7" s="572"/>
      <c r="I7" s="568"/>
      <c r="J7" s="547"/>
      <c r="K7" s="568"/>
      <c r="L7" s="568"/>
      <c r="M7" s="568"/>
    </row>
    <row r="8" spans="1:13" ht="20.100000000000001" customHeight="1">
      <c r="A8" s="562">
        <v>1</v>
      </c>
      <c r="B8" s="574" t="s">
        <v>2158</v>
      </c>
      <c r="C8" s="575" t="s">
        <v>2159</v>
      </c>
      <c r="D8" s="576" t="s">
        <v>2160</v>
      </c>
      <c r="E8" s="565">
        <v>10000</v>
      </c>
      <c r="F8" s="546">
        <v>3</v>
      </c>
      <c r="G8" s="565">
        <f t="shared" ref="G8:G9" si="0">E8*F8</f>
        <v>30000</v>
      </c>
      <c r="H8" s="576"/>
    </row>
    <row r="9" spans="1:13" ht="25.35" customHeight="1">
      <c r="A9" s="562">
        <v>2</v>
      </c>
      <c r="B9" s="577" t="s">
        <v>2161</v>
      </c>
      <c r="C9" s="575" t="s">
        <v>2162</v>
      </c>
      <c r="D9" s="564" t="s">
        <v>2163</v>
      </c>
      <c r="E9" s="565">
        <v>20000</v>
      </c>
      <c r="F9" s="546">
        <v>3</v>
      </c>
      <c r="G9" s="565">
        <f t="shared" si="0"/>
        <v>60000</v>
      </c>
      <c r="H9" s="576"/>
      <c r="J9" s="568"/>
    </row>
    <row r="10" spans="1:13" ht="20.100000000000001" customHeight="1">
      <c r="A10" s="562">
        <v>3</v>
      </c>
      <c r="B10" s="577" t="s">
        <v>2164</v>
      </c>
      <c r="C10" s="546" t="s">
        <v>2159</v>
      </c>
      <c r="D10" s="576" t="s">
        <v>2165</v>
      </c>
      <c r="E10" s="565">
        <v>11000</v>
      </c>
      <c r="F10" s="546">
        <v>3</v>
      </c>
      <c r="G10" s="565">
        <f>E10*F10</f>
        <v>33000</v>
      </c>
      <c r="H10" s="576" t="s">
        <v>2166</v>
      </c>
    </row>
    <row r="11" spans="1:13" s="573" customFormat="1" ht="20.100000000000001" customHeight="1">
      <c r="A11" s="569"/>
      <c r="B11" s="551" t="s">
        <v>2167</v>
      </c>
      <c r="C11" s="555"/>
      <c r="D11" s="571"/>
      <c r="E11" s="566"/>
      <c r="F11" s="555"/>
      <c r="G11" s="566">
        <f>SUM(G8:G10)</f>
        <v>123000</v>
      </c>
      <c r="H11" s="556"/>
      <c r="I11" s="568"/>
      <c r="J11" s="547"/>
      <c r="K11" s="568"/>
      <c r="L11" s="568"/>
      <c r="M11" s="568"/>
    </row>
    <row r="12" spans="1:13" s="573" customFormat="1" ht="20.100000000000001" customHeight="1">
      <c r="A12" s="569" t="s">
        <v>2168</v>
      </c>
      <c r="B12" s="563" t="s">
        <v>2169</v>
      </c>
      <c r="C12" s="555"/>
      <c r="D12" s="571"/>
      <c r="E12" s="566"/>
      <c r="F12" s="555"/>
      <c r="G12" s="566"/>
      <c r="H12" s="556"/>
      <c r="I12" s="568"/>
      <c r="J12" s="547"/>
      <c r="K12" s="568"/>
      <c r="L12" s="568"/>
      <c r="M12" s="568"/>
    </row>
    <row r="13" spans="1:13" s="573" customFormat="1" ht="20.100000000000001" customHeight="1">
      <c r="A13" s="569" t="s">
        <v>2170</v>
      </c>
      <c r="B13" s="563" t="s">
        <v>2171</v>
      </c>
      <c r="C13" s="578"/>
      <c r="D13" s="571"/>
      <c r="E13" s="566"/>
      <c r="F13" s="555"/>
      <c r="G13" s="566"/>
      <c r="H13" s="556"/>
      <c r="I13" s="568"/>
      <c r="J13" s="547"/>
      <c r="K13" s="568"/>
      <c r="L13" s="568"/>
      <c r="M13" s="568"/>
    </row>
    <row r="14" spans="1:13" ht="22.35" customHeight="1">
      <c r="A14" s="546">
        <v>1</v>
      </c>
      <c r="B14" s="577" t="s">
        <v>2172</v>
      </c>
      <c r="C14" s="575" t="s">
        <v>2173</v>
      </c>
      <c r="D14" s="564" t="s">
        <v>2174</v>
      </c>
      <c r="E14" s="565">
        <v>2000</v>
      </c>
      <c r="F14" s="546">
        <v>4</v>
      </c>
      <c r="G14" s="565">
        <f>E14*F14</f>
        <v>8000</v>
      </c>
      <c r="H14" s="576" t="s">
        <v>2175</v>
      </c>
    </row>
    <row r="15" spans="1:13" s="573" customFormat="1" ht="20.100000000000001" customHeight="1">
      <c r="A15" s="569"/>
      <c r="B15" s="551" t="s">
        <v>2167</v>
      </c>
      <c r="C15" s="578"/>
      <c r="D15" s="571"/>
      <c r="E15" s="566"/>
      <c r="F15" s="555"/>
      <c r="G15" s="566">
        <f>SUM(G14:G14)</f>
        <v>8000</v>
      </c>
      <c r="H15" s="556"/>
      <c r="I15" s="568"/>
      <c r="J15" s="547"/>
      <c r="K15" s="568"/>
      <c r="L15" s="568"/>
      <c r="M15" s="568"/>
    </row>
    <row r="16" spans="1:13" s="573" customFormat="1" ht="20.100000000000001" customHeight="1">
      <c r="A16" s="569" t="s">
        <v>2176</v>
      </c>
      <c r="B16" s="570" t="s">
        <v>2177</v>
      </c>
      <c r="C16" s="578"/>
      <c r="D16" s="571"/>
      <c r="E16" s="566"/>
      <c r="F16" s="555"/>
      <c r="G16" s="566"/>
      <c r="H16" s="556"/>
      <c r="I16" s="568"/>
      <c r="J16" s="568"/>
      <c r="K16" s="568"/>
      <c r="L16" s="568"/>
      <c r="M16" s="568"/>
    </row>
    <row r="17" spans="1:13" s="573" customFormat="1" ht="26.1" customHeight="1">
      <c r="A17" s="569" t="s">
        <v>2178</v>
      </c>
      <c r="B17" s="563" t="s">
        <v>2179</v>
      </c>
      <c r="C17" s="555"/>
      <c r="D17" s="571"/>
      <c r="E17" s="566"/>
      <c r="F17" s="555"/>
      <c r="G17" s="579"/>
      <c r="H17" s="576" t="s">
        <v>2180</v>
      </c>
      <c r="I17" s="568"/>
      <c r="J17" s="547"/>
      <c r="K17" s="568"/>
      <c r="L17" s="568"/>
      <c r="M17" s="568"/>
    </row>
    <row r="18" spans="1:13" ht="39" customHeight="1">
      <c r="A18" s="562">
        <v>3</v>
      </c>
      <c r="B18" s="577" t="s">
        <v>2181</v>
      </c>
      <c r="C18" s="546" t="s">
        <v>2159</v>
      </c>
      <c r="D18" s="564" t="s">
        <v>2182</v>
      </c>
      <c r="E18" s="565">
        <v>12000</v>
      </c>
      <c r="F18" s="546">
        <v>2</v>
      </c>
      <c r="G18" s="565">
        <f>E18*F18</f>
        <v>24000</v>
      </c>
      <c r="H18" s="577" t="s">
        <v>2183</v>
      </c>
    </row>
    <row r="19" spans="1:13" s="573" customFormat="1" ht="20.100000000000001" customHeight="1">
      <c r="A19" s="569"/>
      <c r="B19" s="551" t="s">
        <v>2167</v>
      </c>
      <c r="C19" s="555"/>
      <c r="D19" s="571"/>
      <c r="E19" s="566"/>
      <c r="F19" s="555"/>
      <c r="G19" s="566">
        <f>SUM(G18:G18)</f>
        <v>24000</v>
      </c>
      <c r="H19" s="570"/>
      <c r="I19" s="568"/>
      <c r="J19" s="547"/>
      <c r="K19" s="568"/>
      <c r="L19" s="568"/>
      <c r="M19" s="568"/>
    </row>
    <row r="20" spans="1:13" s="573" customFormat="1" ht="20.100000000000001" customHeight="1">
      <c r="A20" s="555" t="s">
        <v>2184</v>
      </c>
      <c r="B20" s="580" t="s">
        <v>2185</v>
      </c>
      <c r="C20" s="578"/>
      <c r="D20" s="563"/>
      <c r="E20" s="566"/>
      <c r="F20" s="555"/>
      <c r="G20" s="566"/>
      <c r="H20" s="576" t="s">
        <v>2186</v>
      </c>
      <c r="I20" s="568"/>
      <c r="J20" s="547"/>
      <c r="K20" s="568"/>
      <c r="L20" s="568"/>
      <c r="M20" s="568"/>
    </row>
    <row r="21" spans="1:13" ht="29.45" customHeight="1">
      <c r="A21" s="546">
        <v>1</v>
      </c>
      <c r="B21" s="581" t="s">
        <v>2187</v>
      </c>
      <c r="C21" s="546" t="s">
        <v>2188</v>
      </c>
      <c r="D21" s="576"/>
      <c r="E21" s="565">
        <f>9000*6</f>
        <v>54000</v>
      </c>
      <c r="F21" s="546">
        <v>1</v>
      </c>
      <c r="G21" s="565">
        <f>E21*F21</f>
        <v>54000</v>
      </c>
      <c r="H21" s="567"/>
    </row>
    <row r="22" spans="1:13" ht="20.100000000000001" customHeight="1">
      <c r="A22" s="582">
        <v>3</v>
      </c>
      <c r="B22" s="577" t="s">
        <v>2189</v>
      </c>
      <c r="C22" s="546" t="s">
        <v>2159</v>
      </c>
      <c r="D22" s="564" t="s">
        <v>2165</v>
      </c>
      <c r="E22" s="565">
        <v>11000</v>
      </c>
      <c r="F22" s="546">
        <v>2</v>
      </c>
      <c r="G22" s="565">
        <f>E22*F22</f>
        <v>22000</v>
      </c>
      <c r="H22" s="583" t="s">
        <v>2166</v>
      </c>
    </row>
    <row r="23" spans="1:13" s="573" customFormat="1" ht="20.100000000000001" customHeight="1">
      <c r="A23" s="555"/>
      <c r="B23" s="551" t="s">
        <v>2167</v>
      </c>
      <c r="C23" s="578"/>
      <c r="D23" s="556"/>
      <c r="E23" s="566"/>
      <c r="F23" s="555"/>
      <c r="G23" s="566">
        <f>SUM(G21:G22)</f>
        <v>76000</v>
      </c>
      <c r="H23" s="572"/>
      <c r="I23" s="568"/>
      <c r="J23" s="547"/>
      <c r="K23" s="568"/>
      <c r="L23" s="568"/>
      <c r="M23" s="568"/>
    </row>
    <row r="24" spans="1:13" s="573" customFormat="1" ht="20.100000000000001" customHeight="1">
      <c r="A24" s="569" t="s">
        <v>2190</v>
      </c>
      <c r="B24" s="570" t="s">
        <v>2191</v>
      </c>
      <c r="C24" s="555"/>
      <c r="D24" s="571"/>
      <c r="E24" s="566"/>
      <c r="F24" s="555"/>
      <c r="G24" s="566"/>
      <c r="H24" s="572"/>
      <c r="I24" s="568"/>
      <c r="J24" s="547"/>
      <c r="K24" s="568"/>
      <c r="L24" s="568"/>
      <c r="M24" s="568"/>
    </row>
    <row r="25" spans="1:13" ht="35.450000000000003" customHeight="1">
      <c r="A25" s="562">
        <v>1</v>
      </c>
      <c r="B25" s="577" t="s">
        <v>2192</v>
      </c>
      <c r="C25" s="546" t="s">
        <v>2162</v>
      </c>
      <c r="D25" s="564" t="s">
        <v>2193</v>
      </c>
      <c r="E25" s="565">
        <v>80000</v>
      </c>
      <c r="F25" s="546">
        <v>2</v>
      </c>
      <c r="G25" s="565">
        <f>E25*F25</f>
        <v>160000</v>
      </c>
      <c r="H25" s="576" t="s">
        <v>2194</v>
      </c>
    </row>
    <row r="26" spans="1:13" ht="20.100000000000001" customHeight="1">
      <c r="A26" s="562">
        <v>2</v>
      </c>
      <c r="B26" s="577" t="s">
        <v>2195</v>
      </c>
      <c r="C26" s="546" t="s">
        <v>2159</v>
      </c>
      <c r="D26" s="564" t="s">
        <v>2165</v>
      </c>
      <c r="E26" s="565">
        <v>11000</v>
      </c>
      <c r="F26" s="546">
        <v>2</v>
      </c>
      <c r="G26" s="565">
        <f>E26*F26</f>
        <v>22000</v>
      </c>
      <c r="H26" s="583" t="s">
        <v>2166</v>
      </c>
    </row>
    <row r="27" spans="1:13" s="573" customFormat="1" ht="20.100000000000001" customHeight="1">
      <c r="A27" s="569"/>
      <c r="B27" s="551" t="s">
        <v>2167</v>
      </c>
      <c r="C27" s="555"/>
      <c r="D27" s="571"/>
      <c r="E27" s="566"/>
      <c r="F27" s="555"/>
      <c r="G27" s="566">
        <f>SUM(G25:G26)</f>
        <v>182000</v>
      </c>
      <c r="H27" s="572"/>
      <c r="I27" s="568"/>
      <c r="J27" s="547"/>
      <c r="K27" s="568"/>
      <c r="L27" s="568"/>
      <c r="M27" s="568"/>
    </row>
    <row r="28" spans="1:13" s="573" customFormat="1" ht="20.100000000000001" customHeight="1">
      <c r="A28" s="569" t="s">
        <v>2196</v>
      </c>
      <c r="B28" s="563" t="s">
        <v>2197</v>
      </c>
      <c r="C28" s="555"/>
      <c r="D28" s="571"/>
      <c r="E28" s="566"/>
      <c r="F28" s="555"/>
      <c r="G28" s="566"/>
      <c r="H28" s="572"/>
      <c r="I28" s="568"/>
      <c r="J28" s="547"/>
      <c r="K28" s="568"/>
      <c r="L28" s="568"/>
      <c r="M28" s="568"/>
    </row>
    <row r="29" spans="1:13" s="573" customFormat="1" ht="20.100000000000001" customHeight="1">
      <c r="A29" s="569" t="s">
        <v>2154</v>
      </c>
      <c r="B29" s="584" t="s">
        <v>2198</v>
      </c>
      <c r="C29" s="555"/>
      <c r="D29" s="571"/>
      <c r="E29" s="566"/>
      <c r="F29" s="555"/>
      <c r="G29" s="566"/>
      <c r="H29" s="572"/>
      <c r="I29" s="568"/>
      <c r="J29" s="547"/>
      <c r="K29" s="568"/>
      <c r="L29" s="568"/>
      <c r="M29" s="568"/>
    </row>
    <row r="30" spans="1:13" s="573" customFormat="1" ht="20.100000000000001" customHeight="1">
      <c r="A30" s="555" t="s">
        <v>2156</v>
      </c>
      <c r="B30" s="584" t="s">
        <v>2199</v>
      </c>
      <c r="C30" s="555"/>
      <c r="D30" s="556"/>
      <c r="E30" s="566"/>
      <c r="F30" s="555"/>
      <c r="G30" s="566"/>
      <c r="H30" s="572"/>
      <c r="I30" s="568"/>
      <c r="J30" s="547"/>
      <c r="K30" s="568"/>
      <c r="L30" s="568"/>
      <c r="M30" s="568"/>
    </row>
    <row r="31" spans="1:13" ht="20.100000000000001" customHeight="1">
      <c r="A31" s="582">
        <v>1</v>
      </c>
      <c r="B31" s="577" t="s">
        <v>2200</v>
      </c>
      <c r="C31" s="546" t="s">
        <v>2159</v>
      </c>
      <c r="D31" s="564"/>
      <c r="E31" s="565">
        <v>6000</v>
      </c>
      <c r="F31" s="546">
        <v>1</v>
      </c>
      <c r="G31" s="565">
        <f t="shared" ref="G31" si="1">E31*F31</f>
        <v>6000</v>
      </c>
      <c r="H31" s="583" t="s">
        <v>2166</v>
      </c>
    </row>
    <row r="32" spans="1:13" s="573" customFormat="1" ht="20.100000000000001" customHeight="1">
      <c r="A32" s="585"/>
      <c r="B32" s="551" t="s">
        <v>2167</v>
      </c>
      <c r="C32" s="555"/>
      <c r="D32" s="586"/>
      <c r="E32" s="566"/>
      <c r="F32" s="555"/>
      <c r="G32" s="566">
        <f>SUM(G31:G31)</f>
        <v>6000</v>
      </c>
      <c r="H32" s="556"/>
      <c r="I32" s="568"/>
      <c r="J32" s="547"/>
      <c r="K32" s="568"/>
      <c r="L32" s="568"/>
      <c r="M32" s="568"/>
    </row>
    <row r="33" spans="1:13" s="573" customFormat="1" ht="20.100000000000001" customHeight="1">
      <c r="A33" s="585" t="s">
        <v>2168</v>
      </c>
      <c r="B33" s="587" t="s">
        <v>2201</v>
      </c>
      <c r="C33" s="555"/>
      <c r="D33" s="586"/>
      <c r="E33" s="566"/>
      <c r="F33" s="555"/>
      <c r="G33" s="566"/>
      <c r="H33" s="556"/>
      <c r="I33" s="568"/>
      <c r="J33" s="547"/>
      <c r="K33" s="568"/>
      <c r="L33" s="568"/>
      <c r="M33" s="568"/>
    </row>
    <row r="34" spans="1:13" ht="23.45" customHeight="1">
      <c r="A34" s="582">
        <v>1</v>
      </c>
      <c r="B34" s="577" t="s">
        <v>2200</v>
      </c>
      <c r="C34" s="546" t="s">
        <v>2159</v>
      </c>
      <c r="D34" s="564" t="s">
        <v>2202</v>
      </c>
      <c r="E34" s="565">
        <v>6000</v>
      </c>
      <c r="F34" s="546">
        <v>1</v>
      </c>
      <c r="G34" s="565">
        <f t="shared" ref="G34" si="2">E34*F34</f>
        <v>6000</v>
      </c>
      <c r="H34" s="583" t="s">
        <v>2166</v>
      </c>
    </row>
    <row r="35" spans="1:13" s="573" customFormat="1" ht="20.100000000000001" customHeight="1">
      <c r="A35" s="585"/>
      <c r="B35" s="551" t="s">
        <v>2167</v>
      </c>
      <c r="C35" s="588"/>
      <c r="D35" s="589"/>
      <c r="E35" s="579"/>
      <c r="F35" s="588"/>
      <c r="G35" s="579">
        <f>SUM(G34:G34)</f>
        <v>6000</v>
      </c>
      <c r="H35" s="563"/>
      <c r="I35" s="568"/>
      <c r="J35" s="547"/>
      <c r="K35" s="568"/>
      <c r="L35" s="568"/>
      <c r="M35" s="568"/>
    </row>
    <row r="36" spans="1:13" s="573" customFormat="1" ht="20.100000000000001" customHeight="1">
      <c r="A36" s="585" t="s">
        <v>2170</v>
      </c>
      <c r="B36" s="563" t="s">
        <v>2203</v>
      </c>
      <c r="C36" s="588"/>
      <c r="D36" s="589"/>
      <c r="E36" s="579"/>
      <c r="F36" s="588"/>
      <c r="G36" s="579"/>
      <c r="H36" s="563"/>
      <c r="I36" s="568"/>
      <c r="J36" s="547"/>
      <c r="K36" s="568"/>
      <c r="L36" s="568"/>
      <c r="M36" s="568"/>
    </row>
    <row r="37" spans="1:13" s="573" customFormat="1" ht="20.100000000000001" customHeight="1">
      <c r="A37" s="585" t="s">
        <v>2176</v>
      </c>
      <c r="B37" s="570" t="s">
        <v>2204</v>
      </c>
      <c r="C37" s="555"/>
      <c r="D37" s="589"/>
      <c r="E37" s="566"/>
      <c r="F37" s="588"/>
      <c r="G37" s="579"/>
      <c r="H37" s="563"/>
      <c r="I37" s="568"/>
      <c r="J37" s="547"/>
      <c r="K37" s="568"/>
      <c r="L37" s="568"/>
      <c r="M37" s="568"/>
    </row>
    <row r="38" spans="1:13" s="573" customFormat="1" ht="20.100000000000001" customHeight="1">
      <c r="A38" s="585" t="s">
        <v>2178</v>
      </c>
      <c r="B38" s="590" t="s">
        <v>2205</v>
      </c>
      <c r="C38" s="555"/>
      <c r="D38" s="571"/>
      <c r="E38" s="566"/>
      <c r="F38" s="555"/>
      <c r="G38" s="566"/>
      <c r="H38" s="563"/>
      <c r="I38" s="568"/>
      <c r="J38" s="547"/>
      <c r="K38" s="568"/>
      <c r="L38" s="568"/>
      <c r="M38" s="568"/>
    </row>
    <row r="39" spans="1:13" ht="20.100000000000001" customHeight="1">
      <c r="A39" s="546">
        <v>1</v>
      </c>
      <c r="B39" s="577" t="s">
        <v>2200</v>
      </c>
      <c r="C39" s="546" t="s">
        <v>2159</v>
      </c>
      <c r="D39" s="564"/>
      <c r="E39" s="565">
        <v>6000</v>
      </c>
      <c r="F39" s="546">
        <v>1</v>
      </c>
      <c r="G39" s="565">
        <f t="shared" ref="G39" si="3">E39*F39</f>
        <v>6000</v>
      </c>
      <c r="H39" s="583" t="s">
        <v>2166</v>
      </c>
    </row>
    <row r="40" spans="1:13" s="573" customFormat="1" ht="20.100000000000001" customHeight="1">
      <c r="A40" s="585"/>
      <c r="B40" s="551" t="s">
        <v>2167</v>
      </c>
      <c r="C40" s="555"/>
      <c r="D40" s="571"/>
      <c r="E40" s="566"/>
      <c r="F40" s="555"/>
      <c r="G40" s="566">
        <f>SUM(G39:G39)</f>
        <v>6000</v>
      </c>
      <c r="H40" s="572"/>
      <c r="I40" s="568"/>
      <c r="J40" s="547"/>
      <c r="K40" s="568"/>
      <c r="L40" s="568"/>
      <c r="M40" s="568"/>
    </row>
    <row r="41" spans="1:13" s="573" customFormat="1" ht="20.100000000000001" customHeight="1">
      <c r="A41" s="585" t="s">
        <v>2184</v>
      </c>
      <c r="B41" s="570" t="s">
        <v>2206</v>
      </c>
      <c r="C41" s="555"/>
      <c r="D41" s="571"/>
      <c r="E41" s="566"/>
      <c r="F41" s="555"/>
      <c r="G41" s="566"/>
      <c r="H41" s="572"/>
      <c r="I41" s="568"/>
      <c r="J41" s="547"/>
      <c r="K41" s="568"/>
      <c r="L41" s="568"/>
      <c r="M41" s="568"/>
    </row>
    <row r="42" spans="1:13" s="573" customFormat="1" ht="20.100000000000001" customHeight="1">
      <c r="A42" s="591" t="s">
        <v>2190</v>
      </c>
      <c r="B42" s="563" t="s">
        <v>2207</v>
      </c>
      <c r="C42" s="592"/>
      <c r="D42" s="589"/>
      <c r="E42" s="566"/>
      <c r="F42" s="555"/>
      <c r="G42" s="566"/>
      <c r="H42" s="551"/>
      <c r="I42" s="568"/>
      <c r="J42" s="547"/>
      <c r="K42" s="568"/>
      <c r="L42" s="568"/>
      <c r="M42" s="568"/>
    </row>
    <row r="43" spans="1:13" s="573" customFormat="1" ht="20.100000000000001" customHeight="1">
      <c r="A43" s="591" t="s">
        <v>2208</v>
      </c>
      <c r="B43" s="593" t="s">
        <v>2209</v>
      </c>
      <c r="C43" s="592"/>
      <c r="D43" s="589"/>
      <c r="E43" s="566"/>
      <c r="F43" s="555"/>
      <c r="G43" s="566"/>
      <c r="H43" s="551"/>
      <c r="I43" s="568"/>
      <c r="J43" s="547"/>
      <c r="K43" s="568"/>
      <c r="L43" s="568"/>
      <c r="M43" s="568"/>
    </row>
    <row r="44" spans="1:13" s="573" customFormat="1" ht="20.100000000000001" customHeight="1">
      <c r="A44" s="555" t="s">
        <v>2210</v>
      </c>
      <c r="B44" s="593" t="s">
        <v>2211</v>
      </c>
      <c r="C44" s="592"/>
      <c r="D44" s="589"/>
      <c r="E44" s="566"/>
      <c r="F44" s="555"/>
      <c r="G44" s="566"/>
      <c r="H44" s="551"/>
      <c r="I44" s="568"/>
      <c r="J44" s="547"/>
      <c r="K44" s="568"/>
      <c r="L44" s="568"/>
      <c r="M44" s="568"/>
    </row>
    <row r="45" spans="1:13" s="573" customFormat="1" ht="20.100000000000001" customHeight="1">
      <c r="A45" s="591" t="s">
        <v>2212</v>
      </c>
      <c r="B45" s="593" t="s">
        <v>2213</v>
      </c>
      <c r="C45" s="592"/>
      <c r="D45" s="589"/>
      <c r="E45" s="566"/>
      <c r="F45" s="555"/>
      <c r="G45" s="566"/>
      <c r="H45" s="551"/>
      <c r="I45" s="568"/>
      <c r="J45" s="547"/>
      <c r="K45" s="568"/>
      <c r="L45" s="568"/>
      <c r="M45" s="568"/>
    </row>
    <row r="46" spans="1:13" ht="20.100000000000001" customHeight="1">
      <c r="A46" s="594">
        <v>1</v>
      </c>
      <c r="B46" s="595" t="s">
        <v>2214</v>
      </c>
      <c r="C46" s="546" t="s">
        <v>2162</v>
      </c>
      <c r="D46" s="596" t="s">
        <v>2215</v>
      </c>
      <c r="E46" s="565">
        <v>20000</v>
      </c>
      <c r="F46" s="546">
        <v>1</v>
      </c>
      <c r="G46" s="565">
        <f>E46*F46</f>
        <v>20000</v>
      </c>
      <c r="H46" s="597"/>
    </row>
    <row r="47" spans="1:13" s="573" customFormat="1" ht="20.100000000000001" customHeight="1">
      <c r="A47" s="591"/>
      <c r="B47" s="551" t="s">
        <v>2167</v>
      </c>
      <c r="C47" s="592"/>
      <c r="D47" s="589"/>
      <c r="E47" s="566"/>
      <c r="F47" s="555"/>
      <c r="G47" s="566">
        <f>SUM(G46:G46)</f>
        <v>20000</v>
      </c>
      <c r="H47" s="551"/>
      <c r="I47" s="568"/>
      <c r="J47" s="547"/>
      <c r="K47" s="568"/>
      <c r="L47" s="568"/>
      <c r="M47" s="568"/>
    </row>
    <row r="48" spans="1:13" s="573" customFormat="1" ht="20.100000000000001" customHeight="1">
      <c r="A48" s="555" t="s">
        <v>2216</v>
      </c>
      <c r="B48" s="570" t="s">
        <v>2217</v>
      </c>
      <c r="C48" s="578"/>
      <c r="D48" s="556"/>
      <c r="E48" s="566"/>
      <c r="F48" s="555"/>
      <c r="G48" s="566"/>
      <c r="H48" s="572"/>
      <c r="I48" s="568"/>
      <c r="J48" s="547"/>
      <c r="K48" s="568"/>
      <c r="L48" s="568"/>
      <c r="M48" s="568"/>
    </row>
    <row r="49" spans="1:13" ht="20.100000000000001" customHeight="1">
      <c r="A49" s="546">
        <v>1</v>
      </c>
      <c r="B49" s="577" t="s">
        <v>2218</v>
      </c>
      <c r="C49" s="546" t="s">
        <v>2162</v>
      </c>
      <c r="D49" s="576" t="s">
        <v>2219</v>
      </c>
      <c r="E49" s="565">
        <v>10000</v>
      </c>
      <c r="F49" s="546">
        <v>1</v>
      </c>
      <c r="G49" s="565">
        <f t="shared" ref="G49:G50" si="4">E49*F49</f>
        <v>10000</v>
      </c>
      <c r="H49" s="567"/>
    </row>
    <row r="50" spans="1:13" ht="20.100000000000001" customHeight="1">
      <c r="A50" s="546">
        <v>2</v>
      </c>
      <c r="B50" s="577" t="s">
        <v>2200</v>
      </c>
      <c r="C50" s="546" t="s">
        <v>2159</v>
      </c>
      <c r="D50" s="564"/>
      <c r="E50" s="565">
        <v>6000</v>
      </c>
      <c r="F50" s="546">
        <v>2</v>
      </c>
      <c r="G50" s="565">
        <f t="shared" si="4"/>
        <v>12000</v>
      </c>
      <c r="H50" s="583" t="s">
        <v>2166</v>
      </c>
    </row>
    <row r="51" spans="1:13" s="573" customFormat="1" ht="20.100000000000001" customHeight="1">
      <c r="A51" s="555"/>
      <c r="B51" s="551" t="s">
        <v>2167</v>
      </c>
      <c r="C51" s="555"/>
      <c r="D51" s="556"/>
      <c r="E51" s="566"/>
      <c r="F51" s="555"/>
      <c r="G51" s="566">
        <f>SUM(G49:G50)</f>
        <v>22000</v>
      </c>
      <c r="H51" s="572"/>
      <c r="I51" s="568"/>
      <c r="J51" s="547"/>
      <c r="K51" s="568"/>
      <c r="L51" s="568"/>
      <c r="M51" s="568"/>
    </row>
    <row r="52" spans="1:13" s="573" customFormat="1" ht="20.100000000000001" customHeight="1">
      <c r="A52" s="591" t="s">
        <v>2220</v>
      </c>
      <c r="B52" s="593" t="s">
        <v>2221</v>
      </c>
      <c r="C52" s="592"/>
      <c r="D52" s="589"/>
      <c r="E52" s="566"/>
      <c r="F52" s="555"/>
      <c r="G52" s="566"/>
      <c r="H52" s="551"/>
      <c r="I52" s="568"/>
      <c r="J52" s="547"/>
      <c r="K52" s="568"/>
      <c r="L52" s="568"/>
      <c r="M52" s="568"/>
    </row>
    <row r="53" spans="1:13" ht="39.6" customHeight="1">
      <c r="A53" s="562">
        <v>1</v>
      </c>
      <c r="B53" s="598" t="s">
        <v>2222</v>
      </c>
      <c r="C53" s="599" t="s">
        <v>2159</v>
      </c>
      <c r="D53" s="600" t="s">
        <v>2223</v>
      </c>
      <c r="E53" s="601">
        <v>130000</v>
      </c>
      <c r="F53" s="599">
        <v>1</v>
      </c>
      <c r="G53" s="565">
        <f>E53*F53</f>
        <v>130000</v>
      </c>
      <c r="H53" s="567"/>
      <c r="I53" s="553"/>
    </row>
    <row r="54" spans="1:13" ht="19.350000000000001" customHeight="1">
      <c r="A54" s="546">
        <v>2</v>
      </c>
      <c r="B54" s="577" t="s">
        <v>2200</v>
      </c>
      <c r="C54" s="546" t="s">
        <v>2159</v>
      </c>
      <c r="D54" s="564"/>
      <c r="E54" s="565">
        <v>6000</v>
      </c>
      <c r="F54" s="546">
        <v>1</v>
      </c>
      <c r="G54" s="565">
        <f>E54*F54</f>
        <v>6000</v>
      </c>
      <c r="H54" s="583" t="s">
        <v>2166</v>
      </c>
      <c r="I54" s="553"/>
    </row>
    <row r="55" spans="1:13" s="573" customFormat="1" ht="20.100000000000001" customHeight="1">
      <c r="A55" s="591"/>
      <c r="B55" s="551" t="s">
        <v>2167</v>
      </c>
      <c r="C55" s="592"/>
      <c r="D55" s="589"/>
      <c r="E55" s="566"/>
      <c r="F55" s="555"/>
      <c r="G55" s="566">
        <f>SUM(G53:G54)</f>
        <v>136000</v>
      </c>
      <c r="H55" s="551"/>
      <c r="I55" s="568"/>
      <c r="J55" s="547"/>
      <c r="K55" s="568"/>
      <c r="L55" s="568"/>
      <c r="M55" s="568"/>
    </row>
    <row r="56" spans="1:13" s="573" customFormat="1" ht="20.100000000000001" customHeight="1">
      <c r="A56" s="591" t="s">
        <v>2224</v>
      </c>
      <c r="B56" s="602" t="s">
        <v>2225</v>
      </c>
      <c r="C56" s="592"/>
      <c r="D56" s="589"/>
      <c r="E56" s="566"/>
      <c r="F56" s="555"/>
      <c r="G56" s="566"/>
      <c r="H56" s="551"/>
      <c r="I56" s="568"/>
      <c r="J56" s="547"/>
      <c r="K56" s="568"/>
      <c r="L56" s="568"/>
      <c r="M56" s="568"/>
    </row>
    <row r="57" spans="1:13" ht="20.100000000000001" customHeight="1">
      <c r="A57" s="562">
        <v>1</v>
      </c>
      <c r="B57" s="577" t="s">
        <v>2226</v>
      </c>
      <c r="C57" s="546" t="s">
        <v>2162</v>
      </c>
      <c r="D57" s="564"/>
      <c r="E57" s="565">
        <v>44000</v>
      </c>
      <c r="F57" s="546">
        <v>1</v>
      </c>
      <c r="G57" s="565">
        <f>E57*F57</f>
        <v>44000</v>
      </c>
      <c r="H57" s="567"/>
    </row>
    <row r="58" spans="1:13" s="573" customFormat="1" ht="20.100000000000001" customHeight="1">
      <c r="A58" s="591"/>
      <c r="B58" s="551" t="s">
        <v>2167</v>
      </c>
      <c r="C58" s="592"/>
      <c r="D58" s="589"/>
      <c r="E58" s="566"/>
      <c r="F58" s="555"/>
      <c r="G58" s="566">
        <f>SUM(G57)</f>
        <v>44000</v>
      </c>
      <c r="H58" s="551"/>
      <c r="I58" s="568"/>
      <c r="J58" s="547"/>
      <c r="K58" s="568"/>
      <c r="L58" s="568"/>
      <c r="M58" s="568"/>
    </row>
    <row r="59" spans="1:13" s="573" customFormat="1" ht="20.100000000000001" customHeight="1">
      <c r="A59" s="591" t="s">
        <v>2227</v>
      </c>
      <c r="B59" s="593" t="s">
        <v>2228</v>
      </c>
      <c r="C59" s="592"/>
      <c r="D59" s="589"/>
      <c r="E59" s="566"/>
      <c r="F59" s="555"/>
      <c r="G59" s="566"/>
      <c r="H59" s="551"/>
      <c r="I59" s="568"/>
      <c r="J59" s="547"/>
      <c r="K59" s="568"/>
      <c r="L59" s="568"/>
      <c r="M59" s="568"/>
    </row>
    <row r="60" spans="1:13" s="573" customFormat="1" ht="20.100000000000001" customHeight="1">
      <c r="A60" s="591" t="s">
        <v>2229</v>
      </c>
      <c r="B60" s="593" t="s">
        <v>2230</v>
      </c>
      <c r="C60" s="592"/>
      <c r="D60" s="589"/>
      <c r="E60" s="566"/>
      <c r="F60" s="555"/>
      <c r="G60" s="566"/>
      <c r="H60" s="551"/>
      <c r="I60" s="568"/>
      <c r="J60" s="547"/>
      <c r="K60" s="568"/>
      <c r="M60" s="568"/>
    </row>
    <row r="61" spans="1:13" s="573" customFormat="1" ht="20.100000000000001" customHeight="1">
      <c r="A61" s="591" t="s">
        <v>2231</v>
      </c>
      <c r="B61" s="593" t="s">
        <v>2232</v>
      </c>
      <c r="C61" s="592"/>
      <c r="D61" s="589"/>
      <c r="E61" s="566"/>
      <c r="F61" s="555"/>
      <c r="G61" s="566"/>
      <c r="H61" s="551"/>
      <c r="I61" s="568"/>
      <c r="J61" s="547"/>
      <c r="K61" s="568"/>
      <c r="M61" s="568"/>
    </row>
    <row r="62" spans="1:13" ht="20.100000000000001" customHeight="1">
      <c r="A62" s="546">
        <v>1</v>
      </c>
      <c r="B62" s="603" t="s">
        <v>2233</v>
      </c>
      <c r="C62" s="604" t="s">
        <v>2162</v>
      </c>
      <c r="D62" s="605" t="s">
        <v>2215</v>
      </c>
      <c r="E62" s="565">
        <v>13500</v>
      </c>
      <c r="F62" s="546">
        <v>1</v>
      </c>
      <c r="G62" s="565">
        <f>E62*F62</f>
        <v>13500</v>
      </c>
      <c r="H62" s="567"/>
      <c r="I62" s="553"/>
    </row>
    <row r="63" spans="1:13" ht="20.100000000000001" customHeight="1">
      <c r="A63" s="546">
        <v>2</v>
      </c>
      <c r="B63" s="577" t="s">
        <v>2200</v>
      </c>
      <c r="C63" s="546" t="s">
        <v>2159</v>
      </c>
      <c r="D63" s="564"/>
      <c r="E63" s="565">
        <v>6000</v>
      </c>
      <c r="F63" s="546">
        <v>1</v>
      </c>
      <c r="G63" s="565">
        <f>E63*F63</f>
        <v>6000</v>
      </c>
      <c r="H63" s="606" t="s">
        <v>2234</v>
      </c>
      <c r="I63" s="553"/>
    </row>
    <row r="64" spans="1:13" s="573" customFormat="1" ht="20.100000000000001" customHeight="1">
      <c r="A64" s="591"/>
      <c r="B64" s="551" t="s">
        <v>2167</v>
      </c>
      <c r="C64" s="592"/>
      <c r="D64" s="589"/>
      <c r="E64" s="566"/>
      <c r="F64" s="555"/>
      <c r="G64" s="566">
        <f>SUM(G62:G63)</f>
        <v>19500</v>
      </c>
      <c r="H64" s="551"/>
      <c r="I64" s="568"/>
      <c r="J64" s="547"/>
      <c r="K64" s="568"/>
      <c r="M64" s="568"/>
    </row>
    <row r="65" spans="1:13" s="573" customFormat="1" ht="20.100000000000001" customHeight="1">
      <c r="A65" s="591" t="s">
        <v>2235</v>
      </c>
      <c r="B65" s="593" t="s">
        <v>2236</v>
      </c>
      <c r="C65" s="592"/>
      <c r="D65" s="589"/>
      <c r="E65" s="566"/>
      <c r="F65" s="555"/>
      <c r="G65" s="566"/>
      <c r="H65" s="551"/>
      <c r="I65" s="568"/>
      <c r="J65" s="547"/>
      <c r="K65" s="568"/>
      <c r="M65" s="568"/>
    </row>
    <row r="66" spans="1:13" ht="20.100000000000001" customHeight="1">
      <c r="A66" s="562">
        <v>1</v>
      </c>
      <c r="B66" s="577" t="s">
        <v>2237</v>
      </c>
      <c r="C66" s="546" t="s">
        <v>2162</v>
      </c>
      <c r="D66" s="564" t="s">
        <v>2238</v>
      </c>
      <c r="E66" s="565">
        <v>210000</v>
      </c>
      <c r="F66" s="546">
        <v>1</v>
      </c>
      <c r="G66" s="565">
        <f t="shared" ref="G66:G69" si="5">E66*F66</f>
        <v>210000</v>
      </c>
      <c r="H66" s="567"/>
    </row>
    <row r="67" spans="1:13" ht="25.7" customHeight="1">
      <c r="A67" s="546">
        <v>2</v>
      </c>
      <c r="B67" s="603" t="s">
        <v>2200</v>
      </c>
      <c r="C67" s="604" t="s">
        <v>2159</v>
      </c>
      <c r="D67" s="607"/>
      <c r="E67" s="565">
        <v>6000</v>
      </c>
      <c r="F67" s="604">
        <v>1</v>
      </c>
      <c r="G67" s="565">
        <f t="shared" si="5"/>
        <v>6000</v>
      </c>
      <c r="H67" s="606" t="s">
        <v>2239</v>
      </c>
      <c r="L67" s="548"/>
    </row>
    <row r="68" spans="1:13" ht="20.100000000000001" customHeight="1">
      <c r="A68" s="562">
        <v>3</v>
      </c>
      <c r="B68" s="598" t="s">
        <v>2240</v>
      </c>
      <c r="C68" s="546" t="s">
        <v>2162</v>
      </c>
      <c r="D68" s="564"/>
      <c r="E68" s="565">
        <v>30000</v>
      </c>
      <c r="F68" s="546">
        <v>1</v>
      </c>
      <c r="G68" s="565">
        <f t="shared" si="5"/>
        <v>30000</v>
      </c>
      <c r="H68" s="567"/>
    </row>
    <row r="69" spans="1:13" ht="20.100000000000001" customHeight="1">
      <c r="A69" s="546">
        <v>4</v>
      </c>
      <c r="B69" s="608" t="s">
        <v>2241</v>
      </c>
      <c r="C69" s="575"/>
      <c r="D69" s="609"/>
      <c r="E69" s="565">
        <v>15000</v>
      </c>
      <c r="F69" s="546">
        <v>1</v>
      </c>
      <c r="G69" s="565">
        <f t="shared" si="5"/>
        <v>15000</v>
      </c>
      <c r="H69" s="607"/>
    </row>
    <row r="70" spans="1:13" s="573" customFormat="1" ht="20.100000000000001" customHeight="1">
      <c r="A70" s="569"/>
      <c r="B70" s="551" t="s">
        <v>2167</v>
      </c>
      <c r="C70" s="578"/>
      <c r="D70" s="586"/>
      <c r="E70" s="566"/>
      <c r="F70" s="555"/>
      <c r="G70" s="566">
        <f>SUM(G66:G69)</f>
        <v>261000</v>
      </c>
      <c r="H70" s="572"/>
      <c r="I70" s="568"/>
      <c r="J70" s="547"/>
      <c r="K70" s="568"/>
      <c r="M70" s="568"/>
    </row>
    <row r="71" spans="1:13" s="573" customFormat="1" ht="20.100000000000001" customHeight="1">
      <c r="A71" s="569" t="s">
        <v>2242</v>
      </c>
      <c r="B71" s="570" t="s">
        <v>2243</v>
      </c>
      <c r="C71" s="555"/>
      <c r="D71" s="586"/>
      <c r="E71" s="566"/>
      <c r="F71" s="555"/>
      <c r="G71" s="566"/>
      <c r="H71" s="572"/>
      <c r="I71" s="568"/>
      <c r="J71" s="547"/>
      <c r="K71" s="568"/>
      <c r="M71" s="568"/>
    </row>
    <row r="72" spans="1:13" ht="42" customHeight="1">
      <c r="A72" s="562">
        <v>1</v>
      </c>
      <c r="B72" s="610" t="s">
        <v>2244</v>
      </c>
      <c r="C72" s="604" t="s">
        <v>2188</v>
      </c>
      <c r="D72" s="606" t="s">
        <v>2245</v>
      </c>
      <c r="E72" s="565">
        <v>40000</v>
      </c>
      <c r="F72" s="546">
        <v>1</v>
      </c>
      <c r="G72" s="565">
        <f>E72*F72</f>
        <v>40000</v>
      </c>
      <c r="H72" s="576"/>
      <c r="I72" s="611"/>
      <c r="L72" s="548"/>
    </row>
    <row r="73" spans="1:13" ht="20.100000000000001" customHeight="1">
      <c r="A73" s="562">
        <v>2</v>
      </c>
      <c r="B73" s="577" t="s">
        <v>2246</v>
      </c>
      <c r="C73" s="599" t="s">
        <v>2162</v>
      </c>
      <c r="D73" s="612" t="s">
        <v>2247</v>
      </c>
      <c r="E73" s="601">
        <v>30000</v>
      </c>
      <c r="F73" s="599">
        <v>1</v>
      </c>
      <c r="G73" s="565">
        <f>E73*F73</f>
        <v>30000</v>
      </c>
      <c r="H73" s="598"/>
      <c r="I73" s="553"/>
    </row>
    <row r="74" spans="1:13" ht="20.100000000000001" customHeight="1">
      <c r="A74" s="562">
        <v>3</v>
      </c>
      <c r="B74" s="603" t="s">
        <v>2248</v>
      </c>
      <c r="C74" s="604" t="s">
        <v>2249</v>
      </c>
      <c r="D74" s="607" t="s">
        <v>2250</v>
      </c>
      <c r="E74" s="565">
        <f>8000*6</f>
        <v>48000</v>
      </c>
      <c r="F74" s="546">
        <v>1</v>
      </c>
      <c r="G74" s="565">
        <f>E74*F74</f>
        <v>48000</v>
      </c>
      <c r="H74" s="567"/>
      <c r="I74" s="611"/>
    </row>
    <row r="75" spans="1:13" s="573" customFormat="1" ht="20.100000000000001" customHeight="1">
      <c r="A75" s="555"/>
      <c r="B75" s="572" t="s">
        <v>2167</v>
      </c>
      <c r="C75" s="555"/>
      <c r="D75" s="556"/>
      <c r="E75" s="566"/>
      <c r="F75" s="555"/>
      <c r="G75" s="566">
        <f>SUM(G72:G74)</f>
        <v>118000</v>
      </c>
      <c r="H75" s="572"/>
      <c r="I75" s="568"/>
      <c r="J75" s="547"/>
      <c r="K75" s="568"/>
      <c r="M75" s="568"/>
    </row>
    <row r="76" spans="1:13" ht="20.100000000000001" customHeight="1">
      <c r="A76" s="546"/>
      <c r="B76" s="572" t="s">
        <v>2251</v>
      </c>
      <c r="C76" s="546"/>
      <c r="D76" s="576"/>
      <c r="E76" s="565"/>
      <c r="F76" s="555"/>
      <c r="G76" s="566">
        <f>SUM(G75,G70,G64,G58,G55,G51,G47,G40,G35,G32,G27,G23,G19,G15,G11)</f>
        <v>1051500</v>
      </c>
      <c r="H76" s="567"/>
    </row>
    <row r="78" spans="1:13">
      <c r="A78" s="547"/>
    </row>
  </sheetData>
  <mergeCells count="8">
    <mergeCell ref="A1:H1"/>
    <mergeCell ref="A2:A3"/>
    <mergeCell ref="B2:B3"/>
    <mergeCell ref="C2:C3"/>
    <mergeCell ref="D2:D3"/>
    <mergeCell ref="E2:E3"/>
    <mergeCell ref="F2:G2"/>
    <mergeCell ref="H2:H3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85" orientation="portrait" r:id="rId1"/>
  <headerFooter>
    <oddFooter>第 &amp;P 页，共 &amp;N 页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2"/>
  <sheetViews>
    <sheetView topLeftCell="A40" workbookViewId="0">
      <selection activeCell="D56" sqref="D56"/>
    </sheetView>
  </sheetViews>
  <sheetFormatPr defaultColWidth="9" defaultRowHeight="15.75"/>
  <cols>
    <col min="1" max="1" width="3.5" style="614" customWidth="1"/>
    <col min="2" max="2" width="24.875" style="554" customWidth="1"/>
    <col min="3" max="3" width="3.125" style="547" customWidth="1"/>
    <col min="4" max="4" width="22.375" style="611" customWidth="1"/>
    <col min="5" max="5" width="9.875" style="613" customWidth="1"/>
    <col min="6" max="6" width="4.625" style="547" customWidth="1"/>
    <col min="7" max="7" width="12.25" style="613" customWidth="1"/>
    <col min="8" max="8" width="18.125" style="553" customWidth="1"/>
    <col min="9" max="13" width="9" style="547"/>
    <col min="14" max="16384" width="9" style="548"/>
  </cols>
  <sheetData>
    <row r="1" spans="1:13" ht="26.25" customHeight="1">
      <c r="A1" s="828" t="s">
        <v>2252</v>
      </c>
      <c r="B1" s="829"/>
      <c r="C1" s="829"/>
      <c r="D1" s="829"/>
      <c r="E1" s="829"/>
      <c r="F1" s="829"/>
      <c r="G1" s="829"/>
      <c r="H1" s="829"/>
    </row>
    <row r="2" spans="1:13" s="550" customFormat="1" ht="12.75">
      <c r="A2" s="830" t="s">
        <v>2141</v>
      </c>
      <c r="B2" s="830" t="s">
        <v>2142</v>
      </c>
      <c r="C2" s="830" t="s">
        <v>2143</v>
      </c>
      <c r="D2" s="830" t="s">
        <v>2144</v>
      </c>
      <c r="E2" s="833" t="s">
        <v>2145</v>
      </c>
      <c r="F2" s="835" t="s">
        <v>2146</v>
      </c>
      <c r="G2" s="836"/>
      <c r="H2" s="837" t="s">
        <v>18</v>
      </c>
      <c r="I2" s="549"/>
      <c r="J2" s="549"/>
      <c r="K2" s="549"/>
      <c r="L2" s="549"/>
      <c r="M2" s="549"/>
    </row>
    <row r="3" spans="1:13" s="554" customFormat="1" ht="12.75">
      <c r="A3" s="831"/>
      <c r="B3" s="831"/>
      <c r="C3" s="831"/>
      <c r="D3" s="832"/>
      <c r="E3" s="834"/>
      <c r="F3" s="551" t="s">
        <v>2147</v>
      </c>
      <c r="G3" s="552" t="s">
        <v>2148</v>
      </c>
      <c r="H3" s="838"/>
      <c r="I3" s="553"/>
      <c r="J3" s="553"/>
      <c r="K3" s="553"/>
      <c r="L3" s="553"/>
      <c r="M3" s="553"/>
    </row>
    <row r="4" spans="1:13" s="554" customFormat="1" ht="32.450000000000003" customHeight="1">
      <c r="A4" s="555" t="s">
        <v>2149</v>
      </c>
      <c r="B4" s="556" t="s">
        <v>2150</v>
      </c>
      <c r="C4" s="557"/>
      <c r="D4" s="558"/>
      <c r="E4" s="559"/>
      <c r="F4" s="551"/>
      <c r="G4" s="560"/>
      <c r="H4" s="561" t="s">
        <v>2151</v>
      </c>
      <c r="I4" s="553"/>
      <c r="J4" s="553"/>
      <c r="K4" s="553"/>
      <c r="L4" s="553"/>
      <c r="M4" s="553"/>
    </row>
    <row r="5" spans="1:13" s="573" customFormat="1" ht="22.35" customHeight="1">
      <c r="A5" s="546">
        <v>1</v>
      </c>
      <c r="B5" s="576" t="s">
        <v>2253</v>
      </c>
      <c r="C5" s="546" t="s">
        <v>2188</v>
      </c>
      <c r="D5" s="556"/>
      <c r="E5" s="566"/>
      <c r="F5" s="546">
        <v>1</v>
      </c>
      <c r="G5" s="565">
        <v>250000</v>
      </c>
      <c r="H5" s="615"/>
      <c r="I5" s="568"/>
      <c r="J5" s="547"/>
      <c r="K5" s="568"/>
      <c r="L5" s="568"/>
      <c r="M5" s="568"/>
    </row>
    <row r="6" spans="1:13" ht="20.100000000000001" customHeight="1">
      <c r="A6" s="546"/>
      <c r="B6" s="551" t="s">
        <v>2167</v>
      </c>
      <c r="C6" s="546"/>
      <c r="D6" s="576"/>
      <c r="E6" s="565"/>
      <c r="F6" s="555"/>
      <c r="G6" s="566">
        <f>SUM(G5:G5)</f>
        <v>250000</v>
      </c>
      <c r="H6" s="567"/>
    </row>
    <row r="7" spans="1:13" ht="20.100000000000001" customHeight="1">
      <c r="A7" s="562" t="s">
        <v>2152</v>
      </c>
      <c r="B7" s="563" t="s">
        <v>2153</v>
      </c>
      <c r="C7" s="546"/>
      <c r="D7" s="564"/>
      <c r="E7" s="565"/>
      <c r="F7" s="555"/>
      <c r="G7" s="566"/>
      <c r="H7" s="567"/>
      <c r="J7" s="568"/>
    </row>
    <row r="8" spans="1:13" s="573" customFormat="1" ht="25.35" customHeight="1">
      <c r="A8" s="569" t="s">
        <v>2154</v>
      </c>
      <c r="B8" s="570" t="s">
        <v>2155</v>
      </c>
      <c r="C8" s="555"/>
      <c r="D8" s="571"/>
      <c r="E8" s="566"/>
      <c r="F8" s="555"/>
      <c r="G8" s="566"/>
      <c r="H8" s="572"/>
      <c r="I8" s="568"/>
      <c r="J8" s="568"/>
      <c r="K8" s="568"/>
      <c r="L8" s="568"/>
      <c r="M8" s="568"/>
    </row>
    <row r="9" spans="1:13" s="573" customFormat="1" ht="21" customHeight="1">
      <c r="A9" s="569" t="s">
        <v>2156</v>
      </c>
      <c r="B9" s="570" t="s">
        <v>2157</v>
      </c>
      <c r="C9" s="555"/>
      <c r="D9" s="571"/>
      <c r="E9" s="566"/>
      <c r="F9" s="555"/>
      <c r="G9" s="566"/>
      <c r="H9" s="572"/>
      <c r="I9" s="568"/>
      <c r="J9" s="547"/>
      <c r="K9" s="568"/>
      <c r="L9" s="568"/>
      <c r="M9" s="568"/>
    </row>
    <row r="10" spans="1:13" ht="20.100000000000001" customHeight="1">
      <c r="A10" s="562">
        <v>1</v>
      </c>
      <c r="B10" s="574" t="s">
        <v>2158</v>
      </c>
      <c r="C10" s="575" t="s">
        <v>2159</v>
      </c>
      <c r="D10" s="576" t="s">
        <v>2160</v>
      </c>
      <c r="E10" s="565">
        <v>10000</v>
      </c>
      <c r="F10" s="546">
        <v>3</v>
      </c>
      <c r="G10" s="565">
        <f>E10*F10</f>
        <v>30000</v>
      </c>
      <c r="H10" s="576"/>
    </row>
    <row r="11" spans="1:13" ht="25.35" customHeight="1">
      <c r="A11" s="562">
        <v>2</v>
      </c>
      <c r="B11" s="577" t="s">
        <v>2161</v>
      </c>
      <c r="C11" s="575" t="s">
        <v>2162</v>
      </c>
      <c r="D11" s="564" t="s">
        <v>2163</v>
      </c>
      <c r="E11" s="565">
        <v>20000</v>
      </c>
      <c r="F11" s="546">
        <v>3</v>
      </c>
      <c r="G11" s="565">
        <f>E11*F11</f>
        <v>60000</v>
      </c>
      <c r="H11" s="576"/>
      <c r="J11" s="568"/>
    </row>
    <row r="12" spans="1:13" ht="20.100000000000001" customHeight="1">
      <c r="A12" s="562">
        <v>3</v>
      </c>
      <c r="B12" s="577" t="s">
        <v>2164</v>
      </c>
      <c r="C12" s="546" t="s">
        <v>2159</v>
      </c>
      <c r="D12" s="576" t="s">
        <v>2165</v>
      </c>
      <c r="E12" s="565">
        <v>11000</v>
      </c>
      <c r="F12" s="546">
        <v>3</v>
      </c>
      <c r="G12" s="565">
        <f>E12*F12</f>
        <v>33000</v>
      </c>
      <c r="H12" s="576" t="s">
        <v>2166</v>
      </c>
    </row>
    <row r="13" spans="1:13" s="573" customFormat="1" ht="20.100000000000001" customHeight="1">
      <c r="A13" s="569"/>
      <c r="B13" s="551" t="s">
        <v>2167</v>
      </c>
      <c r="C13" s="555"/>
      <c r="D13" s="571"/>
      <c r="E13" s="566"/>
      <c r="F13" s="555"/>
      <c r="G13" s="566">
        <f>SUM(G10:G12)</f>
        <v>123000</v>
      </c>
      <c r="H13" s="556"/>
      <c r="I13" s="568"/>
      <c r="J13" s="547"/>
      <c r="K13" s="568"/>
      <c r="L13" s="568"/>
      <c r="M13" s="568"/>
    </row>
    <row r="14" spans="1:13" s="573" customFormat="1" ht="20.100000000000001" customHeight="1">
      <c r="A14" s="569" t="s">
        <v>2168</v>
      </c>
      <c r="B14" s="563" t="s">
        <v>2169</v>
      </c>
      <c r="C14" s="555"/>
      <c r="D14" s="571"/>
      <c r="E14" s="566"/>
      <c r="F14" s="555"/>
      <c r="G14" s="566"/>
      <c r="H14" s="556"/>
      <c r="I14" s="568"/>
      <c r="J14" s="547"/>
      <c r="K14" s="568"/>
      <c r="L14" s="568"/>
      <c r="M14" s="568"/>
    </row>
    <row r="15" spans="1:13" s="573" customFormat="1" ht="20.100000000000001" customHeight="1">
      <c r="A15" s="569" t="s">
        <v>2170</v>
      </c>
      <c r="B15" s="563" t="s">
        <v>2171</v>
      </c>
      <c r="C15" s="578"/>
      <c r="D15" s="571"/>
      <c r="E15" s="566"/>
      <c r="F15" s="555"/>
      <c r="G15" s="566"/>
      <c r="H15" s="556"/>
      <c r="I15" s="568"/>
      <c r="J15" s="547"/>
      <c r="K15" s="568"/>
      <c r="L15" s="568"/>
      <c r="M15" s="568"/>
    </row>
    <row r="16" spans="1:13" ht="22.35" customHeight="1">
      <c r="A16" s="546">
        <v>1</v>
      </c>
      <c r="B16" s="577" t="s">
        <v>2172</v>
      </c>
      <c r="C16" s="575" t="s">
        <v>2173</v>
      </c>
      <c r="D16" s="564" t="s">
        <v>2174</v>
      </c>
      <c r="E16" s="565">
        <v>2000</v>
      </c>
      <c r="F16" s="546">
        <v>3</v>
      </c>
      <c r="G16" s="565">
        <f>E16*F16</f>
        <v>6000</v>
      </c>
      <c r="H16" s="576" t="s">
        <v>2175</v>
      </c>
    </row>
    <row r="17" spans="1:13" s="573" customFormat="1" ht="20.100000000000001" customHeight="1">
      <c r="A17" s="569"/>
      <c r="B17" s="551" t="s">
        <v>2167</v>
      </c>
      <c r="C17" s="578"/>
      <c r="D17" s="571"/>
      <c r="E17" s="566"/>
      <c r="F17" s="555"/>
      <c r="G17" s="566">
        <f>SUM(G16:G16)</f>
        <v>6000</v>
      </c>
      <c r="H17" s="556"/>
      <c r="I17" s="568"/>
      <c r="J17" s="547"/>
      <c r="K17" s="568"/>
      <c r="L17" s="568"/>
      <c r="M17" s="568"/>
    </row>
    <row r="18" spans="1:13" s="573" customFormat="1" ht="20.100000000000001" customHeight="1">
      <c r="A18" s="569" t="s">
        <v>2176</v>
      </c>
      <c r="B18" s="570" t="s">
        <v>2177</v>
      </c>
      <c r="C18" s="578"/>
      <c r="D18" s="571"/>
      <c r="E18" s="566"/>
      <c r="F18" s="555"/>
      <c r="G18" s="566"/>
      <c r="H18" s="556"/>
      <c r="I18" s="568"/>
      <c r="J18" s="568"/>
      <c r="K18" s="568"/>
      <c r="L18" s="568"/>
      <c r="M18" s="568"/>
    </row>
    <row r="19" spans="1:13" s="573" customFormat="1" ht="26.1" customHeight="1">
      <c r="A19" s="569" t="s">
        <v>2178</v>
      </c>
      <c r="B19" s="563" t="s">
        <v>2179</v>
      </c>
      <c r="C19" s="555"/>
      <c r="D19" s="571"/>
      <c r="E19" s="566"/>
      <c r="F19" s="555"/>
      <c r="G19" s="579"/>
      <c r="H19" s="576" t="s">
        <v>2180</v>
      </c>
      <c r="I19" s="568"/>
      <c r="J19" s="547"/>
      <c r="K19" s="568"/>
      <c r="L19" s="568"/>
      <c r="M19" s="568"/>
    </row>
    <row r="20" spans="1:13" ht="20.100000000000001" customHeight="1">
      <c r="A20" s="562">
        <v>1</v>
      </c>
      <c r="B20" s="577" t="s">
        <v>2254</v>
      </c>
      <c r="C20" s="546" t="s">
        <v>2159</v>
      </c>
      <c r="D20" s="564"/>
      <c r="E20" s="565">
        <v>1500</v>
      </c>
      <c r="F20" s="546">
        <v>3</v>
      </c>
      <c r="G20" s="616">
        <f>E20*F20</f>
        <v>4500</v>
      </c>
      <c r="H20" s="576" t="s">
        <v>2255</v>
      </c>
    </row>
    <row r="21" spans="1:13" ht="39" customHeight="1">
      <c r="A21" s="562">
        <v>2</v>
      </c>
      <c r="B21" s="577" t="s">
        <v>2181</v>
      </c>
      <c r="C21" s="546" t="s">
        <v>2159</v>
      </c>
      <c r="D21" s="564" t="s">
        <v>2182</v>
      </c>
      <c r="E21" s="565">
        <v>12000</v>
      </c>
      <c r="F21" s="546">
        <v>2</v>
      </c>
      <c r="G21" s="616">
        <f t="shared" ref="G21" si="0">E21*F21</f>
        <v>24000</v>
      </c>
      <c r="H21" s="577" t="s">
        <v>2183</v>
      </c>
    </row>
    <row r="22" spans="1:13" s="573" customFormat="1" ht="20.100000000000001" customHeight="1">
      <c r="A22" s="569"/>
      <c r="B22" s="551" t="s">
        <v>2167</v>
      </c>
      <c r="C22" s="555"/>
      <c r="D22" s="571"/>
      <c r="E22" s="566"/>
      <c r="F22" s="555"/>
      <c r="G22" s="566">
        <f>SUM(G20:G21)</f>
        <v>28500</v>
      </c>
      <c r="H22" s="570"/>
      <c r="I22" s="568"/>
      <c r="J22" s="547"/>
      <c r="K22" s="568"/>
      <c r="L22" s="568"/>
      <c r="M22" s="568"/>
    </row>
    <row r="23" spans="1:13" s="573" customFormat="1" ht="20.100000000000001" customHeight="1">
      <c r="A23" s="555" t="s">
        <v>2184</v>
      </c>
      <c r="B23" s="580" t="s">
        <v>2185</v>
      </c>
      <c r="C23" s="578"/>
      <c r="D23" s="563"/>
      <c r="E23" s="566"/>
      <c r="F23" s="555"/>
      <c r="G23" s="566"/>
      <c r="H23" s="576" t="s">
        <v>2186</v>
      </c>
      <c r="I23" s="568"/>
      <c r="J23" s="547"/>
      <c r="K23" s="568"/>
      <c r="L23" s="568"/>
      <c r="M23" s="568"/>
    </row>
    <row r="24" spans="1:13" ht="29.45" customHeight="1">
      <c r="A24" s="582">
        <v>1</v>
      </c>
      <c r="B24" s="581" t="s">
        <v>2256</v>
      </c>
      <c r="C24" s="617" t="s">
        <v>1356</v>
      </c>
      <c r="D24" s="564"/>
      <c r="E24" s="565">
        <v>16000</v>
      </c>
      <c r="F24" s="546">
        <v>1</v>
      </c>
      <c r="G24" s="565">
        <f>E24*F24</f>
        <v>16000</v>
      </c>
      <c r="H24" s="567"/>
    </row>
    <row r="25" spans="1:13" ht="20.100000000000001" customHeight="1">
      <c r="A25" s="582">
        <v>2</v>
      </c>
      <c r="B25" s="577" t="s">
        <v>2257</v>
      </c>
      <c r="C25" s="546" t="s">
        <v>2188</v>
      </c>
      <c r="D25" s="564" t="s">
        <v>2258</v>
      </c>
      <c r="E25" s="565">
        <v>20000</v>
      </c>
      <c r="F25" s="546">
        <v>1</v>
      </c>
      <c r="G25" s="565">
        <f>E25*F25</f>
        <v>20000</v>
      </c>
      <c r="H25" s="567"/>
    </row>
    <row r="26" spans="1:13" ht="29.1" customHeight="1">
      <c r="A26" s="582">
        <v>3</v>
      </c>
      <c r="B26" s="608" t="s">
        <v>2259</v>
      </c>
      <c r="C26" s="546" t="s">
        <v>2188</v>
      </c>
      <c r="D26" s="618" t="s">
        <v>2260</v>
      </c>
      <c r="E26" s="616">
        <v>20000</v>
      </c>
      <c r="F26" s="619">
        <v>1</v>
      </c>
      <c r="G26" s="565">
        <f>E26*F26</f>
        <v>20000</v>
      </c>
      <c r="H26" s="567"/>
    </row>
    <row r="27" spans="1:13" ht="20.100000000000001" customHeight="1">
      <c r="A27" s="582">
        <v>4</v>
      </c>
      <c r="B27" s="577" t="s">
        <v>2189</v>
      </c>
      <c r="C27" s="546" t="s">
        <v>2159</v>
      </c>
      <c r="D27" s="564" t="s">
        <v>2165</v>
      </c>
      <c r="E27" s="565">
        <v>11000</v>
      </c>
      <c r="F27" s="546">
        <v>2</v>
      </c>
      <c r="G27" s="565">
        <f>E27*F27</f>
        <v>22000</v>
      </c>
      <c r="H27" s="583" t="s">
        <v>2166</v>
      </c>
    </row>
    <row r="28" spans="1:13" s="573" customFormat="1" ht="20.100000000000001" customHeight="1">
      <c r="A28" s="555"/>
      <c r="B28" s="551" t="s">
        <v>2167</v>
      </c>
      <c r="C28" s="578"/>
      <c r="D28" s="556"/>
      <c r="E28" s="566"/>
      <c r="F28" s="555"/>
      <c r="G28" s="566">
        <f>SUM(G24:G27)</f>
        <v>78000</v>
      </c>
      <c r="H28" s="572"/>
      <c r="I28" s="568"/>
      <c r="J28" s="547"/>
      <c r="K28" s="568"/>
      <c r="L28" s="568"/>
      <c r="M28" s="568"/>
    </row>
    <row r="29" spans="1:13" s="573" customFormat="1" ht="20.100000000000001" customHeight="1">
      <c r="A29" s="569" t="s">
        <v>2190</v>
      </c>
      <c r="B29" s="570" t="s">
        <v>2191</v>
      </c>
      <c r="C29" s="555"/>
      <c r="D29" s="571"/>
      <c r="E29" s="566"/>
      <c r="F29" s="555"/>
      <c r="G29" s="566"/>
      <c r="H29" s="572"/>
      <c r="I29" s="568"/>
      <c r="J29" s="547"/>
      <c r="K29" s="568"/>
      <c r="L29" s="568"/>
      <c r="M29" s="568"/>
    </row>
    <row r="30" spans="1:13" ht="35.450000000000003" customHeight="1">
      <c r="A30" s="562">
        <v>1</v>
      </c>
      <c r="B30" s="620" t="s">
        <v>2261</v>
      </c>
      <c r="C30" s="617" t="s">
        <v>1359</v>
      </c>
      <c r="D30" s="621" t="s">
        <v>2262</v>
      </c>
      <c r="E30" s="565">
        <v>26500</v>
      </c>
      <c r="F30" s="546">
        <v>3</v>
      </c>
      <c r="G30" s="565">
        <f>E30*F30</f>
        <v>79500</v>
      </c>
      <c r="H30" s="581" t="s">
        <v>2263</v>
      </c>
    </row>
    <row r="31" spans="1:13" ht="24" customHeight="1">
      <c r="A31" s="562">
        <v>2</v>
      </c>
      <c r="B31" s="574" t="s">
        <v>2158</v>
      </c>
      <c r="C31" s="575" t="s">
        <v>2159</v>
      </c>
      <c r="D31" s="576" t="s">
        <v>2160</v>
      </c>
      <c r="E31" s="565">
        <v>10000</v>
      </c>
      <c r="F31" s="546">
        <v>3</v>
      </c>
      <c r="G31" s="565">
        <f>E31*F31</f>
        <v>30000</v>
      </c>
      <c r="H31" s="581" t="s">
        <v>2262</v>
      </c>
    </row>
    <row r="32" spans="1:13" ht="20.100000000000001" customHeight="1">
      <c r="A32" s="562">
        <v>3</v>
      </c>
      <c r="B32" s="577" t="s">
        <v>2195</v>
      </c>
      <c r="C32" s="546" t="s">
        <v>2159</v>
      </c>
      <c r="D32" s="564" t="s">
        <v>2165</v>
      </c>
      <c r="E32" s="565">
        <v>11000</v>
      </c>
      <c r="F32" s="546">
        <v>3</v>
      </c>
      <c r="G32" s="565">
        <f>E32*F32</f>
        <v>33000</v>
      </c>
      <c r="H32" s="583" t="s">
        <v>2166</v>
      </c>
    </row>
    <row r="33" spans="1:13" s="573" customFormat="1" ht="20.100000000000001" customHeight="1">
      <c r="A33" s="569"/>
      <c r="B33" s="551" t="s">
        <v>2167</v>
      </c>
      <c r="C33" s="555"/>
      <c r="D33" s="571"/>
      <c r="E33" s="566"/>
      <c r="F33" s="555"/>
      <c r="G33" s="566">
        <f>SUM(G30:G32)</f>
        <v>142500</v>
      </c>
      <c r="H33" s="572"/>
      <c r="I33" s="568"/>
      <c r="J33" s="547"/>
      <c r="K33" s="568"/>
      <c r="L33" s="568"/>
      <c r="M33" s="568"/>
    </row>
    <row r="34" spans="1:13" s="573" customFormat="1" ht="20.100000000000001" customHeight="1">
      <c r="A34" s="569" t="s">
        <v>2196</v>
      </c>
      <c r="B34" s="563" t="s">
        <v>2197</v>
      </c>
      <c r="C34" s="555"/>
      <c r="D34" s="571"/>
      <c r="E34" s="566"/>
      <c r="F34" s="555"/>
      <c r="G34" s="566"/>
      <c r="H34" s="572"/>
      <c r="I34" s="568"/>
      <c r="J34" s="547"/>
      <c r="K34" s="568"/>
      <c r="L34" s="568"/>
      <c r="M34" s="568"/>
    </row>
    <row r="35" spans="1:13" s="573" customFormat="1" ht="20.100000000000001" customHeight="1">
      <c r="A35" s="569" t="s">
        <v>2154</v>
      </c>
      <c r="B35" s="584" t="s">
        <v>2198</v>
      </c>
      <c r="C35" s="555"/>
      <c r="D35" s="571"/>
      <c r="E35" s="566"/>
      <c r="F35" s="555"/>
      <c r="G35" s="566"/>
      <c r="H35" s="572"/>
      <c r="I35" s="568"/>
      <c r="J35" s="547"/>
      <c r="K35" s="568"/>
      <c r="L35" s="568"/>
      <c r="M35" s="568"/>
    </row>
    <row r="36" spans="1:13" s="573" customFormat="1" ht="20.100000000000001" customHeight="1">
      <c r="A36" s="555" t="s">
        <v>2156</v>
      </c>
      <c r="B36" s="584" t="s">
        <v>2199</v>
      </c>
      <c r="C36" s="555"/>
      <c r="D36" s="556"/>
      <c r="E36" s="566"/>
      <c r="F36" s="555"/>
      <c r="G36" s="566"/>
      <c r="H36" s="572"/>
      <c r="I36" s="568"/>
      <c r="J36" s="547"/>
      <c r="K36" s="568"/>
      <c r="L36" s="568"/>
      <c r="M36" s="568"/>
    </row>
    <row r="37" spans="1:13" s="573" customFormat="1" ht="20.100000000000001" customHeight="1">
      <c r="A37" s="585" t="s">
        <v>2168</v>
      </c>
      <c r="B37" s="587" t="s">
        <v>2201</v>
      </c>
      <c r="C37" s="555"/>
      <c r="D37" s="586"/>
      <c r="E37" s="566"/>
      <c r="F37" s="555"/>
      <c r="G37" s="566"/>
      <c r="H37" s="556"/>
      <c r="I37" s="568"/>
      <c r="J37" s="547"/>
      <c r="K37" s="568"/>
      <c r="L37" s="568"/>
      <c r="M37" s="568"/>
    </row>
    <row r="38" spans="1:13" ht="23.45" customHeight="1">
      <c r="A38" s="582">
        <v>1</v>
      </c>
      <c r="B38" s="577" t="s">
        <v>2200</v>
      </c>
      <c r="C38" s="546" t="s">
        <v>2159</v>
      </c>
      <c r="D38" s="564" t="s">
        <v>2202</v>
      </c>
      <c r="E38" s="565">
        <v>6000</v>
      </c>
      <c r="F38" s="546">
        <v>2</v>
      </c>
      <c r="G38" s="565">
        <f>E38*F38</f>
        <v>12000</v>
      </c>
      <c r="H38" s="583" t="s">
        <v>2166</v>
      </c>
    </row>
    <row r="39" spans="1:13" s="573" customFormat="1" ht="20.100000000000001" customHeight="1">
      <c r="A39" s="585"/>
      <c r="B39" s="551" t="s">
        <v>2167</v>
      </c>
      <c r="C39" s="588"/>
      <c r="D39" s="589"/>
      <c r="E39" s="579"/>
      <c r="F39" s="588"/>
      <c r="G39" s="579">
        <f>SUM(G38:G38)</f>
        <v>12000</v>
      </c>
      <c r="H39" s="563"/>
      <c r="I39" s="568"/>
      <c r="J39" s="547"/>
      <c r="K39" s="568"/>
      <c r="L39" s="568"/>
      <c r="M39" s="568"/>
    </row>
    <row r="40" spans="1:13" s="573" customFormat="1" ht="20.100000000000001" customHeight="1">
      <c r="A40" s="585" t="s">
        <v>2170</v>
      </c>
      <c r="B40" s="563" t="s">
        <v>2203</v>
      </c>
      <c r="C40" s="588"/>
      <c r="D40" s="589"/>
      <c r="E40" s="579"/>
      <c r="F40" s="588"/>
      <c r="G40" s="579"/>
      <c r="H40" s="563"/>
      <c r="I40" s="568"/>
      <c r="J40" s="547"/>
      <c r="K40" s="568"/>
      <c r="L40" s="568"/>
      <c r="M40" s="568"/>
    </row>
    <row r="41" spans="1:13" s="573" customFormat="1" ht="20.100000000000001" customHeight="1">
      <c r="A41" s="585" t="s">
        <v>2176</v>
      </c>
      <c r="B41" s="570" t="s">
        <v>2204</v>
      </c>
      <c r="C41" s="555"/>
      <c r="D41" s="589"/>
      <c r="E41" s="566"/>
      <c r="F41" s="588"/>
      <c r="G41" s="579"/>
      <c r="H41" s="563"/>
      <c r="I41" s="568"/>
      <c r="J41" s="547"/>
      <c r="K41" s="568"/>
      <c r="L41" s="568"/>
      <c r="M41" s="568"/>
    </row>
    <row r="42" spans="1:13" s="573" customFormat="1" ht="20.100000000000001" customHeight="1">
      <c r="A42" s="585" t="s">
        <v>2178</v>
      </c>
      <c r="B42" s="590" t="s">
        <v>2205</v>
      </c>
      <c r="C42" s="555"/>
      <c r="D42" s="571"/>
      <c r="E42" s="566"/>
      <c r="F42" s="555"/>
      <c r="G42" s="566"/>
      <c r="H42" s="563"/>
      <c r="I42" s="568"/>
      <c r="J42" s="547"/>
      <c r="K42" s="568"/>
      <c r="L42" s="568"/>
      <c r="M42" s="568"/>
    </row>
    <row r="43" spans="1:13" ht="20.100000000000001" customHeight="1">
      <c r="A43" s="546">
        <v>1</v>
      </c>
      <c r="B43" s="577" t="s">
        <v>2264</v>
      </c>
      <c r="C43" s="546" t="s">
        <v>2159</v>
      </c>
      <c r="D43" s="564"/>
      <c r="E43" s="622">
        <v>25000</v>
      </c>
      <c r="F43" s="546">
        <v>1</v>
      </c>
      <c r="G43" s="565">
        <f>E43*F43</f>
        <v>25000</v>
      </c>
      <c r="H43" s="576"/>
    </row>
    <row r="44" spans="1:13" ht="20.100000000000001" customHeight="1">
      <c r="A44" s="546">
        <v>2</v>
      </c>
      <c r="B44" s="577" t="s">
        <v>2200</v>
      </c>
      <c r="C44" s="546" t="s">
        <v>2159</v>
      </c>
      <c r="D44" s="564" t="s">
        <v>2265</v>
      </c>
      <c r="E44" s="565">
        <v>7000</v>
      </c>
      <c r="F44" s="546">
        <v>1</v>
      </c>
      <c r="G44" s="565">
        <f>E44*F44</f>
        <v>7000</v>
      </c>
      <c r="H44" s="583" t="s">
        <v>2166</v>
      </c>
    </row>
    <row r="45" spans="1:13" s="573" customFormat="1" ht="20.100000000000001" customHeight="1">
      <c r="A45" s="585"/>
      <c r="B45" s="551" t="s">
        <v>2167</v>
      </c>
      <c r="C45" s="555"/>
      <c r="D45" s="571"/>
      <c r="E45" s="566"/>
      <c r="F45" s="555"/>
      <c r="G45" s="566">
        <f>SUM(G43:G44)</f>
        <v>32000</v>
      </c>
      <c r="H45" s="572"/>
      <c r="I45" s="568"/>
      <c r="J45" s="547"/>
      <c r="K45" s="568"/>
      <c r="L45" s="568"/>
      <c r="M45" s="568"/>
    </row>
    <row r="46" spans="1:13" s="573" customFormat="1" ht="20.100000000000001" customHeight="1">
      <c r="A46" s="585" t="s">
        <v>2184</v>
      </c>
      <c r="B46" s="570" t="s">
        <v>2206</v>
      </c>
      <c r="C46" s="555"/>
      <c r="D46" s="571"/>
      <c r="E46" s="566"/>
      <c r="F46" s="555"/>
      <c r="G46" s="566"/>
      <c r="H46" s="572"/>
      <c r="I46" s="568"/>
      <c r="J46" s="547"/>
      <c r="K46" s="568"/>
      <c r="L46" s="568"/>
      <c r="M46" s="568"/>
    </row>
    <row r="47" spans="1:13" ht="20.100000000000001" customHeight="1">
      <c r="A47" s="582">
        <v>1</v>
      </c>
      <c r="B47" s="574" t="s">
        <v>2266</v>
      </c>
      <c r="C47" s="575" t="s">
        <v>2159</v>
      </c>
      <c r="D47" s="576" t="s">
        <v>2267</v>
      </c>
      <c r="E47" s="565">
        <v>12000</v>
      </c>
      <c r="F47" s="546">
        <v>1</v>
      </c>
      <c r="G47" s="565">
        <f>E47*F47</f>
        <v>12000</v>
      </c>
      <c r="H47" s="567"/>
    </row>
    <row r="48" spans="1:13" s="573" customFormat="1" ht="20.100000000000001" customHeight="1">
      <c r="A48" s="591"/>
      <c r="B48" s="551" t="s">
        <v>2167</v>
      </c>
      <c r="C48" s="588"/>
      <c r="D48" s="589"/>
      <c r="E48" s="566"/>
      <c r="F48" s="555"/>
      <c r="G48" s="566">
        <f>SUM(G47:G47)</f>
        <v>12000</v>
      </c>
      <c r="H48" s="551"/>
      <c r="I48" s="568"/>
      <c r="J48" s="547"/>
      <c r="K48" s="568"/>
      <c r="L48" s="568"/>
      <c r="M48" s="568"/>
    </row>
    <row r="49" spans="1:13" s="573" customFormat="1" ht="20.100000000000001" hidden="1" customHeight="1">
      <c r="A49" s="591" t="s">
        <v>2190</v>
      </c>
      <c r="B49" s="563" t="s">
        <v>2207</v>
      </c>
      <c r="C49" s="592"/>
      <c r="D49" s="589"/>
      <c r="E49" s="566"/>
      <c r="F49" s="555"/>
      <c r="G49" s="566"/>
      <c r="H49" s="551"/>
      <c r="I49" s="568"/>
      <c r="J49" s="547"/>
      <c r="K49" s="568"/>
      <c r="L49" s="568"/>
      <c r="M49" s="568"/>
    </row>
    <row r="50" spans="1:13" s="573" customFormat="1" ht="20.100000000000001" hidden="1" customHeight="1">
      <c r="A50" s="591" t="s">
        <v>2208</v>
      </c>
      <c r="B50" s="593" t="s">
        <v>2209</v>
      </c>
      <c r="C50" s="592"/>
      <c r="D50" s="589"/>
      <c r="E50" s="566"/>
      <c r="F50" s="555"/>
      <c r="G50" s="566"/>
      <c r="H50" s="551"/>
      <c r="I50" s="568"/>
      <c r="J50" s="547"/>
      <c r="K50" s="568"/>
      <c r="L50" s="568"/>
      <c r="M50" s="568"/>
    </row>
    <row r="51" spans="1:13" s="573" customFormat="1" ht="20.100000000000001" hidden="1" customHeight="1">
      <c r="A51" s="555" t="s">
        <v>2210</v>
      </c>
      <c r="B51" s="593" t="s">
        <v>2211</v>
      </c>
      <c r="C51" s="592"/>
      <c r="D51" s="589"/>
      <c r="E51" s="566"/>
      <c r="F51" s="555"/>
      <c r="G51" s="566"/>
      <c r="H51" s="551"/>
      <c r="I51" s="568"/>
      <c r="J51" s="547"/>
      <c r="K51" s="568"/>
      <c r="L51" s="568"/>
      <c r="M51" s="568"/>
    </row>
    <row r="52" spans="1:13" s="573" customFormat="1" ht="20.100000000000001" hidden="1" customHeight="1">
      <c r="A52" s="591" t="s">
        <v>2212</v>
      </c>
      <c r="B52" s="593" t="s">
        <v>2213</v>
      </c>
      <c r="C52" s="592"/>
      <c r="D52" s="589"/>
      <c r="E52" s="566"/>
      <c r="F52" s="555"/>
      <c r="G52" s="566"/>
      <c r="H52" s="551"/>
      <c r="I52" s="568"/>
      <c r="J52" s="547"/>
      <c r="K52" s="568"/>
      <c r="L52" s="568"/>
      <c r="M52" s="568"/>
    </row>
    <row r="53" spans="1:13" s="573" customFormat="1" ht="20.100000000000001" customHeight="1">
      <c r="A53" s="555" t="s">
        <v>2216</v>
      </c>
      <c r="B53" s="570" t="s">
        <v>2217</v>
      </c>
      <c r="C53" s="578"/>
      <c r="D53" s="556"/>
      <c r="E53" s="566"/>
      <c r="F53" s="555"/>
      <c r="G53" s="566"/>
      <c r="H53" s="572"/>
      <c r="I53" s="568"/>
      <c r="J53" s="547"/>
      <c r="K53" s="568"/>
      <c r="L53" s="568"/>
      <c r="M53" s="568"/>
    </row>
    <row r="54" spans="1:13" ht="20.100000000000001" customHeight="1">
      <c r="A54" s="546">
        <v>1</v>
      </c>
      <c r="B54" s="577" t="s">
        <v>2200</v>
      </c>
      <c r="C54" s="546" t="s">
        <v>2159</v>
      </c>
      <c r="D54" s="564" t="s">
        <v>2265</v>
      </c>
      <c r="E54" s="565">
        <v>7000</v>
      </c>
      <c r="F54" s="546">
        <v>1</v>
      </c>
      <c r="G54" s="565">
        <f t="shared" ref="G54" si="1">E54*F54</f>
        <v>7000</v>
      </c>
      <c r="H54" s="583" t="s">
        <v>2166</v>
      </c>
    </row>
    <row r="55" spans="1:13" s="573" customFormat="1" ht="20.100000000000001" customHeight="1">
      <c r="A55" s="555"/>
      <c r="B55" s="551" t="s">
        <v>2167</v>
      </c>
      <c r="C55" s="555"/>
      <c r="D55" s="556"/>
      <c r="E55" s="566"/>
      <c r="F55" s="555"/>
      <c r="G55" s="566">
        <f>SUM(G54:G54)</f>
        <v>7000</v>
      </c>
      <c r="H55" s="572"/>
      <c r="I55" s="568"/>
      <c r="J55" s="547"/>
      <c r="K55" s="568"/>
      <c r="L55" s="568"/>
      <c r="M55" s="568"/>
    </row>
    <row r="56" spans="1:13" s="573" customFormat="1" ht="20.100000000000001" customHeight="1">
      <c r="A56" s="591" t="s">
        <v>2220</v>
      </c>
      <c r="B56" s="593" t="s">
        <v>2221</v>
      </c>
      <c r="C56" s="592"/>
      <c r="D56" s="589"/>
      <c r="E56" s="566"/>
      <c r="F56" s="555"/>
      <c r="G56" s="566"/>
      <c r="H56" s="551"/>
      <c r="I56" s="568"/>
      <c r="J56" s="547"/>
      <c r="K56" s="568"/>
      <c r="L56" s="568"/>
      <c r="M56" s="568"/>
    </row>
    <row r="57" spans="1:13" ht="39.6" customHeight="1">
      <c r="A57" s="562">
        <v>1</v>
      </c>
      <c r="B57" s="598" t="s">
        <v>2222</v>
      </c>
      <c r="C57" s="599" t="s">
        <v>2159</v>
      </c>
      <c r="D57" s="623" t="s">
        <v>2268</v>
      </c>
      <c r="E57" s="601">
        <v>210000</v>
      </c>
      <c r="F57" s="599">
        <v>1</v>
      </c>
      <c r="G57" s="565">
        <f>E57*F57</f>
        <v>210000</v>
      </c>
      <c r="H57" s="624"/>
      <c r="I57" s="553"/>
    </row>
    <row r="58" spans="1:13" ht="19.350000000000001" customHeight="1">
      <c r="A58" s="546">
        <v>2</v>
      </c>
      <c r="B58" s="577" t="s">
        <v>2200</v>
      </c>
      <c r="C58" s="546" t="s">
        <v>2159</v>
      </c>
      <c r="D58" s="564" t="s">
        <v>2265</v>
      </c>
      <c r="E58" s="565">
        <v>7000</v>
      </c>
      <c r="F58" s="546">
        <v>1</v>
      </c>
      <c r="G58" s="565">
        <f>E58*F58</f>
        <v>7000</v>
      </c>
      <c r="H58" s="583" t="s">
        <v>2166</v>
      </c>
      <c r="I58" s="553"/>
    </row>
    <row r="59" spans="1:13" s="573" customFormat="1" ht="20.100000000000001" customHeight="1">
      <c r="A59" s="591"/>
      <c r="B59" s="551" t="s">
        <v>2167</v>
      </c>
      <c r="C59" s="592"/>
      <c r="D59" s="589"/>
      <c r="E59" s="566"/>
      <c r="F59" s="555"/>
      <c r="G59" s="566">
        <f>SUM(G57:G58)</f>
        <v>217000</v>
      </c>
      <c r="H59" s="551"/>
      <c r="I59" s="568"/>
      <c r="J59" s="547"/>
      <c r="K59" s="568"/>
      <c r="L59" s="568"/>
      <c r="M59" s="568"/>
    </row>
    <row r="60" spans="1:13" s="573" customFormat="1" ht="20.100000000000001" customHeight="1">
      <c r="A60" s="591" t="s">
        <v>2224</v>
      </c>
      <c r="B60" s="602" t="s">
        <v>2225</v>
      </c>
      <c r="C60" s="592"/>
      <c r="D60" s="589"/>
      <c r="E60" s="566"/>
      <c r="F60" s="555"/>
      <c r="G60" s="566"/>
      <c r="H60" s="551"/>
      <c r="I60" s="568"/>
      <c r="J60" s="547"/>
      <c r="K60" s="568"/>
      <c r="L60" s="568"/>
      <c r="M60" s="568"/>
    </row>
    <row r="61" spans="1:13" ht="20.100000000000001" customHeight="1">
      <c r="A61" s="562">
        <v>1</v>
      </c>
      <c r="B61" s="577" t="s">
        <v>2226</v>
      </c>
      <c r="C61" s="546" t="s">
        <v>2162</v>
      </c>
      <c r="D61" s="564"/>
      <c r="E61" s="565">
        <v>70000</v>
      </c>
      <c r="F61" s="546">
        <v>1</v>
      </c>
      <c r="G61" s="565">
        <f>E61*F61</f>
        <v>70000</v>
      </c>
      <c r="H61" s="567"/>
    </row>
    <row r="62" spans="1:13" s="573" customFormat="1" ht="20.100000000000001" customHeight="1">
      <c r="A62" s="591"/>
      <c r="B62" s="551" t="s">
        <v>2167</v>
      </c>
      <c r="C62" s="592"/>
      <c r="D62" s="589"/>
      <c r="E62" s="566"/>
      <c r="F62" s="555"/>
      <c r="G62" s="566">
        <f>SUM(G61)</f>
        <v>70000</v>
      </c>
      <c r="H62" s="551"/>
      <c r="I62" s="568"/>
      <c r="J62" s="547"/>
      <c r="K62" s="568"/>
      <c r="L62" s="568"/>
      <c r="M62" s="568"/>
    </row>
    <row r="63" spans="1:13" s="573" customFormat="1" ht="20.100000000000001" customHeight="1">
      <c r="A63" s="591" t="s">
        <v>2227</v>
      </c>
      <c r="B63" s="593" t="s">
        <v>2228</v>
      </c>
      <c r="C63" s="592"/>
      <c r="D63" s="589"/>
      <c r="E63" s="566"/>
      <c r="F63" s="555"/>
      <c r="G63" s="566"/>
      <c r="H63" s="551"/>
      <c r="I63" s="568"/>
      <c r="J63" s="547"/>
      <c r="K63" s="568"/>
      <c r="L63" s="568"/>
      <c r="M63" s="568"/>
    </row>
    <row r="64" spans="1:13" s="573" customFormat="1" ht="20.100000000000001" customHeight="1">
      <c r="A64" s="591" t="s">
        <v>2229</v>
      </c>
      <c r="B64" s="593" t="s">
        <v>2230</v>
      </c>
      <c r="C64" s="592"/>
      <c r="D64" s="589"/>
      <c r="E64" s="566"/>
      <c r="F64" s="555"/>
      <c r="G64" s="566"/>
      <c r="H64" s="551"/>
      <c r="I64" s="568"/>
      <c r="J64" s="547"/>
      <c r="K64" s="568"/>
      <c r="M64" s="568"/>
    </row>
    <row r="65" spans="1:13" s="573" customFormat="1" ht="20.100000000000001" customHeight="1">
      <c r="A65" s="591" t="s">
        <v>2231</v>
      </c>
      <c r="B65" s="593" t="s">
        <v>2232</v>
      </c>
      <c r="C65" s="592"/>
      <c r="D65" s="589"/>
      <c r="E65" s="566"/>
      <c r="F65" s="555"/>
      <c r="G65" s="566"/>
      <c r="H65" s="551"/>
      <c r="I65" s="568"/>
      <c r="J65" s="547"/>
      <c r="K65" s="568"/>
      <c r="M65" s="568"/>
    </row>
    <row r="66" spans="1:13" ht="20.100000000000001" customHeight="1">
      <c r="A66" s="546">
        <v>1</v>
      </c>
      <c r="B66" s="577" t="s">
        <v>2200</v>
      </c>
      <c r="C66" s="546" t="s">
        <v>2159</v>
      </c>
      <c r="D66" s="564" t="s">
        <v>2265</v>
      </c>
      <c r="E66" s="565">
        <v>7000</v>
      </c>
      <c r="F66" s="546">
        <v>1</v>
      </c>
      <c r="G66" s="565">
        <f>E66*F66</f>
        <v>7000</v>
      </c>
      <c r="H66" s="606" t="s">
        <v>2234</v>
      </c>
      <c r="I66" s="553"/>
    </row>
    <row r="67" spans="1:13" s="573" customFormat="1" ht="20.100000000000001" customHeight="1">
      <c r="A67" s="591"/>
      <c r="B67" s="551" t="s">
        <v>2167</v>
      </c>
      <c r="C67" s="592"/>
      <c r="D67" s="589"/>
      <c r="E67" s="566"/>
      <c r="F67" s="555"/>
      <c r="G67" s="566">
        <f>SUM(G66:G66)</f>
        <v>7000</v>
      </c>
      <c r="H67" s="551"/>
      <c r="I67" s="568"/>
      <c r="J67" s="547"/>
      <c r="K67" s="568"/>
      <c r="M67" s="568"/>
    </row>
    <row r="68" spans="1:13" s="573" customFormat="1" ht="20.100000000000001" customHeight="1">
      <c r="A68" s="591" t="s">
        <v>2235</v>
      </c>
      <c r="B68" s="593" t="s">
        <v>2236</v>
      </c>
      <c r="C68" s="592"/>
      <c r="D68" s="589"/>
      <c r="E68" s="566"/>
      <c r="F68" s="555"/>
      <c r="G68" s="566"/>
      <c r="H68" s="551"/>
      <c r="I68" s="568"/>
      <c r="J68" s="547"/>
      <c r="K68" s="568"/>
      <c r="M68" s="568"/>
    </row>
    <row r="69" spans="1:13" ht="20.100000000000001" customHeight="1">
      <c r="A69" s="562">
        <v>1</v>
      </c>
      <c r="B69" s="577" t="s">
        <v>2237</v>
      </c>
      <c r="C69" s="546" t="s">
        <v>2162</v>
      </c>
      <c r="D69" s="564" t="s">
        <v>2238</v>
      </c>
      <c r="E69" s="565">
        <v>300000</v>
      </c>
      <c r="F69" s="546">
        <v>1</v>
      </c>
      <c r="G69" s="565">
        <f t="shared" ref="G69:G73" si="2">E69*F69</f>
        <v>300000</v>
      </c>
      <c r="H69" s="624"/>
    </row>
    <row r="70" spans="1:13" ht="25.7" customHeight="1">
      <c r="A70" s="546">
        <v>2</v>
      </c>
      <c r="B70" s="603" t="s">
        <v>2200</v>
      </c>
      <c r="C70" s="604" t="s">
        <v>2159</v>
      </c>
      <c r="D70" s="607" t="s">
        <v>2265</v>
      </c>
      <c r="E70" s="565">
        <v>7000</v>
      </c>
      <c r="F70" s="604">
        <v>1</v>
      </c>
      <c r="G70" s="565">
        <f t="shared" si="2"/>
        <v>7000</v>
      </c>
      <c r="H70" s="606" t="s">
        <v>2239</v>
      </c>
      <c r="L70" s="548"/>
    </row>
    <row r="71" spans="1:13" ht="20.100000000000001" customHeight="1">
      <c r="A71" s="562">
        <v>3</v>
      </c>
      <c r="B71" s="598" t="s">
        <v>2240</v>
      </c>
      <c r="C71" s="546" t="s">
        <v>2162</v>
      </c>
      <c r="D71" s="564"/>
      <c r="E71" s="565">
        <v>30000</v>
      </c>
      <c r="F71" s="546">
        <v>1</v>
      </c>
      <c r="G71" s="565">
        <f t="shared" si="2"/>
        <v>30000</v>
      </c>
      <c r="H71" s="567"/>
    </row>
    <row r="72" spans="1:13" ht="20.100000000000001" customHeight="1">
      <c r="A72" s="546">
        <v>4</v>
      </c>
      <c r="B72" s="608" t="s">
        <v>2269</v>
      </c>
      <c r="C72" s="575" t="s">
        <v>2162</v>
      </c>
      <c r="D72" s="609"/>
      <c r="E72" s="565">
        <v>2600</v>
      </c>
      <c r="F72" s="546">
        <v>1</v>
      </c>
      <c r="G72" s="565">
        <f t="shared" si="2"/>
        <v>2600</v>
      </c>
      <c r="H72" s="567"/>
    </row>
    <row r="73" spans="1:13" ht="20.100000000000001" customHeight="1">
      <c r="A73" s="562">
        <v>5</v>
      </c>
      <c r="B73" s="625" t="s">
        <v>2270</v>
      </c>
      <c r="C73" s="575"/>
      <c r="D73" s="609"/>
      <c r="E73" s="565">
        <v>20000</v>
      </c>
      <c r="F73" s="546">
        <v>1</v>
      </c>
      <c r="G73" s="565">
        <f t="shared" si="2"/>
        <v>20000</v>
      </c>
      <c r="H73" s="607"/>
    </row>
    <row r="74" spans="1:13" s="573" customFormat="1" ht="20.100000000000001" customHeight="1">
      <c r="A74" s="569"/>
      <c r="B74" s="551" t="s">
        <v>2167</v>
      </c>
      <c r="C74" s="578"/>
      <c r="D74" s="586"/>
      <c r="E74" s="566"/>
      <c r="F74" s="555"/>
      <c r="G74" s="566">
        <f>SUM(G69:G73)</f>
        <v>359600</v>
      </c>
      <c r="H74" s="572"/>
      <c r="I74" s="568"/>
      <c r="J74" s="547"/>
      <c r="K74" s="568"/>
      <c r="M74" s="568"/>
    </row>
    <row r="75" spans="1:13" s="573" customFormat="1" ht="20.100000000000001" customHeight="1">
      <c r="A75" s="569" t="s">
        <v>2242</v>
      </c>
      <c r="B75" s="570" t="s">
        <v>2243</v>
      </c>
      <c r="C75" s="555"/>
      <c r="D75" s="586"/>
      <c r="E75" s="566"/>
      <c r="F75" s="555"/>
      <c r="G75" s="566"/>
      <c r="H75" s="572"/>
      <c r="I75" s="568"/>
      <c r="J75" s="547"/>
      <c r="K75" s="568"/>
      <c r="M75" s="568"/>
    </row>
    <row r="76" spans="1:13" ht="42" customHeight="1">
      <c r="A76" s="562">
        <v>1</v>
      </c>
      <c r="B76" s="610" t="s">
        <v>2244</v>
      </c>
      <c r="C76" s="604" t="s">
        <v>2188</v>
      </c>
      <c r="D76" s="606" t="s">
        <v>2271</v>
      </c>
      <c r="E76" s="565">
        <f>170*150</f>
        <v>25500</v>
      </c>
      <c r="F76" s="546">
        <v>1</v>
      </c>
      <c r="G76" s="565">
        <f>E76*F76</f>
        <v>25500</v>
      </c>
      <c r="H76" s="581"/>
      <c r="I76" s="611"/>
      <c r="L76" s="548"/>
    </row>
    <row r="77" spans="1:13" ht="20.100000000000001" customHeight="1">
      <c r="A77" s="562">
        <v>2</v>
      </c>
      <c r="B77" s="577" t="s">
        <v>2246</v>
      </c>
      <c r="C77" s="599" t="s">
        <v>2162</v>
      </c>
      <c r="D77" s="612" t="s">
        <v>2247</v>
      </c>
      <c r="E77" s="601">
        <v>30000</v>
      </c>
      <c r="F77" s="599">
        <v>1</v>
      </c>
      <c r="G77" s="565">
        <f>E77*F77</f>
        <v>30000</v>
      </c>
      <c r="H77" s="598"/>
      <c r="I77" s="553"/>
    </row>
    <row r="78" spans="1:13" ht="20.100000000000001" customHeight="1">
      <c r="A78" s="562">
        <v>3</v>
      </c>
      <c r="B78" s="603" t="s">
        <v>2248</v>
      </c>
      <c r="C78" s="604" t="s">
        <v>2249</v>
      </c>
      <c r="D78" s="607" t="s">
        <v>2250</v>
      </c>
      <c r="E78" s="565">
        <f>6*8000</f>
        <v>48000</v>
      </c>
      <c r="F78" s="546">
        <v>1</v>
      </c>
      <c r="G78" s="565">
        <f>E78*F78</f>
        <v>48000</v>
      </c>
      <c r="H78" s="567"/>
      <c r="I78" s="611"/>
    </row>
    <row r="79" spans="1:13" s="573" customFormat="1" ht="20.100000000000001" customHeight="1">
      <c r="A79" s="555"/>
      <c r="B79" s="572" t="s">
        <v>2167</v>
      </c>
      <c r="C79" s="555"/>
      <c r="D79" s="556"/>
      <c r="E79" s="566"/>
      <c r="F79" s="555"/>
      <c r="G79" s="566">
        <f>SUM(G76:G78)</f>
        <v>103500</v>
      </c>
      <c r="H79" s="572"/>
      <c r="I79" s="568"/>
      <c r="J79" s="547"/>
      <c r="K79" s="568"/>
      <c r="M79" s="568"/>
    </row>
    <row r="80" spans="1:13" ht="20.100000000000001" customHeight="1">
      <c r="A80" s="546"/>
      <c r="B80" s="572" t="s">
        <v>2251</v>
      </c>
      <c r="C80" s="546"/>
      <c r="D80" s="576"/>
      <c r="E80" s="565"/>
      <c r="F80" s="555"/>
      <c r="G80" s="566">
        <f>SUM(G79,G74,G67,G62,G59,G55,G48,G45,G39,G33,G28,G22,G17,G13,G6)</f>
        <v>1448100</v>
      </c>
      <c r="H80" s="567"/>
    </row>
    <row r="82" spans="1:1">
      <c r="A82" s="547"/>
    </row>
  </sheetData>
  <mergeCells count="8">
    <mergeCell ref="A1:H1"/>
    <mergeCell ref="A2:A3"/>
    <mergeCell ref="B2:B3"/>
    <mergeCell ref="C2:C3"/>
    <mergeCell ref="D2:D3"/>
    <mergeCell ref="E2:E3"/>
    <mergeCell ref="F2:G2"/>
    <mergeCell ref="H2:H3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85" orientation="portrait" r:id="rId1"/>
  <headerFooter>
    <oddFooter>第 &amp;P 页，共 &amp;N 页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9"/>
  <sheetViews>
    <sheetView topLeftCell="A67" workbookViewId="0">
      <selection activeCell="G43" sqref="G43:G45"/>
    </sheetView>
  </sheetViews>
  <sheetFormatPr defaultColWidth="9" defaultRowHeight="15.75"/>
  <cols>
    <col min="1" max="1" width="3.5" style="696" customWidth="1"/>
    <col min="2" max="2" width="24.875" style="633" customWidth="1"/>
    <col min="3" max="3" width="3.125" style="626" customWidth="1"/>
    <col min="4" max="4" width="22.375" style="693" customWidth="1"/>
    <col min="5" max="5" width="9.875" style="695" customWidth="1"/>
    <col min="6" max="6" width="4.625" style="626" customWidth="1"/>
    <col min="7" max="7" width="12.25" style="695" customWidth="1"/>
    <col min="8" max="8" width="18.125" style="632" customWidth="1"/>
    <col min="9" max="13" width="9" style="626"/>
    <col min="14" max="16384" width="9" style="627"/>
  </cols>
  <sheetData>
    <row r="1" spans="1:13" ht="26.25" customHeight="1">
      <c r="A1" s="839" t="s">
        <v>2272</v>
      </c>
      <c r="B1" s="840"/>
      <c r="C1" s="840"/>
      <c r="D1" s="840"/>
      <c r="E1" s="840"/>
      <c r="F1" s="840"/>
      <c r="G1" s="840"/>
      <c r="H1" s="840"/>
    </row>
    <row r="2" spans="1:13" s="629" customFormat="1" ht="12.75">
      <c r="A2" s="841" t="s">
        <v>2141</v>
      </c>
      <c r="B2" s="841" t="s">
        <v>2142</v>
      </c>
      <c r="C2" s="841" t="s">
        <v>2143</v>
      </c>
      <c r="D2" s="841" t="s">
        <v>2144</v>
      </c>
      <c r="E2" s="844" t="s">
        <v>2145</v>
      </c>
      <c r="F2" s="846" t="s">
        <v>2273</v>
      </c>
      <c r="G2" s="847"/>
      <c r="H2" s="848" t="s">
        <v>18</v>
      </c>
      <c r="I2" s="628"/>
      <c r="J2" s="628"/>
      <c r="K2" s="628"/>
      <c r="L2" s="628"/>
      <c r="M2" s="628"/>
    </row>
    <row r="3" spans="1:13" s="633" customFormat="1" ht="12.75">
      <c r="A3" s="842"/>
      <c r="B3" s="842"/>
      <c r="C3" s="842"/>
      <c r="D3" s="843"/>
      <c r="E3" s="845"/>
      <c r="F3" s="630" t="s">
        <v>2147</v>
      </c>
      <c r="G3" s="631" t="s">
        <v>2148</v>
      </c>
      <c r="H3" s="849"/>
      <c r="I3" s="632"/>
      <c r="J3" s="632"/>
      <c r="K3" s="632"/>
      <c r="L3" s="632"/>
      <c r="M3" s="632"/>
    </row>
    <row r="4" spans="1:13" s="633" customFormat="1" ht="32.450000000000003" customHeight="1">
      <c r="A4" s="634" t="s">
        <v>2149</v>
      </c>
      <c r="B4" s="635" t="s">
        <v>2150</v>
      </c>
      <c r="C4" s="636"/>
      <c r="D4" s="637"/>
      <c r="E4" s="638"/>
      <c r="F4" s="630"/>
      <c r="G4" s="639"/>
      <c r="H4" s="640" t="s">
        <v>2151</v>
      </c>
      <c r="I4" s="632"/>
      <c r="J4" s="632"/>
      <c r="K4" s="632"/>
      <c r="L4" s="632"/>
      <c r="M4" s="632"/>
    </row>
    <row r="5" spans="1:13" ht="20.100000000000001" customHeight="1">
      <c r="A5" s="641">
        <v>2</v>
      </c>
      <c r="B5" s="642" t="s">
        <v>2274</v>
      </c>
      <c r="C5" s="641" t="s">
        <v>2188</v>
      </c>
      <c r="D5" s="642"/>
      <c r="E5" s="643">
        <v>100000</v>
      </c>
      <c r="F5" s="641">
        <v>1</v>
      </c>
      <c r="G5" s="643">
        <f t="shared" ref="G5" si="0">E5*F5</f>
        <v>100000</v>
      </c>
      <c r="H5" s="644"/>
      <c r="J5" s="645"/>
    </row>
    <row r="6" spans="1:13" ht="20.100000000000001" customHeight="1">
      <c r="A6" s="641"/>
      <c r="B6" s="630" t="s">
        <v>2167</v>
      </c>
      <c r="C6" s="641"/>
      <c r="D6" s="642"/>
      <c r="E6" s="643"/>
      <c r="F6" s="634"/>
      <c r="G6" s="646">
        <f>SUM(G5:G5)</f>
        <v>100000</v>
      </c>
      <c r="H6" s="647"/>
    </row>
    <row r="7" spans="1:13" ht="20.100000000000001" customHeight="1">
      <c r="A7" s="648" t="s">
        <v>2152</v>
      </c>
      <c r="B7" s="649" t="s">
        <v>2153</v>
      </c>
      <c r="C7" s="641"/>
      <c r="D7" s="650"/>
      <c r="E7" s="643"/>
      <c r="F7" s="634"/>
      <c r="G7" s="646"/>
      <c r="H7" s="647"/>
      <c r="J7" s="645"/>
    </row>
    <row r="8" spans="1:13" s="655" customFormat="1" ht="25.35" customHeight="1">
      <c r="A8" s="651" t="s">
        <v>2154</v>
      </c>
      <c r="B8" s="652" t="s">
        <v>2155</v>
      </c>
      <c r="C8" s="634"/>
      <c r="D8" s="653"/>
      <c r="E8" s="646"/>
      <c r="F8" s="634"/>
      <c r="G8" s="646"/>
      <c r="H8" s="654"/>
      <c r="I8" s="645"/>
      <c r="J8" s="645"/>
      <c r="K8" s="645"/>
      <c r="L8" s="645"/>
      <c r="M8" s="645"/>
    </row>
    <row r="9" spans="1:13" s="655" customFormat="1" ht="21" customHeight="1">
      <c r="A9" s="651" t="s">
        <v>2156</v>
      </c>
      <c r="B9" s="652" t="s">
        <v>2157</v>
      </c>
      <c r="C9" s="634"/>
      <c r="D9" s="653"/>
      <c r="E9" s="646"/>
      <c r="F9" s="634"/>
      <c r="G9" s="646"/>
      <c r="H9" s="654"/>
      <c r="I9" s="645"/>
      <c r="J9" s="626"/>
      <c r="K9" s="645"/>
      <c r="L9" s="645"/>
      <c r="M9" s="645"/>
    </row>
    <row r="10" spans="1:13" ht="20.100000000000001" customHeight="1">
      <c r="A10" s="648">
        <v>2</v>
      </c>
      <c r="B10" s="656" t="s">
        <v>2275</v>
      </c>
      <c r="C10" s="641" t="s">
        <v>2276</v>
      </c>
      <c r="D10" s="642" t="s">
        <v>2277</v>
      </c>
      <c r="E10" s="643">
        <v>13000</v>
      </c>
      <c r="F10" s="641">
        <v>0</v>
      </c>
      <c r="G10" s="643">
        <f t="shared" ref="G10:G13" si="1">E10*F10</f>
        <v>0</v>
      </c>
      <c r="H10" s="642"/>
    </row>
    <row r="11" spans="1:13" ht="20.100000000000001" customHeight="1">
      <c r="A11" s="648">
        <v>6</v>
      </c>
      <c r="B11" s="657" t="s">
        <v>2158</v>
      </c>
      <c r="C11" s="658" t="s">
        <v>2159</v>
      </c>
      <c r="D11" s="642" t="s">
        <v>2160</v>
      </c>
      <c r="E11" s="643">
        <v>10000</v>
      </c>
      <c r="F11" s="641">
        <v>9</v>
      </c>
      <c r="G11" s="643">
        <f t="shared" si="1"/>
        <v>90000</v>
      </c>
      <c r="H11" s="642"/>
    </row>
    <row r="12" spans="1:13" ht="20.100000000000001" customHeight="1">
      <c r="A12" s="648">
        <v>10</v>
      </c>
      <c r="B12" s="656" t="s">
        <v>2164</v>
      </c>
      <c r="C12" s="641" t="s">
        <v>2159</v>
      </c>
      <c r="D12" s="642" t="s">
        <v>2165</v>
      </c>
      <c r="E12" s="643">
        <v>11000</v>
      </c>
      <c r="F12" s="641">
        <v>9</v>
      </c>
      <c r="G12" s="643">
        <f t="shared" si="1"/>
        <v>99000</v>
      </c>
      <c r="H12" s="642" t="s">
        <v>2166</v>
      </c>
    </row>
    <row r="13" spans="1:13" ht="20.100000000000001" customHeight="1">
      <c r="A13" s="648">
        <v>12</v>
      </c>
      <c r="B13" s="642" t="s">
        <v>2278</v>
      </c>
      <c r="C13" s="659" t="s">
        <v>1385</v>
      </c>
      <c r="D13" s="642"/>
      <c r="E13" s="643">
        <v>200000</v>
      </c>
      <c r="F13" s="641">
        <v>1</v>
      </c>
      <c r="G13" s="643">
        <f t="shared" si="1"/>
        <v>200000</v>
      </c>
      <c r="H13" s="642"/>
    </row>
    <row r="14" spans="1:13" s="655" customFormat="1" ht="20.100000000000001" customHeight="1">
      <c r="A14" s="651"/>
      <c r="B14" s="630" t="s">
        <v>2167</v>
      </c>
      <c r="C14" s="634"/>
      <c r="D14" s="653"/>
      <c r="E14" s="646"/>
      <c r="F14" s="634"/>
      <c r="G14" s="646">
        <f>SUM(G10:G13)</f>
        <v>389000</v>
      </c>
      <c r="H14" s="635"/>
      <c r="I14" s="645"/>
      <c r="J14" s="626"/>
      <c r="K14" s="645"/>
      <c r="L14" s="645"/>
      <c r="M14" s="645"/>
    </row>
    <row r="15" spans="1:13" s="655" customFormat="1" ht="20.100000000000001" customHeight="1">
      <c r="A15" s="651" t="s">
        <v>2168</v>
      </c>
      <c r="B15" s="649" t="s">
        <v>2169</v>
      </c>
      <c r="C15" s="634"/>
      <c r="D15" s="653"/>
      <c r="E15" s="646"/>
      <c r="F15" s="634"/>
      <c r="G15" s="646"/>
      <c r="H15" s="635"/>
      <c r="I15" s="645"/>
      <c r="J15" s="626"/>
      <c r="K15" s="645"/>
      <c r="L15" s="645"/>
      <c r="M15" s="645"/>
    </row>
    <row r="16" spans="1:13" ht="20.100000000000001" customHeight="1">
      <c r="A16" s="648">
        <v>2</v>
      </c>
      <c r="B16" s="656" t="s">
        <v>2279</v>
      </c>
      <c r="C16" s="641" t="s">
        <v>2159</v>
      </c>
      <c r="D16" s="642" t="s">
        <v>2165</v>
      </c>
      <c r="E16" s="643">
        <v>11000</v>
      </c>
      <c r="F16" s="641">
        <v>9</v>
      </c>
      <c r="G16" s="643">
        <f>E16*F16</f>
        <v>99000</v>
      </c>
      <c r="H16" s="644" t="s">
        <v>2166</v>
      </c>
    </row>
    <row r="17" spans="1:13" s="655" customFormat="1" ht="20.100000000000001" customHeight="1">
      <c r="A17" s="651"/>
      <c r="B17" s="630" t="s">
        <v>2167</v>
      </c>
      <c r="C17" s="660"/>
      <c r="D17" s="653"/>
      <c r="E17" s="646"/>
      <c r="F17" s="634"/>
      <c r="G17" s="646">
        <f>SUM(G16:G16)</f>
        <v>99000</v>
      </c>
      <c r="H17" s="635"/>
      <c r="I17" s="645"/>
      <c r="J17" s="626"/>
      <c r="K17" s="645"/>
      <c r="L17" s="645"/>
      <c r="M17" s="645"/>
    </row>
    <row r="18" spans="1:13" s="655" customFormat="1" ht="20.100000000000001" customHeight="1">
      <c r="A18" s="651" t="s">
        <v>2170</v>
      </c>
      <c r="B18" s="649" t="s">
        <v>2171</v>
      </c>
      <c r="C18" s="660"/>
      <c r="D18" s="653"/>
      <c r="E18" s="646"/>
      <c r="F18" s="634"/>
      <c r="G18" s="646"/>
      <c r="H18" s="635"/>
      <c r="I18" s="645"/>
      <c r="J18" s="626"/>
      <c r="K18" s="645"/>
      <c r="L18" s="645"/>
      <c r="M18" s="645"/>
    </row>
    <row r="19" spans="1:13" ht="22.35" customHeight="1">
      <c r="A19" s="641">
        <v>1</v>
      </c>
      <c r="B19" s="656" t="s">
        <v>2172</v>
      </c>
      <c r="C19" s="658" t="s">
        <v>2173</v>
      </c>
      <c r="D19" s="650" t="s">
        <v>2174</v>
      </c>
      <c r="E19" s="643">
        <v>2000</v>
      </c>
      <c r="F19" s="641">
        <v>0</v>
      </c>
      <c r="G19" s="643">
        <f>E19*F19</f>
        <v>0</v>
      </c>
      <c r="H19" s="642" t="s">
        <v>2280</v>
      </c>
    </row>
    <row r="20" spans="1:13" s="655" customFormat="1" ht="20.100000000000001" customHeight="1">
      <c r="A20" s="651"/>
      <c r="B20" s="630" t="s">
        <v>2167</v>
      </c>
      <c r="C20" s="660"/>
      <c r="D20" s="653"/>
      <c r="E20" s="646"/>
      <c r="F20" s="634"/>
      <c r="G20" s="646">
        <f>SUM(G19:G19)</f>
        <v>0</v>
      </c>
      <c r="H20" s="635"/>
      <c r="I20" s="645"/>
      <c r="J20" s="626"/>
      <c r="K20" s="645"/>
      <c r="L20" s="645"/>
      <c r="M20" s="645"/>
    </row>
    <row r="21" spans="1:13" s="655" customFormat="1" ht="20.100000000000001" customHeight="1">
      <c r="A21" s="651" t="s">
        <v>2176</v>
      </c>
      <c r="B21" s="652" t="s">
        <v>2177</v>
      </c>
      <c r="C21" s="660"/>
      <c r="D21" s="653"/>
      <c r="E21" s="646"/>
      <c r="F21" s="634"/>
      <c r="G21" s="646"/>
      <c r="H21" s="635"/>
      <c r="I21" s="645"/>
      <c r="J21" s="645"/>
      <c r="K21" s="645"/>
      <c r="L21" s="645"/>
      <c r="M21" s="645"/>
    </row>
    <row r="22" spans="1:13" s="655" customFormat="1" ht="26.1" customHeight="1">
      <c r="A22" s="651" t="s">
        <v>2178</v>
      </c>
      <c r="B22" s="649" t="s">
        <v>2179</v>
      </c>
      <c r="C22" s="634"/>
      <c r="D22" s="653"/>
      <c r="E22" s="646"/>
      <c r="F22" s="634"/>
      <c r="G22" s="661"/>
      <c r="H22" s="642" t="s">
        <v>2180</v>
      </c>
      <c r="I22" s="645"/>
      <c r="J22" s="626"/>
      <c r="K22" s="645"/>
      <c r="L22" s="645"/>
      <c r="M22" s="645"/>
    </row>
    <row r="23" spans="1:13" ht="20.100000000000001" customHeight="1">
      <c r="A23" s="648">
        <v>1</v>
      </c>
      <c r="B23" s="656" t="s">
        <v>2254</v>
      </c>
      <c r="C23" s="641" t="s">
        <v>2159</v>
      </c>
      <c r="D23" s="650"/>
      <c r="E23" s="643">
        <v>1500</v>
      </c>
      <c r="F23" s="641">
        <v>9</v>
      </c>
      <c r="G23" s="662">
        <f>E23*F23</f>
        <v>13500</v>
      </c>
      <c r="H23" s="642" t="s">
        <v>2255</v>
      </c>
    </row>
    <row r="24" spans="1:13" ht="20.100000000000001" customHeight="1">
      <c r="A24" s="648">
        <v>3</v>
      </c>
      <c r="B24" s="663" t="s">
        <v>2281</v>
      </c>
      <c r="C24" s="641" t="s">
        <v>2173</v>
      </c>
      <c r="D24" s="650" t="s">
        <v>2282</v>
      </c>
      <c r="E24" s="643">
        <v>2000</v>
      </c>
      <c r="F24" s="546">
        <v>9</v>
      </c>
      <c r="G24" s="643">
        <f>E24*F24</f>
        <v>18000</v>
      </c>
      <c r="H24" s="642" t="s">
        <v>2255</v>
      </c>
    </row>
    <row r="25" spans="1:13" ht="20.100000000000001" customHeight="1">
      <c r="A25" s="648">
        <v>4</v>
      </c>
      <c r="B25" s="656" t="s">
        <v>2283</v>
      </c>
      <c r="C25" s="641" t="s">
        <v>2284</v>
      </c>
      <c r="D25" s="650"/>
      <c r="E25" s="643">
        <v>1200</v>
      </c>
      <c r="F25" s="546">
        <v>3</v>
      </c>
      <c r="G25" s="643">
        <f>E25*F25</f>
        <v>3600</v>
      </c>
      <c r="H25" s="656" t="s">
        <v>2285</v>
      </c>
      <c r="J25" s="645"/>
    </row>
    <row r="26" spans="1:13" ht="39" customHeight="1">
      <c r="A26" s="648">
        <v>5</v>
      </c>
      <c r="B26" s="656" t="s">
        <v>2181</v>
      </c>
      <c r="C26" s="641" t="s">
        <v>2159</v>
      </c>
      <c r="D26" s="650" t="s">
        <v>2182</v>
      </c>
      <c r="E26" s="643">
        <v>12000</v>
      </c>
      <c r="F26" s="546">
        <v>3</v>
      </c>
      <c r="G26" s="643">
        <f>E26*F26</f>
        <v>36000</v>
      </c>
      <c r="H26" s="656" t="s">
        <v>2183</v>
      </c>
    </row>
    <row r="27" spans="1:13" s="655" customFormat="1" ht="20.100000000000001" customHeight="1">
      <c r="A27" s="651"/>
      <c r="B27" s="630" t="s">
        <v>2167</v>
      </c>
      <c r="C27" s="634"/>
      <c r="D27" s="653"/>
      <c r="E27" s="646"/>
      <c r="F27" s="634"/>
      <c r="G27" s="646">
        <f>SUM(G23:G26)</f>
        <v>71100</v>
      </c>
      <c r="H27" s="652"/>
      <c r="I27" s="645"/>
      <c r="J27" s="626"/>
      <c r="K27" s="645"/>
      <c r="L27" s="645"/>
      <c r="M27" s="645"/>
    </row>
    <row r="28" spans="1:13" s="655" customFormat="1" ht="20.100000000000001" customHeight="1">
      <c r="A28" s="634" t="s">
        <v>2184</v>
      </c>
      <c r="B28" s="664" t="s">
        <v>2185</v>
      </c>
      <c r="C28" s="660"/>
      <c r="D28" s="649"/>
      <c r="E28" s="646"/>
      <c r="F28" s="634"/>
      <c r="G28" s="646"/>
      <c r="H28" s="642" t="s">
        <v>2186</v>
      </c>
      <c r="I28" s="645"/>
      <c r="J28" s="626"/>
      <c r="K28" s="645"/>
      <c r="L28" s="645"/>
      <c r="M28" s="645"/>
    </row>
    <row r="29" spans="1:13" s="655" customFormat="1" ht="20.100000000000001" customHeight="1">
      <c r="A29" s="651" t="s">
        <v>2190</v>
      </c>
      <c r="B29" s="652" t="s">
        <v>2191</v>
      </c>
      <c r="C29" s="634"/>
      <c r="D29" s="653"/>
      <c r="E29" s="646"/>
      <c r="F29" s="634"/>
      <c r="G29" s="646"/>
      <c r="H29" s="654"/>
      <c r="I29" s="645"/>
      <c r="J29" s="626"/>
      <c r="K29" s="645"/>
      <c r="L29" s="645"/>
      <c r="M29" s="645"/>
    </row>
    <row r="30" spans="1:13" ht="35.450000000000003" customHeight="1">
      <c r="A30" s="648">
        <v>1</v>
      </c>
      <c r="B30" s="656" t="s">
        <v>2192</v>
      </c>
      <c r="C30" s="641" t="s">
        <v>2162</v>
      </c>
      <c r="D30" s="650" t="s">
        <v>2193</v>
      </c>
      <c r="E30" s="643">
        <v>80000</v>
      </c>
      <c r="F30" s="641">
        <v>3</v>
      </c>
      <c r="G30" s="643">
        <f>E30*F30</f>
        <v>240000</v>
      </c>
      <c r="H30" s="642" t="s">
        <v>2194</v>
      </c>
    </row>
    <row r="31" spans="1:13" ht="20.100000000000001" customHeight="1">
      <c r="A31" s="648">
        <v>4</v>
      </c>
      <c r="B31" s="656" t="s">
        <v>2195</v>
      </c>
      <c r="C31" s="641" t="s">
        <v>2159</v>
      </c>
      <c r="D31" s="650" t="s">
        <v>2165</v>
      </c>
      <c r="E31" s="643">
        <v>11000</v>
      </c>
      <c r="F31" s="641">
        <v>0</v>
      </c>
      <c r="G31" s="643">
        <f>E31*F31</f>
        <v>0</v>
      </c>
      <c r="H31" s="644" t="s">
        <v>2166</v>
      </c>
    </row>
    <row r="32" spans="1:13" s="655" customFormat="1" ht="20.100000000000001" customHeight="1">
      <c r="A32" s="651"/>
      <c r="B32" s="630" t="s">
        <v>2167</v>
      </c>
      <c r="C32" s="634"/>
      <c r="D32" s="653"/>
      <c r="E32" s="646"/>
      <c r="F32" s="634"/>
      <c r="G32" s="646">
        <f>SUM(G30:G31)</f>
        <v>240000</v>
      </c>
      <c r="H32" s="654"/>
      <c r="I32" s="645"/>
      <c r="J32" s="626"/>
      <c r="K32" s="645"/>
      <c r="L32" s="645"/>
      <c r="M32" s="645"/>
    </row>
    <row r="33" spans="1:13" s="655" customFormat="1" ht="20.100000000000001" customHeight="1">
      <c r="A33" s="651" t="s">
        <v>2196</v>
      </c>
      <c r="B33" s="649" t="s">
        <v>2197</v>
      </c>
      <c r="C33" s="634"/>
      <c r="D33" s="653"/>
      <c r="E33" s="646"/>
      <c r="F33" s="634"/>
      <c r="G33" s="646"/>
      <c r="H33" s="654"/>
      <c r="I33" s="645"/>
      <c r="J33" s="626"/>
      <c r="K33" s="645"/>
      <c r="L33" s="645"/>
      <c r="M33" s="645"/>
    </row>
    <row r="34" spans="1:13" s="655" customFormat="1" ht="20.100000000000001" customHeight="1">
      <c r="A34" s="651" t="s">
        <v>2154</v>
      </c>
      <c r="B34" s="665" t="s">
        <v>2198</v>
      </c>
      <c r="C34" s="634"/>
      <c r="D34" s="653"/>
      <c r="E34" s="646"/>
      <c r="F34" s="634"/>
      <c r="G34" s="646"/>
      <c r="H34" s="654"/>
      <c r="I34" s="645"/>
      <c r="J34" s="626"/>
      <c r="K34" s="645"/>
      <c r="L34" s="645"/>
      <c r="M34" s="645"/>
    </row>
    <row r="35" spans="1:13" s="655" customFormat="1" ht="20.100000000000001" customHeight="1">
      <c r="A35" s="634" t="s">
        <v>2156</v>
      </c>
      <c r="B35" s="665" t="s">
        <v>2199</v>
      </c>
      <c r="C35" s="634"/>
      <c r="D35" s="635"/>
      <c r="E35" s="646"/>
      <c r="F35" s="634"/>
      <c r="G35" s="646"/>
      <c r="H35" s="654"/>
      <c r="I35" s="645"/>
      <c r="J35" s="626"/>
      <c r="K35" s="645"/>
      <c r="L35" s="645"/>
      <c r="M35" s="645"/>
    </row>
    <row r="36" spans="1:13" s="655" customFormat="1" ht="20.100000000000001" customHeight="1">
      <c r="A36" s="666" t="s">
        <v>2168</v>
      </c>
      <c r="B36" s="667" t="s">
        <v>2201</v>
      </c>
      <c r="C36" s="634"/>
      <c r="D36" s="668"/>
      <c r="E36" s="646"/>
      <c r="F36" s="634"/>
      <c r="G36" s="646"/>
      <c r="H36" s="635"/>
      <c r="I36" s="645"/>
      <c r="J36" s="626"/>
      <c r="K36" s="645"/>
      <c r="L36" s="645"/>
      <c r="M36" s="645"/>
    </row>
    <row r="37" spans="1:13" ht="20.100000000000001" customHeight="1">
      <c r="A37" s="669">
        <v>3</v>
      </c>
      <c r="B37" s="663" t="s">
        <v>2286</v>
      </c>
      <c r="C37" s="641" t="s">
        <v>2162</v>
      </c>
      <c r="D37" s="642" t="s">
        <v>2287</v>
      </c>
      <c r="E37" s="643">
        <v>5000</v>
      </c>
      <c r="F37" s="641">
        <v>20</v>
      </c>
      <c r="G37" s="643">
        <f t="shared" ref="G37:G38" si="2">E37*F37</f>
        <v>100000</v>
      </c>
      <c r="H37" s="642"/>
    </row>
    <row r="38" spans="1:13" ht="23.45" customHeight="1">
      <c r="A38" s="669">
        <v>6</v>
      </c>
      <c r="B38" s="656" t="s">
        <v>2200</v>
      </c>
      <c r="C38" s="641" t="s">
        <v>2159</v>
      </c>
      <c r="D38" s="670" t="s">
        <v>2288</v>
      </c>
      <c r="E38" s="643">
        <v>7000</v>
      </c>
      <c r="F38" s="641">
        <v>0</v>
      </c>
      <c r="G38" s="643">
        <f t="shared" si="2"/>
        <v>0</v>
      </c>
      <c r="H38" s="644" t="s">
        <v>2166</v>
      </c>
    </row>
    <row r="39" spans="1:13" s="655" customFormat="1" ht="20.100000000000001" customHeight="1">
      <c r="A39" s="666"/>
      <c r="B39" s="630" t="s">
        <v>2167</v>
      </c>
      <c r="C39" s="671"/>
      <c r="D39" s="672"/>
      <c r="E39" s="661"/>
      <c r="F39" s="671"/>
      <c r="G39" s="661">
        <f>SUM(G37:G38)</f>
        <v>100000</v>
      </c>
      <c r="H39" s="649"/>
      <c r="I39" s="645"/>
      <c r="J39" s="626"/>
      <c r="K39" s="645"/>
      <c r="L39" s="645"/>
      <c r="M39" s="645"/>
    </row>
    <row r="40" spans="1:13" s="655" customFormat="1" ht="20.100000000000001" hidden="1" customHeight="1">
      <c r="A40" s="666" t="s">
        <v>2170</v>
      </c>
      <c r="B40" s="649" t="s">
        <v>2203</v>
      </c>
      <c r="C40" s="671"/>
      <c r="D40" s="672"/>
      <c r="E40" s="661"/>
      <c r="F40" s="671"/>
      <c r="G40" s="661"/>
      <c r="H40" s="649"/>
      <c r="I40" s="645"/>
      <c r="J40" s="626"/>
      <c r="K40" s="645"/>
      <c r="L40" s="645"/>
      <c r="M40" s="645"/>
    </row>
    <row r="41" spans="1:13" s="655" customFormat="1" ht="20.100000000000001" hidden="1" customHeight="1">
      <c r="A41" s="666" t="s">
        <v>2176</v>
      </c>
      <c r="B41" s="652" t="s">
        <v>2204</v>
      </c>
      <c r="C41" s="634"/>
      <c r="D41" s="672"/>
      <c r="E41" s="646"/>
      <c r="F41" s="671"/>
      <c r="G41" s="661"/>
      <c r="H41" s="649"/>
      <c r="I41" s="645"/>
      <c r="J41" s="626"/>
      <c r="K41" s="645"/>
      <c r="L41" s="645"/>
      <c r="M41" s="645"/>
    </row>
    <row r="42" spans="1:13" s="655" customFormat="1" ht="20.100000000000001" customHeight="1">
      <c r="A42" s="666" t="s">
        <v>2178</v>
      </c>
      <c r="B42" s="673" t="s">
        <v>2205</v>
      </c>
      <c r="C42" s="634"/>
      <c r="D42" s="653"/>
      <c r="E42" s="646"/>
      <c r="F42" s="634"/>
      <c r="G42" s="646"/>
      <c r="H42" s="649"/>
      <c r="I42" s="645"/>
      <c r="J42" s="626"/>
      <c r="K42" s="645"/>
      <c r="L42" s="645"/>
      <c r="M42" s="645"/>
    </row>
    <row r="43" spans="1:13" ht="22.7" customHeight="1">
      <c r="A43" s="641">
        <v>3</v>
      </c>
      <c r="B43" s="663" t="s">
        <v>2286</v>
      </c>
      <c r="C43" s="641" t="s">
        <v>2162</v>
      </c>
      <c r="D43" s="650" t="s">
        <v>2289</v>
      </c>
      <c r="E43" s="643">
        <v>5000</v>
      </c>
      <c r="F43" s="641">
        <v>2</v>
      </c>
      <c r="G43" s="643">
        <f t="shared" ref="G43:G49" si="3">E43*F43</f>
        <v>10000</v>
      </c>
      <c r="H43" s="674"/>
    </row>
    <row r="44" spans="1:13" ht="20.100000000000001" customHeight="1">
      <c r="A44" s="641">
        <v>4</v>
      </c>
      <c r="B44" s="656" t="s">
        <v>2290</v>
      </c>
      <c r="C44" s="641" t="s">
        <v>2159</v>
      </c>
      <c r="D44" s="650"/>
      <c r="E44" s="643">
        <v>3000</v>
      </c>
      <c r="F44" s="641">
        <v>1</v>
      </c>
      <c r="G44" s="643">
        <f t="shared" si="3"/>
        <v>3000</v>
      </c>
      <c r="H44" s="642"/>
    </row>
    <row r="45" spans="1:13" ht="20.100000000000001" customHeight="1">
      <c r="A45" s="641">
        <v>5</v>
      </c>
      <c r="B45" s="656" t="s">
        <v>2291</v>
      </c>
      <c r="C45" s="641" t="s">
        <v>2159</v>
      </c>
      <c r="D45" s="650"/>
      <c r="E45" s="643">
        <v>15000</v>
      </c>
      <c r="F45" s="641">
        <v>1</v>
      </c>
      <c r="G45" s="643">
        <f t="shared" si="3"/>
        <v>15000</v>
      </c>
      <c r="H45" s="642"/>
    </row>
    <row r="46" spans="1:13" ht="20.100000000000001" hidden="1" customHeight="1">
      <c r="A46" s="641">
        <v>6</v>
      </c>
      <c r="B46" s="656" t="s">
        <v>2264</v>
      </c>
      <c r="C46" s="641" t="s">
        <v>2159</v>
      </c>
      <c r="D46" s="650"/>
      <c r="E46" s="675">
        <v>25000</v>
      </c>
      <c r="F46" s="641">
        <v>0</v>
      </c>
      <c r="G46" s="643">
        <f t="shared" si="3"/>
        <v>0</v>
      </c>
      <c r="H46" s="642"/>
    </row>
    <row r="47" spans="1:13" ht="20.100000000000001" hidden="1" customHeight="1">
      <c r="A47" s="641">
        <v>7</v>
      </c>
      <c r="B47" s="674" t="s">
        <v>2292</v>
      </c>
      <c r="C47" s="641" t="s">
        <v>2159</v>
      </c>
      <c r="D47" s="642" t="s">
        <v>2293</v>
      </c>
      <c r="E47" s="643">
        <v>20000</v>
      </c>
      <c r="F47" s="641">
        <v>0</v>
      </c>
      <c r="G47" s="643">
        <f t="shared" si="3"/>
        <v>0</v>
      </c>
      <c r="H47" s="642"/>
    </row>
    <row r="48" spans="1:13" ht="20.100000000000001" hidden="1" customHeight="1">
      <c r="A48" s="641">
        <v>8</v>
      </c>
      <c r="B48" s="674" t="s">
        <v>2294</v>
      </c>
      <c r="C48" s="641" t="s">
        <v>2159</v>
      </c>
      <c r="D48" s="676"/>
      <c r="E48" s="643">
        <v>25000</v>
      </c>
      <c r="F48" s="641">
        <v>0</v>
      </c>
      <c r="G48" s="643">
        <f t="shared" si="3"/>
        <v>0</v>
      </c>
      <c r="H48" s="642"/>
    </row>
    <row r="49" spans="1:13" ht="20.100000000000001" hidden="1" customHeight="1">
      <c r="A49" s="641">
        <v>9</v>
      </c>
      <c r="B49" s="656" t="s">
        <v>2200</v>
      </c>
      <c r="C49" s="641" t="s">
        <v>2159</v>
      </c>
      <c r="D49" s="650"/>
      <c r="E49" s="643">
        <v>6000</v>
      </c>
      <c r="F49" s="641">
        <v>0</v>
      </c>
      <c r="G49" s="643">
        <f t="shared" si="3"/>
        <v>0</v>
      </c>
      <c r="H49" s="644" t="s">
        <v>2166</v>
      </c>
    </row>
    <row r="50" spans="1:13" s="655" customFormat="1" ht="20.100000000000001" customHeight="1">
      <c r="A50" s="666"/>
      <c r="B50" s="630" t="s">
        <v>2167</v>
      </c>
      <c r="C50" s="634"/>
      <c r="D50" s="653"/>
      <c r="E50" s="646"/>
      <c r="F50" s="634"/>
      <c r="G50" s="646">
        <f>SUM(G43:G49)</f>
        <v>28000</v>
      </c>
      <c r="H50" s="654"/>
      <c r="I50" s="645"/>
      <c r="J50" s="626"/>
      <c r="K50" s="645"/>
      <c r="L50" s="645"/>
      <c r="M50" s="645"/>
    </row>
    <row r="51" spans="1:13" s="655" customFormat="1" ht="20.100000000000001" customHeight="1">
      <c r="A51" s="666" t="s">
        <v>2184</v>
      </c>
      <c r="B51" s="652" t="s">
        <v>2206</v>
      </c>
      <c r="C51" s="634"/>
      <c r="D51" s="653"/>
      <c r="E51" s="646"/>
      <c r="F51" s="634"/>
      <c r="G51" s="646"/>
      <c r="H51" s="654"/>
      <c r="I51" s="645"/>
      <c r="J51" s="626"/>
      <c r="K51" s="645"/>
      <c r="L51" s="645"/>
      <c r="M51" s="645"/>
    </row>
    <row r="52" spans="1:13" ht="20.100000000000001" customHeight="1">
      <c r="A52" s="669">
        <v>3</v>
      </c>
      <c r="B52" s="657" t="s">
        <v>2295</v>
      </c>
      <c r="C52" s="658" t="s">
        <v>2159</v>
      </c>
      <c r="D52" s="642" t="s">
        <v>2267</v>
      </c>
      <c r="E52" s="643">
        <v>16000</v>
      </c>
      <c r="F52" s="641">
        <v>1</v>
      </c>
      <c r="G52" s="643">
        <f>E52*F52</f>
        <v>16000</v>
      </c>
      <c r="H52" s="647"/>
    </row>
    <row r="53" spans="1:13" s="655" customFormat="1" ht="20.100000000000001" customHeight="1">
      <c r="A53" s="677"/>
      <c r="B53" s="630" t="s">
        <v>2167</v>
      </c>
      <c r="C53" s="671"/>
      <c r="D53" s="672"/>
      <c r="E53" s="646"/>
      <c r="F53" s="634"/>
      <c r="G53" s="646">
        <f>SUM(G52:G52)</f>
        <v>16000</v>
      </c>
      <c r="H53" s="630"/>
      <c r="I53" s="645"/>
      <c r="J53" s="626"/>
      <c r="K53" s="645"/>
      <c r="L53" s="645"/>
      <c r="M53" s="645"/>
    </row>
    <row r="54" spans="1:13" s="655" customFormat="1" ht="20.100000000000001" hidden="1" customHeight="1">
      <c r="A54" s="677" t="s">
        <v>2190</v>
      </c>
      <c r="B54" s="649" t="s">
        <v>2207</v>
      </c>
      <c r="C54" s="678"/>
      <c r="D54" s="672"/>
      <c r="E54" s="646"/>
      <c r="F54" s="634"/>
      <c r="G54" s="646"/>
      <c r="H54" s="630"/>
      <c r="I54" s="645"/>
      <c r="J54" s="626"/>
      <c r="K54" s="645"/>
      <c r="L54" s="645"/>
      <c r="M54" s="645"/>
    </row>
    <row r="55" spans="1:13" s="655" customFormat="1" ht="20.100000000000001" hidden="1" customHeight="1">
      <c r="A55" s="677" t="s">
        <v>2208</v>
      </c>
      <c r="B55" s="679" t="s">
        <v>2209</v>
      </c>
      <c r="C55" s="678"/>
      <c r="D55" s="672"/>
      <c r="E55" s="646"/>
      <c r="F55" s="634"/>
      <c r="G55" s="646"/>
      <c r="H55" s="630"/>
      <c r="I55" s="645"/>
      <c r="J55" s="626"/>
      <c r="K55" s="645"/>
      <c r="L55" s="645"/>
      <c r="M55" s="645"/>
    </row>
    <row r="56" spans="1:13" s="655" customFormat="1" ht="20.100000000000001" hidden="1" customHeight="1">
      <c r="A56" s="634" t="s">
        <v>2210</v>
      </c>
      <c r="B56" s="679" t="s">
        <v>2211</v>
      </c>
      <c r="C56" s="678"/>
      <c r="D56" s="672"/>
      <c r="E56" s="646"/>
      <c r="F56" s="634"/>
      <c r="G56" s="646"/>
      <c r="H56" s="630"/>
      <c r="I56" s="645"/>
      <c r="J56" s="626"/>
      <c r="K56" s="645"/>
      <c r="L56" s="645"/>
      <c r="M56" s="645"/>
    </row>
    <row r="57" spans="1:13" s="655" customFormat="1" ht="20.100000000000001" hidden="1" customHeight="1">
      <c r="A57" s="677" t="s">
        <v>2212</v>
      </c>
      <c r="B57" s="679" t="s">
        <v>2213</v>
      </c>
      <c r="C57" s="678"/>
      <c r="D57" s="672"/>
      <c r="E57" s="646"/>
      <c r="F57" s="634"/>
      <c r="G57" s="646"/>
      <c r="H57" s="630"/>
      <c r="I57" s="645"/>
      <c r="J57" s="626"/>
      <c r="K57" s="645"/>
      <c r="L57" s="645"/>
      <c r="M57" s="645"/>
    </row>
    <row r="58" spans="1:13" s="655" customFormat="1" ht="20.100000000000001" customHeight="1">
      <c r="A58" s="634" t="s">
        <v>2216</v>
      </c>
      <c r="B58" s="652" t="s">
        <v>2217</v>
      </c>
      <c r="C58" s="660"/>
      <c r="D58" s="635"/>
      <c r="E58" s="646"/>
      <c r="F58" s="634"/>
      <c r="G58" s="646"/>
      <c r="H58" s="654"/>
      <c r="I58" s="645"/>
      <c r="J58" s="626"/>
      <c r="K58" s="645"/>
      <c r="L58" s="645"/>
      <c r="M58" s="645"/>
    </row>
    <row r="59" spans="1:13" ht="20.100000000000001" customHeight="1">
      <c r="A59" s="641">
        <v>9</v>
      </c>
      <c r="B59" s="656" t="s">
        <v>2200</v>
      </c>
      <c r="C59" s="641" t="s">
        <v>2159</v>
      </c>
      <c r="D59" s="650"/>
      <c r="E59" s="643">
        <v>6000</v>
      </c>
      <c r="F59" s="641">
        <v>0</v>
      </c>
      <c r="G59" s="643">
        <f t="shared" ref="G59" si="4">E59*F59</f>
        <v>0</v>
      </c>
      <c r="H59" s="644" t="s">
        <v>2166</v>
      </c>
    </row>
    <row r="60" spans="1:13" s="655" customFormat="1" ht="20.100000000000001" customHeight="1">
      <c r="A60" s="634"/>
      <c r="B60" s="630" t="s">
        <v>2167</v>
      </c>
      <c r="C60" s="634"/>
      <c r="D60" s="635"/>
      <c r="E60" s="646"/>
      <c r="F60" s="634"/>
      <c r="G60" s="646">
        <f>SUM(G59:G59)</f>
        <v>0</v>
      </c>
      <c r="H60" s="654"/>
      <c r="I60" s="645"/>
      <c r="J60" s="626"/>
      <c r="K60" s="645"/>
      <c r="L60" s="645"/>
      <c r="M60" s="645"/>
    </row>
    <row r="61" spans="1:13" s="655" customFormat="1" ht="20.100000000000001" customHeight="1">
      <c r="A61" s="677" t="s">
        <v>2220</v>
      </c>
      <c r="B61" s="679" t="s">
        <v>2221</v>
      </c>
      <c r="C61" s="678"/>
      <c r="D61" s="672"/>
      <c r="E61" s="646"/>
      <c r="F61" s="634"/>
      <c r="G61" s="646"/>
      <c r="H61" s="630"/>
      <c r="I61" s="645"/>
      <c r="J61" s="626"/>
      <c r="K61" s="645"/>
      <c r="L61" s="645"/>
      <c r="M61" s="645"/>
    </row>
    <row r="62" spans="1:13" ht="39.6" customHeight="1">
      <c r="A62" s="648">
        <v>1</v>
      </c>
      <c r="B62" s="680" t="s">
        <v>2222</v>
      </c>
      <c r="C62" s="681" t="s">
        <v>2159</v>
      </c>
      <c r="D62" s="682" t="s">
        <v>2268</v>
      </c>
      <c r="E62" s="683">
        <v>300000</v>
      </c>
      <c r="F62" s="681">
        <v>1</v>
      </c>
      <c r="G62" s="643">
        <f>E62*F62</f>
        <v>300000</v>
      </c>
      <c r="H62" s="647"/>
      <c r="I62" s="632"/>
    </row>
    <row r="63" spans="1:13" ht="19.350000000000001" customHeight="1">
      <c r="A63" s="641">
        <v>2</v>
      </c>
      <c r="B63" s="656" t="s">
        <v>2200</v>
      </c>
      <c r="C63" s="641" t="s">
        <v>2159</v>
      </c>
      <c r="D63" s="650"/>
      <c r="E63" s="643">
        <v>6000</v>
      </c>
      <c r="F63" s="641">
        <v>0</v>
      </c>
      <c r="G63" s="643">
        <f>E63*F63</f>
        <v>0</v>
      </c>
      <c r="H63" s="644" t="s">
        <v>2166</v>
      </c>
      <c r="I63" s="632"/>
    </row>
    <row r="64" spans="1:13" s="655" customFormat="1" ht="20.100000000000001" customHeight="1">
      <c r="A64" s="677"/>
      <c r="B64" s="630" t="s">
        <v>2167</v>
      </c>
      <c r="C64" s="678"/>
      <c r="D64" s="672"/>
      <c r="E64" s="646"/>
      <c r="F64" s="634"/>
      <c r="G64" s="646">
        <f>SUM(G62:G63)</f>
        <v>300000</v>
      </c>
      <c r="H64" s="630"/>
      <c r="I64" s="645"/>
      <c r="J64" s="626"/>
      <c r="K64" s="645"/>
      <c r="L64" s="645"/>
      <c r="M64" s="645"/>
    </row>
    <row r="65" spans="1:13" s="655" customFormat="1" ht="20.100000000000001" customHeight="1">
      <c r="A65" s="677" t="s">
        <v>2224</v>
      </c>
      <c r="B65" s="684" t="s">
        <v>2225</v>
      </c>
      <c r="C65" s="678"/>
      <c r="D65" s="672"/>
      <c r="E65" s="646"/>
      <c r="F65" s="634"/>
      <c r="G65" s="646"/>
      <c r="H65" s="630"/>
      <c r="I65" s="645"/>
      <c r="J65" s="626"/>
      <c r="K65" s="645"/>
      <c r="L65" s="645"/>
      <c r="M65" s="645"/>
    </row>
    <row r="66" spans="1:13" ht="20.100000000000001" customHeight="1">
      <c r="A66" s="648">
        <v>1</v>
      </c>
      <c r="B66" s="656" t="s">
        <v>2226</v>
      </c>
      <c r="C66" s="641" t="s">
        <v>2162</v>
      </c>
      <c r="D66" s="650"/>
      <c r="E66" s="643">
        <v>60000</v>
      </c>
      <c r="F66" s="641">
        <v>1</v>
      </c>
      <c r="G66" s="643">
        <f>E66*F66</f>
        <v>60000</v>
      </c>
      <c r="H66" s="647"/>
    </row>
    <row r="67" spans="1:13" s="655" customFormat="1" ht="20.100000000000001" customHeight="1">
      <c r="A67" s="677"/>
      <c r="B67" s="630" t="s">
        <v>2167</v>
      </c>
      <c r="C67" s="678"/>
      <c r="D67" s="672"/>
      <c r="E67" s="646"/>
      <c r="F67" s="634"/>
      <c r="G67" s="646">
        <f>SUM(G66)</f>
        <v>60000</v>
      </c>
      <c r="H67" s="630"/>
      <c r="I67" s="645"/>
      <c r="J67" s="626"/>
      <c r="K67" s="645"/>
      <c r="L67" s="645"/>
      <c r="M67" s="645"/>
    </row>
    <row r="68" spans="1:13" s="655" customFormat="1" ht="20.100000000000001" hidden="1" customHeight="1">
      <c r="A68" s="677" t="s">
        <v>2227</v>
      </c>
      <c r="B68" s="679" t="s">
        <v>2228</v>
      </c>
      <c r="C68" s="678"/>
      <c r="D68" s="672"/>
      <c r="E68" s="646"/>
      <c r="F68" s="634"/>
      <c r="G68" s="646"/>
      <c r="H68" s="630"/>
      <c r="I68" s="645"/>
      <c r="J68" s="626"/>
      <c r="K68" s="645"/>
      <c r="L68" s="645"/>
      <c r="M68" s="645"/>
    </row>
    <row r="69" spans="1:13" s="655" customFormat="1" ht="20.100000000000001" hidden="1" customHeight="1">
      <c r="A69" s="677" t="s">
        <v>2229</v>
      </c>
      <c r="B69" s="679" t="s">
        <v>2230</v>
      </c>
      <c r="C69" s="678"/>
      <c r="D69" s="672"/>
      <c r="E69" s="646"/>
      <c r="F69" s="634"/>
      <c r="G69" s="646"/>
      <c r="H69" s="630"/>
      <c r="I69" s="645"/>
      <c r="J69" s="626"/>
      <c r="K69" s="645"/>
      <c r="M69" s="645"/>
    </row>
    <row r="70" spans="1:13" s="655" customFormat="1" ht="20.100000000000001" customHeight="1">
      <c r="A70" s="677" t="s">
        <v>2231</v>
      </c>
      <c r="B70" s="679" t="s">
        <v>2232</v>
      </c>
      <c r="C70" s="678"/>
      <c r="D70" s="672"/>
      <c r="E70" s="646"/>
      <c r="F70" s="634"/>
      <c r="G70" s="646"/>
      <c r="H70" s="630"/>
      <c r="I70" s="645"/>
      <c r="J70" s="626"/>
      <c r="K70" s="645"/>
      <c r="M70" s="645"/>
    </row>
    <row r="71" spans="1:13" ht="20.100000000000001" customHeight="1">
      <c r="A71" s="641">
        <v>4</v>
      </c>
      <c r="B71" s="685" t="s">
        <v>2233</v>
      </c>
      <c r="C71" s="686" t="s">
        <v>2162</v>
      </c>
      <c r="D71" s="687" t="s">
        <v>2215</v>
      </c>
      <c r="E71" s="643">
        <v>13000</v>
      </c>
      <c r="F71" s="641">
        <v>1</v>
      </c>
      <c r="G71" s="643">
        <f>E71*F71</f>
        <v>13000</v>
      </c>
      <c r="H71" s="647"/>
      <c r="I71" s="632"/>
    </row>
    <row r="72" spans="1:13" ht="20.100000000000001" customHeight="1">
      <c r="A72" s="641">
        <v>5</v>
      </c>
      <c r="B72" s="656" t="s">
        <v>2200</v>
      </c>
      <c r="C72" s="641" t="s">
        <v>2159</v>
      </c>
      <c r="D72" s="650"/>
      <c r="E72" s="643">
        <v>6000</v>
      </c>
      <c r="F72" s="641">
        <v>1</v>
      </c>
      <c r="G72" s="643">
        <f>E72*F72</f>
        <v>6000</v>
      </c>
      <c r="H72" s="688" t="s">
        <v>2234</v>
      </c>
      <c r="I72" s="632"/>
    </row>
    <row r="73" spans="1:13" s="655" customFormat="1" ht="20.100000000000001" customHeight="1">
      <c r="A73" s="677"/>
      <c r="B73" s="630" t="s">
        <v>2167</v>
      </c>
      <c r="C73" s="678"/>
      <c r="D73" s="672"/>
      <c r="E73" s="646"/>
      <c r="F73" s="634"/>
      <c r="G73" s="646">
        <f>SUM(G71:G72)</f>
        <v>19000</v>
      </c>
      <c r="H73" s="630"/>
      <c r="I73" s="645"/>
      <c r="J73" s="626"/>
      <c r="K73" s="645"/>
      <c r="M73" s="645"/>
    </row>
    <row r="74" spans="1:13" s="655" customFormat="1" ht="20.100000000000001" customHeight="1">
      <c r="A74" s="677" t="s">
        <v>2235</v>
      </c>
      <c r="B74" s="679" t="s">
        <v>2236</v>
      </c>
      <c r="C74" s="678"/>
      <c r="D74" s="672"/>
      <c r="E74" s="646"/>
      <c r="F74" s="634"/>
      <c r="G74" s="646"/>
      <c r="H74" s="630"/>
      <c r="I74" s="645"/>
      <c r="J74" s="626"/>
      <c r="K74" s="645"/>
      <c r="M74" s="645"/>
    </row>
    <row r="75" spans="1:13" ht="20.100000000000001" customHeight="1">
      <c r="A75" s="648">
        <v>1</v>
      </c>
      <c r="B75" s="656" t="s">
        <v>2237</v>
      </c>
      <c r="C75" s="641" t="s">
        <v>2162</v>
      </c>
      <c r="D75" s="650" t="s">
        <v>2238</v>
      </c>
      <c r="E75" s="643">
        <v>260000</v>
      </c>
      <c r="F75" s="641">
        <v>1</v>
      </c>
      <c r="G75" s="643">
        <f t="shared" ref="G75:G80" si="5">E75*F75</f>
        <v>260000</v>
      </c>
      <c r="H75" s="647"/>
    </row>
    <row r="76" spans="1:13" ht="25.7" customHeight="1">
      <c r="A76" s="641">
        <v>6</v>
      </c>
      <c r="B76" s="685" t="s">
        <v>2200</v>
      </c>
      <c r="C76" s="686" t="s">
        <v>2159</v>
      </c>
      <c r="D76" s="689"/>
      <c r="E76" s="643">
        <v>6000</v>
      </c>
      <c r="F76" s="686">
        <v>1</v>
      </c>
      <c r="G76" s="643">
        <f t="shared" si="5"/>
        <v>6000</v>
      </c>
      <c r="H76" s="688" t="s">
        <v>2239</v>
      </c>
      <c r="L76" s="627"/>
    </row>
    <row r="77" spans="1:13" ht="20.100000000000001" customHeight="1">
      <c r="A77" s="648">
        <v>7</v>
      </c>
      <c r="B77" s="656" t="s">
        <v>2296</v>
      </c>
      <c r="C77" s="658" t="s">
        <v>2159</v>
      </c>
      <c r="D77" s="690"/>
      <c r="E77" s="643">
        <v>50000</v>
      </c>
      <c r="F77" s="641">
        <v>1</v>
      </c>
      <c r="G77" s="643">
        <f t="shared" si="5"/>
        <v>50000</v>
      </c>
      <c r="H77" s="647"/>
    </row>
    <row r="78" spans="1:13" ht="20.100000000000001" customHeight="1">
      <c r="A78" s="641">
        <v>8</v>
      </c>
      <c r="B78" s="680" t="s">
        <v>2240</v>
      </c>
      <c r="C78" s="641" t="s">
        <v>2162</v>
      </c>
      <c r="D78" s="650"/>
      <c r="E78" s="643">
        <v>30000</v>
      </c>
      <c r="F78" s="641">
        <v>1</v>
      </c>
      <c r="G78" s="643">
        <f t="shared" si="5"/>
        <v>30000</v>
      </c>
      <c r="H78" s="647"/>
    </row>
    <row r="79" spans="1:13" ht="20.100000000000001" customHeight="1">
      <c r="A79" s="648">
        <v>9</v>
      </c>
      <c r="B79" s="691" t="s">
        <v>2269</v>
      </c>
      <c r="C79" s="658" t="s">
        <v>2162</v>
      </c>
      <c r="D79" s="690"/>
      <c r="E79" s="643">
        <v>40000</v>
      </c>
      <c r="F79" s="641">
        <v>1</v>
      </c>
      <c r="G79" s="643">
        <f t="shared" si="5"/>
        <v>40000</v>
      </c>
      <c r="H79" s="647"/>
    </row>
    <row r="80" spans="1:13" ht="20.100000000000001" customHeight="1">
      <c r="A80" s="641">
        <v>10</v>
      </c>
      <c r="B80" s="691" t="s">
        <v>2297</v>
      </c>
      <c r="C80" s="658"/>
      <c r="D80" s="690"/>
      <c r="E80" s="643">
        <v>55000</v>
      </c>
      <c r="F80" s="641">
        <v>0</v>
      </c>
      <c r="G80" s="643">
        <f t="shared" si="5"/>
        <v>0</v>
      </c>
      <c r="H80" s="689"/>
    </row>
    <row r="81" spans="1:13" s="655" customFormat="1" ht="20.100000000000001" customHeight="1">
      <c r="A81" s="651"/>
      <c r="B81" s="630" t="s">
        <v>2167</v>
      </c>
      <c r="C81" s="660"/>
      <c r="D81" s="668"/>
      <c r="E81" s="646"/>
      <c r="F81" s="634"/>
      <c r="G81" s="646">
        <f>SUM(G75:G80)</f>
        <v>386000</v>
      </c>
      <c r="H81" s="654"/>
      <c r="I81" s="645"/>
      <c r="J81" s="626"/>
      <c r="K81" s="645"/>
      <c r="M81" s="645"/>
    </row>
    <row r="82" spans="1:13" s="655" customFormat="1" ht="20.100000000000001" customHeight="1">
      <c r="A82" s="651" t="s">
        <v>2242</v>
      </c>
      <c r="B82" s="652" t="s">
        <v>2243</v>
      </c>
      <c r="C82" s="634"/>
      <c r="D82" s="668"/>
      <c r="E82" s="646"/>
      <c r="F82" s="634"/>
      <c r="G82" s="646"/>
      <c r="H82" s="654"/>
      <c r="I82" s="645"/>
      <c r="J82" s="626"/>
      <c r="K82" s="645"/>
      <c r="M82" s="645"/>
    </row>
    <row r="83" spans="1:13" ht="42" customHeight="1">
      <c r="A83" s="648">
        <v>1</v>
      </c>
      <c r="B83" s="692" t="s">
        <v>2244</v>
      </c>
      <c r="C83" s="686" t="s">
        <v>2188</v>
      </c>
      <c r="D83" s="688" t="s">
        <v>2298</v>
      </c>
      <c r="E83" s="643">
        <v>85000</v>
      </c>
      <c r="F83" s="641">
        <v>1</v>
      </c>
      <c r="G83" s="643">
        <f>E83*F83</f>
        <v>85000</v>
      </c>
      <c r="H83" s="642"/>
      <c r="I83" s="693"/>
      <c r="L83" s="627"/>
    </row>
    <row r="84" spans="1:13" ht="20.100000000000001" customHeight="1">
      <c r="A84" s="648">
        <v>2</v>
      </c>
      <c r="B84" s="656" t="s">
        <v>2246</v>
      </c>
      <c r="C84" s="681" t="s">
        <v>2162</v>
      </c>
      <c r="D84" s="694" t="s">
        <v>2247</v>
      </c>
      <c r="E84" s="683">
        <v>30000</v>
      </c>
      <c r="F84" s="681">
        <v>1</v>
      </c>
      <c r="G84" s="643">
        <f>E84*F84</f>
        <v>30000</v>
      </c>
      <c r="H84" s="680"/>
      <c r="I84" s="632"/>
    </row>
    <row r="85" spans="1:13" ht="20.100000000000001" customHeight="1">
      <c r="A85" s="648">
        <v>5</v>
      </c>
      <c r="B85" s="685" t="s">
        <v>2248</v>
      </c>
      <c r="C85" s="686" t="s">
        <v>2249</v>
      </c>
      <c r="D85" s="689" t="s">
        <v>2250</v>
      </c>
      <c r="E85" s="643">
        <f>8000*6</f>
        <v>48000</v>
      </c>
      <c r="F85" s="641">
        <v>0</v>
      </c>
      <c r="G85" s="643">
        <f>E85*F85</f>
        <v>0</v>
      </c>
      <c r="H85" s="647"/>
      <c r="I85" s="693"/>
    </row>
    <row r="86" spans="1:13" s="655" customFormat="1" ht="20.100000000000001" customHeight="1">
      <c r="A86" s="634"/>
      <c r="B86" s="654" t="s">
        <v>2167</v>
      </c>
      <c r="C86" s="634"/>
      <c r="D86" s="635"/>
      <c r="E86" s="646"/>
      <c r="F86" s="634"/>
      <c r="G86" s="646">
        <f>SUM(G83:G85)</f>
        <v>115000</v>
      </c>
      <c r="H86" s="654"/>
      <c r="I86" s="645"/>
      <c r="J86" s="626"/>
      <c r="K86" s="645"/>
      <c r="M86" s="645"/>
    </row>
    <row r="87" spans="1:13" ht="20.100000000000001" customHeight="1">
      <c r="A87" s="641"/>
      <c r="B87" s="654" t="s">
        <v>2251</v>
      </c>
      <c r="C87" s="641"/>
      <c r="D87" s="642"/>
      <c r="E87" s="643"/>
      <c r="F87" s="634"/>
      <c r="G87" s="646">
        <f>G6+G14+G17+G20+G27+G32+G39+G50+G53+G60+G64+G67+G73+G81+G86</f>
        <v>1923100</v>
      </c>
      <c r="H87" s="647"/>
    </row>
    <row r="89" spans="1:13">
      <c r="A89" s="626"/>
    </row>
  </sheetData>
  <mergeCells count="8">
    <mergeCell ref="A1:H1"/>
    <mergeCell ref="A2:A3"/>
    <mergeCell ref="B2:B3"/>
    <mergeCell ref="C2:C3"/>
    <mergeCell ref="D2:D3"/>
    <mergeCell ref="E2:E3"/>
    <mergeCell ref="F2:G2"/>
    <mergeCell ref="H2:H3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85" orientation="portrait" r:id="rId1"/>
  <headerFooter>
    <oddFooter>第 &amp;P 页，共 &amp;N 页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3"/>
  <sheetViews>
    <sheetView workbookViewId="0">
      <selection activeCell="O21" sqref="O21"/>
    </sheetView>
  </sheetViews>
  <sheetFormatPr defaultRowHeight="15.75"/>
  <cols>
    <col min="1" max="1" width="5.125" style="697" customWidth="1"/>
    <col min="2" max="2" width="20.5" style="697" customWidth="1"/>
    <col min="3" max="3" width="8.75" style="697" customWidth="1"/>
    <col min="4" max="4" width="10.125" style="697" customWidth="1"/>
    <col min="5" max="5" width="8.625" style="697" customWidth="1"/>
    <col min="6" max="6" width="5.25" style="697" customWidth="1"/>
    <col min="7" max="7" width="6.875" style="697" customWidth="1"/>
    <col min="8" max="8" width="5.625" style="697" customWidth="1"/>
    <col min="9" max="9" width="8.625" style="697" customWidth="1"/>
    <col min="10" max="10" width="7.25" style="697" customWidth="1"/>
    <col min="11" max="11" width="7" style="697" customWidth="1"/>
    <col min="12" max="13" width="7.875" style="697" customWidth="1"/>
    <col min="14" max="14" width="7.375" style="697" customWidth="1"/>
    <col min="15" max="15" width="13.375" style="697" customWidth="1"/>
    <col min="16" max="27" width="9" style="697" customWidth="1"/>
    <col min="28" max="256" width="9" style="170"/>
    <col min="257" max="257" width="5.125" style="170" customWidth="1"/>
    <col min="258" max="258" width="20.5" style="170" customWidth="1"/>
    <col min="259" max="259" width="8.75" style="170" customWidth="1"/>
    <col min="260" max="260" width="10.125" style="170" customWidth="1"/>
    <col min="261" max="261" width="8.625" style="170" customWidth="1"/>
    <col min="262" max="262" width="5.25" style="170" customWidth="1"/>
    <col min="263" max="263" width="6.875" style="170" customWidth="1"/>
    <col min="264" max="264" width="5.625" style="170" customWidth="1"/>
    <col min="265" max="265" width="8.625" style="170" customWidth="1"/>
    <col min="266" max="266" width="7.25" style="170" customWidth="1"/>
    <col min="267" max="267" width="7" style="170" customWidth="1"/>
    <col min="268" max="269" width="7.875" style="170" customWidth="1"/>
    <col min="270" max="270" width="7.375" style="170" customWidth="1"/>
    <col min="271" max="271" width="13.375" style="170" customWidth="1"/>
    <col min="272" max="283" width="9" style="170" customWidth="1"/>
    <col min="284" max="512" width="9" style="170"/>
    <col min="513" max="513" width="5.125" style="170" customWidth="1"/>
    <col min="514" max="514" width="20.5" style="170" customWidth="1"/>
    <col min="515" max="515" width="8.75" style="170" customWidth="1"/>
    <col min="516" max="516" width="10.125" style="170" customWidth="1"/>
    <col min="517" max="517" width="8.625" style="170" customWidth="1"/>
    <col min="518" max="518" width="5.25" style="170" customWidth="1"/>
    <col min="519" max="519" width="6.875" style="170" customWidth="1"/>
    <col min="520" max="520" width="5.625" style="170" customWidth="1"/>
    <col min="521" max="521" width="8.625" style="170" customWidth="1"/>
    <col min="522" max="522" width="7.25" style="170" customWidth="1"/>
    <col min="523" max="523" width="7" style="170" customWidth="1"/>
    <col min="524" max="525" width="7.875" style="170" customWidth="1"/>
    <col min="526" max="526" width="7.375" style="170" customWidth="1"/>
    <col min="527" max="527" width="13.375" style="170" customWidth="1"/>
    <col min="528" max="539" width="9" style="170" customWidth="1"/>
    <col min="540" max="768" width="9" style="170"/>
    <col min="769" max="769" width="5.125" style="170" customWidth="1"/>
    <col min="770" max="770" width="20.5" style="170" customWidth="1"/>
    <col min="771" max="771" width="8.75" style="170" customWidth="1"/>
    <col min="772" max="772" width="10.125" style="170" customWidth="1"/>
    <col min="773" max="773" width="8.625" style="170" customWidth="1"/>
    <col min="774" max="774" width="5.25" style="170" customWidth="1"/>
    <col min="775" max="775" width="6.875" style="170" customWidth="1"/>
    <col min="776" max="776" width="5.625" style="170" customWidth="1"/>
    <col min="777" max="777" width="8.625" style="170" customWidth="1"/>
    <col min="778" max="778" width="7.25" style="170" customWidth="1"/>
    <col min="779" max="779" width="7" style="170" customWidth="1"/>
    <col min="780" max="781" width="7.875" style="170" customWidth="1"/>
    <col min="782" max="782" width="7.375" style="170" customWidth="1"/>
    <col min="783" max="783" width="13.375" style="170" customWidth="1"/>
    <col min="784" max="795" width="9" style="170" customWidth="1"/>
    <col min="796" max="1024" width="9" style="170"/>
    <col min="1025" max="1025" width="5.125" style="170" customWidth="1"/>
    <col min="1026" max="1026" width="20.5" style="170" customWidth="1"/>
    <col min="1027" max="1027" width="8.75" style="170" customWidth="1"/>
    <col min="1028" max="1028" width="10.125" style="170" customWidth="1"/>
    <col min="1029" max="1029" width="8.625" style="170" customWidth="1"/>
    <col min="1030" max="1030" width="5.25" style="170" customWidth="1"/>
    <col min="1031" max="1031" width="6.875" style="170" customWidth="1"/>
    <col min="1032" max="1032" width="5.625" style="170" customWidth="1"/>
    <col min="1033" max="1033" width="8.625" style="170" customWidth="1"/>
    <col min="1034" max="1034" width="7.25" style="170" customWidth="1"/>
    <col min="1035" max="1035" width="7" style="170" customWidth="1"/>
    <col min="1036" max="1037" width="7.875" style="170" customWidth="1"/>
    <col min="1038" max="1038" width="7.375" style="170" customWidth="1"/>
    <col min="1039" max="1039" width="13.375" style="170" customWidth="1"/>
    <col min="1040" max="1051" width="9" style="170" customWidth="1"/>
    <col min="1052" max="1280" width="9" style="170"/>
    <col min="1281" max="1281" width="5.125" style="170" customWidth="1"/>
    <col min="1282" max="1282" width="20.5" style="170" customWidth="1"/>
    <col min="1283" max="1283" width="8.75" style="170" customWidth="1"/>
    <col min="1284" max="1284" width="10.125" style="170" customWidth="1"/>
    <col min="1285" max="1285" width="8.625" style="170" customWidth="1"/>
    <col min="1286" max="1286" width="5.25" style="170" customWidth="1"/>
    <col min="1287" max="1287" width="6.875" style="170" customWidth="1"/>
    <col min="1288" max="1288" width="5.625" style="170" customWidth="1"/>
    <col min="1289" max="1289" width="8.625" style="170" customWidth="1"/>
    <col min="1290" max="1290" width="7.25" style="170" customWidth="1"/>
    <col min="1291" max="1291" width="7" style="170" customWidth="1"/>
    <col min="1292" max="1293" width="7.875" style="170" customWidth="1"/>
    <col min="1294" max="1294" width="7.375" style="170" customWidth="1"/>
    <col min="1295" max="1295" width="13.375" style="170" customWidth="1"/>
    <col min="1296" max="1307" width="9" style="170" customWidth="1"/>
    <col min="1308" max="1536" width="9" style="170"/>
    <col min="1537" max="1537" width="5.125" style="170" customWidth="1"/>
    <col min="1538" max="1538" width="20.5" style="170" customWidth="1"/>
    <col min="1539" max="1539" width="8.75" style="170" customWidth="1"/>
    <col min="1540" max="1540" width="10.125" style="170" customWidth="1"/>
    <col min="1541" max="1541" width="8.625" style="170" customWidth="1"/>
    <col min="1542" max="1542" width="5.25" style="170" customWidth="1"/>
    <col min="1543" max="1543" width="6.875" style="170" customWidth="1"/>
    <col min="1544" max="1544" width="5.625" style="170" customWidth="1"/>
    <col min="1545" max="1545" width="8.625" style="170" customWidth="1"/>
    <col min="1546" max="1546" width="7.25" style="170" customWidth="1"/>
    <col min="1547" max="1547" width="7" style="170" customWidth="1"/>
    <col min="1548" max="1549" width="7.875" style="170" customWidth="1"/>
    <col min="1550" max="1550" width="7.375" style="170" customWidth="1"/>
    <col min="1551" max="1551" width="13.375" style="170" customWidth="1"/>
    <col min="1552" max="1563" width="9" style="170" customWidth="1"/>
    <col min="1564" max="1792" width="9" style="170"/>
    <col min="1793" max="1793" width="5.125" style="170" customWidth="1"/>
    <col min="1794" max="1794" width="20.5" style="170" customWidth="1"/>
    <col min="1795" max="1795" width="8.75" style="170" customWidth="1"/>
    <col min="1796" max="1796" width="10.125" style="170" customWidth="1"/>
    <col min="1797" max="1797" width="8.625" style="170" customWidth="1"/>
    <col min="1798" max="1798" width="5.25" style="170" customWidth="1"/>
    <col min="1799" max="1799" width="6.875" style="170" customWidth="1"/>
    <col min="1800" max="1800" width="5.625" style="170" customWidth="1"/>
    <col min="1801" max="1801" width="8.625" style="170" customWidth="1"/>
    <col min="1802" max="1802" width="7.25" style="170" customWidth="1"/>
    <col min="1803" max="1803" width="7" style="170" customWidth="1"/>
    <col min="1804" max="1805" width="7.875" style="170" customWidth="1"/>
    <col min="1806" max="1806" width="7.375" style="170" customWidth="1"/>
    <col min="1807" max="1807" width="13.375" style="170" customWidth="1"/>
    <col min="1808" max="1819" width="9" style="170" customWidth="1"/>
    <col min="1820" max="2048" width="9" style="170"/>
    <col min="2049" max="2049" width="5.125" style="170" customWidth="1"/>
    <col min="2050" max="2050" width="20.5" style="170" customWidth="1"/>
    <col min="2051" max="2051" width="8.75" style="170" customWidth="1"/>
    <col min="2052" max="2052" width="10.125" style="170" customWidth="1"/>
    <col min="2053" max="2053" width="8.625" style="170" customWidth="1"/>
    <col min="2054" max="2054" width="5.25" style="170" customWidth="1"/>
    <col min="2055" max="2055" width="6.875" style="170" customWidth="1"/>
    <col min="2056" max="2056" width="5.625" style="170" customWidth="1"/>
    <col min="2057" max="2057" width="8.625" style="170" customWidth="1"/>
    <col min="2058" max="2058" width="7.25" style="170" customWidth="1"/>
    <col min="2059" max="2059" width="7" style="170" customWidth="1"/>
    <col min="2060" max="2061" width="7.875" style="170" customWidth="1"/>
    <col min="2062" max="2062" width="7.375" style="170" customWidth="1"/>
    <col min="2063" max="2063" width="13.375" style="170" customWidth="1"/>
    <col min="2064" max="2075" width="9" style="170" customWidth="1"/>
    <col min="2076" max="2304" width="9" style="170"/>
    <col min="2305" max="2305" width="5.125" style="170" customWidth="1"/>
    <col min="2306" max="2306" width="20.5" style="170" customWidth="1"/>
    <col min="2307" max="2307" width="8.75" style="170" customWidth="1"/>
    <col min="2308" max="2308" width="10.125" style="170" customWidth="1"/>
    <col min="2309" max="2309" width="8.625" style="170" customWidth="1"/>
    <col min="2310" max="2310" width="5.25" style="170" customWidth="1"/>
    <col min="2311" max="2311" width="6.875" style="170" customWidth="1"/>
    <col min="2312" max="2312" width="5.625" style="170" customWidth="1"/>
    <col min="2313" max="2313" width="8.625" style="170" customWidth="1"/>
    <col min="2314" max="2314" width="7.25" style="170" customWidth="1"/>
    <col min="2315" max="2315" width="7" style="170" customWidth="1"/>
    <col min="2316" max="2317" width="7.875" style="170" customWidth="1"/>
    <col min="2318" max="2318" width="7.375" style="170" customWidth="1"/>
    <col min="2319" max="2319" width="13.375" style="170" customWidth="1"/>
    <col min="2320" max="2331" width="9" style="170" customWidth="1"/>
    <col min="2332" max="2560" width="9" style="170"/>
    <col min="2561" max="2561" width="5.125" style="170" customWidth="1"/>
    <col min="2562" max="2562" width="20.5" style="170" customWidth="1"/>
    <col min="2563" max="2563" width="8.75" style="170" customWidth="1"/>
    <col min="2564" max="2564" width="10.125" style="170" customWidth="1"/>
    <col min="2565" max="2565" width="8.625" style="170" customWidth="1"/>
    <col min="2566" max="2566" width="5.25" style="170" customWidth="1"/>
    <col min="2567" max="2567" width="6.875" style="170" customWidth="1"/>
    <col min="2568" max="2568" width="5.625" style="170" customWidth="1"/>
    <col min="2569" max="2569" width="8.625" style="170" customWidth="1"/>
    <col min="2570" max="2570" width="7.25" style="170" customWidth="1"/>
    <col min="2571" max="2571" width="7" style="170" customWidth="1"/>
    <col min="2572" max="2573" width="7.875" style="170" customWidth="1"/>
    <col min="2574" max="2574" width="7.375" style="170" customWidth="1"/>
    <col min="2575" max="2575" width="13.375" style="170" customWidth="1"/>
    <col min="2576" max="2587" width="9" style="170" customWidth="1"/>
    <col min="2588" max="2816" width="9" style="170"/>
    <col min="2817" max="2817" width="5.125" style="170" customWidth="1"/>
    <col min="2818" max="2818" width="20.5" style="170" customWidth="1"/>
    <col min="2819" max="2819" width="8.75" style="170" customWidth="1"/>
    <col min="2820" max="2820" width="10.125" style="170" customWidth="1"/>
    <col min="2821" max="2821" width="8.625" style="170" customWidth="1"/>
    <col min="2822" max="2822" width="5.25" style="170" customWidth="1"/>
    <col min="2823" max="2823" width="6.875" style="170" customWidth="1"/>
    <col min="2824" max="2824" width="5.625" style="170" customWidth="1"/>
    <col min="2825" max="2825" width="8.625" style="170" customWidth="1"/>
    <col min="2826" max="2826" width="7.25" style="170" customWidth="1"/>
    <col min="2827" max="2827" width="7" style="170" customWidth="1"/>
    <col min="2828" max="2829" width="7.875" style="170" customWidth="1"/>
    <col min="2830" max="2830" width="7.375" style="170" customWidth="1"/>
    <col min="2831" max="2831" width="13.375" style="170" customWidth="1"/>
    <col min="2832" max="2843" width="9" style="170" customWidth="1"/>
    <col min="2844" max="3072" width="9" style="170"/>
    <col min="3073" max="3073" width="5.125" style="170" customWidth="1"/>
    <col min="3074" max="3074" width="20.5" style="170" customWidth="1"/>
    <col min="3075" max="3075" width="8.75" style="170" customWidth="1"/>
    <col min="3076" max="3076" width="10.125" style="170" customWidth="1"/>
    <col min="3077" max="3077" width="8.625" style="170" customWidth="1"/>
    <col min="3078" max="3078" width="5.25" style="170" customWidth="1"/>
    <col min="3079" max="3079" width="6.875" style="170" customWidth="1"/>
    <col min="3080" max="3080" width="5.625" style="170" customWidth="1"/>
    <col min="3081" max="3081" width="8.625" style="170" customWidth="1"/>
    <col min="3082" max="3082" width="7.25" style="170" customWidth="1"/>
    <col min="3083" max="3083" width="7" style="170" customWidth="1"/>
    <col min="3084" max="3085" width="7.875" style="170" customWidth="1"/>
    <col min="3086" max="3086" width="7.375" style="170" customWidth="1"/>
    <col min="3087" max="3087" width="13.375" style="170" customWidth="1"/>
    <col min="3088" max="3099" width="9" style="170" customWidth="1"/>
    <col min="3100" max="3328" width="9" style="170"/>
    <col min="3329" max="3329" width="5.125" style="170" customWidth="1"/>
    <col min="3330" max="3330" width="20.5" style="170" customWidth="1"/>
    <col min="3331" max="3331" width="8.75" style="170" customWidth="1"/>
    <col min="3332" max="3332" width="10.125" style="170" customWidth="1"/>
    <col min="3333" max="3333" width="8.625" style="170" customWidth="1"/>
    <col min="3334" max="3334" width="5.25" style="170" customWidth="1"/>
    <col min="3335" max="3335" width="6.875" style="170" customWidth="1"/>
    <col min="3336" max="3336" width="5.625" style="170" customWidth="1"/>
    <col min="3337" max="3337" width="8.625" style="170" customWidth="1"/>
    <col min="3338" max="3338" width="7.25" style="170" customWidth="1"/>
    <col min="3339" max="3339" width="7" style="170" customWidth="1"/>
    <col min="3340" max="3341" width="7.875" style="170" customWidth="1"/>
    <col min="3342" max="3342" width="7.375" style="170" customWidth="1"/>
    <col min="3343" max="3343" width="13.375" style="170" customWidth="1"/>
    <col min="3344" max="3355" width="9" style="170" customWidth="1"/>
    <col min="3356" max="3584" width="9" style="170"/>
    <col min="3585" max="3585" width="5.125" style="170" customWidth="1"/>
    <col min="3586" max="3586" width="20.5" style="170" customWidth="1"/>
    <col min="3587" max="3587" width="8.75" style="170" customWidth="1"/>
    <col min="3588" max="3588" width="10.125" style="170" customWidth="1"/>
    <col min="3589" max="3589" width="8.625" style="170" customWidth="1"/>
    <col min="3590" max="3590" width="5.25" style="170" customWidth="1"/>
    <col min="3591" max="3591" width="6.875" style="170" customWidth="1"/>
    <col min="3592" max="3592" width="5.625" style="170" customWidth="1"/>
    <col min="3593" max="3593" width="8.625" style="170" customWidth="1"/>
    <col min="3594" max="3594" width="7.25" style="170" customWidth="1"/>
    <col min="3595" max="3595" width="7" style="170" customWidth="1"/>
    <col min="3596" max="3597" width="7.875" style="170" customWidth="1"/>
    <col min="3598" max="3598" width="7.375" style="170" customWidth="1"/>
    <col min="3599" max="3599" width="13.375" style="170" customWidth="1"/>
    <col min="3600" max="3611" width="9" style="170" customWidth="1"/>
    <col min="3612" max="3840" width="9" style="170"/>
    <col min="3841" max="3841" width="5.125" style="170" customWidth="1"/>
    <col min="3842" max="3842" width="20.5" style="170" customWidth="1"/>
    <col min="3843" max="3843" width="8.75" style="170" customWidth="1"/>
    <col min="3844" max="3844" width="10.125" style="170" customWidth="1"/>
    <col min="3845" max="3845" width="8.625" style="170" customWidth="1"/>
    <col min="3846" max="3846" width="5.25" style="170" customWidth="1"/>
    <col min="3847" max="3847" width="6.875" style="170" customWidth="1"/>
    <col min="3848" max="3848" width="5.625" style="170" customWidth="1"/>
    <col min="3849" max="3849" width="8.625" style="170" customWidth="1"/>
    <col min="3850" max="3850" width="7.25" style="170" customWidth="1"/>
    <col min="3851" max="3851" width="7" style="170" customWidth="1"/>
    <col min="3852" max="3853" width="7.875" style="170" customWidth="1"/>
    <col min="3854" max="3854" width="7.375" style="170" customWidth="1"/>
    <col min="3855" max="3855" width="13.375" style="170" customWidth="1"/>
    <col min="3856" max="3867" width="9" style="170" customWidth="1"/>
    <col min="3868" max="4096" width="9" style="170"/>
    <col min="4097" max="4097" width="5.125" style="170" customWidth="1"/>
    <col min="4098" max="4098" width="20.5" style="170" customWidth="1"/>
    <col min="4099" max="4099" width="8.75" style="170" customWidth="1"/>
    <col min="4100" max="4100" width="10.125" style="170" customWidth="1"/>
    <col min="4101" max="4101" width="8.625" style="170" customWidth="1"/>
    <col min="4102" max="4102" width="5.25" style="170" customWidth="1"/>
    <col min="4103" max="4103" width="6.875" style="170" customWidth="1"/>
    <col min="4104" max="4104" width="5.625" style="170" customWidth="1"/>
    <col min="4105" max="4105" width="8.625" style="170" customWidth="1"/>
    <col min="4106" max="4106" width="7.25" style="170" customWidth="1"/>
    <col min="4107" max="4107" width="7" style="170" customWidth="1"/>
    <col min="4108" max="4109" width="7.875" style="170" customWidth="1"/>
    <col min="4110" max="4110" width="7.375" style="170" customWidth="1"/>
    <col min="4111" max="4111" width="13.375" style="170" customWidth="1"/>
    <col min="4112" max="4123" width="9" style="170" customWidth="1"/>
    <col min="4124" max="4352" width="9" style="170"/>
    <col min="4353" max="4353" width="5.125" style="170" customWidth="1"/>
    <col min="4354" max="4354" width="20.5" style="170" customWidth="1"/>
    <col min="4355" max="4355" width="8.75" style="170" customWidth="1"/>
    <col min="4356" max="4356" width="10.125" style="170" customWidth="1"/>
    <col min="4357" max="4357" width="8.625" style="170" customWidth="1"/>
    <col min="4358" max="4358" width="5.25" style="170" customWidth="1"/>
    <col min="4359" max="4359" width="6.875" style="170" customWidth="1"/>
    <col min="4360" max="4360" width="5.625" style="170" customWidth="1"/>
    <col min="4361" max="4361" width="8.625" style="170" customWidth="1"/>
    <col min="4362" max="4362" width="7.25" style="170" customWidth="1"/>
    <col min="4363" max="4363" width="7" style="170" customWidth="1"/>
    <col min="4364" max="4365" width="7.875" style="170" customWidth="1"/>
    <col min="4366" max="4366" width="7.375" style="170" customWidth="1"/>
    <col min="4367" max="4367" width="13.375" style="170" customWidth="1"/>
    <col min="4368" max="4379" width="9" style="170" customWidth="1"/>
    <col min="4380" max="4608" width="9" style="170"/>
    <col min="4609" max="4609" width="5.125" style="170" customWidth="1"/>
    <col min="4610" max="4610" width="20.5" style="170" customWidth="1"/>
    <col min="4611" max="4611" width="8.75" style="170" customWidth="1"/>
    <col min="4612" max="4612" width="10.125" style="170" customWidth="1"/>
    <col min="4613" max="4613" width="8.625" style="170" customWidth="1"/>
    <col min="4614" max="4614" width="5.25" style="170" customWidth="1"/>
    <col min="4615" max="4615" width="6.875" style="170" customWidth="1"/>
    <col min="4616" max="4616" width="5.625" style="170" customWidth="1"/>
    <col min="4617" max="4617" width="8.625" style="170" customWidth="1"/>
    <col min="4618" max="4618" width="7.25" style="170" customWidth="1"/>
    <col min="4619" max="4619" width="7" style="170" customWidth="1"/>
    <col min="4620" max="4621" width="7.875" style="170" customWidth="1"/>
    <col min="4622" max="4622" width="7.375" style="170" customWidth="1"/>
    <col min="4623" max="4623" width="13.375" style="170" customWidth="1"/>
    <col min="4624" max="4635" width="9" style="170" customWidth="1"/>
    <col min="4636" max="4864" width="9" style="170"/>
    <col min="4865" max="4865" width="5.125" style="170" customWidth="1"/>
    <col min="4866" max="4866" width="20.5" style="170" customWidth="1"/>
    <col min="4867" max="4867" width="8.75" style="170" customWidth="1"/>
    <col min="4868" max="4868" width="10.125" style="170" customWidth="1"/>
    <col min="4869" max="4869" width="8.625" style="170" customWidth="1"/>
    <col min="4870" max="4870" width="5.25" style="170" customWidth="1"/>
    <col min="4871" max="4871" width="6.875" style="170" customWidth="1"/>
    <col min="4872" max="4872" width="5.625" style="170" customWidth="1"/>
    <col min="4873" max="4873" width="8.625" style="170" customWidth="1"/>
    <col min="4874" max="4874" width="7.25" style="170" customWidth="1"/>
    <col min="4875" max="4875" width="7" style="170" customWidth="1"/>
    <col min="4876" max="4877" width="7.875" style="170" customWidth="1"/>
    <col min="4878" max="4878" width="7.375" style="170" customWidth="1"/>
    <col min="4879" max="4879" width="13.375" style="170" customWidth="1"/>
    <col min="4880" max="4891" width="9" style="170" customWidth="1"/>
    <col min="4892" max="5120" width="9" style="170"/>
    <col min="5121" max="5121" width="5.125" style="170" customWidth="1"/>
    <col min="5122" max="5122" width="20.5" style="170" customWidth="1"/>
    <col min="5123" max="5123" width="8.75" style="170" customWidth="1"/>
    <col min="5124" max="5124" width="10.125" style="170" customWidth="1"/>
    <col min="5125" max="5125" width="8.625" style="170" customWidth="1"/>
    <col min="5126" max="5126" width="5.25" style="170" customWidth="1"/>
    <col min="5127" max="5127" width="6.875" style="170" customWidth="1"/>
    <col min="5128" max="5128" width="5.625" style="170" customWidth="1"/>
    <col min="5129" max="5129" width="8.625" style="170" customWidth="1"/>
    <col min="5130" max="5130" width="7.25" style="170" customWidth="1"/>
    <col min="5131" max="5131" width="7" style="170" customWidth="1"/>
    <col min="5132" max="5133" width="7.875" style="170" customWidth="1"/>
    <col min="5134" max="5134" width="7.375" style="170" customWidth="1"/>
    <col min="5135" max="5135" width="13.375" style="170" customWidth="1"/>
    <col min="5136" max="5147" width="9" style="170" customWidth="1"/>
    <col min="5148" max="5376" width="9" style="170"/>
    <col min="5377" max="5377" width="5.125" style="170" customWidth="1"/>
    <col min="5378" max="5378" width="20.5" style="170" customWidth="1"/>
    <col min="5379" max="5379" width="8.75" style="170" customWidth="1"/>
    <col min="5380" max="5380" width="10.125" style="170" customWidth="1"/>
    <col min="5381" max="5381" width="8.625" style="170" customWidth="1"/>
    <col min="5382" max="5382" width="5.25" style="170" customWidth="1"/>
    <col min="5383" max="5383" width="6.875" style="170" customWidth="1"/>
    <col min="5384" max="5384" width="5.625" style="170" customWidth="1"/>
    <col min="5385" max="5385" width="8.625" style="170" customWidth="1"/>
    <col min="5386" max="5386" width="7.25" style="170" customWidth="1"/>
    <col min="5387" max="5387" width="7" style="170" customWidth="1"/>
    <col min="5388" max="5389" width="7.875" style="170" customWidth="1"/>
    <col min="5390" max="5390" width="7.375" style="170" customWidth="1"/>
    <col min="5391" max="5391" width="13.375" style="170" customWidth="1"/>
    <col min="5392" max="5403" width="9" style="170" customWidth="1"/>
    <col min="5404" max="5632" width="9" style="170"/>
    <col min="5633" max="5633" width="5.125" style="170" customWidth="1"/>
    <col min="5634" max="5634" width="20.5" style="170" customWidth="1"/>
    <col min="5635" max="5635" width="8.75" style="170" customWidth="1"/>
    <col min="5636" max="5636" width="10.125" style="170" customWidth="1"/>
    <col min="5637" max="5637" width="8.625" style="170" customWidth="1"/>
    <col min="5638" max="5638" width="5.25" style="170" customWidth="1"/>
    <col min="5639" max="5639" width="6.875" style="170" customWidth="1"/>
    <col min="5640" max="5640" width="5.625" style="170" customWidth="1"/>
    <col min="5641" max="5641" width="8.625" style="170" customWidth="1"/>
    <col min="5642" max="5642" width="7.25" style="170" customWidth="1"/>
    <col min="5643" max="5643" width="7" style="170" customWidth="1"/>
    <col min="5644" max="5645" width="7.875" style="170" customWidth="1"/>
    <col min="5646" max="5646" width="7.375" style="170" customWidth="1"/>
    <col min="5647" max="5647" width="13.375" style="170" customWidth="1"/>
    <col min="5648" max="5659" width="9" style="170" customWidth="1"/>
    <col min="5660" max="5888" width="9" style="170"/>
    <col min="5889" max="5889" width="5.125" style="170" customWidth="1"/>
    <col min="5890" max="5890" width="20.5" style="170" customWidth="1"/>
    <col min="5891" max="5891" width="8.75" style="170" customWidth="1"/>
    <col min="5892" max="5892" width="10.125" style="170" customWidth="1"/>
    <col min="5893" max="5893" width="8.625" style="170" customWidth="1"/>
    <col min="5894" max="5894" width="5.25" style="170" customWidth="1"/>
    <col min="5895" max="5895" width="6.875" style="170" customWidth="1"/>
    <col min="5896" max="5896" width="5.625" style="170" customWidth="1"/>
    <col min="5897" max="5897" width="8.625" style="170" customWidth="1"/>
    <col min="5898" max="5898" width="7.25" style="170" customWidth="1"/>
    <col min="5899" max="5899" width="7" style="170" customWidth="1"/>
    <col min="5900" max="5901" width="7.875" style="170" customWidth="1"/>
    <col min="5902" max="5902" width="7.375" style="170" customWidth="1"/>
    <col min="5903" max="5903" width="13.375" style="170" customWidth="1"/>
    <col min="5904" max="5915" width="9" style="170" customWidth="1"/>
    <col min="5916" max="6144" width="9" style="170"/>
    <col min="6145" max="6145" width="5.125" style="170" customWidth="1"/>
    <col min="6146" max="6146" width="20.5" style="170" customWidth="1"/>
    <col min="6147" max="6147" width="8.75" style="170" customWidth="1"/>
    <col min="6148" max="6148" width="10.125" style="170" customWidth="1"/>
    <col min="6149" max="6149" width="8.625" style="170" customWidth="1"/>
    <col min="6150" max="6150" width="5.25" style="170" customWidth="1"/>
    <col min="6151" max="6151" width="6.875" style="170" customWidth="1"/>
    <col min="6152" max="6152" width="5.625" style="170" customWidth="1"/>
    <col min="6153" max="6153" width="8.625" style="170" customWidth="1"/>
    <col min="6154" max="6154" width="7.25" style="170" customWidth="1"/>
    <col min="6155" max="6155" width="7" style="170" customWidth="1"/>
    <col min="6156" max="6157" width="7.875" style="170" customWidth="1"/>
    <col min="6158" max="6158" width="7.375" style="170" customWidth="1"/>
    <col min="6159" max="6159" width="13.375" style="170" customWidth="1"/>
    <col min="6160" max="6171" width="9" style="170" customWidth="1"/>
    <col min="6172" max="6400" width="9" style="170"/>
    <col min="6401" max="6401" width="5.125" style="170" customWidth="1"/>
    <col min="6402" max="6402" width="20.5" style="170" customWidth="1"/>
    <col min="6403" max="6403" width="8.75" style="170" customWidth="1"/>
    <col min="6404" max="6404" width="10.125" style="170" customWidth="1"/>
    <col min="6405" max="6405" width="8.625" style="170" customWidth="1"/>
    <col min="6406" max="6406" width="5.25" style="170" customWidth="1"/>
    <col min="6407" max="6407" width="6.875" style="170" customWidth="1"/>
    <col min="6408" max="6408" width="5.625" style="170" customWidth="1"/>
    <col min="6409" max="6409" width="8.625" style="170" customWidth="1"/>
    <col min="6410" max="6410" width="7.25" style="170" customWidth="1"/>
    <col min="6411" max="6411" width="7" style="170" customWidth="1"/>
    <col min="6412" max="6413" width="7.875" style="170" customWidth="1"/>
    <col min="6414" max="6414" width="7.375" style="170" customWidth="1"/>
    <col min="6415" max="6415" width="13.375" style="170" customWidth="1"/>
    <col min="6416" max="6427" width="9" style="170" customWidth="1"/>
    <col min="6428" max="6656" width="9" style="170"/>
    <col min="6657" max="6657" width="5.125" style="170" customWidth="1"/>
    <col min="6658" max="6658" width="20.5" style="170" customWidth="1"/>
    <col min="6659" max="6659" width="8.75" style="170" customWidth="1"/>
    <col min="6660" max="6660" width="10.125" style="170" customWidth="1"/>
    <col min="6661" max="6661" width="8.625" style="170" customWidth="1"/>
    <col min="6662" max="6662" width="5.25" style="170" customWidth="1"/>
    <col min="6663" max="6663" width="6.875" style="170" customWidth="1"/>
    <col min="6664" max="6664" width="5.625" style="170" customWidth="1"/>
    <col min="6665" max="6665" width="8.625" style="170" customWidth="1"/>
    <col min="6666" max="6666" width="7.25" style="170" customWidth="1"/>
    <col min="6667" max="6667" width="7" style="170" customWidth="1"/>
    <col min="6668" max="6669" width="7.875" style="170" customWidth="1"/>
    <col min="6670" max="6670" width="7.375" style="170" customWidth="1"/>
    <col min="6671" max="6671" width="13.375" style="170" customWidth="1"/>
    <col min="6672" max="6683" width="9" style="170" customWidth="1"/>
    <col min="6684" max="6912" width="9" style="170"/>
    <col min="6913" max="6913" width="5.125" style="170" customWidth="1"/>
    <col min="6914" max="6914" width="20.5" style="170" customWidth="1"/>
    <col min="6915" max="6915" width="8.75" style="170" customWidth="1"/>
    <col min="6916" max="6916" width="10.125" style="170" customWidth="1"/>
    <col min="6917" max="6917" width="8.625" style="170" customWidth="1"/>
    <col min="6918" max="6918" width="5.25" style="170" customWidth="1"/>
    <col min="6919" max="6919" width="6.875" style="170" customWidth="1"/>
    <col min="6920" max="6920" width="5.625" style="170" customWidth="1"/>
    <col min="6921" max="6921" width="8.625" style="170" customWidth="1"/>
    <col min="6922" max="6922" width="7.25" style="170" customWidth="1"/>
    <col min="6923" max="6923" width="7" style="170" customWidth="1"/>
    <col min="6924" max="6925" width="7.875" style="170" customWidth="1"/>
    <col min="6926" max="6926" width="7.375" style="170" customWidth="1"/>
    <col min="6927" max="6927" width="13.375" style="170" customWidth="1"/>
    <col min="6928" max="6939" width="9" style="170" customWidth="1"/>
    <col min="6940" max="7168" width="9" style="170"/>
    <col min="7169" max="7169" width="5.125" style="170" customWidth="1"/>
    <col min="7170" max="7170" width="20.5" style="170" customWidth="1"/>
    <col min="7171" max="7171" width="8.75" style="170" customWidth="1"/>
    <col min="7172" max="7172" width="10.125" style="170" customWidth="1"/>
    <col min="7173" max="7173" width="8.625" style="170" customWidth="1"/>
    <col min="7174" max="7174" width="5.25" style="170" customWidth="1"/>
    <col min="7175" max="7175" width="6.875" style="170" customWidth="1"/>
    <col min="7176" max="7176" width="5.625" style="170" customWidth="1"/>
    <col min="7177" max="7177" width="8.625" style="170" customWidth="1"/>
    <col min="7178" max="7178" width="7.25" style="170" customWidth="1"/>
    <col min="7179" max="7179" width="7" style="170" customWidth="1"/>
    <col min="7180" max="7181" width="7.875" style="170" customWidth="1"/>
    <col min="7182" max="7182" width="7.375" style="170" customWidth="1"/>
    <col min="7183" max="7183" width="13.375" style="170" customWidth="1"/>
    <col min="7184" max="7195" width="9" style="170" customWidth="1"/>
    <col min="7196" max="7424" width="9" style="170"/>
    <col min="7425" max="7425" width="5.125" style="170" customWidth="1"/>
    <col min="7426" max="7426" width="20.5" style="170" customWidth="1"/>
    <col min="7427" max="7427" width="8.75" style="170" customWidth="1"/>
    <col min="7428" max="7428" width="10.125" style="170" customWidth="1"/>
    <col min="7429" max="7429" width="8.625" style="170" customWidth="1"/>
    <col min="7430" max="7430" width="5.25" style="170" customWidth="1"/>
    <col min="7431" max="7431" width="6.875" style="170" customWidth="1"/>
    <col min="7432" max="7432" width="5.625" style="170" customWidth="1"/>
    <col min="7433" max="7433" width="8.625" style="170" customWidth="1"/>
    <col min="7434" max="7434" width="7.25" style="170" customWidth="1"/>
    <col min="7435" max="7435" width="7" style="170" customWidth="1"/>
    <col min="7436" max="7437" width="7.875" style="170" customWidth="1"/>
    <col min="7438" max="7438" width="7.375" style="170" customWidth="1"/>
    <col min="7439" max="7439" width="13.375" style="170" customWidth="1"/>
    <col min="7440" max="7451" width="9" style="170" customWidth="1"/>
    <col min="7452" max="7680" width="9" style="170"/>
    <col min="7681" max="7681" width="5.125" style="170" customWidth="1"/>
    <col min="7682" max="7682" width="20.5" style="170" customWidth="1"/>
    <col min="7683" max="7683" width="8.75" style="170" customWidth="1"/>
    <col min="7684" max="7684" width="10.125" style="170" customWidth="1"/>
    <col min="7685" max="7685" width="8.625" style="170" customWidth="1"/>
    <col min="7686" max="7686" width="5.25" style="170" customWidth="1"/>
    <col min="7687" max="7687" width="6.875" style="170" customWidth="1"/>
    <col min="7688" max="7688" width="5.625" style="170" customWidth="1"/>
    <col min="7689" max="7689" width="8.625" style="170" customWidth="1"/>
    <col min="7690" max="7690" width="7.25" style="170" customWidth="1"/>
    <col min="7691" max="7691" width="7" style="170" customWidth="1"/>
    <col min="7692" max="7693" width="7.875" style="170" customWidth="1"/>
    <col min="7694" max="7694" width="7.375" style="170" customWidth="1"/>
    <col min="7695" max="7695" width="13.375" style="170" customWidth="1"/>
    <col min="7696" max="7707" width="9" style="170" customWidth="1"/>
    <col min="7708" max="7936" width="9" style="170"/>
    <col min="7937" max="7937" width="5.125" style="170" customWidth="1"/>
    <col min="7938" max="7938" width="20.5" style="170" customWidth="1"/>
    <col min="7939" max="7939" width="8.75" style="170" customWidth="1"/>
    <col min="7940" max="7940" width="10.125" style="170" customWidth="1"/>
    <col min="7941" max="7941" width="8.625" style="170" customWidth="1"/>
    <col min="7942" max="7942" width="5.25" style="170" customWidth="1"/>
    <col min="7943" max="7943" width="6.875" style="170" customWidth="1"/>
    <col min="7944" max="7944" width="5.625" style="170" customWidth="1"/>
    <col min="7945" max="7945" width="8.625" style="170" customWidth="1"/>
    <col min="7946" max="7946" width="7.25" style="170" customWidth="1"/>
    <col min="7947" max="7947" width="7" style="170" customWidth="1"/>
    <col min="7948" max="7949" width="7.875" style="170" customWidth="1"/>
    <col min="7950" max="7950" width="7.375" style="170" customWidth="1"/>
    <col min="7951" max="7951" width="13.375" style="170" customWidth="1"/>
    <col min="7952" max="7963" width="9" style="170" customWidth="1"/>
    <col min="7964" max="8192" width="9" style="170"/>
    <col min="8193" max="8193" width="5.125" style="170" customWidth="1"/>
    <col min="8194" max="8194" width="20.5" style="170" customWidth="1"/>
    <col min="8195" max="8195" width="8.75" style="170" customWidth="1"/>
    <col min="8196" max="8196" width="10.125" style="170" customWidth="1"/>
    <col min="8197" max="8197" width="8.625" style="170" customWidth="1"/>
    <col min="8198" max="8198" width="5.25" style="170" customWidth="1"/>
    <col min="8199" max="8199" width="6.875" style="170" customWidth="1"/>
    <col min="8200" max="8200" width="5.625" style="170" customWidth="1"/>
    <col min="8201" max="8201" width="8.625" style="170" customWidth="1"/>
    <col min="8202" max="8202" width="7.25" style="170" customWidth="1"/>
    <col min="8203" max="8203" width="7" style="170" customWidth="1"/>
    <col min="8204" max="8205" width="7.875" style="170" customWidth="1"/>
    <col min="8206" max="8206" width="7.375" style="170" customWidth="1"/>
    <col min="8207" max="8207" width="13.375" style="170" customWidth="1"/>
    <col min="8208" max="8219" width="9" style="170" customWidth="1"/>
    <col min="8220" max="8448" width="9" style="170"/>
    <col min="8449" max="8449" width="5.125" style="170" customWidth="1"/>
    <col min="8450" max="8450" width="20.5" style="170" customWidth="1"/>
    <col min="8451" max="8451" width="8.75" style="170" customWidth="1"/>
    <col min="8452" max="8452" width="10.125" style="170" customWidth="1"/>
    <col min="8453" max="8453" width="8.625" style="170" customWidth="1"/>
    <col min="8454" max="8454" width="5.25" style="170" customWidth="1"/>
    <col min="8455" max="8455" width="6.875" style="170" customWidth="1"/>
    <col min="8456" max="8456" width="5.625" style="170" customWidth="1"/>
    <col min="8457" max="8457" width="8.625" style="170" customWidth="1"/>
    <col min="8458" max="8458" width="7.25" style="170" customWidth="1"/>
    <col min="8459" max="8459" width="7" style="170" customWidth="1"/>
    <col min="8460" max="8461" width="7.875" style="170" customWidth="1"/>
    <col min="8462" max="8462" width="7.375" style="170" customWidth="1"/>
    <col min="8463" max="8463" width="13.375" style="170" customWidth="1"/>
    <col min="8464" max="8475" width="9" style="170" customWidth="1"/>
    <col min="8476" max="8704" width="9" style="170"/>
    <col min="8705" max="8705" width="5.125" style="170" customWidth="1"/>
    <col min="8706" max="8706" width="20.5" style="170" customWidth="1"/>
    <col min="8707" max="8707" width="8.75" style="170" customWidth="1"/>
    <col min="8708" max="8708" width="10.125" style="170" customWidth="1"/>
    <col min="8709" max="8709" width="8.625" style="170" customWidth="1"/>
    <col min="8710" max="8710" width="5.25" style="170" customWidth="1"/>
    <col min="8711" max="8711" width="6.875" style="170" customWidth="1"/>
    <col min="8712" max="8712" width="5.625" style="170" customWidth="1"/>
    <col min="8713" max="8713" width="8.625" style="170" customWidth="1"/>
    <col min="8714" max="8714" width="7.25" style="170" customWidth="1"/>
    <col min="8715" max="8715" width="7" style="170" customWidth="1"/>
    <col min="8716" max="8717" width="7.875" style="170" customWidth="1"/>
    <col min="8718" max="8718" width="7.375" style="170" customWidth="1"/>
    <col min="8719" max="8719" width="13.375" style="170" customWidth="1"/>
    <col min="8720" max="8731" width="9" style="170" customWidth="1"/>
    <col min="8732" max="8960" width="9" style="170"/>
    <col min="8961" max="8961" width="5.125" style="170" customWidth="1"/>
    <col min="8962" max="8962" width="20.5" style="170" customWidth="1"/>
    <col min="8963" max="8963" width="8.75" style="170" customWidth="1"/>
    <col min="8964" max="8964" width="10.125" style="170" customWidth="1"/>
    <col min="8965" max="8965" width="8.625" style="170" customWidth="1"/>
    <col min="8966" max="8966" width="5.25" style="170" customWidth="1"/>
    <col min="8967" max="8967" width="6.875" style="170" customWidth="1"/>
    <col min="8968" max="8968" width="5.625" style="170" customWidth="1"/>
    <col min="8969" max="8969" width="8.625" style="170" customWidth="1"/>
    <col min="8970" max="8970" width="7.25" style="170" customWidth="1"/>
    <col min="8971" max="8971" width="7" style="170" customWidth="1"/>
    <col min="8972" max="8973" width="7.875" style="170" customWidth="1"/>
    <col min="8974" max="8974" width="7.375" style="170" customWidth="1"/>
    <col min="8975" max="8975" width="13.375" style="170" customWidth="1"/>
    <col min="8976" max="8987" width="9" style="170" customWidth="1"/>
    <col min="8988" max="9216" width="9" style="170"/>
    <col min="9217" max="9217" width="5.125" style="170" customWidth="1"/>
    <col min="9218" max="9218" width="20.5" style="170" customWidth="1"/>
    <col min="9219" max="9219" width="8.75" style="170" customWidth="1"/>
    <col min="9220" max="9220" width="10.125" style="170" customWidth="1"/>
    <col min="9221" max="9221" width="8.625" style="170" customWidth="1"/>
    <col min="9222" max="9222" width="5.25" style="170" customWidth="1"/>
    <col min="9223" max="9223" width="6.875" style="170" customWidth="1"/>
    <col min="9224" max="9224" width="5.625" style="170" customWidth="1"/>
    <col min="9225" max="9225" width="8.625" style="170" customWidth="1"/>
    <col min="9226" max="9226" width="7.25" style="170" customWidth="1"/>
    <col min="9227" max="9227" width="7" style="170" customWidth="1"/>
    <col min="9228" max="9229" width="7.875" style="170" customWidth="1"/>
    <col min="9230" max="9230" width="7.375" style="170" customWidth="1"/>
    <col min="9231" max="9231" width="13.375" style="170" customWidth="1"/>
    <col min="9232" max="9243" width="9" style="170" customWidth="1"/>
    <col min="9244" max="9472" width="9" style="170"/>
    <col min="9473" max="9473" width="5.125" style="170" customWidth="1"/>
    <col min="9474" max="9474" width="20.5" style="170" customWidth="1"/>
    <col min="9475" max="9475" width="8.75" style="170" customWidth="1"/>
    <col min="9476" max="9476" width="10.125" style="170" customWidth="1"/>
    <col min="9477" max="9477" width="8.625" style="170" customWidth="1"/>
    <col min="9478" max="9478" width="5.25" style="170" customWidth="1"/>
    <col min="9479" max="9479" width="6.875" style="170" customWidth="1"/>
    <col min="9480" max="9480" width="5.625" style="170" customWidth="1"/>
    <col min="9481" max="9481" width="8.625" style="170" customWidth="1"/>
    <col min="9482" max="9482" width="7.25" style="170" customWidth="1"/>
    <col min="9483" max="9483" width="7" style="170" customWidth="1"/>
    <col min="9484" max="9485" width="7.875" style="170" customWidth="1"/>
    <col min="9486" max="9486" width="7.375" style="170" customWidth="1"/>
    <col min="9487" max="9487" width="13.375" style="170" customWidth="1"/>
    <col min="9488" max="9499" width="9" style="170" customWidth="1"/>
    <col min="9500" max="9728" width="9" style="170"/>
    <col min="9729" max="9729" width="5.125" style="170" customWidth="1"/>
    <col min="9730" max="9730" width="20.5" style="170" customWidth="1"/>
    <col min="9731" max="9731" width="8.75" style="170" customWidth="1"/>
    <col min="9732" max="9732" width="10.125" style="170" customWidth="1"/>
    <col min="9733" max="9733" width="8.625" style="170" customWidth="1"/>
    <col min="9734" max="9734" width="5.25" style="170" customWidth="1"/>
    <col min="9735" max="9735" width="6.875" style="170" customWidth="1"/>
    <col min="9736" max="9736" width="5.625" style="170" customWidth="1"/>
    <col min="9737" max="9737" width="8.625" style="170" customWidth="1"/>
    <col min="9738" max="9738" width="7.25" style="170" customWidth="1"/>
    <col min="9739" max="9739" width="7" style="170" customWidth="1"/>
    <col min="9740" max="9741" width="7.875" style="170" customWidth="1"/>
    <col min="9742" max="9742" width="7.375" style="170" customWidth="1"/>
    <col min="9743" max="9743" width="13.375" style="170" customWidth="1"/>
    <col min="9744" max="9755" width="9" style="170" customWidth="1"/>
    <col min="9756" max="9984" width="9" style="170"/>
    <col min="9985" max="9985" width="5.125" style="170" customWidth="1"/>
    <col min="9986" max="9986" width="20.5" style="170" customWidth="1"/>
    <col min="9987" max="9987" width="8.75" style="170" customWidth="1"/>
    <col min="9988" max="9988" width="10.125" style="170" customWidth="1"/>
    <col min="9989" max="9989" width="8.625" style="170" customWidth="1"/>
    <col min="9990" max="9990" width="5.25" style="170" customWidth="1"/>
    <col min="9991" max="9991" width="6.875" style="170" customWidth="1"/>
    <col min="9992" max="9992" width="5.625" style="170" customWidth="1"/>
    <col min="9993" max="9993" width="8.625" style="170" customWidth="1"/>
    <col min="9994" max="9994" width="7.25" style="170" customWidth="1"/>
    <col min="9995" max="9995" width="7" style="170" customWidth="1"/>
    <col min="9996" max="9997" width="7.875" style="170" customWidth="1"/>
    <col min="9998" max="9998" width="7.375" style="170" customWidth="1"/>
    <col min="9999" max="9999" width="13.375" style="170" customWidth="1"/>
    <col min="10000" max="10011" width="9" style="170" customWidth="1"/>
    <col min="10012" max="10240" width="9" style="170"/>
    <col min="10241" max="10241" width="5.125" style="170" customWidth="1"/>
    <col min="10242" max="10242" width="20.5" style="170" customWidth="1"/>
    <col min="10243" max="10243" width="8.75" style="170" customWidth="1"/>
    <col min="10244" max="10244" width="10.125" style="170" customWidth="1"/>
    <col min="10245" max="10245" width="8.625" style="170" customWidth="1"/>
    <col min="10246" max="10246" width="5.25" style="170" customWidth="1"/>
    <col min="10247" max="10247" width="6.875" style="170" customWidth="1"/>
    <col min="10248" max="10248" width="5.625" style="170" customWidth="1"/>
    <col min="10249" max="10249" width="8.625" style="170" customWidth="1"/>
    <col min="10250" max="10250" width="7.25" style="170" customWidth="1"/>
    <col min="10251" max="10251" width="7" style="170" customWidth="1"/>
    <col min="10252" max="10253" width="7.875" style="170" customWidth="1"/>
    <col min="10254" max="10254" width="7.375" style="170" customWidth="1"/>
    <col min="10255" max="10255" width="13.375" style="170" customWidth="1"/>
    <col min="10256" max="10267" width="9" style="170" customWidth="1"/>
    <col min="10268" max="10496" width="9" style="170"/>
    <col min="10497" max="10497" width="5.125" style="170" customWidth="1"/>
    <col min="10498" max="10498" width="20.5" style="170" customWidth="1"/>
    <col min="10499" max="10499" width="8.75" style="170" customWidth="1"/>
    <col min="10500" max="10500" width="10.125" style="170" customWidth="1"/>
    <col min="10501" max="10501" width="8.625" style="170" customWidth="1"/>
    <col min="10502" max="10502" width="5.25" style="170" customWidth="1"/>
    <col min="10503" max="10503" width="6.875" style="170" customWidth="1"/>
    <col min="10504" max="10504" width="5.625" style="170" customWidth="1"/>
    <col min="10505" max="10505" width="8.625" style="170" customWidth="1"/>
    <col min="10506" max="10506" width="7.25" style="170" customWidth="1"/>
    <col min="10507" max="10507" width="7" style="170" customWidth="1"/>
    <col min="10508" max="10509" width="7.875" style="170" customWidth="1"/>
    <col min="10510" max="10510" width="7.375" style="170" customWidth="1"/>
    <col min="10511" max="10511" width="13.375" style="170" customWidth="1"/>
    <col min="10512" max="10523" width="9" style="170" customWidth="1"/>
    <col min="10524" max="10752" width="9" style="170"/>
    <col min="10753" max="10753" width="5.125" style="170" customWidth="1"/>
    <col min="10754" max="10754" width="20.5" style="170" customWidth="1"/>
    <col min="10755" max="10755" width="8.75" style="170" customWidth="1"/>
    <col min="10756" max="10756" width="10.125" style="170" customWidth="1"/>
    <col min="10757" max="10757" width="8.625" style="170" customWidth="1"/>
    <col min="10758" max="10758" width="5.25" style="170" customWidth="1"/>
    <col min="10759" max="10759" width="6.875" style="170" customWidth="1"/>
    <col min="10760" max="10760" width="5.625" style="170" customWidth="1"/>
    <col min="10761" max="10761" width="8.625" style="170" customWidth="1"/>
    <col min="10762" max="10762" width="7.25" style="170" customWidth="1"/>
    <col min="10763" max="10763" width="7" style="170" customWidth="1"/>
    <col min="10764" max="10765" width="7.875" style="170" customWidth="1"/>
    <col min="10766" max="10766" width="7.375" style="170" customWidth="1"/>
    <col min="10767" max="10767" width="13.375" style="170" customWidth="1"/>
    <col min="10768" max="10779" width="9" style="170" customWidth="1"/>
    <col min="10780" max="11008" width="9" style="170"/>
    <col min="11009" max="11009" width="5.125" style="170" customWidth="1"/>
    <col min="11010" max="11010" width="20.5" style="170" customWidth="1"/>
    <col min="11011" max="11011" width="8.75" style="170" customWidth="1"/>
    <col min="11012" max="11012" width="10.125" style="170" customWidth="1"/>
    <col min="11013" max="11013" width="8.625" style="170" customWidth="1"/>
    <col min="11014" max="11014" width="5.25" style="170" customWidth="1"/>
    <col min="11015" max="11015" width="6.875" style="170" customWidth="1"/>
    <col min="11016" max="11016" width="5.625" style="170" customWidth="1"/>
    <col min="11017" max="11017" width="8.625" style="170" customWidth="1"/>
    <col min="11018" max="11018" width="7.25" style="170" customWidth="1"/>
    <col min="11019" max="11019" width="7" style="170" customWidth="1"/>
    <col min="11020" max="11021" width="7.875" style="170" customWidth="1"/>
    <col min="11022" max="11022" width="7.375" style="170" customWidth="1"/>
    <col min="11023" max="11023" width="13.375" style="170" customWidth="1"/>
    <col min="11024" max="11035" width="9" style="170" customWidth="1"/>
    <col min="11036" max="11264" width="9" style="170"/>
    <col min="11265" max="11265" width="5.125" style="170" customWidth="1"/>
    <col min="11266" max="11266" width="20.5" style="170" customWidth="1"/>
    <col min="11267" max="11267" width="8.75" style="170" customWidth="1"/>
    <col min="11268" max="11268" width="10.125" style="170" customWidth="1"/>
    <col min="11269" max="11269" width="8.625" style="170" customWidth="1"/>
    <col min="11270" max="11270" width="5.25" style="170" customWidth="1"/>
    <col min="11271" max="11271" width="6.875" style="170" customWidth="1"/>
    <col min="11272" max="11272" width="5.625" style="170" customWidth="1"/>
    <col min="11273" max="11273" width="8.625" style="170" customWidth="1"/>
    <col min="11274" max="11274" width="7.25" style="170" customWidth="1"/>
    <col min="11275" max="11275" width="7" style="170" customWidth="1"/>
    <col min="11276" max="11277" width="7.875" style="170" customWidth="1"/>
    <col min="11278" max="11278" width="7.375" style="170" customWidth="1"/>
    <col min="11279" max="11279" width="13.375" style="170" customWidth="1"/>
    <col min="11280" max="11291" width="9" style="170" customWidth="1"/>
    <col min="11292" max="11520" width="9" style="170"/>
    <col min="11521" max="11521" width="5.125" style="170" customWidth="1"/>
    <col min="11522" max="11522" width="20.5" style="170" customWidth="1"/>
    <col min="11523" max="11523" width="8.75" style="170" customWidth="1"/>
    <col min="11524" max="11524" width="10.125" style="170" customWidth="1"/>
    <col min="11525" max="11525" width="8.625" style="170" customWidth="1"/>
    <col min="11526" max="11526" width="5.25" style="170" customWidth="1"/>
    <col min="11527" max="11527" width="6.875" style="170" customWidth="1"/>
    <col min="11528" max="11528" width="5.625" style="170" customWidth="1"/>
    <col min="11529" max="11529" width="8.625" style="170" customWidth="1"/>
    <col min="11530" max="11530" width="7.25" style="170" customWidth="1"/>
    <col min="11531" max="11531" width="7" style="170" customWidth="1"/>
    <col min="11532" max="11533" width="7.875" style="170" customWidth="1"/>
    <col min="11534" max="11534" width="7.375" style="170" customWidth="1"/>
    <col min="11535" max="11535" width="13.375" style="170" customWidth="1"/>
    <col min="11536" max="11547" width="9" style="170" customWidth="1"/>
    <col min="11548" max="11776" width="9" style="170"/>
    <col min="11777" max="11777" width="5.125" style="170" customWidth="1"/>
    <col min="11778" max="11778" width="20.5" style="170" customWidth="1"/>
    <col min="11779" max="11779" width="8.75" style="170" customWidth="1"/>
    <col min="11780" max="11780" width="10.125" style="170" customWidth="1"/>
    <col min="11781" max="11781" width="8.625" style="170" customWidth="1"/>
    <col min="11782" max="11782" width="5.25" style="170" customWidth="1"/>
    <col min="11783" max="11783" width="6.875" style="170" customWidth="1"/>
    <col min="11784" max="11784" width="5.625" style="170" customWidth="1"/>
    <col min="11785" max="11785" width="8.625" style="170" customWidth="1"/>
    <col min="11786" max="11786" width="7.25" style="170" customWidth="1"/>
    <col min="11787" max="11787" width="7" style="170" customWidth="1"/>
    <col min="11788" max="11789" width="7.875" style="170" customWidth="1"/>
    <col min="11790" max="11790" width="7.375" style="170" customWidth="1"/>
    <col min="11791" max="11791" width="13.375" style="170" customWidth="1"/>
    <col min="11792" max="11803" width="9" style="170" customWidth="1"/>
    <col min="11804" max="12032" width="9" style="170"/>
    <col min="12033" max="12033" width="5.125" style="170" customWidth="1"/>
    <col min="12034" max="12034" width="20.5" style="170" customWidth="1"/>
    <col min="12035" max="12035" width="8.75" style="170" customWidth="1"/>
    <col min="12036" max="12036" width="10.125" style="170" customWidth="1"/>
    <col min="12037" max="12037" width="8.625" style="170" customWidth="1"/>
    <col min="12038" max="12038" width="5.25" style="170" customWidth="1"/>
    <col min="12039" max="12039" width="6.875" style="170" customWidth="1"/>
    <col min="12040" max="12040" width="5.625" style="170" customWidth="1"/>
    <col min="12041" max="12041" width="8.625" style="170" customWidth="1"/>
    <col min="12042" max="12042" width="7.25" style="170" customWidth="1"/>
    <col min="12043" max="12043" width="7" style="170" customWidth="1"/>
    <col min="12044" max="12045" width="7.875" style="170" customWidth="1"/>
    <col min="12046" max="12046" width="7.375" style="170" customWidth="1"/>
    <col min="12047" max="12047" width="13.375" style="170" customWidth="1"/>
    <col min="12048" max="12059" width="9" style="170" customWidth="1"/>
    <col min="12060" max="12288" width="9" style="170"/>
    <col min="12289" max="12289" width="5.125" style="170" customWidth="1"/>
    <col min="12290" max="12290" width="20.5" style="170" customWidth="1"/>
    <col min="12291" max="12291" width="8.75" style="170" customWidth="1"/>
    <col min="12292" max="12292" width="10.125" style="170" customWidth="1"/>
    <col min="12293" max="12293" width="8.625" style="170" customWidth="1"/>
    <col min="12294" max="12294" width="5.25" style="170" customWidth="1"/>
    <col min="12295" max="12295" width="6.875" style="170" customWidth="1"/>
    <col min="12296" max="12296" width="5.625" style="170" customWidth="1"/>
    <col min="12297" max="12297" width="8.625" style="170" customWidth="1"/>
    <col min="12298" max="12298" width="7.25" style="170" customWidth="1"/>
    <col min="12299" max="12299" width="7" style="170" customWidth="1"/>
    <col min="12300" max="12301" width="7.875" style="170" customWidth="1"/>
    <col min="12302" max="12302" width="7.375" style="170" customWidth="1"/>
    <col min="12303" max="12303" width="13.375" style="170" customWidth="1"/>
    <col min="12304" max="12315" width="9" style="170" customWidth="1"/>
    <col min="12316" max="12544" width="9" style="170"/>
    <col min="12545" max="12545" width="5.125" style="170" customWidth="1"/>
    <col min="12546" max="12546" width="20.5" style="170" customWidth="1"/>
    <col min="12547" max="12547" width="8.75" style="170" customWidth="1"/>
    <col min="12548" max="12548" width="10.125" style="170" customWidth="1"/>
    <col min="12549" max="12549" width="8.625" style="170" customWidth="1"/>
    <col min="12550" max="12550" width="5.25" style="170" customWidth="1"/>
    <col min="12551" max="12551" width="6.875" style="170" customWidth="1"/>
    <col min="12552" max="12552" width="5.625" style="170" customWidth="1"/>
    <col min="12553" max="12553" width="8.625" style="170" customWidth="1"/>
    <col min="12554" max="12554" width="7.25" style="170" customWidth="1"/>
    <col min="12555" max="12555" width="7" style="170" customWidth="1"/>
    <col min="12556" max="12557" width="7.875" style="170" customWidth="1"/>
    <col min="12558" max="12558" width="7.375" style="170" customWidth="1"/>
    <col min="12559" max="12559" width="13.375" style="170" customWidth="1"/>
    <col min="12560" max="12571" width="9" style="170" customWidth="1"/>
    <col min="12572" max="12800" width="9" style="170"/>
    <col min="12801" max="12801" width="5.125" style="170" customWidth="1"/>
    <col min="12802" max="12802" width="20.5" style="170" customWidth="1"/>
    <col min="12803" max="12803" width="8.75" style="170" customWidth="1"/>
    <col min="12804" max="12804" width="10.125" style="170" customWidth="1"/>
    <col min="12805" max="12805" width="8.625" style="170" customWidth="1"/>
    <col min="12806" max="12806" width="5.25" style="170" customWidth="1"/>
    <col min="12807" max="12807" width="6.875" style="170" customWidth="1"/>
    <col min="12808" max="12808" width="5.625" style="170" customWidth="1"/>
    <col min="12809" max="12809" width="8.625" style="170" customWidth="1"/>
    <col min="12810" max="12810" width="7.25" style="170" customWidth="1"/>
    <col min="12811" max="12811" width="7" style="170" customWidth="1"/>
    <col min="12812" max="12813" width="7.875" style="170" customWidth="1"/>
    <col min="12814" max="12814" width="7.375" style="170" customWidth="1"/>
    <col min="12815" max="12815" width="13.375" style="170" customWidth="1"/>
    <col min="12816" max="12827" width="9" style="170" customWidth="1"/>
    <col min="12828" max="13056" width="9" style="170"/>
    <col min="13057" max="13057" width="5.125" style="170" customWidth="1"/>
    <col min="13058" max="13058" width="20.5" style="170" customWidth="1"/>
    <col min="13059" max="13059" width="8.75" style="170" customWidth="1"/>
    <col min="13060" max="13060" width="10.125" style="170" customWidth="1"/>
    <col min="13061" max="13061" width="8.625" style="170" customWidth="1"/>
    <col min="13062" max="13062" width="5.25" style="170" customWidth="1"/>
    <col min="13063" max="13063" width="6.875" style="170" customWidth="1"/>
    <col min="13064" max="13064" width="5.625" style="170" customWidth="1"/>
    <col min="13065" max="13065" width="8.625" style="170" customWidth="1"/>
    <col min="13066" max="13066" width="7.25" style="170" customWidth="1"/>
    <col min="13067" max="13067" width="7" style="170" customWidth="1"/>
    <col min="13068" max="13069" width="7.875" style="170" customWidth="1"/>
    <col min="13070" max="13070" width="7.375" style="170" customWidth="1"/>
    <col min="13071" max="13071" width="13.375" style="170" customWidth="1"/>
    <col min="13072" max="13083" width="9" style="170" customWidth="1"/>
    <col min="13084" max="13312" width="9" style="170"/>
    <col min="13313" max="13313" width="5.125" style="170" customWidth="1"/>
    <col min="13314" max="13314" width="20.5" style="170" customWidth="1"/>
    <col min="13315" max="13315" width="8.75" style="170" customWidth="1"/>
    <col min="13316" max="13316" width="10.125" style="170" customWidth="1"/>
    <col min="13317" max="13317" width="8.625" style="170" customWidth="1"/>
    <col min="13318" max="13318" width="5.25" style="170" customWidth="1"/>
    <col min="13319" max="13319" width="6.875" style="170" customWidth="1"/>
    <col min="13320" max="13320" width="5.625" style="170" customWidth="1"/>
    <col min="13321" max="13321" width="8.625" style="170" customWidth="1"/>
    <col min="13322" max="13322" width="7.25" style="170" customWidth="1"/>
    <col min="13323" max="13323" width="7" style="170" customWidth="1"/>
    <col min="13324" max="13325" width="7.875" style="170" customWidth="1"/>
    <col min="13326" max="13326" width="7.375" style="170" customWidth="1"/>
    <col min="13327" max="13327" width="13.375" style="170" customWidth="1"/>
    <col min="13328" max="13339" width="9" style="170" customWidth="1"/>
    <col min="13340" max="13568" width="9" style="170"/>
    <col min="13569" max="13569" width="5.125" style="170" customWidth="1"/>
    <col min="13570" max="13570" width="20.5" style="170" customWidth="1"/>
    <col min="13571" max="13571" width="8.75" style="170" customWidth="1"/>
    <col min="13572" max="13572" width="10.125" style="170" customWidth="1"/>
    <col min="13573" max="13573" width="8.625" style="170" customWidth="1"/>
    <col min="13574" max="13574" width="5.25" style="170" customWidth="1"/>
    <col min="13575" max="13575" width="6.875" style="170" customWidth="1"/>
    <col min="13576" max="13576" width="5.625" style="170" customWidth="1"/>
    <col min="13577" max="13577" width="8.625" style="170" customWidth="1"/>
    <col min="13578" max="13578" width="7.25" style="170" customWidth="1"/>
    <col min="13579" max="13579" width="7" style="170" customWidth="1"/>
    <col min="13580" max="13581" width="7.875" style="170" customWidth="1"/>
    <col min="13582" max="13582" width="7.375" style="170" customWidth="1"/>
    <col min="13583" max="13583" width="13.375" style="170" customWidth="1"/>
    <col min="13584" max="13595" width="9" style="170" customWidth="1"/>
    <col min="13596" max="13824" width="9" style="170"/>
    <col min="13825" max="13825" width="5.125" style="170" customWidth="1"/>
    <col min="13826" max="13826" width="20.5" style="170" customWidth="1"/>
    <col min="13827" max="13827" width="8.75" style="170" customWidth="1"/>
    <col min="13828" max="13828" width="10.125" style="170" customWidth="1"/>
    <col min="13829" max="13829" width="8.625" style="170" customWidth="1"/>
    <col min="13830" max="13830" width="5.25" style="170" customWidth="1"/>
    <col min="13831" max="13831" width="6.875" style="170" customWidth="1"/>
    <col min="13832" max="13832" width="5.625" style="170" customWidth="1"/>
    <col min="13833" max="13833" width="8.625" style="170" customWidth="1"/>
    <col min="13834" max="13834" width="7.25" style="170" customWidth="1"/>
    <col min="13835" max="13835" width="7" style="170" customWidth="1"/>
    <col min="13836" max="13837" width="7.875" style="170" customWidth="1"/>
    <col min="13838" max="13838" width="7.375" style="170" customWidth="1"/>
    <col min="13839" max="13839" width="13.375" style="170" customWidth="1"/>
    <col min="13840" max="13851" width="9" style="170" customWidth="1"/>
    <col min="13852" max="14080" width="9" style="170"/>
    <col min="14081" max="14081" width="5.125" style="170" customWidth="1"/>
    <col min="14082" max="14082" width="20.5" style="170" customWidth="1"/>
    <col min="14083" max="14083" width="8.75" style="170" customWidth="1"/>
    <col min="14084" max="14084" width="10.125" style="170" customWidth="1"/>
    <col min="14085" max="14085" width="8.625" style="170" customWidth="1"/>
    <col min="14086" max="14086" width="5.25" style="170" customWidth="1"/>
    <col min="14087" max="14087" width="6.875" style="170" customWidth="1"/>
    <col min="14088" max="14088" width="5.625" style="170" customWidth="1"/>
    <col min="14089" max="14089" width="8.625" style="170" customWidth="1"/>
    <col min="14090" max="14090" width="7.25" style="170" customWidth="1"/>
    <col min="14091" max="14091" width="7" style="170" customWidth="1"/>
    <col min="14092" max="14093" width="7.875" style="170" customWidth="1"/>
    <col min="14094" max="14094" width="7.375" style="170" customWidth="1"/>
    <col min="14095" max="14095" width="13.375" style="170" customWidth="1"/>
    <col min="14096" max="14107" width="9" style="170" customWidth="1"/>
    <col min="14108" max="14336" width="9" style="170"/>
    <col min="14337" max="14337" width="5.125" style="170" customWidth="1"/>
    <col min="14338" max="14338" width="20.5" style="170" customWidth="1"/>
    <col min="14339" max="14339" width="8.75" style="170" customWidth="1"/>
    <col min="14340" max="14340" width="10.125" style="170" customWidth="1"/>
    <col min="14341" max="14341" width="8.625" style="170" customWidth="1"/>
    <col min="14342" max="14342" width="5.25" style="170" customWidth="1"/>
    <col min="14343" max="14343" width="6.875" style="170" customWidth="1"/>
    <col min="14344" max="14344" width="5.625" style="170" customWidth="1"/>
    <col min="14345" max="14345" width="8.625" style="170" customWidth="1"/>
    <col min="14346" max="14346" width="7.25" style="170" customWidth="1"/>
    <col min="14347" max="14347" width="7" style="170" customWidth="1"/>
    <col min="14348" max="14349" width="7.875" style="170" customWidth="1"/>
    <col min="14350" max="14350" width="7.375" style="170" customWidth="1"/>
    <col min="14351" max="14351" width="13.375" style="170" customWidth="1"/>
    <col min="14352" max="14363" width="9" style="170" customWidth="1"/>
    <col min="14364" max="14592" width="9" style="170"/>
    <col min="14593" max="14593" width="5.125" style="170" customWidth="1"/>
    <col min="14594" max="14594" width="20.5" style="170" customWidth="1"/>
    <col min="14595" max="14595" width="8.75" style="170" customWidth="1"/>
    <col min="14596" max="14596" width="10.125" style="170" customWidth="1"/>
    <col min="14597" max="14597" width="8.625" style="170" customWidth="1"/>
    <col min="14598" max="14598" width="5.25" style="170" customWidth="1"/>
    <col min="14599" max="14599" width="6.875" style="170" customWidth="1"/>
    <col min="14600" max="14600" width="5.625" style="170" customWidth="1"/>
    <col min="14601" max="14601" width="8.625" style="170" customWidth="1"/>
    <col min="14602" max="14602" width="7.25" style="170" customWidth="1"/>
    <col min="14603" max="14603" width="7" style="170" customWidth="1"/>
    <col min="14604" max="14605" width="7.875" style="170" customWidth="1"/>
    <col min="14606" max="14606" width="7.375" style="170" customWidth="1"/>
    <col min="14607" max="14607" width="13.375" style="170" customWidth="1"/>
    <col min="14608" max="14619" width="9" style="170" customWidth="1"/>
    <col min="14620" max="14848" width="9" style="170"/>
    <col min="14849" max="14849" width="5.125" style="170" customWidth="1"/>
    <col min="14850" max="14850" width="20.5" style="170" customWidth="1"/>
    <col min="14851" max="14851" width="8.75" style="170" customWidth="1"/>
    <col min="14852" max="14852" width="10.125" style="170" customWidth="1"/>
    <col min="14853" max="14853" width="8.625" style="170" customWidth="1"/>
    <col min="14854" max="14854" width="5.25" style="170" customWidth="1"/>
    <col min="14855" max="14855" width="6.875" style="170" customWidth="1"/>
    <col min="14856" max="14856" width="5.625" style="170" customWidth="1"/>
    <col min="14857" max="14857" width="8.625" style="170" customWidth="1"/>
    <col min="14858" max="14858" width="7.25" style="170" customWidth="1"/>
    <col min="14859" max="14859" width="7" style="170" customWidth="1"/>
    <col min="14860" max="14861" width="7.875" style="170" customWidth="1"/>
    <col min="14862" max="14862" width="7.375" style="170" customWidth="1"/>
    <col min="14863" max="14863" width="13.375" style="170" customWidth="1"/>
    <col min="14864" max="14875" width="9" style="170" customWidth="1"/>
    <col min="14876" max="15104" width="9" style="170"/>
    <col min="15105" max="15105" width="5.125" style="170" customWidth="1"/>
    <col min="15106" max="15106" width="20.5" style="170" customWidth="1"/>
    <col min="15107" max="15107" width="8.75" style="170" customWidth="1"/>
    <col min="15108" max="15108" width="10.125" style="170" customWidth="1"/>
    <col min="15109" max="15109" width="8.625" style="170" customWidth="1"/>
    <col min="15110" max="15110" width="5.25" style="170" customWidth="1"/>
    <col min="15111" max="15111" width="6.875" style="170" customWidth="1"/>
    <col min="15112" max="15112" width="5.625" style="170" customWidth="1"/>
    <col min="15113" max="15113" width="8.625" style="170" customWidth="1"/>
    <col min="15114" max="15114" width="7.25" style="170" customWidth="1"/>
    <col min="15115" max="15115" width="7" style="170" customWidth="1"/>
    <col min="15116" max="15117" width="7.875" style="170" customWidth="1"/>
    <col min="15118" max="15118" width="7.375" style="170" customWidth="1"/>
    <col min="15119" max="15119" width="13.375" style="170" customWidth="1"/>
    <col min="15120" max="15131" width="9" style="170" customWidth="1"/>
    <col min="15132" max="15360" width="9" style="170"/>
    <col min="15361" max="15361" width="5.125" style="170" customWidth="1"/>
    <col min="15362" max="15362" width="20.5" style="170" customWidth="1"/>
    <col min="15363" max="15363" width="8.75" style="170" customWidth="1"/>
    <col min="15364" max="15364" width="10.125" style="170" customWidth="1"/>
    <col min="15365" max="15365" width="8.625" style="170" customWidth="1"/>
    <col min="15366" max="15366" width="5.25" style="170" customWidth="1"/>
    <col min="15367" max="15367" width="6.875" style="170" customWidth="1"/>
    <col min="15368" max="15368" width="5.625" style="170" customWidth="1"/>
    <col min="15369" max="15369" width="8.625" style="170" customWidth="1"/>
    <col min="15370" max="15370" width="7.25" style="170" customWidth="1"/>
    <col min="15371" max="15371" width="7" style="170" customWidth="1"/>
    <col min="15372" max="15373" width="7.875" style="170" customWidth="1"/>
    <col min="15374" max="15374" width="7.375" style="170" customWidth="1"/>
    <col min="15375" max="15375" width="13.375" style="170" customWidth="1"/>
    <col min="15376" max="15387" width="9" style="170" customWidth="1"/>
    <col min="15388" max="15616" width="9" style="170"/>
    <col min="15617" max="15617" width="5.125" style="170" customWidth="1"/>
    <col min="15618" max="15618" width="20.5" style="170" customWidth="1"/>
    <col min="15619" max="15619" width="8.75" style="170" customWidth="1"/>
    <col min="15620" max="15620" width="10.125" style="170" customWidth="1"/>
    <col min="15621" max="15621" width="8.625" style="170" customWidth="1"/>
    <col min="15622" max="15622" width="5.25" style="170" customWidth="1"/>
    <col min="15623" max="15623" width="6.875" style="170" customWidth="1"/>
    <col min="15624" max="15624" width="5.625" style="170" customWidth="1"/>
    <col min="15625" max="15625" width="8.625" style="170" customWidth="1"/>
    <col min="15626" max="15626" width="7.25" style="170" customWidth="1"/>
    <col min="15627" max="15627" width="7" style="170" customWidth="1"/>
    <col min="15628" max="15629" width="7.875" style="170" customWidth="1"/>
    <col min="15630" max="15630" width="7.375" style="170" customWidth="1"/>
    <col min="15631" max="15631" width="13.375" style="170" customWidth="1"/>
    <col min="15632" max="15643" width="9" style="170" customWidth="1"/>
    <col min="15644" max="15872" width="9" style="170"/>
    <col min="15873" max="15873" width="5.125" style="170" customWidth="1"/>
    <col min="15874" max="15874" width="20.5" style="170" customWidth="1"/>
    <col min="15875" max="15875" width="8.75" style="170" customWidth="1"/>
    <col min="15876" max="15876" width="10.125" style="170" customWidth="1"/>
    <col min="15877" max="15877" width="8.625" style="170" customWidth="1"/>
    <col min="15878" max="15878" width="5.25" style="170" customWidth="1"/>
    <col min="15879" max="15879" width="6.875" style="170" customWidth="1"/>
    <col min="15880" max="15880" width="5.625" style="170" customWidth="1"/>
    <col min="15881" max="15881" width="8.625" style="170" customWidth="1"/>
    <col min="15882" max="15882" width="7.25" style="170" customWidth="1"/>
    <col min="15883" max="15883" width="7" style="170" customWidth="1"/>
    <col min="15884" max="15885" width="7.875" style="170" customWidth="1"/>
    <col min="15886" max="15886" width="7.375" style="170" customWidth="1"/>
    <col min="15887" max="15887" width="13.375" style="170" customWidth="1"/>
    <col min="15888" max="15899" width="9" style="170" customWidth="1"/>
    <col min="15900" max="16128" width="9" style="170"/>
    <col min="16129" max="16129" width="5.125" style="170" customWidth="1"/>
    <col min="16130" max="16130" width="20.5" style="170" customWidth="1"/>
    <col min="16131" max="16131" width="8.75" style="170" customWidth="1"/>
    <col min="16132" max="16132" width="10.125" style="170" customWidth="1"/>
    <col min="16133" max="16133" width="8.625" style="170" customWidth="1"/>
    <col min="16134" max="16134" width="5.25" style="170" customWidth="1"/>
    <col min="16135" max="16135" width="6.875" style="170" customWidth="1"/>
    <col min="16136" max="16136" width="5.625" style="170" customWidth="1"/>
    <col min="16137" max="16137" width="8.625" style="170" customWidth="1"/>
    <col min="16138" max="16138" width="7.25" style="170" customWidth="1"/>
    <col min="16139" max="16139" width="7" style="170" customWidth="1"/>
    <col min="16140" max="16141" width="7.875" style="170" customWidth="1"/>
    <col min="16142" max="16142" width="7.375" style="170" customWidth="1"/>
    <col min="16143" max="16143" width="13.375" style="170" customWidth="1"/>
    <col min="16144" max="16155" width="9" style="170" customWidth="1"/>
    <col min="16156" max="16384" width="9" style="170"/>
  </cols>
  <sheetData>
    <row r="1" spans="1:16" s="697" customFormat="1" ht="30" customHeight="1">
      <c r="A1" s="850" t="s">
        <v>2299</v>
      </c>
      <c r="B1" s="851"/>
      <c r="C1" s="851"/>
      <c r="D1" s="851"/>
      <c r="E1" s="851"/>
      <c r="F1" s="851"/>
      <c r="G1" s="851"/>
      <c r="H1" s="851"/>
      <c r="I1" s="851"/>
      <c r="J1" s="851"/>
      <c r="K1" s="851"/>
      <c r="L1" s="851"/>
      <c r="M1" s="851"/>
      <c r="N1" s="851"/>
      <c r="O1" s="851"/>
    </row>
    <row r="2" spans="1:16" s="697" customFormat="1" ht="24.95" customHeight="1">
      <c r="A2" s="852" t="s">
        <v>2300</v>
      </c>
      <c r="B2" s="852"/>
      <c r="C2" s="852"/>
      <c r="D2" s="852"/>
      <c r="E2" s="852"/>
      <c r="F2" s="852"/>
      <c r="G2" s="852"/>
      <c r="H2" s="852"/>
      <c r="I2" s="852"/>
      <c r="J2" s="852"/>
      <c r="K2" s="852"/>
      <c r="L2" s="852"/>
      <c r="M2" s="852"/>
      <c r="N2" s="852"/>
      <c r="O2" s="852"/>
    </row>
    <row r="3" spans="1:16" s="698" customFormat="1" ht="16.7" customHeight="1">
      <c r="A3" s="853" t="s">
        <v>12</v>
      </c>
      <c r="B3" s="854" t="s">
        <v>2301</v>
      </c>
      <c r="C3" s="854" t="s">
        <v>13</v>
      </c>
      <c r="D3" s="854" t="s">
        <v>1242</v>
      </c>
      <c r="E3" s="854" t="s">
        <v>1243</v>
      </c>
      <c r="F3" s="854" t="s">
        <v>2302</v>
      </c>
      <c r="G3" s="854" t="s">
        <v>1245</v>
      </c>
      <c r="H3" s="854" t="s">
        <v>1244</v>
      </c>
      <c r="I3" s="854" t="s">
        <v>1246</v>
      </c>
      <c r="J3" s="854" t="s">
        <v>2303</v>
      </c>
      <c r="K3" s="854" t="s">
        <v>2304</v>
      </c>
      <c r="L3" s="854" t="s">
        <v>2305</v>
      </c>
      <c r="M3" s="854" t="s">
        <v>2306</v>
      </c>
      <c r="N3" s="853" t="s">
        <v>2307</v>
      </c>
      <c r="O3" s="853" t="s">
        <v>18</v>
      </c>
    </row>
    <row r="4" spans="1:16" s="698" customFormat="1" ht="18.600000000000001" customHeight="1">
      <c r="A4" s="853"/>
      <c r="B4" s="854"/>
      <c r="C4" s="854"/>
      <c r="D4" s="854"/>
      <c r="E4" s="854"/>
      <c r="F4" s="854"/>
      <c r="G4" s="854"/>
      <c r="H4" s="854"/>
      <c r="I4" s="854"/>
      <c r="J4" s="854"/>
      <c r="K4" s="854"/>
      <c r="L4" s="854"/>
      <c r="M4" s="854"/>
      <c r="N4" s="853"/>
      <c r="O4" s="853"/>
    </row>
    <row r="5" spans="1:16" s="697" customFormat="1" ht="24.95" customHeight="1">
      <c r="A5" s="699">
        <v>1</v>
      </c>
      <c r="B5" s="699" t="s">
        <v>729</v>
      </c>
      <c r="C5" s="699" t="s">
        <v>2308</v>
      </c>
      <c r="D5" s="699" t="s">
        <v>2309</v>
      </c>
      <c r="E5" s="699" t="s">
        <v>2310</v>
      </c>
      <c r="F5" s="699"/>
      <c r="G5" s="699">
        <v>400</v>
      </c>
      <c r="H5" s="699">
        <v>650</v>
      </c>
      <c r="I5" s="699">
        <f t="shared" ref="I5:I20" si="0">H5*G5</f>
        <v>260000</v>
      </c>
      <c r="J5" s="699">
        <v>400</v>
      </c>
      <c r="K5" s="699">
        <v>450</v>
      </c>
      <c r="L5" s="699">
        <f t="shared" ref="L5:L20" si="1">K5*J5</f>
        <v>180000</v>
      </c>
      <c r="M5" s="699">
        <v>1360</v>
      </c>
      <c r="N5" s="699">
        <v>650</v>
      </c>
      <c r="O5" s="699" t="s">
        <v>2311</v>
      </c>
      <c r="P5" s="700"/>
    </row>
    <row r="6" spans="1:16" s="697" customFormat="1" ht="24.95" customHeight="1">
      <c r="A6" s="699">
        <v>2</v>
      </c>
      <c r="B6" s="699" t="s">
        <v>729</v>
      </c>
      <c r="C6" s="699" t="s">
        <v>2308</v>
      </c>
      <c r="D6" s="699" t="s">
        <v>2312</v>
      </c>
      <c r="E6" s="699" t="s">
        <v>2313</v>
      </c>
      <c r="F6" s="699"/>
      <c r="G6" s="699">
        <v>2000</v>
      </c>
      <c r="H6" s="699">
        <v>16</v>
      </c>
      <c r="I6" s="699">
        <f t="shared" si="0"/>
        <v>32000</v>
      </c>
      <c r="J6" s="699">
        <v>2000</v>
      </c>
      <c r="K6" s="699">
        <v>12</v>
      </c>
      <c r="L6" s="699">
        <f t="shared" si="1"/>
        <v>24000</v>
      </c>
      <c r="M6" s="699">
        <v>29</v>
      </c>
      <c r="N6" s="699">
        <v>16</v>
      </c>
      <c r="O6" s="699" t="s">
        <v>2314</v>
      </c>
    </row>
    <row r="7" spans="1:16" s="697" customFormat="1" ht="24.95" customHeight="1">
      <c r="A7" s="699">
        <v>3</v>
      </c>
      <c r="B7" s="699" t="s">
        <v>729</v>
      </c>
      <c r="C7" s="699" t="s">
        <v>2315</v>
      </c>
      <c r="D7" s="699" t="s">
        <v>2316</v>
      </c>
      <c r="E7" s="699" t="s">
        <v>2317</v>
      </c>
      <c r="F7" s="699"/>
      <c r="G7" s="699">
        <v>2500</v>
      </c>
      <c r="H7" s="699">
        <v>3</v>
      </c>
      <c r="I7" s="699">
        <f t="shared" si="0"/>
        <v>7500</v>
      </c>
      <c r="J7" s="699">
        <v>2500</v>
      </c>
      <c r="K7" s="699">
        <v>3</v>
      </c>
      <c r="L7" s="699">
        <f t="shared" si="1"/>
        <v>7500</v>
      </c>
      <c r="M7" s="699">
        <v>2</v>
      </c>
      <c r="N7" s="699">
        <v>3</v>
      </c>
      <c r="O7" s="699"/>
    </row>
    <row r="8" spans="1:16" s="697" customFormat="1" ht="24.95" customHeight="1">
      <c r="A8" s="699">
        <v>4</v>
      </c>
      <c r="B8" s="699" t="s">
        <v>729</v>
      </c>
      <c r="C8" s="699" t="s">
        <v>2315</v>
      </c>
      <c r="D8" s="699" t="s">
        <v>2318</v>
      </c>
      <c r="E8" s="699" t="s">
        <v>2319</v>
      </c>
      <c r="F8" s="699"/>
      <c r="G8" s="699">
        <v>2000</v>
      </c>
      <c r="H8" s="699">
        <v>3</v>
      </c>
      <c r="I8" s="699">
        <f t="shared" si="0"/>
        <v>6000</v>
      </c>
      <c r="J8" s="699">
        <v>2000</v>
      </c>
      <c r="K8" s="699">
        <v>3</v>
      </c>
      <c r="L8" s="699">
        <f t="shared" si="1"/>
        <v>6000</v>
      </c>
      <c r="M8" s="699">
        <v>4</v>
      </c>
      <c r="N8" s="699">
        <v>6</v>
      </c>
      <c r="O8" s="699"/>
    </row>
    <row r="9" spans="1:16" s="697" customFormat="1" ht="24.95" customHeight="1">
      <c r="A9" s="699">
        <v>5</v>
      </c>
      <c r="B9" s="699" t="s">
        <v>729</v>
      </c>
      <c r="C9" s="699" t="s">
        <v>2315</v>
      </c>
      <c r="D9" s="699" t="s">
        <v>2320</v>
      </c>
      <c r="E9" s="699" t="s">
        <v>2320</v>
      </c>
      <c r="F9" s="699"/>
      <c r="G9" s="699">
        <v>2500</v>
      </c>
      <c r="H9" s="699">
        <v>3</v>
      </c>
      <c r="I9" s="699">
        <f t="shared" si="0"/>
        <v>7500</v>
      </c>
      <c r="J9" s="699">
        <v>2500</v>
      </c>
      <c r="K9" s="699">
        <v>3</v>
      </c>
      <c r="L9" s="699">
        <f t="shared" si="1"/>
        <v>7500</v>
      </c>
      <c r="M9" s="699">
        <v>2</v>
      </c>
      <c r="N9" s="699">
        <v>3</v>
      </c>
      <c r="O9" s="699"/>
    </row>
    <row r="10" spans="1:16" s="697" customFormat="1" ht="24.95" customHeight="1">
      <c r="A10" s="699">
        <v>6</v>
      </c>
      <c r="B10" s="699" t="s">
        <v>729</v>
      </c>
      <c r="C10" s="699" t="s">
        <v>2315</v>
      </c>
      <c r="D10" s="699" t="s">
        <v>2321</v>
      </c>
      <c r="E10" s="699" t="s">
        <v>2322</v>
      </c>
      <c r="F10" s="699"/>
      <c r="G10" s="699">
        <v>2000</v>
      </c>
      <c r="H10" s="699">
        <v>2</v>
      </c>
      <c r="I10" s="699">
        <f t="shared" si="0"/>
        <v>4000</v>
      </c>
      <c r="J10" s="699">
        <v>2000</v>
      </c>
      <c r="K10" s="699">
        <v>2</v>
      </c>
      <c r="L10" s="699">
        <f t="shared" si="1"/>
        <v>4000</v>
      </c>
      <c r="M10" s="699">
        <v>1</v>
      </c>
      <c r="N10" s="699">
        <v>2</v>
      </c>
      <c r="O10" s="699"/>
    </row>
    <row r="11" spans="1:16" s="697" customFormat="1" ht="24.95" customHeight="1">
      <c r="A11" s="699">
        <v>7</v>
      </c>
      <c r="B11" s="699" t="s">
        <v>729</v>
      </c>
      <c r="C11" s="699" t="s">
        <v>2323</v>
      </c>
      <c r="D11" s="699" t="s">
        <v>2324</v>
      </c>
      <c r="E11" s="699" t="s">
        <v>2325</v>
      </c>
      <c r="F11" s="699"/>
      <c r="G11" s="699">
        <v>100</v>
      </c>
      <c r="H11" s="699">
        <v>150</v>
      </c>
      <c r="I11" s="699">
        <f t="shared" si="0"/>
        <v>15000</v>
      </c>
      <c r="J11" s="699">
        <v>100</v>
      </c>
      <c r="K11" s="699">
        <v>150</v>
      </c>
      <c r="L11" s="699">
        <f t="shared" si="1"/>
        <v>15000</v>
      </c>
      <c r="M11" s="699">
        <v>0</v>
      </c>
      <c r="N11" s="699">
        <v>150</v>
      </c>
      <c r="O11" s="699"/>
    </row>
    <row r="12" spans="1:16" s="697" customFormat="1" ht="24.95" customHeight="1">
      <c r="A12" s="699">
        <v>8</v>
      </c>
      <c r="B12" s="699" t="s">
        <v>729</v>
      </c>
      <c r="C12" s="699" t="s">
        <v>2326</v>
      </c>
      <c r="D12" s="699" t="s">
        <v>2327</v>
      </c>
      <c r="E12" s="699" t="s">
        <v>2328</v>
      </c>
      <c r="F12" s="699"/>
      <c r="G12" s="699">
        <v>700</v>
      </c>
      <c r="H12" s="699">
        <v>20</v>
      </c>
      <c r="I12" s="699">
        <f t="shared" si="0"/>
        <v>14000</v>
      </c>
      <c r="J12" s="699">
        <v>700</v>
      </c>
      <c r="K12" s="699">
        <v>20</v>
      </c>
      <c r="L12" s="699">
        <v>0</v>
      </c>
      <c r="M12" s="699">
        <v>40</v>
      </c>
      <c r="N12" s="699">
        <v>20</v>
      </c>
      <c r="O12" s="699" t="s">
        <v>2329</v>
      </c>
    </row>
    <row r="13" spans="1:16" s="697" customFormat="1" ht="24.95" customHeight="1">
      <c r="A13" s="699">
        <v>9</v>
      </c>
      <c r="B13" s="699" t="s">
        <v>729</v>
      </c>
      <c r="C13" s="699" t="s">
        <v>2330</v>
      </c>
      <c r="D13" s="699" t="s">
        <v>2331</v>
      </c>
      <c r="E13" s="699" t="s">
        <v>2331</v>
      </c>
      <c r="F13" s="699"/>
      <c r="G13" s="699">
        <v>5000</v>
      </c>
      <c r="H13" s="699">
        <v>50</v>
      </c>
      <c r="I13" s="699">
        <f t="shared" si="0"/>
        <v>250000</v>
      </c>
      <c r="J13" s="699">
        <v>5000</v>
      </c>
      <c r="K13" s="699">
        <v>50</v>
      </c>
      <c r="L13" s="699">
        <f t="shared" si="1"/>
        <v>250000</v>
      </c>
      <c r="M13" s="699">
        <v>45</v>
      </c>
      <c r="N13" s="699">
        <v>50</v>
      </c>
      <c r="O13" s="699"/>
    </row>
    <row r="14" spans="1:16" s="697" customFormat="1" ht="24.95" customHeight="1">
      <c r="A14" s="699">
        <v>10</v>
      </c>
      <c r="B14" s="699" t="s">
        <v>729</v>
      </c>
      <c r="C14" s="699" t="s">
        <v>2330</v>
      </c>
      <c r="D14" s="699" t="s">
        <v>2332</v>
      </c>
      <c r="E14" s="699" t="s">
        <v>2332</v>
      </c>
      <c r="F14" s="699"/>
      <c r="G14" s="699">
        <v>5000</v>
      </c>
      <c r="H14" s="699">
        <v>1</v>
      </c>
      <c r="I14" s="699">
        <f t="shared" si="0"/>
        <v>5000</v>
      </c>
      <c r="J14" s="699">
        <v>5000</v>
      </c>
      <c r="K14" s="699">
        <v>1</v>
      </c>
      <c r="L14" s="699">
        <f t="shared" si="1"/>
        <v>5000</v>
      </c>
      <c r="M14" s="699">
        <v>0</v>
      </c>
      <c r="N14" s="699">
        <v>1</v>
      </c>
      <c r="O14" s="699"/>
    </row>
    <row r="15" spans="1:16" s="697" customFormat="1" ht="24.95" customHeight="1">
      <c r="A15" s="699">
        <v>11</v>
      </c>
      <c r="B15" s="699" t="s">
        <v>729</v>
      </c>
      <c r="C15" s="699" t="s">
        <v>2333</v>
      </c>
      <c r="D15" s="699" t="s">
        <v>2334</v>
      </c>
      <c r="E15" s="699" t="s">
        <v>2335</v>
      </c>
      <c r="F15" s="699"/>
      <c r="G15" s="699">
        <v>16000</v>
      </c>
      <c r="H15" s="699">
        <v>4</v>
      </c>
      <c r="I15" s="699">
        <f t="shared" si="0"/>
        <v>64000</v>
      </c>
      <c r="J15" s="699">
        <v>16000</v>
      </c>
      <c r="K15" s="699">
        <v>4</v>
      </c>
      <c r="L15" s="699">
        <f t="shared" si="1"/>
        <v>64000</v>
      </c>
      <c r="M15" s="699">
        <v>5</v>
      </c>
      <c r="N15" s="699">
        <v>4</v>
      </c>
      <c r="O15" s="699"/>
    </row>
    <row r="16" spans="1:16" s="697" customFormat="1" ht="24.95" customHeight="1">
      <c r="A16" s="699">
        <v>12</v>
      </c>
      <c r="B16" s="699" t="s">
        <v>729</v>
      </c>
      <c r="C16" s="699" t="s">
        <v>2333</v>
      </c>
      <c r="D16" s="699" t="s">
        <v>2334</v>
      </c>
      <c r="E16" s="699" t="s">
        <v>2336</v>
      </c>
      <c r="F16" s="699"/>
      <c r="G16" s="699">
        <v>12000</v>
      </c>
      <c r="H16" s="699">
        <v>4</v>
      </c>
      <c r="I16" s="699">
        <f t="shared" si="0"/>
        <v>48000</v>
      </c>
      <c r="J16" s="699">
        <v>12000</v>
      </c>
      <c r="K16" s="699">
        <v>4</v>
      </c>
      <c r="L16" s="699">
        <v>0</v>
      </c>
      <c r="M16" s="699">
        <v>4</v>
      </c>
      <c r="N16" s="699">
        <v>4</v>
      </c>
      <c r="O16" s="699" t="s">
        <v>2337</v>
      </c>
    </row>
    <row r="17" spans="1:21" s="697" customFormat="1" ht="24.95" customHeight="1">
      <c r="A17" s="699">
        <v>13</v>
      </c>
      <c r="B17" s="699" t="s">
        <v>729</v>
      </c>
      <c r="C17" s="699" t="s">
        <v>2338</v>
      </c>
      <c r="D17" s="699" t="s">
        <v>2339</v>
      </c>
      <c r="E17" s="699" t="s">
        <v>2338</v>
      </c>
      <c r="F17" s="699"/>
      <c r="G17" s="699">
        <v>130007</v>
      </c>
      <c r="H17" s="699">
        <v>1</v>
      </c>
      <c r="I17" s="701">
        <f t="shared" si="0"/>
        <v>130007</v>
      </c>
      <c r="J17" s="699">
        <v>100000</v>
      </c>
      <c r="K17" s="699">
        <v>1</v>
      </c>
      <c r="L17" s="701">
        <f t="shared" si="1"/>
        <v>100000</v>
      </c>
      <c r="M17" s="699">
        <v>1</v>
      </c>
      <c r="N17" s="699">
        <v>1</v>
      </c>
      <c r="O17" s="699" t="s">
        <v>2340</v>
      </c>
    </row>
    <row r="18" spans="1:21" s="697" customFormat="1" ht="24.95" customHeight="1">
      <c r="A18" s="699">
        <v>14</v>
      </c>
      <c r="B18" s="699" t="s">
        <v>729</v>
      </c>
      <c r="C18" s="699" t="s">
        <v>2341</v>
      </c>
      <c r="D18" s="699" t="s">
        <v>2341</v>
      </c>
      <c r="E18" s="699" t="s">
        <v>2342</v>
      </c>
      <c r="F18" s="699"/>
      <c r="G18" s="699">
        <v>130210</v>
      </c>
      <c r="H18" s="699">
        <v>1</v>
      </c>
      <c r="I18" s="699">
        <f t="shared" si="0"/>
        <v>130210</v>
      </c>
      <c r="J18" s="699">
        <v>100000</v>
      </c>
      <c r="K18" s="699">
        <v>1</v>
      </c>
      <c r="L18" s="699">
        <f t="shared" si="1"/>
        <v>100000</v>
      </c>
      <c r="M18" s="699">
        <v>1</v>
      </c>
      <c r="N18" s="699">
        <v>1</v>
      </c>
      <c r="O18" s="699" t="s">
        <v>2340</v>
      </c>
    </row>
    <row r="19" spans="1:21" s="697" customFormat="1" ht="24.95" customHeight="1">
      <c r="A19" s="699">
        <v>15</v>
      </c>
      <c r="B19" s="699" t="s">
        <v>729</v>
      </c>
      <c r="C19" s="699" t="s">
        <v>2343</v>
      </c>
      <c r="D19" s="699" t="s">
        <v>2344</v>
      </c>
      <c r="E19" s="699" t="s">
        <v>2344</v>
      </c>
      <c r="F19" s="699"/>
      <c r="G19" s="699">
        <v>50184</v>
      </c>
      <c r="H19" s="699">
        <v>1</v>
      </c>
      <c r="I19" s="699">
        <f t="shared" si="0"/>
        <v>50184</v>
      </c>
      <c r="J19" s="699">
        <v>50184</v>
      </c>
      <c r="K19" s="699">
        <v>1</v>
      </c>
      <c r="L19" s="699">
        <v>0</v>
      </c>
      <c r="M19" s="699">
        <v>1</v>
      </c>
      <c r="N19" s="699">
        <v>1</v>
      </c>
      <c r="O19" s="699" t="s">
        <v>2345</v>
      </c>
    </row>
    <row r="20" spans="1:21" s="697" customFormat="1" ht="24.95" customHeight="1">
      <c r="A20" s="699">
        <v>16</v>
      </c>
      <c r="B20" s="699" t="s">
        <v>729</v>
      </c>
      <c r="C20" s="699" t="s">
        <v>2346</v>
      </c>
      <c r="D20" s="699" t="s">
        <v>2347</v>
      </c>
      <c r="E20" s="699" t="s">
        <v>2348</v>
      </c>
      <c r="F20" s="699"/>
      <c r="G20" s="699">
        <v>202400</v>
      </c>
      <c r="H20" s="699">
        <v>1</v>
      </c>
      <c r="I20" s="699">
        <f t="shared" si="0"/>
        <v>202400</v>
      </c>
      <c r="J20" s="699">
        <v>100000</v>
      </c>
      <c r="K20" s="699">
        <v>1</v>
      </c>
      <c r="L20" s="699">
        <f t="shared" si="1"/>
        <v>100000</v>
      </c>
      <c r="M20" s="699">
        <v>0</v>
      </c>
      <c r="N20" s="699">
        <v>1</v>
      </c>
      <c r="O20" s="699" t="s">
        <v>2340</v>
      </c>
    </row>
    <row r="21" spans="1:21" s="697" customFormat="1" ht="24.95" customHeight="1">
      <c r="A21" s="702"/>
      <c r="B21" s="702"/>
      <c r="C21" s="702"/>
      <c r="D21" s="702"/>
      <c r="E21" s="702"/>
      <c r="F21" s="702"/>
      <c r="G21" s="702"/>
      <c r="H21" s="702"/>
      <c r="I21" s="702">
        <f>SUM(I5:I20)</f>
        <v>1225801</v>
      </c>
      <c r="J21" s="702"/>
      <c r="K21" s="702"/>
      <c r="L21" s="702">
        <f>SUM(L5:L20)</f>
        <v>863000</v>
      </c>
      <c r="M21" s="702"/>
      <c r="N21" s="702"/>
      <c r="O21" s="702"/>
    </row>
    <row r="22" spans="1:21" s="697" customFormat="1" ht="24.95" customHeight="1">
      <c r="A22" s="855" t="s">
        <v>2349</v>
      </c>
      <c r="B22" s="855"/>
      <c r="C22" s="855"/>
      <c r="D22" s="855"/>
      <c r="E22" s="855"/>
      <c r="F22" s="855"/>
      <c r="G22" s="855"/>
      <c r="H22" s="855"/>
      <c r="I22" s="855"/>
      <c r="J22" s="855"/>
      <c r="K22" s="855"/>
      <c r="L22" s="855"/>
      <c r="M22" s="855"/>
      <c r="N22" s="855"/>
      <c r="O22" s="855"/>
    </row>
    <row r="23" spans="1:21" s="170" customFormat="1">
      <c r="N23" s="697"/>
      <c r="O23" s="697"/>
      <c r="P23" s="697"/>
      <c r="Q23" s="697"/>
      <c r="R23" s="697"/>
      <c r="S23" s="697"/>
      <c r="T23" s="697"/>
      <c r="U23" s="697"/>
    </row>
  </sheetData>
  <mergeCells count="18">
    <mergeCell ref="A22:O22"/>
    <mergeCell ref="I3:I4"/>
    <mergeCell ref="J3:J4"/>
    <mergeCell ref="K3:K4"/>
    <mergeCell ref="L3:L4"/>
    <mergeCell ref="M3:M4"/>
    <mergeCell ref="N3:N4"/>
    <mergeCell ref="A1:O1"/>
    <mergeCell ref="A2:O2"/>
    <mergeCell ref="A3:A4"/>
    <mergeCell ref="B3:B4"/>
    <mergeCell ref="C3:C4"/>
    <mergeCell ref="D3:D4"/>
    <mergeCell ref="E3:E4"/>
    <mergeCell ref="F3:F4"/>
    <mergeCell ref="G3:G4"/>
    <mergeCell ref="H3:H4"/>
    <mergeCell ref="O3:O4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95" orientation="landscape" r:id="rId1"/>
  <headerFooter>
    <oddFooter>第 &amp;P 页，共 &amp;N 页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E663"/>
  <sheetViews>
    <sheetView topLeftCell="A644" workbookViewId="0">
      <selection activeCell="B190" sqref="B190:B200"/>
    </sheetView>
  </sheetViews>
  <sheetFormatPr defaultColWidth="8.875" defaultRowHeight="12"/>
  <cols>
    <col min="1" max="1" width="6.5" style="505" customWidth="1"/>
    <col min="2" max="3" width="9.5" style="505" customWidth="1"/>
    <col min="4" max="4" width="19.25" style="505" customWidth="1"/>
    <col min="5" max="5" width="18.625" style="505" customWidth="1"/>
    <col min="6" max="6" width="6.25" style="505" customWidth="1"/>
    <col min="7" max="7" width="13.5" style="506" customWidth="1"/>
    <col min="8" max="8" width="18.75" style="507" customWidth="1"/>
    <col min="9" max="9" width="19.375" style="508" customWidth="1"/>
    <col min="10" max="10" width="11.5" style="539" customWidth="1"/>
    <col min="11" max="16384" width="8.875" style="360"/>
  </cols>
  <sheetData>
    <row r="1" spans="1:10" ht="25.5" customHeight="1">
      <c r="A1" s="938" t="s">
        <v>2136</v>
      </c>
      <c r="B1" s="939"/>
      <c r="C1" s="939"/>
      <c r="D1" s="939"/>
      <c r="E1" s="939"/>
      <c r="F1" s="939"/>
      <c r="G1" s="939"/>
      <c r="H1" s="939"/>
      <c r="I1" s="939"/>
      <c r="J1" s="940"/>
    </row>
    <row r="2" spans="1:10">
      <c r="A2" s="931" t="s">
        <v>12</v>
      </c>
      <c r="B2" s="931" t="s">
        <v>1303</v>
      </c>
      <c r="C2" s="931" t="s">
        <v>1305</v>
      </c>
      <c r="D2" s="931" t="s">
        <v>1306</v>
      </c>
      <c r="E2" s="931" t="s">
        <v>1307</v>
      </c>
      <c r="F2" s="931" t="s">
        <v>1</v>
      </c>
      <c r="G2" s="936" t="s">
        <v>1683</v>
      </c>
      <c r="H2" s="936"/>
      <c r="I2" s="937"/>
      <c r="J2" s="870" t="s">
        <v>2134</v>
      </c>
    </row>
    <row r="3" spans="1:10">
      <c r="A3" s="931"/>
      <c r="B3" s="931"/>
      <c r="C3" s="931"/>
      <c r="D3" s="931"/>
      <c r="E3" s="931"/>
      <c r="F3" s="931"/>
      <c r="G3" s="163" t="s">
        <v>1308</v>
      </c>
      <c r="H3" s="361" t="s">
        <v>1309</v>
      </c>
      <c r="I3" s="526" t="s">
        <v>1310</v>
      </c>
      <c r="J3" s="870"/>
    </row>
    <row r="4" spans="1:10" s="170" customFormat="1" ht="24">
      <c r="A4" s="926">
        <v>1</v>
      </c>
      <c r="B4" s="926" t="s">
        <v>2350</v>
      </c>
      <c r="C4" s="927" t="s">
        <v>1312</v>
      </c>
      <c r="D4" s="926" t="s">
        <v>1684</v>
      </c>
      <c r="E4" s="365" t="s">
        <v>1685</v>
      </c>
      <c r="F4" s="365" t="s">
        <v>1686</v>
      </c>
      <c r="G4" s="137">
        <v>581.04</v>
      </c>
      <c r="H4" s="366">
        <v>200</v>
      </c>
      <c r="I4" s="528">
        <v>116208</v>
      </c>
      <c r="J4" s="871">
        <f>ROUND(I10*0.8,0)</f>
        <v>292350</v>
      </c>
    </row>
    <row r="5" spans="1:10" s="170" customFormat="1" ht="13.5">
      <c r="A5" s="926"/>
      <c r="B5" s="926"/>
      <c r="C5" s="927"/>
      <c r="D5" s="926"/>
      <c r="E5" s="365" t="s">
        <v>1687</v>
      </c>
      <c r="F5" s="365" t="s">
        <v>1686</v>
      </c>
      <c r="G5" s="894">
        <v>1150</v>
      </c>
      <c r="H5" s="876">
        <v>168</v>
      </c>
      <c r="I5" s="878">
        <v>193200</v>
      </c>
      <c r="J5" s="872"/>
    </row>
    <row r="6" spans="1:10" s="170" customFormat="1" ht="24">
      <c r="A6" s="926"/>
      <c r="B6" s="926"/>
      <c r="C6" s="927"/>
      <c r="D6" s="926"/>
      <c r="E6" s="365" t="s">
        <v>1688</v>
      </c>
      <c r="F6" s="365" t="s">
        <v>1686</v>
      </c>
      <c r="G6" s="906"/>
      <c r="H6" s="877"/>
      <c r="I6" s="879"/>
      <c r="J6" s="872"/>
    </row>
    <row r="7" spans="1:10" s="170" customFormat="1" ht="13.5">
      <c r="A7" s="926"/>
      <c r="B7" s="926"/>
      <c r="C7" s="927"/>
      <c r="D7" s="367" t="s">
        <v>1332</v>
      </c>
      <c r="E7" s="365"/>
      <c r="F7" s="365"/>
      <c r="G7" s="75"/>
      <c r="H7" s="366"/>
      <c r="I7" s="529">
        <v>309408</v>
      </c>
      <c r="J7" s="872"/>
    </row>
    <row r="8" spans="1:10" s="170" customFormat="1" ht="13.5">
      <c r="A8" s="926"/>
      <c r="B8" s="926"/>
      <c r="C8" s="927"/>
      <c r="D8" s="367" t="s">
        <v>1334</v>
      </c>
      <c r="E8" s="365"/>
      <c r="F8" s="365"/>
      <c r="G8" s="137"/>
      <c r="H8" s="366"/>
      <c r="I8" s="529">
        <v>37128.959999999999</v>
      </c>
      <c r="J8" s="872"/>
    </row>
    <row r="9" spans="1:10" s="170" customFormat="1" ht="13.5">
      <c r="A9" s="926"/>
      <c r="B9" s="926"/>
      <c r="C9" s="927"/>
      <c r="D9" s="368" t="s">
        <v>1336</v>
      </c>
      <c r="E9" s="365"/>
      <c r="F9" s="365" t="s">
        <v>1689</v>
      </c>
      <c r="G9" s="369">
        <v>21</v>
      </c>
      <c r="H9" s="370">
        <v>900</v>
      </c>
      <c r="I9" s="528">
        <v>18900</v>
      </c>
      <c r="J9" s="872"/>
    </row>
    <row r="10" spans="1:10" s="170" customFormat="1" ht="13.5">
      <c r="A10" s="926"/>
      <c r="B10" s="926"/>
      <c r="C10" s="927"/>
      <c r="D10" s="367" t="s">
        <v>1342</v>
      </c>
      <c r="E10" s="365"/>
      <c r="F10" s="365"/>
      <c r="G10" s="75"/>
      <c r="H10" s="366"/>
      <c r="I10" s="529">
        <v>365436.96</v>
      </c>
      <c r="J10" s="873"/>
    </row>
    <row r="11" spans="1:10" s="170" customFormat="1" ht="24">
      <c r="A11" s="926">
        <v>2</v>
      </c>
      <c r="B11" s="926" t="s">
        <v>2351</v>
      </c>
      <c r="C11" s="927" t="s">
        <v>1690</v>
      </c>
      <c r="D11" s="926" t="s">
        <v>1684</v>
      </c>
      <c r="E11" s="365" t="s">
        <v>1691</v>
      </c>
      <c r="F11" s="365" t="s">
        <v>1686</v>
      </c>
      <c r="G11" s="137">
        <v>5465</v>
      </c>
      <c r="H11" s="366">
        <v>145</v>
      </c>
      <c r="I11" s="528">
        <v>792425</v>
      </c>
      <c r="J11" s="864">
        <f>ROUND(I15*0.9,0)</f>
        <v>900630</v>
      </c>
    </row>
    <row r="12" spans="1:10" s="170" customFormat="1" ht="13.5">
      <c r="A12" s="926"/>
      <c r="B12" s="926"/>
      <c r="C12" s="927"/>
      <c r="D12" s="926"/>
      <c r="E12" s="365" t="s">
        <v>1692</v>
      </c>
      <c r="F12" s="365" t="s">
        <v>1686</v>
      </c>
      <c r="G12" s="137">
        <v>400</v>
      </c>
      <c r="H12" s="366">
        <v>265.68714999999997</v>
      </c>
      <c r="I12" s="528">
        <v>106274.86</v>
      </c>
      <c r="J12" s="865"/>
    </row>
    <row r="13" spans="1:10" s="170" customFormat="1" ht="13.5">
      <c r="A13" s="926"/>
      <c r="B13" s="926"/>
      <c r="C13" s="927"/>
      <c r="D13" s="367" t="s">
        <v>1332</v>
      </c>
      <c r="E13" s="365"/>
      <c r="F13" s="365"/>
      <c r="G13" s="75"/>
      <c r="H13" s="366"/>
      <c r="I13" s="529">
        <v>898699.86</v>
      </c>
      <c r="J13" s="865"/>
    </row>
    <row r="14" spans="1:10" s="170" customFormat="1" ht="13.5">
      <c r="A14" s="926"/>
      <c r="B14" s="926"/>
      <c r="C14" s="927"/>
      <c r="D14" s="367" t="s">
        <v>1334</v>
      </c>
      <c r="E14" s="365"/>
      <c r="F14" s="365"/>
      <c r="G14" s="137"/>
      <c r="H14" s="366"/>
      <c r="I14" s="529">
        <v>102000</v>
      </c>
      <c r="J14" s="865"/>
    </row>
    <row r="15" spans="1:10" s="170" customFormat="1" ht="13.5">
      <c r="A15" s="926"/>
      <c r="B15" s="926"/>
      <c r="C15" s="927"/>
      <c r="D15" s="367" t="s">
        <v>1342</v>
      </c>
      <c r="E15" s="365"/>
      <c r="F15" s="365"/>
      <c r="G15" s="75"/>
      <c r="H15" s="366"/>
      <c r="I15" s="529">
        <v>1000699.86</v>
      </c>
      <c r="J15" s="866"/>
    </row>
    <row r="16" spans="1:10" s="170" customFormat="1" ht="24">
      <c r="A16" s="926">
        <v>3</v>
      </c>
      <c r="B16" s="926" t="s">
        <v>2352</v>
      </c>
      <c r="C16" s="927" t="s">
        <v>1690</v>
      </c>
      <c r="D16" s="365" t="s">
        <v>1684</v>
      </c>
      <c r="E16" s="365" t="s">
        <v>1693</v>
      </c>
      <c r="F16" s="365" t="s">
        <v>1686</v>
      </c>
      <c r="G16" s="137">
        <v>280</v>
      </c>
      <c r="H16" s="371">
        <v>2719.64</v>
      </c>
      <c r="I16" s="488">
        <v>761506.91</v>
      </c>
      <c r="J16" s="864">
        <f>ROUND(I23*0.8,0)</f>
        <v>1029095</v>
      </c>
    </row>
    <row r="17" spans="1:10" s="170" customFormat="1" ht="24">
      <c r="A17" s="926"/>
      <c r="B17" s="926"/>
      <c r="C17" s="927"/>
      <c r="D17" s="926" t="s">
        <v>1694</v>
      </c>
      <c r="E17" s="365" t="s">
        <v>1695</v>
      </c>
      <c r="F17" s="365" t="s">
        <v>1686</v>
      </c>
      <c r="G17" s="894">
        <v>1150</v>
      </c>
      <c r="H17" s="876">
        <v>319</v>
      </c>
      <c r="I17" s="878">
        <v>366850</v>
      </c>
      <c r="J17" s="865"/>
    </row>
    <row r="18" spans="1:10" s="170" customFormat="1" ht="24">
      <c r="A18" s="926"/>
      <c r="B18" s="926"/>
      <c r="C18" s="927"/>
      <c r="D18" s="926"/>
      <c r="E18" s="365" t="s">
        <v>1696</v>
      </c>
      <c r="F18" s="365" t="s">
        <v>1686</v>
      </c>
      <c r="G18" s="906"/>
      <c r="H18" s="877"/>
      <c r="I18" s="879"/>
      <c r="J18" s="865"/>
    </row>
    <row r="19" spans="1:10" s="170" customFormat="1" ht="13.5">
      <c r="A19" s="926"/>
      <c r="B19" s="926"/>
      <c r="C19" s="927"/>
      <c r="D19" s="926"/>
      <c r="E19" s="365" t="s">
        <v>1697</v>
      </c>
      <c r="F19" s="365" t="s">
        <v>1330</v>
      </c>
      <c r="G19" s="137">
        <v>1</v>
      </c>
      <c r="H19" s="366">
        <v>9661.44</v>
      </c>
      <c r="I19" s="528">
        <v>9661.44</v>
      </c>
      <c r="J19" s="865"/>
    </row>
    <row r="20" spans="1:10" s="170" customFormat="1" ht="13.5">
      <c r="A20" s="926"/>
      <c r="B20" s="926"/>
      <c r="C20" s="927"/>
      <c r="D20" s="367" t="s">
        <v>1332</v>
      </c>
      <c r="E20" s="365"/>
      <c r="F20" s="365"/>
      <c r="G20" s="75"/>
      <c r="H20" s="366"/>
      <c r="I20" s="529">
        <v>1138018.3500000001</v>
      </c>
      <c r="J20" s="865"/>
    </row>
    <row r="21" spans="1:10" s="170" customFormat="1" ht="13.5">
      <c r="A21" s="926"/>
      <c r="B21" s="926"/>
      <c r="C21" s="927"/>
      <c r="D21" s="367" t="s">
        <v>1334</v>
      </c>
      <c r="E21" s="365"/>
      <c r="F21" s="365"/>
      <c r="G21" s="137"/>
      <c r="H21" s="366"/>
      <c r="I21" s="529">
        <v>118350</v>
      </c>
      <c r="J21" s="865"/>
    </row>
    <row r="22" spans="1:10" s="170" customFormat="1" ht="13.5">
      <c r="A22" s="926"/>
      <c r="B22" s="926"/>
      <c r="C22" s="927"/>
      <c r="D22" s="368" t="s">
        <v>1338</v>
      </c>
      <c r="E22" s="365" t="s">
        <v>1698</v>
      </c>
      <c r="F22" s="365" t="s">
        <v>1330</v>
      </c>
      <c r="G22" s="369">
        <v>1</v>
      </c>
      <c r="H22" s="370">
        <v>30000</v>
      </c>
      <c r="I22" s="528">
        <v>30000</v>
      </c>
      <c r="J22" s="865"/>
    </row>
    <row r="23" spans="1:10" s="170" customFormat="1" ht="13.5">
      <c r="A23" s="926"/>
      <c r="B23" s="926"/>
      <c r="C23" s="927"/>
      <c r="D23" s="367" t="s">
        <v>1342</v>
      </c>
      <c r="E23" s="365"/>
      <c r="F23" s="365"/>
      <c r="G23" s="75"/>
      <c r="H23" s="366"/>
      <c r="I23" s="529">
        <v>1286368.3500000001</v>
      </c>
      <c r="J23" s="866"/>
    </row>
    <row r="24" spans="1:10" s="170" customFormat="1" ht="24">
      <c r="A24" s="926">
        <v>4</v>
      </c>
      <c r="B24" s="926" t="s">
        <v>2353</v>
      </c>
      <c r="C24" s="927" t="s">
        <v>1690</v>
      </c>
      <c r="D24" s="926" t="s">
        <v>1684</v>
      </c>
      <c r="E24" s="365" t="s">
        <v>1699</v>
      </c>
      <c r="F24" s="365" t="s">
        <v>1686</v>
      </c>
      <c r="G24" s="137">
        <v>172</v>
      </c>
      <c r="H24" s="366">
        <v>300</v>
      </c>
      <c r="I24" s="528">
        <v>51600</v>
      </c>
      <c r="J24" s="864">
        <f>ROUND(I29*0.8,0)</f>
        <v>410010</v>
      </c>
    </row>
    <row r="25" spans="1:10" s="170" customFormat="1" ht="36">
      <c r="A25" s="926"/>
      <c r="B25" s="926"/>
      <c r="C25" s="927"/>
      <c r="D25" s="926"/>
      <c r="E25" s="365" t="s">
        <v>1700</v>
      </c>
      <c r="F25" s="365" t="s">
        <v>1686</v>
      </c>
      <c r="G25" s="137">
        <v>2800</v>
      </c>
      <c r="H25" s="366">
        <v>25</v>
      </c>
      <c r="I25" s="528">
        <v>70000</v>
      </c>
      <c r="J25" s="865"/>
    </row>
    <row r="26" spans="1:10" s="170" customFormat="1" ht="13.5">
      <c r="A26" s="926"/>
      <c r="B26" s="926"/>
      <c r="C26" s="927"/>
      <c r="D26" s="926"/>
      <c r="E26" s="365" t="s">
        <v>1701</v>
      </c>
      <c r="F26" s="365" t="s">
        <v>1686</v>
      </c>
      <c r="G26" s="137">
        <v>2800</v>
      </c>
      <c r="H26" s="366">
        <v>120</v>
      </c>
      <c r="I26" s="528">
        <v>336000</v>
      </c>
      <c r="J26" s="865"/>
    </row>
    <row r="27" spans="1:10" s="170" customFormat="1" ht="13.5">
      <c r="A27" s="926"/>
      <c r="B27" s="926"/>
      <c r="C27" s="927"/>
      <c r="D27" s="367" t="s">
        <v>1332</v>
      </c>
      <c r="E27" s="365"/>
      <c r="F27" s="365"/>
      <c r="G27" s="75"/>
      <c r="H27" s="366"/>
      <c r="I27" s="529">
        <v>457600</v>
      </c>
      <c r="J27" s="865"/>
    </row>
    <row r="28" spans="1:10" s="170" customFormat="1" ht="13.5">
      <c r="A28" s="926"/>
      <c r="B28" s="926"/>
      <c r="C28" s="927"/>
      <c r="D28" s="367" t="s">
        <v>1334</v>
      </c>
      <c r="E28" s="365"/>
      <c r="F28" s="365"/>
      <c r="G28" s="137"/>
      <c r="H28" s="366"/>
      <c r="I28" s="529">
        <v>54912</v>
      </c>
      <c r="J28" s="865"/>
    </row>
    <row r="29" spans="1:10" s="170" customFormat="1" ht="13.5">
      <c r="A29" s="926"/>
      <c r="B29" s="926"/>
      <c r="C29" s="927"/>
      <c r="D29" s="367" t="s">
        <v>1342</v>
      </c>
      <c r="E29" s="365"/>
      <c r="F29" s="365"/>
      <c r="G29" s="75"/>
      <c r="H29" s="366"/>
      <c r="I29" s="529">
        <v>512512</v>
      </c>
      <c r="J29" s="866"/>
    </row>
    <row r="30" spans="1:10" s="374" customFormat="1">
      <c r="A30" s="883">
        <v>5</v>
      </c>
      <c r="B30" s="883" t="s">
        <v>1391</v>
      </c>
      <c r="C30" s="890" t="s">
        <v>1702</v>
      </c>
      <c r="D30" s="934" t="s">
        <v>1703</v>
      </c>
      <c r="E30" s="137" t="s">
        <v>1704</v>
      </c>
      <c r="F30" s="372" t="s">
        <v>1356</v>
      </c>
      <c r="G30" s="75">
        <v>4</v>
      </c>
      <c r="H30" s="373">
        <v>17970.5</v>
      </c>
      <c r="I30" s="527">
        <v>71882</v>
      </c>
      <c r="J30" s="861">
        <f>ROUND(I65*0.9,0)</f>
        <v>2028146</v>
      </c>
    </row>
    <row r="31" spans="1:10" s="374" customFormat="1">
      <c r="A31" s="884"/>
      <c r="B31" s="884"/>
      <c r="C31" s="891"/>
      <c r="D31" s="934"/>
      <c r="E31" s="137" t="s">
        <v>1705</v>
      </c>
      <c r="F31" s="372" t="s">
        <v>1356</v>
      </c>
      <c r="G31" s="75">
        <v>15</v>
      </c>
      <c r="H31" s="373">
        <v>9605.4</v>
      </c>
      <c r="I31" s="527">
        <v>144081</v>
      </c>
      <c r="J31" s="862"/>
    </row>
    <row r="32" spans="1:10" s="374" customFormat="1">
      <c r="A32" s="884"/>
      <c r="B32" s="884"/>
      <c r="C32" s="891"/>
      <c r="D32" s="934"/>
      <c r="E32" s="375" t="s">
        <v>1706</v>
      </c>
      <c r="F32" s="372" t="s">
        <v>1382</v>
      </c>
      <c r="G32" s="75">
        <v>29</v>
      </c>
      <c r="H32" s="373">
        <v>55</v>
      </c>
      <c r="I32" s="527">
        <v>1595</v>
      </c>
      <c r="J32" s="862"/>
    </row>
    <row r="33" spans="1:10" s="374" customFormat="1">
      <c r="A33" s="884"/>
      <c r="B33" s="884"/>
      <c r="C33" s="891"/>
      <c r="D33" s="934"/>
      <c r="E33" s="375" t="s">
        <v>1707</v>
      </c>
      <c r="F33" s="372" t="s">
        <v>1382</v>
      </c>
      <c r="G33" s="75">
        <v>121</v>
      </c>
      <c r="H33" s="373">
        <v>80</v>
      </c>
      <c r="I33" s="527">
        <v>9680</v>
      </c>
      <c r="J33" s="862"/>
    </row>
    <row r="34" spans="1:10" s="374" customFormat="1">
      <c r="A34" s="884"/>
      <c r="B34" s="884"/>
      <c r="C34" s="891"/>
      <c r="D34" s="934"/>
      <c r="E34" s="375" t="s">
        <v>1708</v>
      </c>
      <c r="F34" s="372" t="s">
        <v>1709</v>
      </c>
      <c r="G34" s="75">
        <v>859.4</v>
      </c>
      <c r="H34" s="373">
        <v>170</v>
      </c>
      <c r="I34" s="527">
        <v>146098</v>
      </c>
      <c r="J34" s="862"/>
    </row>
    <row r="35" spans="1:10" s="374" customFormat="1">
      <c r="A35" s="884"/>
      <c r="B35" s="884"/>
      <c r="C35" s="891"/>
      <c r="D35" s="934"/>
      <c r="E35" s="375" t="s">
        <v>1710</v>
      </c>
      <c r="F35" s="372" t="s">
        <v>1709</v>
      </c>
      <c r="G35" s="75">
        <v>214</v>
      </c>
      <c r="H35" s="373">
        <v>276</v>
      </c>
      <c r="I35" s="527">
        <v>59064</v>
      </c>
      <c r="J35" s="862"/>
    </row>
    <row r="36" spans="1:10" s="374" customFormat="1">
      <c r="A36" s="884"/>
      <c r="B36" s="884"/>
      <c r="C36" s="891"/>
      <c r="D36" s="934"/>
      <c r="E36" s="375" t="s">
        <v>1711</v>
      </c>
      <c r="F36" s="372" t="s">
        <v>1709</v>
      </c>
      <c r="G36" s="75">
        <v>309</v>
      </c>
      <c r="H36" s="373">
        <v>211</v>
      </c>
      <c r="I36" s="527">
        <v>65199</v>
      </c>
      <c r="J36" s="862"/>
    </row>
    <row r="37" spans="1:10" s="374" customFormat="1">
      <c r="A37" s="884"/>
      <c r="B37" s="884"/>
      <c r="C37" s="891"/>
      <c r="D37" s="934"/>
      <c r="E37" s="375" t="s">
        <v>1712</v>
      </c>
      <c r="F37" s="372" t="s">
        <v>1709</v>
      </c>
      <c r="G37" s="75">
        <v>5082</v>
      </c>
      <c r="H37" s="373">
        <v>43.33</v>
      </c>
      <c r="I37" s="527">
        <v>220203.06</v>
      </c>
      <c r="J37" s="862"/>
    </row>
    <row r="38" spans="1:10" s="374" customFormat="1">
      <c r="A38" s="884"/>
      <c r="B38" s="884"/>
      <c r="C38" s="891"/>
      <c r="D38" s="934"/>
      <c r="E38" s="375" t="s">
        <v>1713</v>
      </c>
      <c r="F38" s="372" t="s">
        <v>1709</v>
      </c>
      <c r="G38" s="75">
        <v>1218</v>
      </c>
      <c r="H38" s="373">
        <v>26.85</v>
      </c>
      <c r="I38" s="527">
        <v>32703.3</v>
      </c>
      <c r="J38" s="862"/>
    </row>
    <row r="39" spans="1:10" s="374" customFormat="1">
      <c r="A39" s="884"/>
      <c r="B39" s="884"/>
      <c r="C39" s="891"/>
      <c r="D39" s="934"/>
      <c r="E39" s="375" t="s">
        <v>1714</v>
      </c>
      <c r="F39" s="376" t="s">
        <v>1709</v>
      </c>
      <c r="G39" s="75">
        <v>1200</v>
      </c>
      <c r="H39" s="373">
        <v>25.4</v>
      </c>
      <c r="I39" s="527">
        <v>30480</v>
      </c>
      <c r="J39" s="862"/>
    </row>
    <row r="40" spans="1:10" s="374" customFormat="1">
      <c r="A40" s="884"/>
      <c r="B40" s="884"/>
      <c r="C40" s="891"/>
      <c r="D40" s="934" t="s">
        <v>1715</v>
      </c>
      <c r="E40" s="375" t="s">
        <v>1716</v>
      </c>
      <c r="F40" s="376" t="s">
        <v>1709</v>
      </c>
      <c r="G40" s="75">
        <v>866</v>
      </c>
      <c r="H40" s="373">
        <v>129.25</v>
      </c>
      <c r="I40" s="527">
        <v>111930.5</v>
      </c>
      <c r="J40" s="862"/>
    </row>
    <row r="41" spans="1:10" s="374" customFormat="1">
      <c r="A41" s="884"/>
      <c r="B41" s="884"/>
      <c r="C41" s="891"/>
      <c r="D41" s="934"/>
      <c r="E41" s="375" t="s">
        <v>1717</v>
      </c>
      <c r="F41" s="376" t="s">
        <v>1709</v>
      </c>
      <c r="G41" s="75">
        <v>483</v>
      </c>
      <c r="H41" s="373">
        <v>850.11</v>
      </c>
      <c r="I41" s="527">
        <v>410603.13</v>
      </c>
      <c r="J41" s="862"/>
    </row>
    <row r="42" spans="1:10" s="374" customFormat="1">
      <c r="A42" s="884"/>
      <c r="B42" s="884"/>
      <c r="C42" s="891"/>
      <c r="D42" s="934"/>
      <c r="E42" s="375" t="s">
        <v>1718</v>
      </c>
      <c r="F42" s="376" t="s">
        <v>1709</v>
      </c>
      <c r="G42" s="75">
        <v>114</v>
      </c>
      <c r="H42" s="373">
        <v>357</v>
      </c>
      <c r="I42" s="527">
        <v>40698</v>
      </c>
      <c r="J42" s="862"/>
    </row>
    <row r="43" spans="1:10" s="374" customFormat="1">
      <c r="A43" s="884"/>
      <c r="B43" s="884"/>
      <c r="C43" s="891"/>
      <c r="D43" s="934"/>
      <c r="E43" s="375" t="s">
        <v>1719</v>
      </c>
      <c r="F43" s="376" t="s">
        <v>1709</v>
      </c>
      <c r="G43" s="75">
        <v>107</v>
      </c>
      <c r="H43" s="373">
        <v>568.33000000000004</v>
      </c>
      <c r="I43" s="527">
        <v>60811.31</v>
      </c>
      <c r="J43" s="862"/>
    </row>
    <row r="44" spans="1:10" s="374" customFormat="1">
      <c r="A44" s="884"/>
      <c r="B44" s="884"/>
      <c r="C44" s="891"/>
      <c r="D44" s="934"/>
      <c r="E44" s="375" t="s">
        <v>1720</v>
      </c>
      <c r="F44" s="376" t="s">
        <v>1382</v>
      </c>
      <c r="G44" s="75">
        <v>10</v>
      </c>
      <c r="H44" s="373">
        <v>2000</v>
      </c>
      <c r="I44" s="527">
        <v>20000</v>
      </c>
      <c r="J44" s="862"/>
    </row>
    <row r="45" spans="1:10" s="374" customFormat="1">
      <c r="A45" s="884"/>
      <c r="B45" s="884"/>
      <c r="C45" s="891"/>
      <c r="D45" s="934"/>
      <c r="E45" s="375" t="s">
        <v>1721</v>
      </c>
      <c r="F45" s="376" t="s">
        <v>1330</v>
      </c>
      <c r="G45" s="75">
        <v>1</v>
      </c>
      <c r="H45" s="373">
        <v>10000</v>
      </c>
      <c r="I45" s="527">
        <v>10000</v>
      </c>
      <c r="J45" s="862"/>
    </row>
    <row r="46" spans="1:10" s="374" customFormat="1">
      <c r="A46" s="884"/>
      <c r="B46" s="884"/>
      <c r="C46" s="891"/>
      <c r="D46" s="934"/>
      <c r="E46" s="375" t="s">
        <v>1722</v>
      </c>
      <c r="F46" s="376" t="s">
        <v>1330</v>
      </c>
      <c r="G46" s="75">
        <v>1</v>
      </c>
      <c r="H46" s="373">
        <v>12000</v>
      </c>
      <c r="I46" s="527">
        <v>12000</v>
      </c>
      <c r="J46" s="862"/>
    </row>
    <row r="47" spans="1:10" s="374" customFormat="1">
      <c r="A47" s="883"/>
      <c r="B47" s="883"/>
      <c r="C47" s="890"/>
      <c r="D47" s="935" t="s">
        <v>1723</v>
      </c>
      <c r="E47" s="375" t="s">
        <v>1724</v>
      </c>
      <c r="F47" s="372" t="s">
        <v>1356</v>
      </c>
      <c r="G47" s="75">
        <v>1</v>
      </c>
      <c r="H47" s="373">
        <v>150000</v>
      </c>
      <c r="I47" s="527">
        <v>150000</v>
      </c>
      <c r="J47" s="862"/>
    </row>
    <row r="48" spans="1:10" s="374" customFormat="1">
      <c r="A48" s="884"/>
      <c r="B48" s="884"/>
      <c r="C48" s="891"/>
      <c r="D48" s="935"/>
      <c r="E48" s="375" t="s">
        <v>1725</v>
      </c>
      <c r="F48" s="372" t="s">
        <v>1356</v>
      </c>
      <c r="G48" s="75">
        <v>1</v>
      </c>
      <c r="H48" s="373">
        <v>100000</v>
      </c>
      <c r="I48" s="527">
        <v>100000</v>
      </c>
      <c r="J48" s="862"/>
    </row>
    <row r="49" spans="1:10" s="374" customFormat="1">
      <c r="A49" s="884"/>
      <c r="B49" s="884"/>
      <c r="C49" s="891"/>
      <c r="D49" s="935"/>
      <c r="E49" s="375" t="s">
        <v>1726</v>
      </c>
      <c r="F49" s="372" t="s">
        <v>1356</v>
      </c>
      <c r="G49" s="75">
        <v>5</v>
      </c>
      <c r="H49" s="373">
        <v>45000</v>
      </c>
      <c r="I49" s="527">
        <v>225000</v>
      </c>
      <c r="J49" s="862"/>
    </row>
    <row r="50" spans="1:10" s="374" customFormat="1">
      <c r="A50" s="884"/>
      <c r="B50" s="884"/>
      <c r="C50" s="891"/>
      <c r="D50" s="935"/>
      <c r="E50" s="377" t="s">
        <v>1727</v>
      </c>
      <c r="F50" s="378" t="s">
        <v>1356</v>
      </c>
      <c r="G50" s="379">
        <v>1</v>
      </c>
      <c r="H50" s="380">
        <v>58936</v>
      </c>
      <c r="I50" s="509">
        <v>58936</v>
      </c>
      <c r="J50" s="862"/>
    </row>
    <row r="51" spans="1:10" s="374" customFormat="1">
      <c r="A51" s="884"/>
      <c r="B51" s="884"/>
      <c r="C51" s="891"/>
      <c r="D51" s="935"/>
      <c r="E51" s="377" t="s">
        <v>1728</v>
      </c>
      <c r="F51" s="378" t="s">
        <v>1356</v>
      </c>
      <c r="G51" s="379">
        <v>1</v>
      </c>
      <c r="H51" s="380">
        <v>8000</v>
      </c>
      <c r="I51" s="509">
        <v>8000</v>
      </c>
      <c r="J51" s="862"/>
    </row>
    <row r="52" spans="1:10" s="374" customFormat="1">
      <c r="A52" s="884"/>
      <c r="B52" s="884"/>
      <c r="C52" s="891"/>
      <c r="D52" s="935"/>
      <c r="E52" s="377" t="s">
        <v>1729</v>
      </c>
      <c r="F52" s="378" t="s">
        <v>1709</v>
      </c>
      <c r="G52" s="379">
        <v>12</v>
      </c>
      <c r="H52" s="380">
        <v>495.69</v>
      </c>
      <c r="I52" s="509">
        <v>5948.28</v>
      </c>
      <c r="J52" s="862"/>
    </row>
    <row r="53" spans="1:10" s="374" customFormat="1">
      <c r="A53" s="884"/>
      <c r="B53" s="884"/>
      <c r="C53" s="891"/>
      <c r="D53" s="935"/>
      <c r="E53" s="375" t="s">
        <v>1730</v>
      </c>
      <c r="F53" s="376" t="s">
        <v>1382</v>
      </c>
      <c r="G53" s="75">
        <v>6</v>
      </c>
      <c r="H53" s="373">
        <v>240</v>
      </c>
      <c r="I53" s="527">
        <v>1440</v>
      </c>
      <c r="J53" s="862"/>
    </row>
    <row r="54" spans="1:10" s="374" customFormat="1">
      <c r="A54" s="884"/>
      <c r="B54" s="884"/>
      <c r="C54" s="891"/>
      <c r="D54" s="935"/>
      <c r="E54" s="375" t="s">
        <v>1731</v>
      </c>
      <c r="F54" s="376" t="s">
        <v>1382</v>
      </c>
      <c r="G54" s="75">
        <v>1</v>
      </c>
      <c r="H54" s="373">
        <v>520</v>
      </c>
      <c r="I54" s="527">
        <v>520</v>
      </c>
      <c r="J54" s="862"/>
    </row>
    <row r="55" spans="1:10" s="374" customFormat="1">
      <c r="A55" s="884"/>
      <c r="B55" s="884"/>
      <c r="C55" s="891"/>
      <c r="D55" s="935"/>
      <c r="E55" s="375" t="s">
        <v>1732</v>
      </c>
      <c r="F55" s="376" t="s">
        <v>1382</v>
      </c>
      <c r="G55" s="75">
        <v>6</v>
      </c>
      <c r="H55" s="373">
        <v>76</v>
      </c>
      <c r="I55" s="527">
        <v>456</v>
      </c>
      <c r="J55" s="862"/>
    </row>
    <row r="56" spans="1:10" s="374" customFormat="1">
      <c r="A56" s="884"/>
      <c r="B56" s="884"/>
      <c r="C56" s="891"/>
      <c r="D56" s="935"/>
      <c r="E56" s="375" t="s">
        <v>1733</v>
      </c>
      <c r="F56" s="376" t="s">
        <v>1382</v>
      </c>
      <c r="G56" s="75">
        <v>1</v>
      </c>
      <c r="H56" s="373">
        <v>70</v>
      </c>
      <c r="I56" s="527">
        <v>70</v>
      </c>
      <c r="J56" s="862"/>
    </row>
    <row r="57" spans="1:10" s="374" customFormat="1" ht="24">
      <c r="A57" s="884"/>
      <c r="B57" s="884"/>
      <c r="C57" s="891"/>
      <c r="D57" s="935"/>
      <c r="E57" s="375" t="s">
        <v>1734</v>
      </c>
      <c r="F57" s="376" t="s">
        <v>1347</v>
      </c>
      <c r="G57" s="75">
        <v>41</v>
      </c>
      <c r="H57" s="373">
        <v>200</v>
      </c>
      <c r="I57" s="527">
        <v>8200</v>
      </c>
      <c r="J57" s="862"/>
    </row>
    <row r="58" spans="1:10" s="374" customFormat="1">
      <c r="A58" s="884"/>
      <c r="B58" s="884"/>
      <c r="C58" s="891"/>
      <c r="D58" s="935"/>
      <c r="E58" s="375" t="s">
        <v>1735</v>
      </c>
      <c r="F58" s="376" t="s">
        <v>1347</v>
      </c>
      <c r="G58" s="75">
        <v>1</v>
      </c>
      <c r="H58" s="373">
        <v>1500</v>
      </c>
      <c r="I58" s="527">
        <v>1500</v>
      </c>
      <c r="J58" s="862"/>
    </row>
    <row r="59" spans="1:10" s="374" customFormat="1">
      <c r="A59" s="884"/>
      <c r="B59" s="884"/>
      <c r="C59" s="891"/>
      <c r="D59" s="935"/>
      <c r="E59" s="375" t="s">
        <v>1736</v>
      </c>
      <c r="F59" s="376" t="s">
        <v>1347</v>
      </c>
      <c r="G59" s="75">
        <v>1</v>
      </c>
      <c r="H59" s="373">
        <v>12000</v>
      </c>
      <c r="I59" s="527">
        <v>12000</v>
      </c>
      <c r="J59" s="862"/>
    </row>
    <row r="60" spans="1:10" s="374" customFormat="1">
      <c r="A60" s="884"/>
      <c r="B60" s="884"/>
      <c r="C60" s="891"/>
      <c r="D60" s="935"/>
      <c r="E60" s="365" t="s">
        <v>1737</v>
      </c>
      <c r="F60" s="381" t="s">
        <v>1330</v>
      </c>
      <c r="G60" s="75">
        <v>1</v>
      </c>
      <c r="H60" s="373">
        <v>4225</v>
      </c>
      <c r="I60" s="527">
        <v>4225</v>
      </c>
      <c r="J60" s="862"/>
    </row>
    <row r="61" spans="1:10" s="374" customFormat="1">
      <c r="A61" s="884"/>
      <c r="B61" s="884"/>
      <c r="C61" s="891"/>
      <c r="D61" s="382" t="s">
        <v>1332</v>
      </c>
      <c r="E61" s="367"/>
      <c r="F61" s="383"/>
      <c r="G61" s="301"/>
      <c r="H61" s="384"/>
      <c r="I61" s="510">
        <v>2023323.58</v>
      </c>
      <c r="J61" s="862"/>
    </row>
    <row r="62" spans="1:10" s="374" customFormat="1">
      <c r="A62" s="884"/>
      <c r="B62" s="884"/>
      <c r="C62" s="891"/>
      <c r="D62" s="385" t="s">
        <v>1738</v>
      </c>
      <c r="E62" s="365" t="s">
        <v>1739</v>
      </c>
      <c r="F62" s="381"/>
      <c r="G62" s="75"/>
      <c r="H62" s="386"/>
      <c r="I62" s="527">
        <v>202332.35800000001</v>
      </c>
      <c r="J62" s="862"/>
    </row>
    <row r="63" spans="1:10" s="374" customFormat="1">
      <c r="A63" s="884"/>
      <c r="B63" s="884"/>
      <c r="C63" s="891"/>
      <c r="D63" s="387" t="s">
        <v>1740</v>
      </c>
      <c r="E63" s="388" t="s">
        <v>1741</v>
      </c>
      <c r="F63" s="389"/>
      <c r="G63" s="379">
        <v>96</v>
      </c>
      <c r="H63" s="390">
        <v>290</v>
      </c>
      <c r="I63" s="509">
        <v>27840</v>
      </c>
      <c r="J63" s="862"/>
    </row>
    <row r="64" spans="1:10" s="374" customFormat="1">
      <c r="A64" s="884"/>
      <c r="B64" s="884"/>
      <c r="C64" s="891"/>
      <c r="D64" s="382" t="s">
        <v>1742</v>
      </c>
      <c r="E64" s="367"/>
      <c r="F64" s="383"/>
      <c r="G64" s="301"/>
      <c r="H64" s="384"/>
      <c r="I64" s="510">
        <v>230172.35800000001</v>
      </c>
      <c r="J64" s="862"/>
    </row>
    <row r="65" spans="1:10" s="374" customFormat="1">
      <c r="A65" s="885"/>
      <c r="B65" s="885"/>
      <c r="C65" s="907"/>
      <c r="D65" s="382" t="s">
        <v>1342</v>
      </c>
      <c r="E65" s="367"/>
      <c r="F65" s="383"/>
      <c r="G65" s="301"/>
      <c r="H65" s="384"/>
      <c r="I65" s="510">
        <v>2253495.9380000001</v>
      </c>
      <c r="J65" s="863"/>
    </row>
    <row r="66" spans="1:10" s="170" customFormat="1" ht="13.5">
      <c r="A66" s="362" t="s">
        <v>517</v>
      </c>
      <c r="B66" s="362" t="s">
        <v>1445</v>
      </c>
      <c r="C66" s="137"/>
      <c r="D66" s="367" t="s">
        <v>17</v>
      </c>
      <c r="E66" s="365"/>
      <c r="F66" s="365"/>
      <c r="G66" s="75"/>
      <c r="H66" s="366"/>
      <c r="I66" s="529">
        <f>ROUND((I10+I15+I23+I29+I65),2)</f>
        <v>5418513.1100000003</v>
      </c>
      <c r="J66" s="536">
        <f>SUM(J4:J65)</f>
        <v>4660231</v>
      </c>
    </row>
    <row r="67" spans="1:10" s="170" customFormat="1" ht="48">
      <c r="A67" s="920">
        <v>1</v>
      </c>
      <c r="B67" s="920" t="s">
        <v>2354</v>
      </c>
      <c r="C67" s="920" t="s">
        <v>1312</v>
      </c>
      <c r="D67" s="395" t="s">
        <v>1748</v>
      </c>
      <c r="E67" s="395" t="s">
        <v>1749</v>
      </c>
      <c r="F67" s="395" t="s">
        <v>1686</v>
      </c>
      <c r="G67" s="395">
        <v>4800</v>
      </c>
      <c r="H67" s="370">
        <v>199</v>
      </c>
      <c r="I67" s="528">
        <v>955200</v>
      </c>
      <c r="J67" s="864">
        <f>ROUND(I74*0.9,0)</f>
        <v>2289409</v>
      </c>
    </row>
    <row r="68" spans="1:10" s="170" customFormat="1" ht="48">
      <c r="A68" s="920"/>
      <c r="B68" s="920"/>
      <c r="C68" s="920"/>
      <c r="D68" s="395" t="s">
        <v>1750</v>
      </c>
      <c r="E68" s="395" t="s">
        <v>1749</v>
      </c>
      <c r="F68" s="395" t="s">
        <v>1686</v>
      </c>
      <c r="G68" s="395">
        <v>5400</v>
      </c>
      <c r="H68" s="370">
        <v>199</v>
      </c>
      <c r="I68" s="528">
        <v>1074600</v>
      </c>
      <c r="J68" s="857"/>
    </row>
    <row r="69" spans="1:10" s="170" customFormat="1" ht="48">
      <c r="A69" s="920"/>
      <c r="B69" s="920"/>
      <c r="C69" s="920"/>
      <c r="D69" s="395" t="s">
        <v>1751</v>
      </c>
      <c r="E69" s="395" t="s">
        <v>1749</v>
      </c>
      <c r="F69" s="395" t="s">
        <v>1686</v>
      </c>
      <c r="G69" s="395">
        <v>900</v>
      </c>
      <c r="H69" s="370">
        <v>199</v>
      </c>
      <c r="I69" s="528">
        <v>179100</v>
      </c>
      <c r="J69" s="857"/>
    </row>
    <row r="70" spans="1:10" s="170" customFormat="1" ht="48">
      <c r="A70" s="920"/>
      <c r="B70" s="920"/>
      <c r="C70" s="920"/>
      <c r="D70" s="395" t="s">
        <v>1752</v>
      </c>
      <c r="E70" s="395" t="s">
        <v>1753</v>
      </c>
      <c r="F70" s="395" t="s">
        <v>1686</v>
      </c>
      <c r="G70" s="395">
        <v>177</v>
      </c>
      <c r="H70" s="366">
        <v>122</v>
      </c>
      <c r="I70" s="528">
        <v>21594</v>
      </c>
      <c r="J70" s="857"/>
    </row>
    <row r="71" spans="1:10" s="170" customFormat="1" ht="36">
      <c r="A71" s="920"/>
      <c r="B71" s="920"/>
      <c r="C71" s="920"/>
      <c r="D71" s="395" t="s">
        <v>1754</v>
      </c>
      <c r="E71" s="395" t="s">
        <v>1755</v>
      </c>
      <c r="F71" s="395" t="s">
        <v>1686</v>
      </c>
      <c r="G71" s="395">
        <v>1172</v>
      </c>
      <c r="H71" s="366">
        <v>70</v>
      </c>
      <c r="I71" s="528">
        <v>82040</v>
      </c>
      <c r="J71" s="857"/>
    </row>
    <row r="72" spans="1:10" s="364" customFormat="1">
      <c r="A72" s="920"/>
      <c r="B72" s="920"/>
      <c r="C72" s="920"/>
      <c r="D72" s="362" t="s">
        <v>1332</v>
      </c>
      <c r="E72" s="362"/>
      <c r="F72" s="362"/>
      <c r="G72" s="362"/>
      <c r="H72" s="363"/>
      <c r="I72" s="533">
        <v>2312534</v>
      </c>
      <c r="J72" s="857"/>
    </row>
    <row r="73" spans="1:10" s="364" customFormat="1">
      <c r="A73" s="920"/>
      <c r="B73" s="920"/>
      <c r="C73" s="920"/>
      <c r="D73" s="367" t="s">
        <v>1334</v>
      </c>
      <c r="E73" s="362"/>
      <c r="F73" s="362"/>
      <c r="G73" s="362"/>
      <c r="H73" s="363"/>
      <c r="I73" s="533">
        <v>231253.4</v>
      </c>
      <c r="J73" s="857"/>
    </row>
    <row r="74" spans="1:10" s="364" customFormat="1">
      <c r="A74" s="920"/>
      <c r="B74" s="920"/>
      <c r="C74" s="920"/>
      <c r="D74" s="362" t="s">
        <v>1342</v>
      </c>
      <c r="E74" s="362"/>
      <c r="F74" s="362"/>
      <c r="G74" s="362"/>
      <c r="H74" s="363"/>
      <c r="I74" s="533">
        <v>2543787.4</v>
      </c>
      <c r="J74" s="858"/>
    </row>
    <row r="75" spans="1:10" s="170" customFormat="1" ht="36">
      <c r="A75" s="926">
        <v>2</v>
      </c>
      <c r="B75" s="926" t="s">
        <v>2355</v>
      </c>
      <c r="C75" s="927" t="s">
        <v>1312</v>
      </c>
      <c r="D75" s="926" t="s">
        <v>1756</v>
      </c>
      <c r="E75" s="365" t="s">
        <v>1757</v>
      </c>
      <c r="F75" s="365" t="s">
        <v>1686</v>
      </c>
      <c r="G75" s="395">
        <v>2630</v>
      </c>
      <c r="H75" s="366">
        <v>261</v>
      </c>
      <c r="I75" s="528">
        <v>686430</v>
      </c>
      <c r="J75" s="864">
        <f>ROUND(I80*0.9,0)</f>
        <v>722592</v>
      </c>
    </row>
    <row r="76" spans="1:10" s="170" customFormat="1" ht="24">
      <c r="A76" s="926"/>
      <c r="B76" s="926"/>
      <c r="C76" s="927"/>
      <c r="D76" s="926"/>
      <c r="E76" s="365" t="s">
        <v>1758</v>
      </c>
      <c r="F76" s="365" t="s">
        <v>1709</v>
      </c>
      <c r="G76" s="395">
        <v>20</v>
      </c>
      <c r="H76" s="366">
        <v>200</v>
      </c>
      <c r="I76" s="528">
        <v>4000</v>
      </c>
      <c r="J76" s="865"/>
    </row>
    <row r="77" spans="1:10" s="170" customFormat="1" ht="13.5">
      <c r="A77" s="926"/>
      <c r="B77" s="926"/>
      <c r="C77" s="927"/>
      <c r="D77" s="367" t="s">
        <v>1332</v>
      </c>
      <c r="E77" s="365"/>
      <c r="F77" s="365"/>
      <c r="G77" s="395"/>
      <c r="H77" s="366"/>
      <c r="I77" s="529">
        <v>690430</v>
      </c>
      <c r="J77" s="865"/>
    </row>
    <row r="78" spans="1:10" s="170" customFormat="1" ht="13.5">
      <c r="A78" s="926"/>
      <c r="B78" s="926"/>
      <c r="C78" s="927"/>
      <c r="D78" s="367" t="s">
        <v>1334</v>
      </c>
      <c r="E78" s="365"/>
      <c r="F78" s="365"/>
      <c r="G78" s="395"/>
      <c r="H78" s="366"/>
      <c r="I78" s="529">
        <v>82450</v>
      </c>
      <c r="J78" s="865"/>
    </row>
    <row r="79" spans="1:10" s="170" customFormat="1" ht="13.5">
      <c r="A79" s="926"/>
      <c r="B79" s="926"/>
      <c r="C79" s="927"/>
      <c r="D79" s="368" t="s">
        <v>1338</v>
      </c>
      <c r="E79" s="365" t="s">
        <v>1759</v>
      </c>
      <c r="F79" s="365" t="s">
        <v>1330</v>
      </c>
      <c r="G79" s="395">
        <v>1</v>
      </c>
      <c r="H79" s="366">
        <v>30000</v>
      </c>
      <c r="I79" s="528">
        <v>30000</v>
      </c>
      <c r="J79" s="865"/>
    </row>
    <row r="80" spans="1:10" s="170" customFormat="1" ht="13.5">
      <c r="A80" s="926"/>
      <c r="B80" s="926"/>
      <c r="C80" s="927"/>
      <c r="D80" s="367" t="s">
        <v>1342</v>
      </c>
      <c r="E80" s="365"/>
      <c r="F80" s="365"/>
      <c r="G80" s="395"/>
      <c r="H80" s="366"/>
      <c r="I80" s="529">
        <v>802880</v>
      </c>
      <c r="J80" s="866"/>
    </row>
    <row r="81" spans="1:10" s="170" customFormat="1" ht="24">
      <c r="A81" s="926">
        <v>3</v>
      </c>
      <c r="B81" s="926" t="s">
        <v>2356</v>
      </c>
      <c r="C81" s="927" t="s">
        <v>1312</v>
      </c>
      <c r="D81" s="396" t="s">
        <v>1760</v>
      </c>
      <c r="E81" s="396" t="s">
        <v>1761</v>
      </c>
      <c r="F81" s="365" t="s">
        <v>1709</v>
      </c>
      <c r="G81" s="397">
        <v>8</v>
      </c>
      <c r="H81" s="366">
        <v>3584.7362499999999</v>
      </c>
      <c r="I81" s="528">
        <v>28677.89</v>
      </c>
      <c r="J81" s="864">
        <f>ROUND(I93*0.9,0)</f>
        <v>1646563</v>
      </c>
    </row>
    <row r="82" spans="1:10" s="170" customFormat="1" ht="36">
      <c r="A82" s="926"/>
      <c r="B82" s="926"/>
      <c r="C82" s="927"/>
      <c r="D82" s="396" t="s">
        <v>1762</v>
      </c>
      <c r="E82" s="396" t="s">
        <v>1763</v>
      </c>
      <c r="F82" s="365" t="s">
        <v>1709</v>
      </c>
      <c r="G82" s="397">
        <v>40</v>
      </c>
      <c r="H82" s="366">
        <v>1500</v>
      </c>
      <c r="I82" s="528">
        <v>60000</v>
      </c>
      <c r="J82" s="865"/>
    </row>
    <row r="83" spans="1:10" s="170" customFormat="1" ht="36">
      <c r="A83" s="926"/>
      <c r="B83" s="926"/>
      <c r="C83" s="927"/>
      <c r="D83" s="396" t="s">
        <v>1764</v>
      </c>
      <c r="E83" s="396" t="s">
        <v>1765</v>
      </c>
      <c r="F83" s="395" t="s">
        <v>1686</v>
      </c>
      <c r="G83" s="397">
        <v>310</v>
      </c>
      <c r="H83" s="366">
        <v>370</v>
      </c>
      <c r="I83" s="528">
        <v>114700</v>
      </c>
      <c r="J83" s="865"/>
    </row>
    <row r="84" spans="1:10" s="170" customFormat="1" ht="13.5">
      <c r="A84" s="926"/>
      <c r="B84" s="926"/>
      <c r="C84" s="927"/>
      <c r="D84" s="396" t="s">
        <v>1766</v>
      </c>
      <c r="E84" s="396" t="s">
        <v>1767</v>
      </c>
      <c r="F84" s="395" t="s">
        <v>1686</v>
      </c>
      <c r="G84" s="397">
        <v>210</v>
      </c>
      <c r="H84" s="366">
        <v>150</v>
      </c>
      <c r="I84" s="528">
        <v>31500</v>
      </c>
      <c r="J84" s="865"/>
    </row>
    <row r="85" spans="1:10" s="170" customFormat="1" ht="13.5">
      <c r="A85" s="926"/>
      <c r="B85" s="926"/>
      <c r="C85" s="927"/>
      <c r="D85" s="396" t="s">
        <v>1768</v>
      </c>
      <c r="E85" s="396" t="s">
        <v>1768</v>
      </c>
      <c r="F85" s="365" t="s">
        <v>1330</v>
      </c>
      <c r="G85" s="397">
        <v>1</v>
      </c>
      <c r="H85" s="366">
        <v>42958.81</v>
      </c>
      <c r="I85" s="528">
        <v>42958.81</v>
      </c>
      <c r="J85" s="865"/>
    </row>
    <row r="86" spans="1:10" s="170" customFormat="1" ht="24">
      <c r="A86" s="926"/>
      <c r="B86" s="926"/>
      <c r="C86" s="927"/>
      <c r="D86" s="396" t="s">
        <v>1769</v>
      </c>
      <c r="E86" s="396" t="s">
        <v>1770</v>
      </c>
      <c r="F86" s="365" t="s">
        <v>1709</v>
      </c>
      <c r="G86" s="397">
        <v>55</v>
      </c>
      <c r="H86" s="366">
        <v>582.54254545454501</v>
      </c>
      <c r="I86" s="528">
        <v>32039.84</v>
      </c>
      <c r="J86" s="865"/>
    </row>
    <row r="87" spans="1:10" s="170" customFormat="1" ht="48">
      <c r="A87" s="926"/>
      <c r="B87" s="926"/>
      <c r="C87" s="927"/>
      <c r="D87" s="396" t="s">
        <v>1771</v>
      </c>
      <c r="E87" s="396" t="s">
        <v>1772</v>
      </c>
      <c r="F87" s="395" t="s">
        <v>1686</v>
      </c>
      <c r="G87" s="397">
        <v>1405</v>
      </c>
      <c r="H87" s="366">
        <v>63</v>
      </c>
      <c r="I87" s="528">
        <v>88515</v>
      </c>
      <c r="J87" s="865"/>
    </row>
    <row r="88" spans="1:10" s="170" customFormat="1" ht="24">
      <c r="A88" s="926"/>
      <c r="B88" s="926"/>
      <c r="C88" s="927"/>
      <c r="D88" s="932" t="s">
        <v>1684</v>
      </c>
      <c r="E88" s="396" t="s">
        <v>1773</v>
      </c>
      <c r="F88" s="395" t="s">
        <v>1686</v>
      </c>
      <c r="G88" s="397">
        <v>50</v>
      </c>
      <c r="H88" s="366">
        <v>678</v>
      </c>
      <c r="I88" s="528">
        <v>33900</v>
      </c>
      <c r="J88" s="865"/>
    </row>
    <row r="89" spans="1:10" s="170" customFormat="1" ht="48">
      <c r="A89" s="926"/>
      <c r="B89" s="926"/>
      <c r="C89" s="927"/>
      <c r="D89" s="932"/>
      <c r="E89" s="396" t="s">
        <v>1774</v>
      </c>
      <c r="F89" s="395" t="s">
        <v>1686</v>
      </c>
      <c r="G89" s="397">
        <v>4890</v>
      </c>
      <c r="H89" s="366">
        <v>145</v>
      </c>
      <c r="I89" s="528">
        <v>709050</v>
      </c>
      <c r="J89" s="865"/>
    </row>
    <row r="90" spans="1:10" s="170" customFormat="1" ht="36">
      <c r="A90" s="926"/>
      <c r="B90" s="926"/>
      <c r="C90" s="927"/>
      <c r="D90" s="932"/>
      <c r="E90" s="396" t="s">
        <v>1775</v>
      </c>
      <c r="F90" s="395" t="s">
        <v>1686</v>
      </c>
      <c r="G90" s="393">
        <v>2982.75</v>
      </c>
      <c r="H90" s="366">
        <v>165</v>
      </c>
      <c r="I90" s="528">
        <v>492153.75</v>
      </c>
      <c r="J90" s="865"/>
    </row>
    <row r="91" spans="1:10" s="170" customFormat="1" ht="13.5">
      <c r="A91" s="926"/>
      <c r="B91" s="926"/>
      <c r="C91" s="927"/>
      <c r="D91" s="367" t="s">
        <v>1332</v>
      </c>
      <c r="E91" s="365"/>
      <c r="F91" s="365"/>
      <c r="G91" s="395"/>
      <c r="H91" s="366"/>
      <c r="I91" s="529">
        <v>1633495.29</v>
      </c>
      <c r="J91" s="865"/>
    </row>
    <row r="92" spans="1:10" s="170" customFormat="1" ht="13.5">
      <c r="A92" s="926"/>
      <c r="B92" s="926"/>
      <c r="C92" s="927"/>
      <c r="D92" s="367" t="s">
        <v>1334</v>
      </c>
      <c r="E92" s="365"/>
      <c r="F92" s="365"/>
      <c r="G92" s="395"/>
      <c r="H92" s="366"/>
      <c r="I92" s="529">
        <v>196019.43479999999</v>
      </c>
      <c r="J92" s="865"/>
    </row>
    <row r="93" spans="1:10" s="170" customFormat="1" ht="13.5">
      <c r="A93" s="926"/>
      <c r="B93" s="926"/>
      <c r="C93" s="927"/>
      <c r="D93" s="367" t="s">
        <v>1342</v>
      </c>
      <c r="E93" s="365"/>
      <c r="F93" s="365"/>
      <c r="G93" s="395"/>
      <c r="H93" s="366"/>
      <c r="I93" s="529">
        <v>1829514.7248</v>
      </c>
      <c r="J93" s="866"/>
    </row>
    <row r="94" spans="1:10" s="170" customFormat="1" ht="60">
      <c r="A94" s="926">
        <v>4</v>
      </c>
      <c r="B94" s="926" t="s">
        <v>2357</v>
      </c>
      <c r="C94" s="927" t="s">
        <v>1312</v>
      </c>
      <c r="D94" s="365" t="s">
        <v>1684</v>
      </c>
      <c r="E94" s="365" t="s">
        <v>1776</v>
      </c>
      <c r="F94" s="395" t="s">
        <v>1686</v>
      </c>
      <c r="G94" s="369">
        <v>3210</v>
      </c>
      <c r="H94" s="366">
        <v>145</v>
      </c>
      <c r="I94" s="528">
        <v>465450</v>
      </c>
      <c r="J94" s="864">
        <f>ROUND(I97*0.8,0)</f>
        <v>417043</v>
      </c>
    </row>
    <row r="95" spans="1:10" s="170" customFormat="1" ht="13.5">
      <c r="A95" s="926"/>
      <c r="B95" s="926"/>
      <c r="C95" s="927"/>
      <c r="D95" s="367" t="s">
        <v>1332</v>
      </c>
      <c r="E95" s="365"/>
      <c r="F95" s="365"/>
      <c r="G95" s="395"/>
      <c r="H95" s="366"/>
      <c r="I95" s="529">
        <v>465450</v>
      </c>
      <c r="J95" s="865"/>
    </row>
    <row r="96" spans="1:10" s="170" customFormat="1" ht="13.5">
      <c r="A96" s="926"/>
      <c r="B96" s="926"/>
      <c r="C96" s="927"/>
      <c r="D96" s="367" t="s">
        <v>1334</v>
      </c>
      <c r="E96" s="365"/>
      <c r="F96" s="365"/>
      <c r="G96" s="395"/>
      <c r="H96" s="366"/>
      <c r="I96" s="529">
        <v>55854</v>
      </c>
      <c r="J96" s="865"/>
    </row>
    <row r="97" spans="1:10" s="170" customFormat="1" ht="13.5">
      <c r="A97" s="926"/>
      <c r="B97" s="926"/>
      <c r="C97" s="927"/>
      <c r="D97" s="367" t="s">
        <v>1342</v>
      </c>
      <c r="E97" s="365"/>
      <c r="F97" s="365"/>
      <c r="G97" s="395"/>
      <c r="H97" s="366"/>
      <c r="I97" s="529">
        <v>521304</v>
      </c>
      <c r="J97" s="866"/>
    </row>
    <row r="98" spans="1:10" s="170" customFormat="1" ht="48">
      <c r="A98" s="926">
        <v>5</v>
      </c>
      <c r="B98" s="926" t="s">
        <v>2358</v>
      </c>
      <c r="C98" s="927" t="s">
        <v>1690</v>
      </c>
      <c r="D98" s="926" t="s">
        <v>1777</v>
      </c>
      <c r="E98" s="365" t="s">
        <v>1778</v>
      </c>
      <c r="F98" s="395" t="s">
        <v>1686</v>
      </c>
      <c r="G98" s="395">
        <v>795</v>
      </c>
      <c r="H98" s="366">
        <v>165</v>
      </c>
      <c r="I98" s="528">
        <v>131175</v>
      </c>
      <c r="J98" s="864">
        <f>ROUND(I102*0.8,0)</f>
        <v>121887</v>
      </c>
    </row>
    <row r="99" spans="1:10" s="170" customFormat="1" ht="13.5">
      <c r="A99" s="926"/>
      <c r="B99" s="926"/>
      <c r="C99" s="927"/>
      <c r="D99" s="926"/>
      <c r="E99" s="365" t="s">
        <v>1779</v>
      </c>
      <c r="F99" s="395" t="s">
        <v>1686</v>
      </c>
      <c r="G99" s="395">
        <v>108</v>
      </c>
      <c r="H99" s="366">
        <v>45</v>
      </c>
      <c r="I99" s="528">
        <v>4860</v>
      </c>
      <c r="J99" s="865"/>
    </row>
    <row r="100" spans="1:10" s="170" customFormat="1" ht="13.5">
      <c r="A100" s="926"/>
      <c r="B100" s="926"/>
      <c r="C100" s="927"/>
      <c r="D100" s="367" t="s">
        <v>1332</v>
      </c>
      <c r="E100" s="365"/>
      <c r="F100" s="365"/>
      <c r="G100" s="395"/>
      <c r="H100" s="366"/>
      <c r="I100" s="529">
        <v>136035</v>
      </c>
      <c r="J100" s="865"/>
    </row>
    <row r="101" spans="1:10" s="170" customFormat="1" ht="13.5">
      <c r="A101" s="926"/>
      <c r="B101" s="926"/>
      <c r="C101" s="927"/>
      <c r="D101" s="367" t="s">
        <v>1334</v>
      </c>
      <c r="E101" s="365"/>
      <c r="F101" s="365"/>
      <c r="G101" s="395"/>
      <c r="H101" s="366"/>
      <c r="I101" s="533">
        <v>16324.2</v>
      </c>
      <c r="J101" s="865"/>
    </row>
    <row r="102" spans="1:10" s="170" customFormat="1" ht="13.5">
      <c r="A102" s="926"/>
      <c r="B102" s="926"/>
      <c r="C102" s="927"/>
      <c r="D102" s="367" t="s">
        <v>1342</v>
      </c>
      <c r="E102" s="365"/>
      <c r="F102" s="365"/>
      <c r="G102" s="395"/>
      <c r="H102" s="366"/>
      <c r="I102" s="529">
        <v>152359.20000000001</v>
      </c>
      <c r="J102" s="866"/>
    </row>
    <row r="103" spans="1:10" s="170" customFormat="1" ht="36">
      <c r="A103" s="932">
        <v>6</v>
      </c>
      <c r="B103" s="932" t="s">
        <v>2359</v>
      </c>
      <c r="C103" s="933" t="s">
        <v>1312</v>
      </c>
      <c r="D103" s="932" t="s">
        <v>1684</v>
      </c>
      <c r="E103" s="396" t="s">
        <v>1780</v>
      </c>
      <c r="F103" s="395" t="s">
        <v>1686</v>
      </c>
      <c r="G103" s="397">
        <v>1753</v>
      </c>
      <c r="H103" s="394">
        <v>145</v>
      </c>
      <c r="I103" s="532">
        <v>254185</v>
      </c>
      <c r="J103" s="864">
        <f>ROUND(I108*0.8,0)</f>
        <v>302082</v>
      </c>
    </row>
    <row r="104" spans="1:10" s="170" customFormat="1" ht="24">
      <c r="A104" s="932"/>
      <c r="B104" s="932"/>
      <c r="C104" s="933"/>
      <c r="D104" s="932"/>
      <c r="E104" s="396" t="s">
        <v>1781</v>
      </c>
      <c r="F104" s="395" t="s">
        <v>1686</v>
      </c>
      <c r="G104" s="395">
        <v>500</v>
      </c>
      <c r="H104" s="366">
        <v>48</v>
      </c>
      <c r="I104" s="528">
        <v>24000</v>
      </c>
      <c r="J104" s="865"/>
    </row>
    <row r="105" spans="1:10" s="170" customFormat="1" ht="36">
      <c r="A105" s="932"/>
      <c r="B105" s="932"/>
      <c r="C105" s="933"/>
      <c r="D105" s="396" t="s">
        <v>1754</v>
      </c>
      <c r="E105" s="396" t="s">
        <v>1782</v>
      </c>
      <c r="F105" s="395" t="s">
        <v>1686</v>
      </c>
      <c r="G105" s="397">
        <v>670</v>
      </c>
      <c r="H105" s="394">
        <v>88</v>
      </c>
      <c r="I105" s="532">
        <v>58960</v>
      </c>
      <c r="J105" s="865"/>
    </row>
    <row r="106" spans="1:10" s="170" customFormat="1" ht="13.5">
      <c r="A106" s="932"/>
      <c r="B106" s="932"/>
      <c r="C106" s="933"/>
      <c r="D106" s="398" t="s">
        <v>1332</v>
      </c>
      <c r="E106" s="396"/>
      <c r="F106" s="396"/>
      <c r="G106" s="395"/>
      <c r="H106" s="366"/>
      <c r="I106" s="531">
        <v>337145</v>
      </c>
      <c r="J106" s="865"/>
    </row>
    <row r="107" spans="1:10" s="170" customFormat="1" ht="13.5">
      <c r="A107" s="932"/>
      <c r="B107" s="932"/>
      <c r="C107" s="933"/>
      <c r="D107" s="398" t="s">
        <v>1334</v>
      </c>
      <c r="E107" s="396"/>
      <c r="F107" s="365"/>
      <c r="G107" s="395"/>
      <c r="H107" s="366"/>
      <c r="I107" s="531">
        <v>40457.4</v>
      </c>
      <c r="J107" s="865"/>
    </row>
    <row r="108" spans="1:10" s="170" customFormat="1" ht="13.5">
      <c r="A108" s="932"/>
      <c r="B108" s="932"/>
      <c r="C108" s="933"/>
      <c r="D108" s="398" t="s">
        <v>1342</v>
      </c>
      <c r="E108" s="396"/>
      <c r="F108" s="396"/>
      <c r="G108" s="395"/>
      <c r="H108" s="366"/>
      <c r="I108" s="531">
        <v>377602.4</v>
      </c>
      <c r="J108" s="866"/>
    </row>
    <row r="109" spans="1:10" s="374" customFormat="1" ht="24">
      <c r="A109" s="874">
        <v>7</v>
      </c>
      <c r="B109" s="874" t="s">
        <v>2360</v>
      </c>
      <c r="C109" s="920" t="s">
        <v>1783</v>
      </c>
      <c r="D109" s="874" t="s">
        <v>1784</v>
      </c>
      <c r="E109" s="395" t="s">
        <v>1785</v>
      </c>
      <c r="F109" s="399" t="s">
        <v>1315</v>
      </c>
      <c r="G109" s="75">
        <v>1</v>
      </c>
      <c r="H109" s="373">
        <v>49000</v>
      </c>
      <c r="I109" s="527">
        <v>49000</v>
      </c>
      <c r="J109" s="861">
        <f>ROUND(I124*0.9,0)</f>
        <v>1188231</v>
      </c>
    </row>
    <row r="110" spans="1:10" s="374" customFormat="1">
      <c r="A110" s="874"/>
      <c r="B110" s="874"/>
      <c r="C110" s="920"/>
      <c r="D110" s="874"/>
      <c r="E110" s="395" t="s">
        <v>1786</v>
      </c>
      <c r="F110" s="399" t="s">
        <v>1330</v>
      </c>
      <c r="G110" s="400">
        <v>500</v>
      </c>
      <c r="H110" s="373">
        <v>1132.848</v>
      </c>
      <c r="I110" s="527">
        <v>566424</v>
      </c>
      <c r="J110" s="862"/>
    </row>
    <row r="111" spans="1:10" s="374" customFormat="1">
      <c r="A111" s="874"/>
      <c r="B111" s="874"/>
      <c r="C111" s="920"/>
      <c r="D111" s="874"/>
      <c r="E111" s="395" t="s">
        <v>1787</v>
      </c>
      <c r="F111" s="399" t="s">
        <v>1372</v>
      </c>
      <c r="G111" s="400">
        <v>50</v>
      </c>
      <c r="H111" s="373">
        <v>70.72</v>
      </c>
      <c r="I111" s="527">
        <v>3536</v>
      </c>
      <c r="J111" s="862"/>
    </row>
    <row r="112" spans="1:10" s="374" customFormat="1">
      <c r="A112" s="874"/>
      <c r="B112" s="874"/>
      <c r="C112" s="920"/>
      <c r="D112" s="874"/>
      <c r="E112" s="395" t="s">
        <v>1787</v>
      </c>
      <c r="F112" s="399" t="s">
        <v>1372</v>
      </c>
      <c r="G112" s="400">
        <v>400</v>
      </c>
      <c r="H112" s="373">
        <v>580</v>
      </c>
      <c r="I112" s="527">
        <v>232000</v>
      </c>
      <c r="J112" s="862"/>
    </row>
    <row r="113" spans="1:10" s="374" customFormat="1">
      <c r="A113" s="874"/>
      <c r="B113" s="874"/>
      <c r="C113" s="920"/>
      <c r="D113" s="874"/>
      <c r="E113" s="395" t="s">
        <v>1787</v>
      </c>
      <c r="F113" s="399" t="s">
        <v>1372</v>
      </c>
      <c r="G113" s="400">
        <v>100</v>
      </c>
      <c r="H113" s="373">
        <v>92.76</v>
      </c>
      <c r="I113" s="527">
        <v>9276</v>
      </c>
      <c r="J113" s="862"/>
    </row>
    <row r="114" spans="1:10" s="374" customFormat="1">
      <c r="A114" s="874"/>
      <c r="B114" s="874"/>
      <c r="C114" s="920"/>
      <c r="D114" s="874"/>
      <c r="E114" s="395" t="s">
        <v>1788</v>
      </c>
      <c r="F114" s="399" t="s">
        <v>1789</v>
      </c>
      <c r="G114" s="400">
        <v>9</v>
      </c>
      <c r="H114" s="373">
        <v>2000</v>
      </c>
      <c r="I114" s="527">
        <v>18000</v>
      </c>
      <c r="J114" s="862"/>
    </row>
    <row r="115" spans="1:10" s="374" customFormat="1">
      <c r="A115" s="874"/>
      <c r="B115" s="874"/>
      <c r="C115" s="920"/>
      <c r="D115" s="874"/>
      <c r="E115" s="395" t="s">
        <v>1705</v>
      </c>
      <c r="F115" s="399" t="s">
        <v>1382</v>
      </c>
      <c r="G115" s="400">
        <v>5</v>
      </c>
      <c r="H115" s="373">
        <v>2300</v>
      </c>
      <c r="I115" s="527">
        <v>11500</v>
      </c>
      <c r="J115" s="862"/>
    </row>
    <row r="116" spans="1:10" s="374" customFormat="1">
      <c r="A116" s="874"/>
      <c r="B116" s="874"/>
      <c r="C116" s="920"/>
      <c r="D116" s="874"/>
      <c r="E116" s="395" t="s">
        <v>1790</v>
      </c>
      <c r="F116" s="399" t="s">
        <v>1372</v>
      </c>
      <c r="G116" s="400">
        <v>500</v>
      </c>
      <c r="H116" s="373">
        <v>80</v>
      </c>
      <c r="I116" s="527">
        <v>40000</v>
      </c>
      <c r="J116" s="862"/>
    </row>
    <row r="117" spans="1:10" s="374" customFormat="1">
      <c r="A117" s="874"/>
      <c r="B117" s="874"/>
      <c r="C117" s="920"/>
      <c r="D117" s="874"/>
      <c r="E117" s="395" t="s">
        <v>1791</v>
      </c>
      <c r="F117" s="399" t="s">
        <v>1382</v>
      </c>
      <c r="G117" s="400">
        <v>2</v>
      </c>
      <c r="H117" s="373">
        <v>3300</v>
      </c>
      <c r="I117" s="527">
        <v>6600</v>
      </c>
      <c r="J117" s="862"/>
    </row>
    <row r="118" spans="1:10" s="374" customFormat="1">
      <c r="A118" s="874"/>
      <c r="B118" s="874"/>
      <c r="C118" s="920"/>
      <c r="D118" s="874"/>
      <c r="E118" s="395" t="s">
        <v>1792</v>
      </c>
      <c r="F118" s="399" t="s">
        <v>1372</v>
      </c>
      <c r="G118" s="400">
        <v>1</v>
      </c>
      <c r="H118" s="373">
        <v>8000</v>
      </c>
      <c r="I118" s="527">
        <v>8000</v>
      </c>
      <c r="J118" s="862"/>
    </row>
    <row r="119" spans="1:10" s="374" customFormat="1">
      <c r="A119" s="874"/>
      <c r="B119" s="874"/>
      <c r="C119" s="920"/>
      <c r="D119" s="874"/>
      <c r="E119" s="395" t="s">
        <v>1793</v>
      </c>
      <c r="F119" s="399" t="s">
        <v>1330</v>
      </c>
      <c r="G119" s="400">
        <v>1</v>
      </c>
      <c r="H119" s="373">
        <v>100000</v>
      </c>
      <c r="I119" s="527">
        <v>100000</v>
      </c>
      <c r="J119" s="862"/>
    </row>
    <row r="120" spans="1:10" s="374" customFormat="1">
      <c r="A120" s="874"/>
      <c r="B120" s="874"/>
      <c r="C120" s="920"/>
      <c r="D120" s="874"/>
      <c r="E120" s="395" t="s">
        <v>1353</v>
      </c>
      <c r="F120" s="399" t="s">
        <v>1330</v>
      </c>
      <c r="G120" s="400">
        <v>1</v>
      </c>
      <c r="H120" s="373">
        <v>5000</v>
      </c>
      <c r="I120" s="527">
        <v>5000</v>
      </c>
      <c r="J120" s="862"/>
    </row>
    <row r="121" spans="1:10" s="374" customFormat="1">
      <c r="A121" s="930"/>
      <c r="B121" s="930"/>
      <c r="C121" s="931"/>
      <c r="D121" s="401" t="s">
        <v>1332</v>
      </c>
      <c r="E121" s="362"/>
      <c r="F121" s="402"/>
      <c r="G121" s="403"/>
      <c r="H121" s="373"/>
      <c r="I121" s="510">
        <v>1049336</v>
      </c>
      <c r="J121" s="862"/>
    </row>
    <row r="122" spans="1:10" s="374" customFormat="1">
      <c r="A122" s="874"/>
      <c r="B122" s="874"/>
      <c r="C122" s="920"/>
      <c r="D122" s="395" t="s">
        <v>1794</v>
      </c>
      <c r="E122" s="395" t="s">
        <v>1794</v>
      </c>
      <c r="F122" s="399" t="s">
        <v>1795</v>
      </c>
      <c r="G122" s="400">
        <v>500</v>
      </c>
      <c r="H122" s="373">
        <v>290</v>
      </c>
      <c r="I122" s="527">
        <v>145000</v>
      </c>
      <c r="J122" s="862"/>
    </row>
    <row r="123" spans="1:10" s="374" customFormat="1">
      <c r="A123" s="930"/>
      <c r="B123" s="930"/>
      <c r="C123" s="931"/>
      <c r="D123" s="382" t="s">
        <v>1742</v>
      </c>
      <c r="E123" s="362"/>
      <c r="F123" s="402"/>
      <c r="G123" s="403"/>
      <c r="H123" s="404"/>
      <c r="I123" s="510">
        <v>270920.32000000001</v>
      </c>
      <c r="J123" s="862"/>
    </row>
    <row r="124" spans="1:10" s="374" customFormat="1">
      <c r="A124" s="930"/>
      <c r="B124" s="930"/>
      <c r="C124" s="931"/>
      <c r="D124" s="401" t="s">
        <v>1342</v>
      </c>
      <c r="E124" s="362"/>
      <c r="F124" s="402"/>
      <c r="G124" s="403"/>
      <c r="H124" s="404"/>
      <c r="I124" s="510">
        <v>1320256.32</v>
      </c>
      <c r="J124" s="863"/>
    </row>
    <row r="125" spans="1:10" s="391" customFormat="1">
      <c r="A125" s="362" t="s">
        <v>1743</v>
      </c>
      <c r="B125" s="362" t="s">
        <v>1446</v>
      </c>
      <c r="C125" s="362"/>
      <c r="D125" s="362" t="s">
        <v>17</v>
      </c>
      <c r="E125" s="362"/>
      <c r="F125" s="362"/>
      <c r="G125" s="362"/>
      <c r="H125" s="363"/>
      <c r="I125" s="526">
        <f>I74+I80+I93+I97+I102+I108+I124</f>
        <v>7547704.0448000012</v>
      </c>
      <c r="J125" s="537">
        <f>SUM(J67:J124)</f>
        <v>6687807</v>
      </c>
    </row>
    <row r="126" spans="1:10" s="170" customFormat="1" ht="13.5">
      <c r="A126" s="926">
        <v>1</v>
      </c>
      <c r="B126" s="926" t="s">
        <v>2361</v>
      </c>
      <c r="C126" s="927" t="s">
        <v>1312</v>
      </c>
      <c r="D126" s="926" t="s">
        <v>1684</v>
      </c>
      <c r="E126" s="365" t="s">
        <v>1796</v>
      </c>
      <c r="F126" s="365" t="s">
        <v>1356</v>
      </c>
      <c r="G126" s="137">
        <v>4</v>
      </c>
      <c r="H126" s="366">
        <v>18110.4925</v>
      </c>
      <c r="I126" s="528">
        <v>72441.97</v>
      </c>
      <c r="J126" s="864">
        <f>ROUND(I131*0.8,0)</f>
        <v>372500</v>
      </c>
    </row>
    <row r="127" spans="1:10" s="170" customFormat="1" ht="24">
      <c r="A127" s="926"/>
      <c r="B127" s="926"/>
      <c r="C127" s="927"/>
      <c r="D127" s="926"/>
      <c r="E127" s="365" t="s">
        <v>1797</v>
      </c>
      <c r="F127" s="365" t="s">
        <v>1709</v>
      </c>
      <c r="G127" s="137">
        <v>380</v>
      </c>
      <c r="H127" s="366">
        <v>509.51247368421002</v>
      </c>
      <c r="I127" s="528">
        <v>193614.74</v>
      </c>
      <c r="J127" s="865"/>
    </row>
    <row r="128" spans="1:10" s="170" customFormat="1" ht="24">
      <c r="A128" s="926"/>
      <c r="B128" s="926"/>
      <c r="C128" s="927"/>
      <c r="D128" s="926"/>
      <c r="E128" s="365" t="s">
        <v>1798</v>
      </c>
      <c r="F128" s="365" t="s">
        <v>1330</v>
      </c>
      <c r="G128" s="137">
        <v>1</v>
      </c>
      <c r="H128" s="366">
        <v>149680.42000000001</v>
      </c>
      <c r="I128" s="528">
        <v>149680.42000000001</v>
      </c>
      <c r="J128" s="865"/>
    </row>
    <row r="129" spans="1:10" s="170" customFormat="1" ht="13.5">
      <c r="A129" s="926"/>
      <c r="B129" s="926"/>
      <c r="C129" s="927"/>
      <c r="D129" s="367" t="s">
        <v>1332</v>
      </c>
      <c r="E129" s="365"/>
      <c r="F129" s="365"/>
      <c r="G129" s="365"/>
      <c r="H129" s="370"/>
      <c r="I129" s="529">
        <v>415737.13</v>
      </c>
      <c r="J129" s="865"/>
    </row>
    <row r="130" spans="1:10" s="170" customFormat="1" ht="13.5">
      <c r="A130" s="926"/>
      <c r="B130" s="926"/>
      <c r="C130" s="927"/>
      <c r="D130" s="367" t="s">
        <v>1334</v>
      </c>
      <c r="E130" s="365"/>
      <c r="F130" s="365"/>
      <c r="G130" s="365"/>
      <c r="H130" s="370"/>
      <c r="I130" s="529">
        <v>49888.455600000001</v>
      </c>
      <c r="J130" s="865"/>
    </row>
    <row r="131" spans="1:10" s="170" customFormat="1" ht="13.5">
      <c r="A131" s="926"/>
      <c r="B131" s="926"/>
      <c r="C131" s="927"/>
      <c r="D131" s="367" t="s">
        <v>1342</v>
      </c>
      <c r="E131" s="365"/>
      <c r="F131" s="365"/>
      <c r="G131" s="365"/>
      <c r="H131" s="370"/>
      <c r="I131" s="529">
        <v>465625.58559999999</v>
      </c>
      <c r="J131" s="866"/>
    </row>
    <row r="132" spans="1:10" s="170" customFormat="1" ht="13.5">
      <c r="A132" s="926">
        <v>2</v>
      </c>
      <c r="B132" s="926" t="s">
        <v>2362</v>
      </c>
      <c r="C132" s="927" t="s">
        <v>1690</v>
      </c>
      <c r="D132" s="926" t="s">
        <v>1694</v>
      </c>
      <c r="E132" s="365" t="s">
        <v>1799</v>
      </c>
      <c r="F132" s="395" t="s">
        <v>1686</v>
      </c>
      <c r="G132" s="137">
        <v>2000</v>
      </c>
      <c r="H132" s="371">
        <v>50</v>
      </c>
      <c r="I132" s="488">
        <v>100000</v>
      </c>
      <c r="J132" s="864">
        <f>ROUND(I137*0.8,0)</f>
        <v>541024</v>
      </c>
    </row>
    <row r="133" spans="1:10" s="170" customFormat="1" ht="13.5">
      <c r="A133" s="926"/>
      <c r="B133" s="926"/>
      <c r="C133" s="927"/>
      <c r="D133" s="926"/>
      <c r="E133" s="365" t="s">
        <v>1800</v>
      </c>
      <c r="F133" s="395" t="s">
        <v>1686</v>
      </c>
      <c r="G133" s="137">
        <v>2000</v>
      </c>
      <c r="H133" s="371">
        <v>240</v>
      </c>
      <c r="I133" s="488">
        <v>480000</v>
      </c>
      <c r="J133" s="865"/>
    </row>
    <row r="134" spans="1:10" s="170" customFormat="1" ht="13.5">
      <c r="A134" s="926"/>
      <c r="B134" s="926"/>
      <c r="C134" s="927"/>
      <c r="D134" s="367" t="s">
        <v>1332</v>
      </c>
      <c r="E134" s="365"/>
      <c r="F134" s="365"/>
      <c r="G134" s="75"/>
      <c r="H134" s="366"/>
      <c r="I134" s="529">
        <v>580000</v>
      </c>
      <c r="J134" s="865"/>
    </row>
    <row r="135" spans="1:10" s="170" customFormat="1" ht="13.5">
      <c r="A135" s="926"/>
      <c r="B135" s="926"/>
      <c r="C135" s="927"/>
      <c r="D135" s="367" t="s">
        <v>1334</v>
      </c>
      <c r="E135" s="365"/>
      <c r="F135" s="365"/>
      <c r="G135" s="137"/>
      <c r="H135" s="366"/>
      <c r="I135" s="529">
        <v>66280</v>
      </c>
      <c r="J135" s="865"/>
    </row>
    <row r="136" spans="1:10" s="170" customFormat="1" ht="13.5">
      <c r="A136" s="926"/>
      <c r="B136" s="926"/>
      <c r="C136" s="927"/>
      <c r="D136" s="368" t="s">
        <v>1338</v>
      </c>
      <c r="E136" s="365" t="s">
        <v>1801</v>
      </c>
      <c r="F136" s="365" t="s">
        <v>1330</v>
      </c>
      <c r="G136" s="365">
        <v>1</v>
      </c>
      <c r="H136" s="370">
        <v>30000</v>
      </c>
      <c r="I136" s="528">
        <v>30000</v>
      </c>
      <c r="J136" s="865"/>
    </row>
    <row r="137" spans="1:10" s="170" customFormat="1" ht="13.5">
      <c r="A137" s="926"/>
      <c r="B137" s="926"/>
      <c r="C137" s="927"/>
      <c r="D137" s="367" t="s">
        <v>1342</v>
      </c>
      <c r="E137" s="365"/>
      <c r="F137" s="365"/>
      <c r="G137" s="75"/>
      <c r="H137" s="366"/>
      <c r="I137" s="529">
        <v>676280</v>
      </c>
      <c r="J137" s="866"/>
    </row>
    <row r="138" spans="1:10" s="170" customFormat="1" ht="24">
      <c r="A138" s="926">
        <v>3</v>
      </c>
      <c r="B138" s="926" t="s">
        <v>2363</v>
      </c>
      <c r="C138" s="927" t="s">
        <v>1312</v>
      </c>
      <c r="D138" s="926" t="s">
        <v>1684</v>
      </c>
      <c r="E138" s="365" t="s">
        <v>1802</v>
      </c>
      <c r="F138" s="395" t="s">
        <v>1686</v>
      </c>
      <c r="G138" s="137">
        <v>992</v>
      </c>
      <c r="H138" s="366">
        <v>25</v>
      </c>
      <c r="I138" s="528">
        <v>24800</v>
      </c>
      <c r="J138" s="864">
        <f>ROUND(I145*0.8,0)</f>
        <v>174956</v>
      </c>
    </row>
    <row r="139" spans="1:10" s="170" customFormat="1" ht="24">
      <c r="A139" s="926"/>
      <c r="B139" s="926"/>
      <c r="C139" s="927"/>
      <c r="D139" s="926"/>
      <c r="E139" s="365" t="s">
        <v>1803</v>
      </c>
      <c r="F139" s="395" t="s">
        <v>1686</v>
      </c>
      <c r="G139" s="137">
        <v>992</v>
      </c>
      <c r="H139" s="366">
        <v>123.89</v>
      </c>
      <c r="I139" s="528">
        <v>122898.88</v>
      </c>
      <c r="J139" s="865"/>
    </row>
    <row r="140" spans="1:10" s="170" customFormat="1" ht="24">
      <c r="A140" s="926"/>
      <c r="B140" s="926"/>
      <c r="C140" s="927"/>
      <c r="D140" s="926"/>
      <c r="E140" s="365" t="s">
        <v>1804</v>
      </c>
      <c r="F140" s="395" t="s">
        <v>1686</v>
      </c>
      <c r="G140" s="137">
        <v>992</v>
      </c>
      <c r="H140" s="366">
        <v>22.5</v>
      </c>
      <c r="I140" s="528">
        <v>22320</v>
      </c>
      <c r="J140" s="865"/>
    </row>
    <row r="141" spans="1:10" s="170" customFormat="1" ht="13.5">
      <c r="A141" s="926"/>
      <c r="B141" s="926"/>
      <c r="C141" s="927"/>
      <c r="D141" s="926"/>
      <c r="E141" s="365" t="s">
        <v>1805</v>
      </c>
      <c r="F141" s="395" t="s">
        <v>1686</v>
      </c>
      <c r="G141" s="137">
        <v>78.52</v>
      </c>
      <c r="H141" s="366">
        <v>168</v>
      </c>
      <c r="I141" s="528">
        <v>13191.36</v>
      </c>
      <c r="J141" s="865"/>
    </row>
    <row r="142" spans="1:10" s="170" customFormat="1" ht="13.5">
      <c r="A142" s="926"/>
      <c r="B142" s="926"/>
      <c r="C142" s="927"/>
      <c r="D142" s="367" t="s">
        <v>1332</v>
      </c>
      <c r="E142" s="365"/>
      <c r="F142" s="365"/>
      <c r="G142" s="75"/>
      <c r="H142" s="366"/>
      <c r="I142" s="529">
        <v>183210.23999999999</v>
      </c>
      <c r="J142" s="865"/>
    </row>
    <row r="143" spans="1:10" s="170" customFormat="1" ht="13.5">
      <c r="A143" s="926"/>
      <c r="B143" s="926"/>
      <c r="C143" s="927"/>
      <c r="D143" s="367" t="s">
        <v>1334</v>
      </c>
      <c r="E143" s="365"/>
      <c r="F143" s="365"/>
      <c r="G143" s="137"/>
      <c r="H143" s="366"/>
      <c r="I143" s="529">
        <v>21985.228800000001</v>
      </c>
      <c r="J143" s="865"/>
    </row>
    <row r="144" spans="1:10" s="170" customFormat="1" ht="13.5">
      <c r="A144" s="926"/>
      <c r="B144" s="926"/>
      <c r="C144" s="927"/>
      <c r="D144" s="368" t="s">
        <v>1336</v>
      </c>
      <c r="E144" s="365"/>
      <c r="F144" s="365" t="s">
        <v>1689</v>
      </c>
      <c r="G144" s="395">
        <v>15</v>
      </c>
      <c r="H144" s="366">
        <v>900</v>
      </c>
      <c r="I144" s="528">
        <v>13500</v>
      </c>
      <c r="J144" s="865"/>
    </row>
    <row r="145" spans="1:10" s="170" customFormat="1" ht="13.5">
      <c r="A145" s="926"/>
      <c r="B145" s="926"/>
      <c r="C145" s="927"/>
      <c r="D145" s="367" t="s">
        <v>1342</v>
      </c>
      <c r="E145" s="365"/>
      <c r="F145" s="365"/>
      <c r="G145" s="75"/>
      <c r="H145" s="366"/>
      <c r="I145" s="529">
        <v>218695.4688</v>
      </c>
      <c r="J145" s="866"/>
    </row>
    <row r="146" spans="1:10" s="170" customFormat="1" ht="24">
      <c r="A146" s="926">
        <v>4</v>
      </c>
      <c r="B146" s="926" t="s">
        <v>2364</v>
      </c>
      <c r="C146" s="927" t="s">
        <v>1312</v>
      </c>
      <c r="D146" s="926" t="s">
        <v>1694</v>
      </c>
      <c r="E146" s="365" t="s">
        <v>1806</v>
      </c>
      <c r="F146" s="395" t="s">
        <v>1686</v>
      </c>
      <c r="G146" s="137">
        <v>2780</v>
      </c>
      <c r="H146" s="366">
        <v>50</v>
      </c>
      <c r="I146" s="528">
        <v>139000</v>
      </c>
      <c r="J146" s="864">
        <f>ROUND(I153*0.9,0)</f>
        <v>1070240</v>
      </c>
    </row>
    <row r="147" spans="1:10" s="170" customFormat="1" ht="24">
      <c r="A147" s="926"/>
      <c r="B147" s="926"/>
      <c r="C147" s="927"/>
      <c r="D147" s="926"/>
      <c r="E147" s="365" t="s">
        <v>1807</v>
      </c>
      <c r="F147" s="395" t="s">
        <v>1686</v>
      </c>
      <c r="G147" s="137">
        <v>2780</v>
      </c>
      <c r="H147" s="366">
        <v>200</v>
      </c>
      <c r="I147" s="528">
        <v>556000</v>
      </c>
      <c r="J147" s="865"/>
    </row>
    <row r="148" spans="1:10" s="170" customFormat="1" ht="24">
      <c r="A148" s="926"/>
      <c r="B148" s="926"/>
      <c r="C148" s="927"/>
      <c r="D148" s="926"/>
      <c r="E148" s="365" t="s">
        <v>1808</v>
      </c>
      <c r="F148" s="395" t="s">
        <v>1686</v>
      </c>
      <c r="G148" s="137">
        <v>1505</v>
      </c>
      <c r="H148" s="371">
        <v>36</v>
      </c>
      <c r="I148" s="488">
        <v>54180</v>
      </c>
      <c r="J148" s="865"/>
    </row>
    <row r="149" spans="1:10" s="170" customFormat="1" ht="13.5">
      <c r="A149" s="926"/>
      <c r="B149" s="926"/>
      <c r="C149" s="927"/>
      <c r="D149" s="926"/>
      <c r="E149" s="365" t="s">
        <v>1809</v>
      </c>
      <c r="F149" s="395" t="s">
        <v>1686</v>
      </c>
      <c r="G149" s="137">
        <v>1505</v>
      </c>
      <c r="H149" s="371">
        <v>185</v>
      </c>
      <c r="I149" s="488">
        <v>278425</v>
      </c>
      <c r="J149" s="865"/>
    </row>
    <row r="150" spans="1:10" s="170" customFormat="1" ht="13.5">
      <c r="A150" s="926"/>
      <c r="B150" s="926"/>
      <c r="C150" s="927"/>
      <c r="D150" s="367" t="s">
        <v>1332</v>
      </c>
      <c r="E150" s="365"/>
      <c r="F150" s="365"/>
      <c r="G150" s="75"/>
      <c r="H150" s="366"/>
      <c r="I150" s="529">
        <v>1027605</v>
      </c>
      <c r="J150" s="865"/>
    </row>
    <row r="151" spans="1:10" s="170" customFormat="1" ht="13.5">
      <c r="A151" s="926"/>
      <c r="B151" s="926"/>
      <c r="C151" s="927"/>
      <c r="D151" s="367" t="s">
        <v>1334</v>
      </c>
      <c r="E151" s="365"/>
      <c r="F151" s="365"/>
      <c r="G151" s="137"/>
      <c r="H151" s="366"/>
      <c r="I151" s="529">
        <v>111550</v>
      </c>
      <c r="J151" s="865"/>
    </row>
    <row r="152" spans="1:10" s="170" customFormat="1" ht="13.5">
      <c r="A152" s="926"/>
      <c r="B152" s="926"/>
      <c r="C152" s="927"/>
      <c r="D152" s="368" t="s">
        <v>1338</v>
      </c>
      <c r="E152" s="365" t="s">
        <v>1810</v>
      </c>
      <c r="F152" s="365" t="s">
        <v>1330</v>
      </c>
      <c r="G152" s="365">
        <v>1</v>
      </c>
      <c r="H152" s="370">
        <v>50000</v>
      </c>
      <c r="I152" s="528">
        <v>50000</v>
      </c>
      <c r="J152" s="865"/>
    </row>
    <row r="153" spans="1:10" s="170" customFormat="1" ht="13.5">
      <c r="A153" s="926"/>
      <c r="B153" s="926"/>
      <c r="C153" s="927"/>
      <c r="D153" s="367" t="s">
        <v>1342</v>
      </c>
      <c r="E153" s="365"/>
      <c r="F153" s="365"/>
      <c r="G153" s="75"/>
      <c r="H153" s="366"/>
      <c r="I153" s="529">
        <v>1189155</v>
      </c>
      <c r="J153" s="866"/>
    </row>
    <row r="154" spans="1:10" s="170" customFormat="1" ht="24">
      <c r="A154" s="926">
        <v>5</v>
      </c>
      <c r="B154" s="926" t="s">
        <v>2365</v>
      </c>
      <c r="C154" s="927" t="s">
        <v>1690</v>
      </c>
      <c r="D154" s="926" t="s">
        <v>1694</v>
      </c>
      <c r="E154" s="365" t="s">
        <v>1806</v>
      </c>
      <c r="F154" s="395" t="s">
        <v>1686</v>
      </c>
      <c r="G154" s="137">
        <v>2090</v>
      </c>
      <c r="H154" s="366">
        <v>50</v>
      </c>
      <c r="I154" s="528">
        <v>104500</v>
      </c>
      <c r="J154" s="864">
        <f>ROUND(I161*0.9,0)</f>
        <v>865002</v>
      </c>
    </row>
    <row r="155" spans="1:10" s="170" customFormat="1" ht="24">
      <c r="A155" s="926"/>
      <c r="B155" s="926"/>
      <c r="C155" s="927"/>
      <c r="D155" s="926"/>
      <c r="E155" s="365" t="s">
        <v>1807</v>
      </c>
      <c r="F155" s="395" t="s">
        <v>1686</v>
      </c>
      <c r="G155" s="137">
        <v>2090</v>
      </c>
      <c r="H155" s="366">
        <v>200</v>
      </c>
      <c r="I155" s="528">
        <v>418000</v>
      </c>
      <c r="J155" s="865"/>
    </row>
    <row r="156" spans="1:10" s="170" customFormat="1" ht="24">
      <c r="A156" s="926"/>
      <c r="B156" s="926"/>
      <c r="C156" s="927"/>
      <c r="D156" s="926"/>
      <c r="E156" s="365" t="s">
        <v>1808</v>
      </c>
      <c r="F156" s="395" t="s">
        <v>1686</v>
      </c>
      <c r="G156" s="137">
        <v>1353</v>
      </c>
      <c r="H156" s="366">
        <v>36</v>
      </c>
      <c r="I156" s="528">
        <v>48708</v>
      </c>
      <c r="J156" s="865"/>
    </row>
    <row r="157" spans="1:10" s="170" customFormat="1" ht="13.5">
      <c r="A157" s="926"/>
      <c r="B157" s="926"/>
      <c r="C157" s="927"/>
      <c r="D157" s="926"/>
      <c r="E157" s="365" t="s">
        <v>1809</v>
      </c>
      <c r="F157" s="395" t="s">
        <v>1686</v>
      </c>
      <c r="G157" s="137">
        <v>1353</v>
      </c>
      <c r="H157" s="366">
        <v>185</v>
      </c>
      <c r="I157" s="528">
        <v>250305</v>
      </c>
      <c r="J157" s="865"/>
    </row>
    <row r="158" spans="1:10" s="170" customFormat="1" ht="13.5">
      <c r="A158" s="926"/>
      <c r="B158" s="926"/>
      <c r="C158" s="927"/>
      <c r="D158" s="367" t="s">
        <v>1332</v>
      </c>
      <c r="E158" s="365"/>
      <c r="F158" s="365"/>
      <c r="G158" s="75"/>
      <c r="H158" s="366"/>
      <c r="I158" s="529">
        <v>821513</v>
      </c>
      <c r="J158" s="865"/>
    </row>
    <row r="159" spans="1:10" s="170" customFormat="1" ht="13.5">
      <c r="A159" s="926"/>
      <c r="B159" s="926"/>
      <c r="C159" s="927"/>
      <c r="D159" s="367" t="s">
        <v>1334</v>
      </c>
      <c r="E159" s="365"/>
      <c r="F159" s="365"/>
      <c r="G159" s="137"/>
      <c r="H159" s="366"/>
      <c r="I159" s="529">
        <v>89600</v>
      </c>
      <c r="J159" s="865"/>
    </row>
    <row r="160" spans="1:10" s="170" customFormat="1" ht="13.5">
      <c r="A160" s="926"/>
      <c r="B160" s="926"/>
      <c r="C160" s="927"/>
      <c r="D160" s="368" t="s">
        <v>1338</v>
      </c>
      <c r="E160" s="365" t="s">
        <v>1810</v>
      </c>
      <c r="F160" s="365" t="s">
        <v>1330</v>
      </c>
      <c r="G160" s="365">
        <v>1</v>
      </c>
      <c r="H160" s="370">
        <v>50000</v>
      </c>
      <c r="I160" s="530">
        <v>50000</v>
      </c>
      <c r="J160" s="865"/>
    </row>
    <row r="161" spans="1:10" s="170" customFormat="1" ht="13.5">
      <c r="A161" s="926"/>
      <c r="B161" s="926"/>
      <c r="C161" s="927"/>
      <c r="D161" s="367" t="s">
        <v>1342</v>
      </c>
      <c r="E161" s="365"/>
      <c r="F161" s="365"/>
      <c r="G161" s="75"/>
      <c r="H161" s="366"/>
      <c r="I161" s="529">
        <v>961113</v>
      </c>
      <c r="J161" s="866"/>
    </row>
    <row r="162" spans="1:10" s="170" customFormat="1" ht="36">
      <c r="A162" s="926">
        <v>6</v>
      </c>
      <c r="B162" s="926" t="s">
        <v>2366</v>
      </c>
      <c r="C162" s="927" t="s">
        <v>1312</v>
      </c>
      <c r="D162" s="926" t="s">
        <v>1694</v>
      </c>
      <c r="E162" s="365" t="s">
        <v>1811</v>
      </c>
      <c r="F162" s="395" t="s">
        <v>1686</v>
      </c>
      <c r="G162" s="75">
        <v>625</v>
      </c>
      <c r="H162" s="366">
        <v>260</v>
      </c>
      <c r="I162" s="528">
        <v>162500</v>
      </c>
      <c r="J162" s="864">
        <f>ROUND(I169*0.9,0)</f>
        <v>907101</v>
      </c>
    </row>
    <row r="163" spans="1:10" s="170" customFormat="1" ht="24">
      <c r="A163" s="926"/>
      <c r="B163" s="926"/>
      <c r="C163" s="927"/>
      <c r="D163" s="926"/>
      <c r="E163" s="365" t="s">
        <v>1812</v>
      </c>
      <c r="F163" s="395" t="s">
        <v>1686</v>
      </c>
      <c r="G163" s="75">
        <v>3060</v>
      </c>
      <c r="H163" s="371">
        <v>95.736934640522904</v>
      </c>
      <c r="I163" s="488">
        <v>292955.02</v>
      </c>
      <c r="J163" s="865"/>
    </row>
    <row r="164" spans="1:10" s="170" customFormat="1" ht="24">
      <c r="A164" s="926"/>
      <c r="B164" s="926"/>
      <c r="C164" s="927"/>
      <c r="D164" s="926"/>
      <c r="E164" s="365" t="s">
        <v>1813</v>
      </c>
      <c r="F164" s="365" t="s">
        <v>1709</v>
      </c>
      <c r="G164" s="137">
        <v>321</v>
      </c>
      <c r="H164" s="371">
        <v>553.46102803738302</v>
      </c>
      <c r="I164" s="488">
        <v>177660.99</v>
      </c>
      <c r="J164" s="865"/>
    </row>
    <row r="165" spans="1:10" s="170" customFormat="1" ht="24">
      <c r="A165" s="926"/>
      <c r="B165" s="926"/>
      <c r="C165" s="927"/>
      <c r="D165" s="365" t="s">
        <v>1754</v>
      </c>
      <c r="E165" s="365" t="s">
        <v>1814</v>
      </c>
      <c r="F165" s="395" t="s">
        <v>1686</v>
      </c>
      <c r="G165" s="137">
        <v>300</v>
      </c>
      <c r="H165" s="366">
        <v>800</v>
      </c>
      <c r="I165" s="528">
        <v>240000</v>
      </c>
      <c r="J165" s="865"/>
    </row>
    <row r="166" spans="1:10" s="170" customFormat="1" ht="13.5">
      <c r="A166" s="926"/>
      <c r="B166" s="926"/>
      <c r="C166" s="927"/>
      <c r="D166" s="367" t="s">
        <v>1332</v>
      </c>
      <c r="E166" s="365"/>
      <c r="F166" s="365"/>
      <c r="G166" s="75"/>
      <c r="H166" s="366"/>
      <c r="I166" s="529">
        <v>873116.01</v>
      </c>
      <c r="J166" s="865"/>
    </row>
    <row r="167" spans="1:10" s="170" customFormat="1" ht="13.5">
      <c r="A167" s="926"/>
      <c r="B167" s="926"/>
      <c r="C167" s="927"/>
      <c r="D167" s="367" t="s">
        <v>1334</v>
      </c>
      <c r="E167" s="365"/>
      <c r="F167" s="365"/>
      <c r="G167" s="137"/>
      <c r="H167" s="366"/>
      <c r="I167" s="529">
        <v>104773.9212</v>
      </c>
      <c r="J167" s="865"/>
    </row>
    <row r="168" spans="1:10" s="170" customFormat="1" ht="13.5">
      <c r="A168" s="926"/>
      <c r="B168" s="926"/>
      <c r="C168" s="927"/>
      <c r="D168" s="368" t="s">
        <v>1338</v>
      </c>
      <c r="E168" s="365" t="s">
        <v>1815</v>
      </c>
      <c r="F168" s="365" t="s">
        <v>1330</v>
      </c>
      <c r="G168" s="365">
        <v>1</v>
      </c>
      <c r="H168" s="370">
        <v>30000</v>
      </c>
      <c r="I168" s="528">
        <v>30000</v>
      </c>
      <c r="J168" s="865"/>
    </row>
    <row r="169" spans="1:10" s="170" customFormat="1" ht="13.5">
      <c r="A169" s="926"/>
      <c r="B169" s="926"/>
      <c r="C169" s="927"/>
      <c r="D169" s="367" t="s">
        <v>1342</v>
      </c>
      <c r="E169" s="365"/>
      <c r="F169" s="365"/>
      <c r="G169" s="75"/>
      <c r="H169" s="366"/>
      <c r="I169" s="529">
        <v>1007889.9312</v>
      </c>
      <c r="J169" s="866"/>
    </row>
    <row r="170" spans="1:10" s="170" customFormat="1" ht="60">
      <c r="A170" s="929">
        <v>7</v>
      </c>
      <c r="B170" s="929" t="s">
        <v>2367</v>
      </c>
      <c r="C170" s="929" t="s">
        <v>1690</v>
      </c>
      <c r="D170" s="365" t="s">
        <v>1816</v>
      </c>
      <c r="E170" s="365" t="s">
        <v>1817</v>
      </c>
      <c r="F170" s="365" t="s">
        <v>1330</v>
      </c>
      <c r="G170" s="137">
        <v>1</v>
      </c>
      <c r="H170" s="366">
        <v>133723.38</v>
      </c>
      <c r="I170" s="528">
        <v>133723.38</v>
      </c>
      <c r="J170" s="864">
        <f>ROUND(I173*0.9,0)</f>
        <v>134793</v>
      </c>
    </row>
    <row r="171" spans="1:10" s="170" customFormat="1" ht="13.5">
      <c r="A171" s="926"/>
      <c r="B171" s="926"/>
      <c r="C171" s="927"/>
      <c r="D171" s="367" t="s">
        <v>1332</v>
      </c>
      <c r="E171" s="365"/>
      <c r="F171" s="365"/>
      <c r="G171" s="75"/>
      <c r="H171" s="366"/>
      <c r="I171" s="534">
        <v>133723.38</v>
      </c>
      <c r="J171" s="865"/>
    </row>
    <row r="172" spans="1:10" s="170" customFormat="1" ht="13.5">
      <c r="A172" s="926"/>
      <c r="B172" s="926"/>
      <c r="C172" s="927"/>
      <c r="D172" s="367" t="s">
        <v>1334</v>
      </c>
      <c r="E172" s="365"/>
      <c r="F172" s="365"/>
      <c r="G172" s="137"/>
      <c r="H172" s="366"/>
      <c r="I172" s="534">
        <v>16046.8056</v>
      </c>
      <c r="J172" s="865"/>
    </row>
    <row r="173" spans="1:10" s="170" customFormat="1" ht="13.5">
      <c r="A173" s="926"/>
      <c r="B173" s="926"/>
      <c r="C173" s="927"/>
      <c r="D173" s="367" t="s">
        <v>1342</v>
      </c>
      <c r="E173" s="365"/>
      <c r="F173" s="365"/>
      <c r="G173" s="75"/>
      <c r="H173" s="366"/>
      <c r="I173" s="533">
        <v>149770.1856</v>
      </c>
      <c r="J173" s="866"/>
    </row>
    <row r="174" spans="1:10" s="170" customFormat="1" ht="13.5">
      <c r="A174" s="926">
        <v>8</v>
      </c>
      <c r="B174" s="926" t="s">
        <v>2368</v>
      </c>
      <c r="C174" s="927" t="s">
        <v>1312</v>
      </c>
      <c r="D174" s="926" t="s">
        <v>1684</v>
      </c>
      <c r="E174" s="365" t="s">
        <v>1818</v>
      </c>
      <c r="F174" s="365" t="s">
        <v>1709</v>
      </c>
      <c r="G174" s="137">
        <v>24</v>
      </c>
      <c r="H174" s="371">
        <v>165.78</v>
      </c>
      <c r="I174" s="488">
        <v>3978.72</v>
      </c>
      <c r="J174" s="536"/>
    </row>
    <row r="175" spans="1:10" s="170" customFormat="1" ht="36">
      <c r="A175" s="926"/>
      <c r="B175" s="926"/>
      <c r="C175" s="927"/>
      <c r="D175" s="926"/>
      <c r="E175" s="365" t="s">
        <v>1819</v>
      </c>
      <c r="F175" s="395" t="s">
        <v>1686</v>
      </c>
      <c r="G175" s="137">
        <v>6500</v>
      </c>
      <c r="H175" s="366">
        <v>145</v>
      </c>
      <c r="I175" s="528">
        <v>942500</v>
      </c>
      <c r="J175" s="864">
        <f>ROUND(I182*0.9,0)</f>
        <v>1467511</v>
      </c>
    </row>
    <row r="176" spans="1:10" s="170" customFormat="1" ht="13.5">
      <c r="A176" s="926"/>
      <c r="B176" s="926"/>
      <c r="C176" s="927"/>
      <c r="D176" s="926"/>
      <c r="E176" s="365" t="s">
        <v>1820</v>
      </c>
      <c r="F176" s="395" t="s">
        <v>1686</v>
      </c>
      <c r="G176" s="137">
        <v>225</v>
      </c>
      <c r="H176" s="366">
        <v>1596</v>
      </c>
      <c r="I176" s="528">
        <v>359100</v>
      </c>
      <c r="J176" s="865"/>
    </row>
    <row r="177" spans="1:10" s="170" customFormat="1" ht="13.5">
      <c r="A177" s="926"/>
      <c r="B177" s="926"/>
      <c r="C177" s="927"/>
      <c r="D177" s="926" t="s">
        <v>1815</v>
      </c>
      <c r="E177" s="365" t="s">
        <v>1821</v>
      </c>
      <c r="F177" s="395" t="s">
        <v>1686</v>
      </c>
      <c r="G177" s="137">
        <v>475</v>
      </c>
      <c r="H177" s="366">
        <v>50</v>
      </c>
      <c r="I177" s="528">
        <v>23750</v>
      </c>
      <c r="J177" s="865"/>
    </row>
    <row r="178" spans="1:10" s="170" customFormat="1" ht="13.5">
      <c r="A178" s="926"/>
      <c r="B178" s="926"/>
      <c r="C178" s="927"/>
      <c r="D178" s="926"/>
      <c r="E178" s="365" t="s">
        <v>1822</v>
      </c>
      <c r="F178" s="395" t="s">
        <v>1686</v>
      </c>
      <c r="G178" s="137">
        <v>475</v>
      </c>
      <c r="H178" s="366">
        <v>210</v>
      </c>
      <c r="I178" s="528">
        <v>99750</v>
      </c>
      <c r="J178" s="865"/>
    </row>
    <row r="179" spans="1:10" s="170" customFormat="1" ht="13.5">
      <c r="A179" s="926"/>
      <c r="B179" s="926"/>
      <c r="C179" s="927"/>
      <c r="D179" s="367" t="s">
        <v>1332</v>
      </c>
      <c r="E179" s="365"/>
      <c r="F179" s="365"/>
      <c r="G179" s="75"/>
      <c r="H179" s="366"/>
      <c r="I179" s="529">
        <v>1429078.72</v>
      </c>
      <c r="J179" s="865"/>
    </row>
    <row r="180" spans="1:10" s="170" customFormat="1" ht="13.5">
      <c r="A180" s="926"/>
      <c r="B180" s="926"/>
      <c r="C180" s="927"/>
      <c r="D180" s="367" t="s">
        <v>1334</v>
      </c>
      <c r="E180" s="365"/>
      <c r="F180" s="365"/>
      <c r="G180" s="137"/>
      <c r="H180" s="366"/>
      <c r="I180" s="529">
        <v>171489.44639999999</v>
      </c>
      <c r="J180" s="865"/>
    </row>
    <row r="181" spans="1:10" s="170" customFormat="1" ht="13.5">
      <c r="A181" s="926"/>
      <c r="B181" s="926"/>
      <c r="C181" s="927"/>
      <c r="D181" s="368" t="s">
        <v>1338</v>
      </c>
      <c r="E181" s="365" t="s">
        <v>1815</v>
      </c>
      <c r="F181" s="365" t="s">
        <v>1330</v>
      </c>
      <c r="G181" s="365">
        <v>1</v>
      </c>
      <c r="H181" s="370">
        <v>30000</v>
      </c>
      <c r="I181" s="528">
        <v>30000</v>
      </c>
      <c r="J181" s="865"/>
    </row>
    <row r="182" spans="1:10" s="170" customFormat="1" ht="13.5">
      <c r="A182" s="926"/>
      <c r="B182" s="926"/>
      <c r="C182" s="927"/>
      <c r="D182" s="367" t="s">
        <v>1342</v>
      </c>
      <c r="E182" s="365"/>
      <c r="F182" s="365"/>
      <c r="G182" s="75"/>
      <c r="H182" s="366"/>
      <c r="I182" s="529">
        <v>1630568.1664</v>
      </c>
      <c r="J182" s="866"/>
    </row>
    <row r="183" spans="1:10" s="170" customFormat="1" ht="48">
      <c r="A183" s="926">
        <v>9</v>
      </c>
      <c r="B183" s="926" t="s">
        <v>2369</v>
      </c>
      <c r="C183" s="927" t="s">
        <v>1690</v>
      </c>
      <c r="D183" s="926" t="s">
        <v>1823</v>
      </c>
      <c r="E183" s="365" t="s">
        <v>1824</v>
      </c>
      <c r="F183" s="395" t="s">
        <v>1686</v>
      </c>
      <c r="G183" s="137">
        <v>835</v>
      </c>
      <c r="H183" s="366" t="e">
        <v>#NAME?</v>
      </c>
      <c r="I183" s="528">
        <v>789553.72</v>
      </c>
      <c r="J183" s="864">
        <f>ROUND(I189*0.9,0)</f>
        <v>1635998</v>
      </c>
    </row>
    <row r="184" spans="1:10" s="170" customFormat="1" ht="48">
      <c r="A184" s="926"/>
      <c r="B184" s="926"/>
      <c r="C184" s="927"/>
      <c r="D184" s="926"/>
      <c r="E184" s="365" t="s">
        <v>1825</v>
      </c>
      <c r="F184" s="395" t="s">
        <v>1686</v>
      </c>
      <c r="G184" s="137">
        <v>835</v>
      </c>
      <c r="H184" s="366" t="e">
        <v>#NAME?</v>
      </c>
      <c r="I184" s="528">
        <v>696697.22</v>
      </c>
      <c r="J184" s="865"/>
    </row>
    <row r="185" spans="1:10" s="170" customFormat="1" ht="36">
      <c r="A185" s="926"/>
      <c r="B185" s="926"/>
      <c r="C185" s="927"/>
      <c r="D185" s="926"/>
      <c r="E185" s="365" t="s">
        <v>1826</v>
      </c>
      <c r="F185" s="365" t="s">
        <v>1686</v>
      </c>
      <c r="G185" s="137">
        <v>55</v>
      </c>
      <c r="H185" s="371">
        <v>2800</v>
      </c>
      <c r="I185" s="488">
        <v>154000</v>
      </c>
      <c r="J185" s="865"/>
    </row>
    <row r="186" spans="1:10" s="170" customFormat="1" ht="13.5">
      <c r="A186" s="926"/>
      <c r="B186" s="926"/>
      <c r="C186" s="927"/>
      <c r="D186" s="367" t="s">
        <v>1332</v>
      </c>
      <c r="E186" s="365"/>
      <c r="F186" s="365"/>
      <c r="G186" s="75"/>
      <c r="H186" s="366"/>
      <c r="I186" s="529">
        <v>1640250.94</v>
      </c>
      <c r="J186" s="865"/>
    </row>
    <row r="187" spans="1:10" s="170" customFormat="1" ht="13.5">
      <c r="A187" s="926"/>
      <c r="B187" s="926"/>
      <c r="C187" s="927"/>
      <c r="D187" s="367" t="s">
        <v>1334</v>
      </c>
      <c r="E187" s="365"/>
      <c r="F187" s="365"/>
      <c r="G187" s="137"/>
      <c r="H187" s="366"/>
      <c r="I187" s="529">
        <v>164025.09400000001</v>
      </c>
      <c r="J187" s="865"/>
    </row>
    <row r="188" spans="1:10" s="170" customFormat="1" ht="13.5">
      <c r="A188" s="926"/>
      <c r="B188" s="926"/>
      <c r="C188" s="927"/>
      <c r="D188" s="368" t="s">
        <v>1336</v>
      </c>
      <c r="E188" s="365"/>
      <c r="F188" s="365" t="s">
        <v>1689</v>
      </c>
      <c r="G188" s="365">
        <v>15</v>
      </c>
      <c r="H188" s="370">
        <v>900</v>
      </c>
      <c r="I188" s="528">
        <v>13500</v>
      </c>
      <c r="J188" s="865"/>
    </row>
    <row r="189" spans="1:10" s="170" customFormat="1" ht="13.5">
      <c r="A189" s="926"/>
      <c r="B189" s="926"/>
      <c r="C189" s="927"/>
      <c r="D189" s="367" t="s">
        <v>1342</v>
      </c>
      <c r="E189" s="365"/>
      <c r="F189" s="365"/>
      <c r="G189" s="75"/>
      <c r="H189" s="366"/>
      <c r="I189" s="529">
        <v>1817776.034</v>
      </c>
      <c r="J189" s="866"/>
    </row>
    <row r="190" spans="1:10" s="170" customFormat="1" ht="24">
      <c r="A190" s="926">
        <v>10</v>
      </c>
      <c r="B190" s="926" t="s">
        <v>2370</v>
      </c>
      <c r="C190" s="927" t="s">
        <v>1827</v>
      </c>
      <c r="D190" s="926" t="s">
        <v>1828</v>
      </c>
      <c r="E190" s="137" t="s">
        <v>1829</v>
      </c>
      <c r="F190" s="395" t="s">
        <v>1686</v>
      </c>
      <c r="G190" s="397">
        <v>10350</v>
      </c>
      <c r="H190" s="370">
        <v>5</v>
      </c>
      <c r="I190" s="488">
        <v>51750</v>
      </c>
      <c r="J190" s="864">
        <f>ROUND(I200*0.9,0)</f>
        <v>2622213</v>
      </c>
    </row>
    <row r="191" spans="1:10" s="170" customFormat="1" ht="13.5">
      <c r="A191" s="926"/>
      <c r="B191" s="926"/>
      <c r="C191" s="927"/>
      <c r="D191" s="926"/>
      <c r="E191" s="137" t="s">
        <v>1830</v>
      </c>
      <c r="F191" s="395" t="s">
        <v>1686</v>
      </c>
      <c r="G191" s="397">
        <v>380</v>
      </c>
      <c r="H191" s="370">
        <v>199</v>
      </c>
      <c r="I191" s="488">
        <v>75620</v>
      </c>
      <c r="J191" s="865"/>
    </row>
    <row r="192" spans="1:10" s="170" customFormat="1" ht="13.5">
      <c r="A192" s="926"/>
      <c r="B192" s="926"/>
      <c r="C192" s="927"/>
      <c r="D192" s="926"/>
      <c r="E192" s="137" t="s">
        <v>1831</v>
      </c>
      <c r="F192" s="395" t="s">
        <v>1686</v>
      </c>
      <c r="G192" s="397">
        <v>2240</v>
      </c>
      <c r="H192" s="370">
        <v>199</v>
      </c>
      <c r="I192" s="488">
        <v>445760</v>
      </c>
      <c r="J192" s="865"/>
    </row>
    <row r="193" spans="1:10" s="170" customFormat="1" ht="13.5">
      <c r="A193" s="926"/>
      <c r="B193" s="926"/>
      <c r="C193" s="927"/>
      <c r="D193" s="926"/>
      <c r="E193" s="137" t="s">
        <v>1832</v>
      </c>
      <c r="F193" s="395" t="s">
        <v>1686</v>
      </c>
      <c r="G193" s="397">
        <v>3950</v>
      </c>
      <c r="H193" s="370">
        <v>199</v>
      </c>
      <c r="I193" s="488">
        <v>786050</v>
      </c>
      <c r="J193" s="865"/>
    </row>
    <row r="194" spans="1:10" s="170" customFormat="1" ht="13.5">
      <c r="A194" s="926"/>
      <c r="B194" s="926"/>
      <c r="C194" s="927"/>
      <c r="D194" s="926"/>
      <c r="E194" s="137" t="s">
        <v>1833</v>
      </c>
      <c r="F194" s="395" t="s">
        <v>1686</v>
      </c>
      <c r="G194" s="397">
        <v>2640</v>
      </c>
      <c r="H194" s="370">
        <v>199</v>
      </c>
      <c r="I194" s="488">
        <v>525360</v>
      </c>
      <c r="J194" s="865"/>
    </row>
    <row r="195" spans="1:10" s="170" customFormat="1" ht="13.5">
      <c r="A195" s="926"/>
      <c r="B195" s="926"/>
      <c r="C195" s="927"/>
      <c r="D195" s="926"/>
      <c r="E195" s="137" t="s">
        <v>1834</v>
      </c>
      <c r="F195" s="395" t="s">
        <v>1686</v>
      </c>
      <c r="G195" s="397">
        <v>2460</v>
      </c>
      <c r="H195" s="370">
        <v>199</v>
      </c>
      <c r="I195" s="488">
        <v>489540</v>
      </c>
      <c r="J195" s="865"/>
    </row>
    <row r="196" spans="1:10" s="170" customFormat="1" ht="24">
      <c r="A196" s="926"/>
      <c r="B196" s="926"/>
      <c r="C196" s="927"/>
      <c r="D196" s="926"/>
      <c r="E196" s="137" t="s">
        <v>1835</v>
      </c>
      <c r="F196" s="395" t="s">
        <v>1686</v>
      </c>
      <c r="G196" s="397">
        <v>1260</v>
      </c>
      <c r="H196" s="370">
        <v>199</v>
      </c>
      <c r="I196" s="488">
        <v>250740</v>
      </c>
      <c r="J196" s="865"/>
    </row>
    <row r="197" spans="1:10" s="170" customFormat="1" ht="13.5">
      <c r="A197" s="926"/>
      <c r="B197" s="926"/>
      <c r="C197" s="927"/>
      <c r="D197" s="926"/>
      <c r="E197" s="137" t="s">
        <v>1836</v>
      </c>
      <c r="F197" s="395" t="s">
        <v>1686</v>
      </c>
      <c r="G197" s="397">
        <v>120</v>
      </c>
      <c r="H197" s="370">
        <v>199</v>
      </c>
      <c r="I197" s="488">
        <v>23880</v>
      </c>
      <c r="J197" s="865"/>
    </row>
    <row r="198" spans="1:10" s="170" customFormat="1" ht="13.5">
      <c r="A198" s="926"/>
      <c r="B198" s="926"/>
      <c r="C198" s="927"/>
      <c r="D198" s="367" t="s">
        <v>1332</v>
      </c>
      <c r="E198" s="365"/>
      <c r="F198" s="365"/>
      <c r="G198" s="75"/>
      <c r="H198" s="366"/>
      <c r="I198" s="529">
        <v>2648700</v>
      </c>
      <c r="J198" s="865"/>
    </row>
    <row r="199" spans="1:10" s="170" customFormat="1" ht="13.5">
      <c r="A199" s="926"/>
      <c r="B199" s="926"/>
      <c r="C199" s="927"/>
      <c r="D199" s="367" t="s">
        <v>1334</v>
      </c>
      <c r="E199" s="365"/>
      <c r="F199" s="365"/>
      <c r="G199" s="137"/>
      <c r="H199" s="366"/>
      <c r="I199" s="529">
        <v>264870</v>
      </c>
      <c r="J199" s="865"/>
    </row>
    <row r="200" spans="1:10" s="170" customFormat="1" ht="13.5">
      <c r="A200" s="926"/>
      <c r="B200" s="926"/>
      <c r="C200" s="927"/>
      <c r="D200" s="367" t="s">
        <v>1342</v>
      </c>
      <c r="E200" s="365"/>
      <c r="F200" s="365"/>
      <c r="G200" s="75"/>
      <c r="H200" s="366"/>
      <c r="I200" s="529">
        <v>2913570</v>
      </c>
      <c r="J200" s="866"/>
    </row>
    <row r="201" spans="1:10" s="170" customFormat="1" ht="36">
      <c r="A201" s="926">
        <v>11</v>
      </c>
      <c r="B201" s="928" t="s">
        <v>1837</v>
      </c>
      <c r="C201" s="928" t="s">
        <v>1312</v>
      </c>
      <c r="D201" s="368" t="s">
        <v>1684</v>
      </c>
      <c r="E201" s="368" t="s">
        <v>1838</v>
      </c>
      <c r="F201" s="365" t="s">
        <v>1686</v>
      </c>
      <c r="G201" s="75">
        <v>83</v>
      </c>
      <c r="H201" s="371">
        <v>2940</v>
      </c>
      <c r="I201" s="532">
        <v>244020</v>
      </c>
      <c r="J201" s="864">
        <f>ROUND(I205*0.8,0)</f>
        <v>221000</v>
      </c>
    </row>
    <row r="202" spans="1:10" s="170" customFormat="1" ht="13.5">
      <c r="A202" s="926"/>
      <c r="B202" s="928"/>
      <c r="C202" s="928"/>
      <c r="D202" s="405" t="s">
        <v>1332</v>
      </c>
      <c r="E202" s="365"/>
      <c r="F202" s="365"/>
      <c r="G202" s="75"/>
      <c r="H202" s="366"/>
      <c r="I202" s="529">
        <v>244020</v>
      </c>
      <c r="J202" s="865"/>
    </row>
    <row r="203" spans="1:10" s="170" customFormat="1" ht="13.5">
      <c r="A203" s="926"/>
      <c r="B203" s="928"/>
      <c r="C203" s="928"/>
      <c r="D203" s="405" t="s">
        <v>1334</v>
      </c>
      <c r="E203" s="365"/>
      <c r="F203" s="365"/>
      <c r="G203" s="75"/>
      <c r="H203" s="366"/>
      <c r="I203" s="529">
        <v>27730</v>
      </c>
      <c r="J203" s="865"/>
    </row>
    <row r="204" spans="1:10" s="170" customFormat="1" ht="13.5">
      <c r="A204" s="926"/>
      <c r="B204" s="928"/>
      <c r="C204" s="928"/>
      <c r="D204" s="368" t="s">
        <v>1336</v>
      </c>
      <c r="E204" s="365"/>
      <c r="F204" s="365" t="s">
        <v>1689</v>
      </c>
      <c r="G204" s="365">
        <v>5</v>
      </c>
      <c r="H204" s="392">
        <v>900</v>
      </c>
      <c r="I204" s="530">
        <v>4500</v>
      </c>
      <c r="J204" s="865"/>
    </row>
    <row r="205" spans="1:10" s="170" customFormat="1" ht="13.5">
      <c r="A205" s="926"/>
      <c r="B205" s="928"/>
      <c r="C205" s="928"/>
      <c r="D205" s="405" t="s">
        <v>1342</v>
      </c>
      <c r="E205" s="365"/>
      <c r="F205" s="365"/>
      <c r="G205" s="75"/>
      <c r="H205" s="366"/>
      <c r="I205" s="529">
        <v>276250</v>
      </c>
      <c r="J205" s="866"/>
    </row>
    <row r="206" spans="1:10" s="391" customFormat="1">
      <c r="A206" s="362" t="s">
        <v>487</v>
      </c>
      <c r="B206" s="362" t="s">
        <v>1448</v>
      </c>
      <c r="C206" s="362"/>
      <c r="D206" s="362" t="s">
        <v>17</v>
      </c>
      <c r="E206" s="362"/>
      <c r="F206" s="362"/>
      <c r="G206" s="362"/>
      <c r="H206" s="363"/>
      <c r="I206" s="526">
        <f>I131+I137+I145+I153+I161+I169+I173+I182+I189+I200+I205</f>
        <v>11306693.3716</v>
      </c>
      <c r="J206" s="537">
        <f>SUM(J126:J205)</f>
        <v>10012338</v>
      </c>
    </row>
    <row r="207" spans="1:10" s="416" customFormat="1" ht="24">
      <c r="A207" s="924">
        <v>1</v>
      </c>
      <c r="B207" s="922" t="s">
        <v>1840</v>
      </c>
      <c r="C207" s="923" t="s">
        <v>1312</v>
      </c>
      <c r="D207" s="922" t="s">
        <v>1684</v>
      </c>
      <c r="E207" s="412" t="s">
        <v>1841</v>
      </c>
      <c r="F207" s="413" t="s">
        <v>1315</v>
      </c>
      <c r="G207" s="414">
        <v>140</v>
      </c>
      <c r="H207" s="413">
        <v>2500</v>
      </c>
      <c r="I207" s="512">
        <v>350000</v>
      </c>
      <c r="J207" s="856">
        <f>ROUND(I214*0.8,0)</f>
        <v>783200</v>
      </c>
    </row>
    <row r="208" spans="1:10" s="416" customFormat="1" ht="24">
      <c r="A208" s="924"/>
      <c r="B208" s="922"/>
      <c r="C208" s="923"/>
      <c r="D208" s="922"/>
      <c r="E208" s="412" t="s">
        <v>1800</v>
      </c>
      <c r="F208" s="413" t="s">
        <v>1315</v>
      </c>
      <c r="G208" s="414">
        <v>1700</v>
      </c>
      <c r="H208" s="417">
        <v>240</v>
      </c>
      <c r="I208" s="513">
        <v>408000</v>
      </c>
      <c r="J208" s="859"/>
    </row>
    <row r="209" spans="1:10" s="416" customFormat="1" ht="24">
      <c r="A209" s="924"/>
      <c r="B209" s="922"/>
      <c r="C209" s="923"/>
      <c r="D209" s="922"/>
      <c r="E209" s="412" t="s">
        <v>1842</v>
      </c>
      <c r="F209" s="413" t="s">
        <v>1315</v>
      </c>
      <c r="G209" s="414">
        <v>1700</v>
      </c>
      <c r="H209" s="417">
        <v>51</v>
      </c>
      <c r="I209" s="513">
        <v>86700</v>
      </c>
      <c r="J209" s="859"/>
    </row>
    <row r="210" spans="1:10" s="416" customFormat="1">
      <c r="A210" s="924"/>
      <c r="B210" s="922"/>
      <c r="C210" s="923"/>
      <c r="D210" s="418" t="s">
        <v>1332</v>
      </c>
      <c r="E210" s="412"/>
      <c r="F210" s="413"/>
      <c r="G210" s="410"/>
      <c r="H210" s="406"/>
      <c r="I210" s="514">
        <v>844700</v>
      </c>
      <c r="J210" s="859"/>
    </row>
    <row r="211" spans="1:10" s="416" customFormat="1">
      <c r="A211" s="924"/>
      <c r="B211" s="922"/>
      <c r="C211" s="923"/>
      <c r="D211" s="418" t="s">
        <v>1334</v>
      </c>
      <c r="E211" s="412"/>
      <c r="F211" s="413"/>
      <c r="G211" s="419"/>
      <c r="H211" s="408"/>
      <c r="I211" s="515">
        <v>95300</v>
      </c>
      <c r="J211" s="859"/>
    </row>
    <row r="212" spans="1:10" s="416" customFormat="1">
      <c r="A212" s="924"/>
      <c r="B212" s="922"/>
      <c r="C212" s="923"/>
      <c r="D212" s="413" t="s">
        <v>1336</v>
      </c>
      <c r="E212" s="412"/>
      <c r="F212" s="413" t="s">
        <v>1689</v>
      </c>
      <c r="G212" s="414">
        <v>10</v>
      </c>
      <c r="H212" s="413">
        <v>900</v>
      </c>
      <c r="I212" s="513">
        <v>9000</v>
      </c>
      <c r="J212" s="859"/>
    </row>
    <row r="213" spans="1:10" s="416" customFormat="1">
      <c r="A213" s="924"/>
      <c r="B213" s="922"/>
      <c r="C213" s="923"/>
      <c r="D213" s="413" t="s">
        <v>1338</v>
      </c>
      <c r="E213" s="412" t="s">
        <v>1698</v>
      </c>
      <c r="F213" s="413"/>
      <c r="G213" s="420"/>
      <c r="H213" s="417"/>
      <c r="I213" s="516">
        <v>30000</v>
      </c>
      <c r="J213" s="859"/>
    </row>
    <row r="214" spans="1:10" s="416" customFormat="1">
      <c r="A214" s="924"/>
      <c r="B214" s="922"/>
      <c r="C214" s="923"/>
      <c r="D214" s="418" t="s">
        <v>1342</v>
      </c>
      <c r="E214" s="412"/>
      <c r="F214" s="413"/>
      <c r="G214" s="410"/>
      <c r="H214" s="406"/>
      <c r="I214" s="514">
        <v>979000</v>
      </c>
      <c r="J214" s="860"/>
    </row>
    <row r="215" spans="1:10" s="416" customFormat="1" ht="24">
      <c r="A215" s="924">
        <v>2</v>
      </c>
      <c r="B215" s="922" t="s">
        <v>1843</v>
      </c>
      <c r="C215" s="923" t="s">
        <v>1312</v>
      </c>
      <c r="D215" s="922" t="s">
        <v>1684</v>
      </c>
      <c r="E215" s="412" t="s">
        <v>1844</v>
      </c>
      <c r="F215" s="413" t="s">
        <v>1315</v>
      </c>
      <c r="G215" s="420">
        <v>0</v>
      </c>
      <c r="H215" s="417">
        <v>0</v>
      </c>
      <c r="I215" s="513">
        <v>0</v>
      </c>
      <c r="J215" s="856">
        <f>ROUND(I225*0.8,0)</f>
        <v>531776</v>
      </c>
    </row>
    <row r="216" spans="1:10" s="416" customFormat="1" ht="24">
      <c r="A216" s="924"/>
      <c r="B216" s="922"/>
      <c r="C216" s="923"/>
      <c r="D216" s="922"/>
      <c r="E216" s="412" t="s">
        <v>1800</v>
      </c>
      <c r="F216" s="413" t="s">
        <v>1315</v>
      </c>
      <c r="G216" s="414">
        <v>750</v>
      </c>
      <c r="H216" s="417">
        <v>240</v>
      </c>
      <c r="I216" s="513">
        <v>180000</v>
      </c>
      <c r="J216" s="859"/>
    </row>
    <row r="217" spans="1:10" s="416" customFormat="1" ht="24">
      <c r="A217" s="924"/>
      <c r="B217" s="922"/>
      <c r="C217" s="923"/>
      <c r="D217" s="922"/>
      <c r="E217" s="412" t="s">
        <v>1842</v>
      </c>
      <c r="F217" s="413" t="s">
        <v>1315</v>
      </c>
      <c r="G217" s="414">
        <v>750</v>
      </c>
      <c r="H217" s="417">
        <v>51</v>
      </c>
      <c r="I217" s="513">
        <v>38250</v>
      </c>
      <c r="J217" s="859"/>
    </row>
    <row r="218" spans="1:10" s="416" customFormat="1" ht="24">
      <c r="A218" s="924"/>
      <c r="B218" s="922"/>
      <c r="C218" s="923"/>
      <c r="D218" s="922"/>
      <c r="E218" s="412" t="s">
        <v>1845</v>
      </c>
      <c r="F218" s="413" t="s">
        <v>1315</v>
      </c>
      <c r="G218" s="414">
        <v>260</v>
      </c>
      <c r="H218" s="413">
        <v>120</v>
      </c>
      <c r="I218" s="513">
        <v>31200</v>
      </c>
      <c r="J218" s="859"/>
    </row>
    <row r="219" spans="1:10" s="416" customFormat="1" ht="36">
      <c r="A219" s="924"/>
      <c r="B219" s="922"/>
      <c r="C219" s="923"/>
      <c r="D219" s="922"/>
      <c r="E219" s="412" t="s">
        <v>1846</v>
      </c>
      <c r="F219" s="413" t="s">
        <v>1315</v>
      </c>
      <c r="G219" s="414">
        <v>1600</v>
      </c>
      <c r="H219" s="413">
        <v>70</v>
      </c>
      <c r="I219" s="513">
        <v>112000</v>
      </c>
      <c r="J219" s="859"/>
    </row>
    <row r="220" spans="1:10" s="416" customFormat="1" ht="24">
      <c r="A220" s="924"/>
      <c r="B220" s="922"/>
      <c r="C220" s="923"/>
      <c r="D220" s="922"/>
      <c r="E220" s="412" t="s">
        <v>1847</v>
      </c>
      <c r="F220" s="413" t="s">
        <v>1315</v>
      </c>
      <c r="G220" s="414">
        <v>1600</v>
      </c>
      <c r="H220" s="413">
        <v>130</v>
      </c>
      <c r="I220" s="513">
        <v>208000</v>
      </c>
      <c r="J220" s="859"/>
    </row>
    <row r="221" spans="1:10" s="416" customFormat="1">
      <c r="A221" s="924"/>
      <c r="B221" s="922"/>
      <c r="C221" s="923"/>
      <c r="D221" s="418" t="s">
        <v>1332</v>
      </c>
      <c r="E221" s="412"/>
      <c r="F221" s="413"/>
      <c r="G221" s="410"/>
      <c r="H221" s="406"/>
      <c r="I221" s="514">
        <v>569450</v>
      </c>
      <c r="J221" s="859"/>
    </row>
    <row r="222" spans="1:10" s="416" customFormat="1">
      <c r="A222" s="924"/>
      <c r="B222" s="922"/>
      <c r="C222" s="923"/>
      <c r="D222" s="418" t="s">
        <v>1334</v>
      </c>
      <c r="E222" s="412"/>
      <c r="F222" s="413"/>
      <c r="G222" s="419"/>
      <c r="H222" s="408"/>
      <c r="I222" s="515">
        <v>59870</v>
      </c>
      <c r="J222" s="859"/>
    </row>
    <row r="223" spans="1:10" s="416" customFormat="1">
      <c r="A223" s="924"/>
      <c r="B223" s="922"/>
      <c r="C223" s="923"/>
      <c r="D223" s="413" t="s">
        <v>1336</v>
      </c>
      <c r="E223" s="412"/>
      <c r="F223" s="413" t="s">
        <v>1689</v>
      </c>
      <c r="G223" s="414">
        <v>6</v>
      </c>
      <c r="H223" s="413">
        <v>900</v>
      </c>
      <c r="I223" s="513">
        <v>5400</v>
      </c>
      <c r="J223" s="859"/>
    </row>
    <row r="224" spans="1:10" s="416" customFormat="1">
      <c r="A224" s="924"/>
      <c r="B224" s="922"/>
      <c r="C224" s="923"/>
      <c r="D224" s="413" t="s">
        <v>1338</v>
      </c>
      <c r="E224" s="412" t="s">
        <v>1801</v>
      </c>
      <c r="F224" s="413"/>
      <c r="G224" s="420"/>
      <c r="H224" s="417"/>
      <c r="I224" s="513">
        <v>30000</v>
      </c>
      <c r="J224" s="859"/>
    </row>
    <row r="225" spans="1:10" s="416" customFormat="1">
      <c r="A225" s="924"/>
      <c r="B225" s="922"/>
      <c r="C225" s="923"/>
      <c r="D225" s="418" t="s">
        <v>1342</v>
      </c>
      <c r="E225" s="412"/>
      <c r="F225" s="413"/>
      <c r="G225" s="410"/>
      <c r="H225" s="406"/>
      <c r="I225" s="514">
        <v>664720</v>
      </c>
      <c r="J225" s="860"/>
    </row>
    <row r="226" spans="1:10" s="416" customFormat="1" ht="24">
      <c r="A226" s="924">
        <v>3</v>
      </c>
      <c r="B226" s="922" t="s">
        <v>1848</v>
      </c>
      <c r="C226" s="923" t="s">
        <v>1312</v>
      </c>
      <c r="D226" s="922" t="s">
        <v>1849</v>
      </c>
      <c r="E226" s="412" t="s">
        <v>1850</v>
      </c>
      <c r="F226" s="413" t="s">
        <v>1315</v>
      </c>
      <c r="G226" s="414">
        <v>245</v>
      </c>
      <c r="H226" s="417">
        <v>178</v>
      </c>
      <c r="I226" s="513">
        <v>43610</v>
      </c>
      <c r="J226" s="856">
        <f>ROUND(I240*0.9,0)</f>
        <v>375030</v>
      </c>
    </row>
    <row r="227" spans="1:10" s="416" customFormat="1" ht="24">
      <c r="A227" s="924"/>
      <c r="B227" s="922"/>
      <c r="C227" s="923"/>
      <c r="D227" s="922"/>
      <c r="E227" s="412" t="s">
        <v>1851</v>
      </c>
      <c r="F227" s="413" t="s">
        <v>1315</v>
      </c>
      <c r="G227" s="414">
        <v>245</v>
      </c>
      <c r="H227" s="413">
        <v>20</v>
      </c>
      <c r="I227" s="512">
        <v>4900</v>
      </c>
      <c r="J227" s="859"/>
    </row>
    <row r="228" spans="1:10" s="416" customFormat="1" ht="36">
      <c r="A228" s="924"/>
      <c r="B228" s="922"/>
      <c r="C228" s="923"/>
      <c r="D228" s="922"/>
      <c r="E228" s="412" t="s">
        <v>1852</v>
      </c>
      <c r="F228" s="413" t="s">
        <v>1315</v>
      </c>
      <c r="G228" s="414">
        <v>245</v>
      </c>
      <c r="H228" s="413">
        <v>30</v>
      </c>
      <c r="I228" s="512">
        <v>7350</v>
      </c>
      <c r="J228" s="859"/>
    </row>
    <row r="229" spans="1:10" s="416" customFormat="1" ht="24">
      <c r="A229" s="924"/>
      <c r="B229" s="922"/>
      <c r="C229" s="923"/>
      <c r="D229" s="922"/>
      <c r="E229" s="412" t="s">
        <v>1853</v>
      </c>
      <c r="F229" s="413" t="s">
        <v>1315</v>
      </c>
      <c r="G229" s="414">
        <v>245</v>
      </c>
      <c r="H229" s="413">
        <v>180</v>
      </c>
      <c r="I229" s="512">
        <v>44100</v>
      </c>
      <c r="J229" s="859"/>
    </row>
    <row r="230" spans="1:10" s="416" customFormat="1" ht="24">
      <c r="A230" s="924"/>
      <c r="B230" s="922"/>
      <c r="C230" s="923"/>
      <c r="D230" s="922"/>
      <c r="E230" s="412" t="s">
        <v>1854</v>
      </c>
      <c r="F230" s="413" t="s">
        <v>1315</v>
      </c>
      <c r="G230" s="414">
        <v>245</v>
      </c>
      <c r="H230" s="413">
        <v>168</v>
      </c>
      <c r="I230" s="512">
        <v>41160</v>
      </c>
      <c r="J230" s="859"/>
    </row>
    <row r="231" spans="1:10" s="416" customFormat="1" ht="24">
      <c r="A231" s="924"/>
      <c r="B231" s="922"/>
      <c r="C231" s="923"/>
      <c r="D231" s="922"/>
      <c r="E231" s="412" t="s">
        <v>1855</v>
      </c>
      <c r="F231" s="413" t="s">
        <v>1315</v>
      </c>
      <c r="G231" s="414">
        <v>220</v>
      </c>
      <c r="H231" s="413">
        <v>250</v>
      </c>
      <c r="I231" s="512">
        <v>55000</v>
      </c>
      <c r="J231" s="859"/>
    </row>
    <row r="232" spans="1:10" s="416" customFormat="1" ht="24">
      <c r="A232" s="924"/>
      <c r="B232" s="922"/>
      <c r="C232" s="923"/>
      <c r="D232" s="922"/>
      <c r="E232" s="412" t="s">
        <v>1856</v>
      </c>
      <c r="F232" s="413" t="s">
        <v>1315</v>
      </c>
      <c r="G232" s="414">
        <v>10</v>
      </c>
      <c r="H232" s="413">
        <v>450</v>
      </c>
      <c r="I232" s="512">
        <v>4500</v>
      </c>
      <c r="J232" s="859"/>
    </row>
    <row r="233" spans="1:10" s="416" customFormat="1">
      <c r="A233" s="924"/>
      <c r="B233" s="922"/>
      <c r="C233" s="923"/>
      <c r="D233" s="922"/>
      <c r="E233" s="412" t="s">
        <v>1857</v>
      </c>
      <c r="F233" s="413" t="s">
        <v>1745</v>
      </c>
      <c r="G233" s="414">
        <v>3</v>
      </c>
      <c r="H233" s="413">
        <v>2500</v>
      </c>
      <c r="I233" s="512">
        <v>7500</v>
      </c>
      <c r="J233" s="859"/>
    </row>
    <row r="234" spans="1:10" s="416" customFormat="1" ht="24">
      <c r="A234" s="924"/>
      <c r="B234" s="922"/>
      <c r="C234" s="923"/>
      <c r="D234" s="922"/>
      <c r="E234" s="412" t="s">
        <v>1858</v>
      </c>
      <c r="F234" s="413" t="s">
        <v>1315</v>
      </c>
      <c r="G234" s="414">
        <v>245</v>
      </c>
      <c r="H234" s="417">
        <v>237</v>
      </c>
      <c r="I234" s="513">
        <v>58065</v>
      </c>
      <c r="J234" s="859"/>
    </row>
    <row r="235" spans="1:10" s="416" customFormat="1" ht="24">
      <c r="A235" s="924"/>
      <c r="B235" s="922"/>
      <c r="C235" s="923"/>
      <c r="D235" s="922"/>
      <c r="E235" s="925" t="s">
        <v>1859</v>
      </c>
      <c r="F235" s="413" t="s">
        <v>1315</v>
      </c>
      <c r="G235" s="414">
        <v>269</v>
      </c>
      <c r="H235" s="413">
        <v>50</v>
      </c>
      <c r="I235" s="512">
        <v>13450</v>
      </c>
      <c r="J235" s="859"/>
    </row>
    <row r="236" spans="1:10" s="416" customFormat="1" ht="24">
      <c r="A236" s="924"/>
      <c r="B236" s="922"/>
      <c r="C236" s="923"/>
      <c r="D236" s="922"/>
      <c r="E236" s="925"/>
      <c r="F236" s="413" t="s">
        <v>1315</v>
      </c>
      <c r="G236" s="414">
        <v>269</v>
      </c>
      <c r="H236" s="413">
        <v>330</v>
      </c>
      <c r="I236" s="512">
        <v>88770</v>
      </c>
      <c r="J236" s="859"/>
    </row>
    <row r="237" spans="1:10" s="416" customFormat="1">
      <c r="A237" s="924"/>
      <c r="B237" s="922"/>
      <c r="C237" s="923"/>
      <c r="D237" s="418" t="s">
        <v>1332</v>
      </c>
      <c r="E237" s="412"/>
      <c r="F237" s="413"/>
      <c r="G237" s="410"/>
      <c r="H237" s="406"/>
      <c r="I237" s="514">
        <v>368405</v>
      </c>
      <c r="J237" s="859"/>
    </row>
    <row r="238" spans="1:10" s="416" customFormat="1">
      <c r="A238" s="924"/>
      <c r="B238" s="922"/>
      <c r="C238" s="923"/>
      <c r="D238" s="418" t="s">
        <v>1334</v>
      </c>
      <c r="E238" s="412"/>
      <c r="F238" s="413"/>
      <c r="G238" s="419"/>
      <c r="H238" s="408"/>
      <c r="I238" s="515">
        <v>43795</v>
      </c>
      <c r="J238" s="859"/>
    </row>
    <row r="239" spans="1:10" s="416" customFormat="1">
      <c r="A239" s="924"/>
      <c r="B239" s="922"/>
      <c r="C239" s="923"/>
      <c r="D239" s="413" t="s">
        <v>1336</v>
      </c>
      <c r="E239" s="412"/>
      <c r="F239" s="413" t="s">
        <v>1689</v>
      </c>
      <c r="G239" s="414">
        <v>5</v>
      </c>
      <c r="H239" s="413">
        <v>900</v>
      </c>
      <c r="I239" s="512">
        <v>4500</v>
      </c>
      <c r="J239" s="859"/>
    </row>
    <row r="240" spans="1:10" s="416" customFormat="1">
      <c r="A240" s="924"/>
      <c r="B240" s="922"/>
      <c r="C240" s="923"/>
      <c r="D240" s="418" t="s">
        <v>1342</v>
      </c>
      <c r="E240" s="412"/>
      <c r="F240" s="413"/>
      <c r="G240" s="410"/>
      <c r="H240" s="406"/>
      <c r="I240" s="514">
        <v>416700</v>
      </c>
      <c r="J240" s="860"/>
    </row>
    <row r="241" spans="1:10" s="416" customFormat="1" ht="24">
      <c r="A241" s="924">
        <v>4</v>
      </c>
      <c r="B241" s="922" t="s">
        <v>1860</v>
      </c>
      <c r="C241" s="923" t="s">
        <v>1312</v>
      </c>
      <c r="D241" s="413" t="s">
        <v>1684</v>
      </c>
      <c r="E241" s="412" t="s">
        <v>1861</v>
      </c>
      <c r="F241" s="413" t="s">
        <v>1315</v>
      </c>
      <c r="G241" s="420">
        <v>0</v>
      </c>
      <c r="H241" s="417">
        <v>0</v>
      </c>
      <c r="I241" s="513">
        <v>0</v>
      </c>
      <c r="J241" s="856">
        <f>ROUND(I247*0.9,0)</f>
        <v>203400</v>
      </c>
    </row>
    <row r="242" spans="1:10" s="416" customFormat="1" ht="24">
      <c r="A242" s="924"/>
      <c r="B242" s="922"/>
      <c r="C242" s="923"/>
      <c r="D242" s="922" t="s">
        <v>1694</v>
      </c>
      <c r="E242" s="412" t="s">
        <v>1862</v>
      </c>
      <c r="F242" s="413" t="s">
        <v>1315</v>
      </c>
      <c r="G242" s="414">
        <v>700</v>
      </c>
      <c r="H242" s="417">
        <v>50</v>
      </c>
      <c r="I242" s="513">
        <v>35000</v>
      </c>
      <c r="J242" s="859"/>
    </row>
    <row r="243" spans="1:10" s="416" customFormat="1" ht="24">
      <c r="A243" s="924"/>
      <c r="B243" s="922"/>
      <c r="C243" s="923"/>
      <c r="D243" s="922"/>
      <c r="E243" s="412" t="s">
        <v>1863</v>
      </c>
      <c r="F243" s="413" t="s">
        <v>1315</v>
      </c>
      <c r="G243" s="414">
        <v>700</v>
      </c>
      <c r="H243" s="417">
        <v>200</v>
      </c>
      <c r="I243" s="513">
        <v>140000</v>
      </c>
      <c r="J243" s="859"/>
    </row>
    <row r="244" spans="1:10" s="416" customFormat="1">
      <c r="A244" s="924"/>
      <c r="B244" s="922"/>
      <c r="C244" s="923"/>
      <c r="D244" s="418" t="s">
        <v>1332</v>
      </c>
      <c r="E244" s="412"/>
      <c r="F244" s="413"/>
      <c r="G244" s="410"/>
      <c r="H244" s="406"/>
      <c r="I244" s="514">
        <v>175000</v>
      </c>
      <c r="J244" s="859"/>
    </row>
    <row r="245" spans="1:10" s="416" customFormat="1">
      <c r="A245" s="924"/>
      <c r="B245" s="922"/>
      <c r="C245" s="923"/>
      <c r="D245" s="418" t="s">
        <v>1334</v>
      </c>
      <c r="E245" s="412"/>
      <c r="F245" s="413"/>
      <c r="G245" s="419"/>
      <c r="H245" s="408"/>
      <c r="I245" s="515">
        <v>21000</v>
      </c>
      <c r="J245" s="859"/>
    </row>
    <row r="246" spans="1:10" s="416" customFormat="1">
      <c r="A246" s="924"/>
      <c r="B246" s="922"/>
      <c r="C246" s="923"/>
      <c r="D246" s="413" t="s">
        <v>1338</v>
      </c>
      <c r="E246" s="412" t="s">
        <v>1698</v>
      </c>
      <c r="F246" s="413"/>
      <c r="G246" s="420"/>
      <c r="H246" s="417"/>
      <c r="I246" s="512">
        <v>30000</v>
      </c>
      <c r="J246" s="859"/>
    </row>
    <row r="247" spans="1:10" s="416" customFormat="1">
      <c r="A247" s="924"/>
      <c r="B247" s="922"/>
      <c r="C247" s="923"/>
      <c r="D247" s="418" t="s">
        <v>1342</v>
      </c>
      <c r="E247" s="412"/>
      <c r="F247" s="413"/>
      <c r="G247" s="410"/>
      <c r="H247" s="406"/>
      <c r="I247" s="514">
        <v>226000</v>
      </c>
      <c r="J247" s="860"/>
    </row>
    <row r="248" spans="1:10" s="416" customFormat="1" ht="24">
      <c r="A248" s="924">
        <v>5</v>
      </c>
      <c r="B248" s="922" t="s">
        <v>243</v>
      </c>
      <c r="C248" s="923" t="s">
        <v>1312</v>
      </c>
      <c r="D248" s="922" t="s">
        <v>1684</v>
      </c>
      <c r="E248" s="412" t="s">
        <v>1864</v>
      </c>
      <c r="F248" s="413" t="s">
        <v>1315</v>
      </c>
      <c r="G248" s="414">
        <v>900</v>
      </c>
      <c r="H248" s="413">
        <v>30</v>
      </c>
      <c r="I248" s="513">
        <v>27000</v>
      </c>
      <c r="J248" s="856">
        <f>ROUND(I253*0.9,0)</f>
        <v>268956</v>
      </c>
    </row>
    <row r="249" spans="1:10" s="416" customFormat="1" ht="24">
      <c r="A249" s="924"/>
      <c r="B249" s="922"/>
      <c r="C249" s="923"/>
      <c r="D249" s="922"/>
      <c r="E249" s="412" t="s">
        <v>1865</v>
      </c>
      <c r="F249" s="413" t="s">
        <v>1315</v>
      </c>
      <c r="G249" s="414">
        <v>1500</v>
      </c>
      <c r="H249" s="417">
        <v>145</v>
      </c>
      <c r="I249" s="513">
        <v>217500</v>
      </c>
      <c r="J249" s="859"/>
    </row>
    <row r="250" spans="1:10" s="416" customFormat="1">
      <c r="A250" s="924"/>
      <c r="B250" s="922"/>
      <c r="C250" s="923"/>
      <c r="D250" s="418" t="s">
        <v>1332</v>
      </c>
      <c r="E250" s="412"/>
      <c r="F250" s="413"/>
      <c r="G250" s="410"/>
      <c r="H250" s="406"/>
      <c r="I250" s="515">
        <v>244500</v>
      </c>
      <c r="J250" s="859"/>
    </row>
    <row r="251" spans="1:10" s="416" customFormat="1">
      <c r="A251" s="924"/>
      <c r="B251" s="922"/>
      <c r="C251" s="923"/>
      <c r="D251" s="418" t="s">
        <v>1334</v>
      </c>
      <c r="E251" s="412"/>
      <c r="F251" s="413"/>
      <c r="G251" s="419"/>
      <c r="H251" s="408"/>
      <c r="I251" s="515">
        <v>29340</v>
      </c>
      <c r="J251" s="859"/>
    </row>
    <row r="252" spans="1:10" s="416" customFormat="1">
      <c r="A252" s="924"/>
      <c r="B252" s="922"/>
      <c r="C252" s="923"/>
      <c r="D252" s="413" t="s">
        <v>1340</v>
      </c>
      <c r="E252" s="412"/>
      <c r="F252" s="413" t="s">
        <v>1330</v>
      </c>
      <c r="G252" s="414">
        <v>1</v>
      </c>
      <c r="H252" s="415">
        <v>25000</v>
      </c>
      <c r="I252" s="512">
        <v>25000</v>
      </c>
      <c r="J252" s="859"/>
    </row>
    <row r="253" spans="1:10" s="416" customFormat="1">
      <c r="A253" s="924"/>
      <c r="B253" s="922"/>
      <c r="C253" s="923"/>
      <c r="D253" s="418" t="s">
        <v>1342</v>
      </c>
      <c r="E253" s="412"/>
      <c r="F253" s="413"/>
      <c r="G253" s="410"/>
      <c r="H253" s="406"/>
      <c r="I253" s="514">
        <v>298840</v>
      </c>
      <c r="J253" s="860"/>
    </row>
    <row r="254" spans="1:10" s="416" customFormat="1" ht="24">
      <c r="A254" s="924">
        <v>6</v>
      </c>
      <c r="B254" s="922" t="s">
        <v>238</v>
      </c>
      <c r="C254" s="923" t="s">
        <v>1312</v>
      </c>
      <c r="D254" s="413" t="s">
        <v>1684</v>
      </c>
      <c r="E254" s="412" t="s">
        <v>1861</v>
      </c>
      <c r="F254" s="413" t="s">
        <v>1315</v>
      </c>
      <c r="G254" s="420">
        <v>480</v>
      </c>
      <c r="H254" s="417">
        <v>2500</v>
      </c>
      <c r="I254" s="513">
        <v>1200000</v>
      </c>
      <c r="J254" s="856">
        <f>ROUND(I258*0.9,0)</f>
        <v>1209060</v>
      </c>
    </row>
    <row r="255" spans="1:10" s="416" customFormat="1">
      <c r="A255" s="924"/>
      <c r="B255" s="922"/>
      <c r="C255" s="923"/>
      <c r="D255" s="418" t="s">
        <v>1332</v>
      </c>
      <c r="E255" s="412"/>
      <c r="F255" s="413"/>
      <c r="G255" s="410"/>
      <c r="H255" s="406"/>
      <c r="I255" s="514">
        <v>1200000</v>
      </c>
      <c r="J255" s="859"/>
    </row>
    <row r="256" spans="1:10" s="416" customFormat="1">
      <c r="A256" s="924"/>
      <c r="B256" s="922"/>
      <c r="C256" s="923"/>
      <c r="D256" s="418" t="s">
        <v>1334</v>
      </c>
      <c r="E256" s="412"/>
      <c r="F256" s="413"/>
      <c r="G256" s="419"/>
      <c r="H256" s="408"/>
      <c r="I256" s="515">
        <v>134400</v>
      </c>
      <c r="J256" s="859"/>
    </row>
    <row r="257" spans="1:10" s="416" customFormat="1">
      <c r="A257" s="924"/>
      <c r="B257" s="922"/>
      <c r="C257" s="923"/>
      <c r="D257" s="413" t="s">
        <v>1336</v>
      </c>
      <c r="E257" s="412"/>
      <c r="F257" s="413" t="s">
        <v>1689</v>
      </c>
      <c r="G257" s="414">
        <v>10</v>
      </c>
      <c r="H257" s="413">
        <v>900</v>
      </c>
      <c r="I257" s="512">
        <v>9000</v>
      </c>
      <c r="J257" s="859"/>
    </row>
    <row r="258" spans="1:10" s="416" customFormat="1">
      <c r="A258" s="924"/>
      <c r="B258" s="922"/>
      <c r="C258" s="923"/>
      <c r="D258" s="418" t="s">
        <v>1342</v>
      </c>
      <c r="E258" s="412"/>
      <c r="F258" s="413"/>
      <c r="G258" s="410"/>
      <c r="H258" s="406"/>
      <c r="I258" s="514">
        <v>1343400</v>
      </c>
      <c r="J258" s="860"/>
    </row>
    <row r="259" spans="1:10" s="416" customFormat="1">
      <c r="A259" s="924">
        <v>7</v>
      </c>
      <c r="B259" s="922" t="s">
        <v>1866</v>
      </c>
      <c r="C259" s="923" t="s">
        <v>1690</v>
      </c>
      <c r="D259" s="413" t="s">
        <v>1867</v>
      </c>
      <c r="E259" s="412" t="s">
        <v>1868</v>
      </c>
      <c r="F259" s="417" t="s">
        <v>1359</v>
      </c>
      <c r="G259" s="414">
        <v>5</v>
      </c>
      <c r="H259" s="413">
        <v>2500</v>
      </c>
      <c r="I259" s="512">
        <v>12500</v>
      </c>
      <c r="J259" s="856">
        <f>ROUND(I272*0.8,0)</f>
        <v>1047264</v>
      </c>
    </row>
    <row r="260" spans="1:10" s="416" customFormat="1">
      <c r="A260" s="924"/>
      <c r="B260" s="922"/>
      <c r="C260" s="923"/>
      <c r="D260" s="413" t="s">
        <v>1869</v>
      </c>
      <c r="E260" s="412" t="s">
        <v>1869</v>
      </c>
      <c r="F260" s="417" t="s">
        <v>1347</v>
      </c>
      <c r="G260" s="414">
        <v>2200</v>
      </c>
      <c r="H260" s="413">
        <v>145</v>
      </c>
      <c r="I260" s="512">
        <v>319000</v>
      </c>
      <c r="J260" s="859"/>
    </row>
    <row r="261" spans="1:10" s="416" customFormat="1">
      <c r="A261" s="924"/>
      <c r="B261" s="922"/>
      <c r="C261" s="923"/>
      <c r="D261" s="413" t="s">
        <v>1870</v>
      </c>
      <c r="E261" s="412" t="s">
        <v>1871</v>
      </c>
      <c r="F261" s="417" t="s">
        <v>1347</v>
      </c>
      <c r="G261" s="414">
        <v>1350</v>
      </c>
      <c r="H261" s="422">
        <v>380</v>
      </c>
      <c r="I261" s="513">
        <v>513000</v>
      </c>
      <c r="J261" s="859"/>
    </row>
    <row r="262" spans="1:10" s="416" customFormat="1">
      <c r="A262" s="924"/>
      <c r="B262" s="922"/>
      <c r="C262" s="923"/>
      <c r="D262" s="413" t="s">
        <v>1872</v>
      </c>
      <c r="E262" s="412" t="s">
        <v>1873</v>
      </c>
      <c r="F262" s="417" t="s">
        <v>1709</v>
      </c>
      <c r="G262" s="414">
        <v>90</v>
      </c>
      <c r="H262" s="413">
        <v>120</v>
      </c>
      <c r="I262" s="512">
        <v>10800</v>
      </c>
      <c r="J262" s="859"/>
    </row>
    <row r="263" spans="1:10" s="416" customFormat="1">
      <c r="A263" s="924"/>
      <c r="B263" s="922"/>
      <c r="C263" s="923"/>
      <c r="D263" s="922" t="s">
        <v>1874</v>
      </c>
      <c r="E263" s="412" t="s">
        <v>1875</v>
      </c>
      <c r="F263" s="417" t="s">
        <v>1347</v>
      </c>
      <c r="G263" s="414">
        <v>650</v>
      </c>
      <c r="H263" s="413">
        <v>30</v>
      </c>
      <c r="I263" s="512">
        <v>19500</v>
      </c>
      <c r="J263" s="859"/>
    </row>
    <row r="264" spans="1:10" s="416" customFormat="1" ht="24">
      <c r="A264" s="924"/>
      <c r="B264" s="922"/>
      <c r="C264" s="923"/>
      <c r="D264" s="922"/>
      <c r="E264" s="412" t="s">
        <v>1876</v>
      </c>
      <c r="F264" s="417" t="s">
        <v>1347</v>
      </c>
      <c r="G264" s="414">
        <v>200</v>
      </c>
      <c r="H264" s="413">
        <v>300</v>
      </c>
      <c r="I264" s="512">
        <v>60000</v>
      </c>
      <c r="J264" s="859"/>
    </row>
    <row r="265" spans="1:10" s="416" customFormat="1" ht="24">
      <c r="A265" s="924"/>
      <c r="B265" s="922"/>
      <c r="C265" s="923"/>
      <c r="D265" s="922"/>
      <c r="E265" s="412" t="s">
        <v>1877</v>
      </c>
      <c r="F265" s="417" t="s">
        <v>1347</v>
      </c>
      <c r="G265" s="414">
        <v>650</v>
      </c>
      <c r="H265" s="413">
        <v>240</v>
      </c>
      <c r="I265" s="512">
        <v>156000</v>
      </c>
      <c r="J265" s="859"/>
    </row>
    <row r="266" spans="1:10" s="416" customFormat="1">
      <c r="A266" s="924"/>
      <c r="B266" s="922"/>
      <c r="C266" s="923"/>
      <c r="D266" s="922"/>
      <c r="E266" s="412" t="s">
        <v>1353</v>
      </c>
      <c r="F266" s="417" t="s">
        <v>1878</v>
      </c>
      <c r="G266" s="414">
        <v>1</v>
      </c>
      <c r="H266" s="413">
        <v>1200</v>
      </c>
      <c r="I266" s="512">
        <v>1200</v>
      </c>
      <c r="J266" s="859"/>
    </row>
    <row r="267" spans="1:10" s="416" customFormat="1">
      <c r="A267" s="924"/>
      <c r="B267" s="922"/>
      <c r="C267" s="923"/>
      <c r="D267" s="413" t="s">
        <v>1879</v>
      </c>
      <c r="E267" s="412" t="s">
        <v>1879</v>
      </c>
      <c r="F267" s="417" t="s">
        <v>1347</v>
      </c>
      <c r="G267" s="414">
        <v>600</v>
      </c>
      <c r="H267" s="413">
        <v>70</v>
      </c>
      <c r="I267" s="512">
        <v>42000</v>
      </c>
      <c r="J267" s="859"/>
    </row>
    <row r="268" spans="1:10" s="416" customFormat="1">
      <c r="A268" s="924"/>
      <c r="B268" s="922"/>
      <c r="C268" s="923"/>
      <c r="D268" s="418" t="s">
        <v>1332</v>
      </c>
      <c r="E268" s="412"/>
      <c r="F268" s="413"/>
      <c r="G268" s="419"/>
      <c r="H268" s="408"/>
      <c r="I268" s="515">
        <v>1134000</v>
      </c>
      <c r="J268" s="859"/>
    </row>
    <row r="269" spans="1:10" s="416" customFormat="1">
      <c r="A269" s="924"/>
      <c r="B269" s="922"/>
      <c r="C269" s="923"/>
      <c r="D269" s="408" t="s">
        <v>1880</v>
      </c>
      <c r="E269" s="423"/>
      <c r="F269" s="418"/>
      <c r="G269" s="419"/>
      <c r="H269" s="408"/>
      <c r="I269" s="515">
        <v>136080</v>
      </c>
      <c r="J269" s="859"/>
    </row>
    <row r="270" spans="1:10" s="416" customFormat="1">
      <c r="A270" s="924"/>
      <c r="B270" s="922"/>
      <c r="C270" s="923"/>
      <c r="D270" s="417" t="s">
        <v>1881</v>
      </c>
      <c r="E270" s="412"/>
      <c r="F270" s="413" t="s">
        <v>1689</v>
      </c>
      <c r="G270" s="414">
        <v>10</v>
      </c>
      <c r="H270" s="413">
        <v>900</v>
      </c>
      <c r="I270" s="512">
        <v>9000</v>
      </c>
      <c r="J270" s="859"/>
    </row>
    <row r="271" spans="1:10" s="416" customFormat="1">
      <c r="A271" s="924"/>
      <c r="B271" s="922"/>
      <c r="C271" s="923"/>
      <c r="D271" s="417" t="s">
        <v>1882</v>
      </c>
      <c r="E271" s="412" t="s">
        <v>1801</v>
      </c>
      <c r="F271" s="413"/>
      <c r="G271" s="414"/>
      <c r="H271" s="413"/>
      <c r="I271" s="512">
        <v>30000</v>
      </c>
      <c r="J271" s="859"/>
    </row>
    <row r="272" spans="1:10" s="416" customFormat="1">
      <c r="A272" s="924"/>
      <c r="B272" s="922"/>
      <c r="C272" s="923"/>
      <c r="D272" s="418" t="s">
        <v>1342</v>
      </c>
      <c r="E272" s="412"/>
      <c r="F272" s="413"/>
      <c r="G272" s="419"/>
      <c r="H272" s="408"/>
      <c r="I272" s="515">
        <v>1309080</v>
      </c>
      <c r="J272" s="860"/>
    </row>
    <row r="273" spans="1:10" s="416" customFormat="1">
      <c r="A273" s="924">
        <v>8</v>
      </c>
      <c r="B273" s="922" t="s">
        <v>1008</v>
      </c>
      <c r="C273" s="923" t="s">
        <v>1690</v>
      </c>
      <c r="D273" s="413" t="s">
        <v>1869</v>
      </c>
      <c r="E273" s="412" t="s">
        <v>1883</v>
      </c>
      <c r="F273" s="417" t="s">
        <v>1347</v>
      </c>
      <c r="G273" s="414">
        <v>7000</v>
      </c>
      <c r="H273" s="413">
        <v>145</v>
      </c>
      <c r="I273" s="512">
        <v>1015000</v>
      </c>
      <c r="J273" s="856">
        <f>ROUND(I280*0.8,0)</f>
        <v>2858965</v>
      </c>
    </row>
    <row r="274" spans="1:10" s="416" customFormat="1">
      <c r="A274" s="924"/>
      <c r="B274" s="922"/>
      <c r="C274" s="923"/>
      <c r="D274" s="413" t="s">
        <v>1870</v>
      </c>
      <c r="E274" s="412" t="s">
        <v>1871</v>
      </c>
      <c r="F274" s="417" t="s">
        <v>1347</v>
      </c>
      <c r="G274" s="414"/>
      <c r="H274" s="417"/>
      <c r="I274" s="512">
        <v>1509751</v>
      </c>
      <c r="J274" s="859"/>
    </row>
    <row r="275" spans="1:10" s="416" customFormat="1" ht="48">
      <c r="A275" s="924"/>
      <c r="B275" s="922"/>
      <c r="C275" s="923"/>
      <c r="D275" s="413" t="s">
        <v>1884</v>
      </c>
      <c r="E275" s="412" t="s">
        <v>1885</v>
      </c>
      <c r="F275" s="417" t="s">
        <v>1347</v>
      </c>
      <c r="G275" s="420"/>
      <c r="H275" s="417"/>
      <c r="I275" s="512">
        <v>585186</v>
      </c>
      <c r="J275" s="859"/>
    </row>
    <row r="276" spans="1:10" s="416" customFormat="1">
      <c r="A276" s="924"/>
      <c r="B276" s="922"/>
      <c r="C276" s="923"/>
      <c r="D276" s="413" t="s">
        <v>1886</v>
      </c>
      <c r="E276" s="412" t="s">
        <v>1779</v>
      </c>
      <c r="F276" s="417" t="s">
        <v>1347</v>
      </c>
      <c r="G276" s="420">
        <v>3050</v>
      </c>
      <c r="H276" s="417">
        <v>45</v>
      </c>
      <c r="I276" s="512">
        <v>137250</v>
      </c>
      <c r="J276" s="859"/>
    </row>
    <row r="277" spans="1:10" s="416" customFormat="1">
      <c r="A277" s="924"/>
      <c r="B277" s="922"/>
      <c r="C277" s="923"/>
      <c r="D277" s="418" t="s">
        <v>1332</v>
      </c>
      <c r="E277" s="412"/>
      <c r="F277" s="413"/>
      <c r="G277" s="419"/>
      <c r="H277" s="408"/>
      <c r="I277" s="511">
        <v>3247187</v>
      </c>
      <c r="J277" s="859"/>
    </row>
    <row r="278" spans="1:10" s="416" customFormat="1">
      <c r="A278" s="924"/>
      <c r="B278" s="922"/>
      <c r="C278" s="923"/>
      <c r="D278" s="408" t="s">
        <v>1880</v>
      </c>
      <c r="E278" s="423"/>
      <c r="F278" s="418"/>
      <c r="G278" s="419"/>
      <c r="H278" s="408"/>
      <c r="I278" s="515">
        <v>324718.7</v>
      </c>
      <c r="J278" s="859"/>
    </row>
    <row r="279" spans="1:10" s="416" customFormat="1">
      <c r="A279" s="924"/>
      <c r="B279" s="922"/>
      <c r="C279" s="923"/>
      <c r="D279" s="417" t="s">
        <v>1881</v>
      </c>
      <c r="E279" s="412"/>
      <c r="F279" s="413" t="s">
        <v>1689</v>
      </c>
      <c r="G279" s="420">
        <v>2</v>
      </c>
      <c r="H279" s="413">
        <v>900</v>
      </c>
      <c r="I279" s="513">
        <v>1800</v>
      </c>
      <c r="J279" s="859"/>
    </row>
    <row r="280" spans="1:10" s="416" customFormat="1">
      <c r="A280" s="924"/>
      <c r="B280" s="922"/>
      <c r="C280" s="923"/>
      <c r="D280" s="418" t="s">
        <v>1342</v>
      </c>
      <c r="E280" s="412"/>
      <c r="F280" s="413"/>
      <c r="G280" s="419"/>
      <c r="H280" s="408"/>
      <c r="I280" s="515">
        <v>3573705.7</v>
      </c>
      <c r="J280" s="860"/>
    </row>
    <row r="281" spans="1:10" s="416" customFormat="1" ht="24">
      <c r="A281" s="924">
        <v>9</v>
      </c>
      <c r="B281" s="922" t="s">
        <v>1887</v>
      </c>
      <c r="C281" s="923" t="s">
        <v>1690</v>
      </c>
      <c r="D281" s="922" t="s">
        <v>1888</v>
      </c>
      <c r="E281" s="424" t="s">
        <v>1889</v>
      </c>
      <c r="F281" s="417" t="s">
        <v>1347</v>
      </c>
      <c r="G281" s="420">
        <v>2400</v>
      </c>
      <c r="H281" s="417">
        <v>30</v>
      </c>
      <c r="I281" s="512">
        <v>72000</v>
      </c>
      <c r="J281" s="856">
        <f>ROUND(I290*0.9,0)</f>
        <v>1817744</v>
      </c>
    </row>
    <row r="282" spans="1:10" s="416" customFormat="1">
      <c r="A282" s="924"/>
      <c r="B282" s="922"/>
      <c r="C282" s="923"/>
      <c r="D282" s="922"/>
      <c r="E282" s="412" t="s">
        <v>1890</v>
      </c>
      <c r="F282" s="417" t="s">
        <v>1347</v>
      </c>
      <c r="G282" s="414">
        <v>2400</v>
      </c>
      <c r="H282" s="413">
        <v>210</v>
      </c>
      <c r="I282" s="512">
        <v>504000</v>
      </c>
      <c r="J282" s="859"/>
    </row>
    <row r="283" spans="1:10" s="416" customFormat="1" ht="24">
      <c r="A283" s="924"/>
      <c r="B283" s="922"/>
      <c r="C283" s="923"/>
      <c r="D283" s="922" t="s">
        <v>1891</v>
      </c>
      <c r="E283" s="412" t="s">
        <v>1892</v>
      </c>
      <c r="F283" s="417" t="s">
        <v>1347</v>
      </c>
      <c r="G283" s="420">
        <v>4500</v>
      </c>
      <c r="H283" s="417">
        <v>30</v>
      </c>
      <c r="I283" s="513">
        <v>135000</v>
      </c>
      <c r="J283" s="859"/>
    </row>
    <row r="284" spans="1:10" s="416" customFormat="1" ht="24">
      <c r="A284" s="924"/>
      <c r="B284" s="922"/>
      <c r="C284" s="923"/>
      <c r="D284" s="922"/>
      <c r="E284" s="412" t="s">
        <v>1807</v>
      </c>
      <c r="F284" s="417" t="s">
        <v>1347</v>
      </c>
      <c r="G284" s="414">
        <v>4500</v>
      </c>
      <c r="H284" s="413">
        <v>200</v>
      </c>
      <c r="I284" s="513">
        <v>900000</v>
      </c>
      <c r="J284" s="859"/>
    </row>
    <row r="285" spans="1:10" s="416" customFormat="1" ht="24">
      <c r="A285" s="924"/>
      <c r="B285" s="922"/>
      <c r="C285" s="923"/>
      <c r="D285" s="425"/>
      <c r="E285" s="412" t="s">
        <v>1893</v>
      </c>
      <c r="F285" s="413" t="s">
        <v>1315</v>
      </c>
      <c r="G285" s="414">
        <v>3360</v>
      </c>
      <c r="H285" s="413">
        <v>21</v>
      </c>
      <c r="I285" s="512">
        <v>70560</v>
      </c>
      <c r="J285" s="859"/>
    </row>
    <row r="286" spans="1:10" s="416" customFormat="1">
      <c r="A286" s="924"/>
      <c r="B286" s="922"/>
      <c r="C286" s="923"/>
      <c r="D286" s="425"/>
      <c r="E286" s="412" t="s">
        <v>1894</v>
      </c>
      <c r="F286" s="417" t="s">
        <v>1330</v>
      </c>
      <c r="G286" s="414">
        <v>0</v>
      </c>
      <c r="H286" s="413">
        <v>0</v>
      </c>
      <c r="I286" s="512">
        <v>100000</v>
      </c>
      <c r="J286" s="859"/>
    </row>
    <row r="287" spans="1:10" s="416" customFormat="1">
      <c r="A287" s="924"/>
      <c r="B287" s="922"/>
      <c r="C287" s="923"/>
      <c r="D287" s="418" t="s">
        <v>1332</v>
      </c>
      <c r="E287" s="412"/>
      <c r="F287" s="413"/>
      <c r="G287" s="419"/>
      <c r="H287" s="408"/>
      <c r="I287" s="515">
        <v>1781560</v>
      </c>
      <c r="J287" s="859"/>
    </row>
    <row r="288" spans="1:10" s="416" customFormat="1">
      <c r="A288" s="924"/>
      <c r="B288" s="922"/>
      <c r="C288" s="923"/>
      <c r="D288" s="408" t="s">
        <v>1880</v>
      </c>
      <c r="E288" s="423"/>
      <c r="F288" s="418"/>
      <c r="G288" s="419"/>
      <c r="H288" s="408"/>
      <c r="I288" s="515">
        <v>178156</v>
      </c>
      <c r="J288" s="859"/>
    </row>
    <row r="289" spans="1:10" s="416" customFormat="1" ht="24">
      <c r="A289" s="924"/>
      <c r="B289" s="922"/>
      <c r="C289" s="923"/>
      <c r="D289" s="417" t="s">
        <v>1895</v>
      </c>
      <c r="E289" s="412" t="s">
        <v>1896</v>
      </c>
      <c r="F289" s="418"/>
      <c r="G289" s="420"/>
      <c r="H289" s="417"/>
      <c r="I289" s="513">
        <v>60000</v>
      </c>
      <c r="J289" s="859"/>
    </row>
    <row r="290" spans="1:10" s="416" customFormat="1">
      <c r="A290" s="924"/>
      <c r="B290" s="922"/>
      <c r="C290" s="923"/>
      <c r="D290" s="418" t="s">
        <v>1342</v>
      </c>
      <c r="E290" s="412"/>
      <c r="F290" s="413"/>
      <c r="G290" s="419"/>
      <c r="H290" s="408"/>
      <c r="I290" s="515">
        <v>2019716</v>
      </c>
      <c r="J290" s="860"/>
    </row>
    <row r="291" spans="1:10" s="416" customFormat="1" ht="36">
      <c r="A291" s="924">
        <v>10</v>
      </c>
      <c r="B291" s="922" t="s">
        <v>240</v>
      </c>
      <c r="C291" s="923" t="s">
        <v>1690</v>
      </c>
      <c r="D291" s="413" t="s">
        <v>1897</v>
      </c>
      <c r="E291" s="412" t="s">
        <v>1898</v>
      </c>
      <c r="F291" s="417" t="s">
        <v>1347</v>
      </c>
      <c r="G291" s="420">
        <v>2300</v>
      </c>
      <c r="H291" s="417">
        <v>400</v>
      </c>
      <c r="I291" s="513">
        <v>920000</v>
      </c>
      <c r="J291" s="856">
        <f>ROUND(I297*0.9,0)</f>
        <v>1369260</v>
      </c>
    </row>
    <row r="292" spans="1:10" s="416" customFormat="1" ht="24">
      <c r="A292" s="924"/>
      <c r="B292" s="922"/>
      <c r="C292" s="923"/>
      <c r="D292" s="413" t="s">
        <v>1899</v>
      </c>
      <c r="E292" s="412" t="s">
        <v>1900</v>
      </c>
      <c r="F292" s="417" t="s">
        <v>1347</v>
      </c>
      <c r="G292" s="420">
        <v>165</v>
      </c>
      <c r="H292" s="417">
        <v>2500</v>
      </c>
      <c r="I292" s="513">
        <v>412500</v>
      </c>
      <c r="J292" s="859"/>
    </row>
    <row r="293" spans="1:10" s="416" customFormat="1">
      <c r="A293" s="924"/>
      <c r="B293" s="922"/>
      <c r="C293" s="923"/>
      <c r="D293" s="418" t="s">
        <v>1332</v>
      </c>
      <c r="E293" s="412"/>
      <c r="F293" s="413"/>
      <c r="G293" s="419"/>
      <c r="H293" s="408"/>
      <c r="I293" s="515">
        <v>1332500</v>
      </c>
      <c r="J293" s="859"/>
    </row>
    <row r="294" spans="1:10" s="416" customFormat="1">
      <c r="A294" s="924"/>
      <c r="B294" s="922"/>
      <c r="C294" s="923"/>
      <c r="D294" s="408" t="s">
        <v>1880</v>
      </c>
      <c r="E294" s="423"/>
      <c r="F294" s="418"/>
      <c r="G294" s="419"/>
      <c r="H294" s="408"/>
      <c r="I294" s="515">
        <v>159900</v>
      </c>
      <c r="J294" s="859"/>
    </row>
    <row r="295" spans="1:10" s="416" customFormat="1">
      <c r="A295" s="924"/>
      <c r="B295" s="922"/>
      <c r="C295" s="923"/>
      <c r="D295" s="426" t="s">
        <v>1901</v>
      </c>
      <c r="E295" s="412"/>
      <c r="F295" s="413" t="s">
        <v>1689</v>
      </c>
      <c r="G295" s="414">
        <v>10</v>
      </c>
      <c r="H295" s="413">
        <v>900</v>
      </c>
      <c r="I295" s="512">
        <v>9000</v>
      </c>
      <c r="J295" s="859"/>
    </row>
    <row r="296" spans="1:10" s="416" customFormat="1">
      <c r="A296" s="924"/>
      <c r="B296" s="922"/>
      <c r="C296" s="923"/>
      <c r="D296" s="426" t="s">
        <v>1902</v>
      </c>
      <c r="E296" s="412" t="s">
        <v>1903</v>
      </c>
      <c r="F296" s="413"/>
      <c r="G296" s="427"/>
      <c r="H296" s="421"/>
      <c r="I296" s="516">
        <v>20000</v>
      </c>
      <c r="J296" s="859"/>
    </row>
    <row r="297" spans="1:10" s="416" customFormat="1">
      <c r="A297" s="924"/>
      <c r="B297" s="922"/>
      <c r="C297" s="923"/>
      <c r="D297" s="418" t="s">
        <v>1342</v>
      </c>
      <c r="E297" s="412"/>
      <c r="F297" s="413"/>
      <c r="G297" s="419"/>
      <c r="H297" s="408"/>
      <c r="I297" s="515">
        <v>1521400</v>
      </c>
      <c r="J297" s="860"/>
    </row>
    <row r="298" spans="1:10" s="416" customFormat="1" ht="24">
      <c r="A298" s="921">
        <v>11</v>
      </c>
      <c r="B298" s="922" t="s">
        <v>1904</v>
      </c>
      <c r="C298" s="923" t="s">
        <v>1690</v>
      </c>
      <c r="D298" s="922" t="s">
        <v>1897</v>
      </c>
      <c r="E298" s="412" t="s">
        <v>1905</v>
      </c>
      <c r="F298" s="417" t="s">
        <v>1347</v>
      </c>
      <c r="G298" s="420">
        <v>1600</v>
      </c>
      <c r="H298" s="417">
        <v>390</v>
      </c>
      <c r="I298" s="513">
        <v>624000</v>
      </c>
      <c r="J298" s="856">
        <f>ROUND(I303*0.9,0)</f>
        <v>658800</v>
      </c>
    </row>
    <row r="299" spans="1:10" s="416" customFormat="1">
      <c r="A299" s="921"/>
      <c r="B299" s="922"/>
      <c r="C299" s="923"/>
      <c r="D299" s="922"/>
      <c r="E299" s="412" t="s">
        <v>1893</v>
      </c>
      <c r="F299" s="417" t="s">
        <v>1347</v>
      </c>
      <c r="G299" s="420">
        <v>1600</v>
      </c>
      <c r="H299" s="417">
        <v>10</v>
      </c>
      <c r="I299" s="513">
        <v>16000</v>
      </c>
      <c r="J299" s="859"/>
    </row>
    <row r="300" spans="1:10" s="416" customFormat="1">
      <c r="A300" s="921"/>
      <c r="B300" s="922"/>
      <c r="C300" s="923"/>
      <c r="D300" s="418" t="s">
        <v>1332</v>
      </c>
      <c r="E300" s="412"/>
      <c r="F300" s="413"/>
      <c r="G300" s="419"/>
      <c r="H300" s="408"/>
      <c r="I300" s="515">
        <v>640000</v>
      </c>
      <c r="J300" s="859"/>
    </row>
    <row r="301" spans="1:10" s="416" customFormat="1">
      <c r="A301" s="921"/>
      <c r="B301" s="922"/>
      <c r="C301" s="923"/>
      <c r="D301" s="408" t="s">
        <v>1880</v>
      </c>
      <c r="E301" s="423"/>
      <c r="F301" s="418"/>
      <c r="G301" s="419"/>
      <c r="H301" s="408"/>
      <c r="I301" s="515">
        <v>72000</v>
      </c>
      <c r="J301" s="859"/>
    </row>
    <row r="302" spans="1:10" s="416" customFormat="1">
      <c r="A302" s="921"/>
      <c r="B302" s="922"/>
      <c r="C302" s="923"/>
      <c r="D302" s="426" t="s">
        <v>1902</v>
      </c>
      <c r="E302" s="412" t="s">
        <v>1906</v>
      </c>
      <c r="F302" s="413"/>
      <c r="G302" s="427"/>
      <c r="H302" s="421"/>
      <c r="I302" s="516">
        <v>20000</v>
      </c>
      <c r="J302" s="859"/>
    </row>
    <row r="303" spans="1:10" s="416" customFormat="1">
      <c r="A303" s="921"/>
      <c r="B303" s="922"/>
      <c r="C303" s="923"/>
      <c r="D303" s="418" t="s">
        <v>1342</v>
      </c>
      <c r="E303" s="412"/>
      <c r="F303" s="413"/>
      <c r="G303" s="419"/>
      <c r="H303" s="408"/>
      <c r="I303" s="515">
        <v>732000</v>
      </c>
      <c r="J303" s="860"/>
    </row>
    <row r="304" spans="1:10" s="374" customFormat="1">
      <c r="A304" s="913">
        <v>12</v>
      </c>
      <c r="B304" s="914" t="s">
        <v>1008</v>
      </c>
      <c r="C304" s="874" t="s">
        <v>1907</v>
      </c>
      <c r="D304" s="914" t="s">
        <v>1684</v>
      </c>
      <c r="E304" s="428" t="s">
        <v>1908</v>
      </c>
      <c r="F304" s="429" t="s">
        <v>1356</v>
      </c>
      <c r="G304" s="430">
        <v>7</v>
      </c>
      <c r="H304" s="431">
        <v>69375.837142857097</v>
      </c>
      <c r="I304" s="527">
        <v>485630.86</v>
      </c>
      <c r="J304" s="861">
        <f>ROUND(I314*0.8,0)</f>
        <v>1094650</v>
      </c>
    </row>
    <row r="305" spans="1:10" s="374" customFormat="1">
      <c r="A305" s="913"/>
      <c r="B305" s="914"/>
      <c r="C305" s="874"/>
      <c r="D305" s="914"/>
      <c r="E305" s="428" t="s">
        <v>1909</v>
      </c>
      <c r="F305" s="429" t="s">
        <v>1356</v>
      </c>
      <c r="G305" s="400">
        <v>22</v>
      </c>
      <c r="H305" s="432">
        <v>14434.291363636399</v>
      </c>
      <c r="I305" s="527">
        <v>317554.40999999997</v>
      </c>
      <c r="J305" s="862"/>
    </row>
    <row r="306" spans="1:10" s="374" customFormat="1">
      <c r="A306" s="913"/>
      <c r="B306" s="914"/>
      <c r="C306" s="874"/>
      <c r="D306" s="914"/>
      <c r="E306" s="428" t="s">
        <v>1787</v>
      </c>
      <c r="F306" s="429" t="s">
        <v>1372</v>
      </c>
      <c r="G306" s="400">
        <v>500</v>
      </c>
      <c r="H306" s="432">
        <v>683.44388000000004</v>
      </c>
      <c r="I306" s="527">
        <v>341721.94</v>
      </c>
      <c r="J306" s="862"/>
    </row>
    <row r="307" spans="1:10" s="374" customFormat="1">
      <c r="A307" s="913"/>
      <c r="B307" s="914"/>
      <c r="C307" s="874"/>
      <c r="D307" s="914"/>
      <c r="E307" s="428" t="s">
        <v>1910</v>
      </c>
      <c r="F307" s="429" t="s">
        <v>1330</v>
      </c>
      <c r="G307" s="400">
        <v>1</v>
      </c>
      <c r="H307" s="432">
        <v>76800</v>
      </c>
      <c r="I307" s="527">
        <v>76800</v>
      </c>
      <c r="J307" s="862"/>
    </row>
    <row r="308" spans="1:10" s="374" customFormat="1">
      <c r="A308" s="913"/>
      <c r="B308" s="914"/>
      <c r="C308" s="874"/>
      <c r="D308" s="433" t="s">
        <v>1332</v>
      </c>
      <c r="E308" s="428"/>
      <c r="F308" s="429"/>
      <c r="G308" s="403"/>
      <c r="H308" s="404"/>
      <c r="I308" s="510">
        <v>1221707.21</v>
      </c>
      <c r="J308" s="862"/>
    </row>
    <row r="309" spans="1:10" s="374" customFormat="1">
      <c r="A309" s="913"/>
      <c r="B309" s="914"/>
      <c r="C309" s="874"/>
      <c r="D309" s="434" t="s">
        <v>1911</v>
      </c>
      <c r="E309" s="428"/>
      <c r="F309" s="429"/>
      <c r="G309" s="874"/>
      <c r="H309" s="875"/>
      <c r="I309" s="869">
        <v>146604.8652</v>
      </c>
      <c r="J309" s="862"/>
    </row>
    <row r="310" spans="1:10" s="374" customFormat="1">
      <c r="A310" s="913"/>
      <c r="B310" s="914"/>
      <c r="C310" s="874"/>
      <c r="D310" s="434" t="s">
        <v>1912</v>
      </c>
      <c r="E310" s="428"/>
      <c r="F310" s="429"/>
      <c r="G310" s="874"/>
      <c r="H310" s="875"/>
      <c r="I310" s="869"/>
      <c r="J310" s="862"/>
    </row>
    <row r="311" spans="1:10" s="374" customFormat="1" ht="24">
      <c r="A311" s="913"/>
      <c r="B311" s="914"/>
      <c r="C311" s="874"/>
      <c r="D311" s="434" t="s">
        <v>1913</v>
      </c>
      <c r="E311" s="428"/>
      <c r="F311" s="429"/>
      <c r="G311" s="874"/>
      <c r="H311" s="875"/>
      <c r="I311" s="869"/>
      <c r="J311" s="862"/>
    </row>
    <row r="312" spans="1:10" s="374" customFormat="1">
      <c r="A312" s="913"/>
      <c r="B312" s="914"/>
      <c r="C312" s="874"/>
      <c r="D312" s="434" t="s">
        <v>1914</v>
      </c>
      <c r="E312" s="428"/>
      <c r="F312" s="429"/>
      <c r="G312" s="874"/>
      <c r="H312" s="875"/>
      <c r="I312" s="869"/>
      <c r="J312" s="862"/>
    </row>
    <row r="313" spans="1:10" s="374" customFormat="1" ht="24">
      <c r="A313" s="913"/>
      <c r="B313" s="914"/>
      <c r="C313" s="874"/>
      <c r="D313" s="367" t="s">
        <v>1742</v>
      </c>
      <c r="E313" s="428"/>
      <c r="F313" s="429"/>
      <c r="G313" s="403"/>
      <c r="H313" s="404"/>
      <c r="I313" s="510">
        <v>146604.8652</v>
      </c>
      <c r="J313" s="862"/>
    </row>
    <row r="314" spans="1:10" s="374" customFormat="1">
      <c r="A314" s="913"/>
      <c r="B314" s="914"/>
      <c r="C314" s="874"/>
      <c r="D314" s="433" t="s">
        <v>1342</v>
      </c>
      <c r="E314" s="428"/>
      <c r="F314" s="429"/>
      <c r="G314" s="403"/>
      <c r="H314" s="404"/>
      <c r="I314" s="510">
        <v>1368312.0752000001</v>
      </c>
      <c r="J314" s="863"/>
    </row>
    <row r="315" spans="1:10" s="374" customFormat="1">
      <c r="A315" s="874">
        <v>13</v>
      </c>
      <c r="B315" s="920" t="s">
        <v>1003</v>
      </c>
      <c r="C315" s="874" t="s">
        <v>1907</v>
      </c>
      <c r="D315" s="920" t="s">
        <v>1684</v>
      </c>
      <c r="E315" s="428" t="s">
        <v>1915</v>
      </c>
      <c r="F315" s="429" t="s">
        <v>1356</v>
      </c>
      <c r="G315" s="430">
        <v>1</v>
      </c>
      <c r="H315" s="431">
        <v>25000</v>
      </c>
      <c r="I315" s="527">
        <v>25000</v>
      </c>
      <c r="J315" s="861">
        <f>ROUND(I325*0.8,0)</f>
        <v>89600</v>
      </c>
    </row>
    <row r="316" spans="1:10" s="374" customFormat="1">
      <c r="A316" s="874"/>
      <c r="B316" s="920"/>
      <c r="C316" s="874"/>
      <c r="D316" s="920"/>
      <c r="E316" s="428" t="s">
        <v>1909</v>
      </c>
      <c r="F316" s="429" t="s">
        <v>1356</v>
      </c>
      <c r="G316" s="430">
        <v>5</v>
      </c>
      <c r="H316" s="431">
        <v>8000</v>
      </c>
      <c r="I316" s="527">
        <v>40000</v>
      </c>
      <c r="J316" s="862"/>
    </row>
    <row r="317" spans="1:10" s="374" customFormat="1">
      <c r="A317" s="874"/>
      <c r="B317" s="920"/>
      <c r="C317" s="874"/>
      <c r="D317" s="920"/>
      <c r="E317" s="428" t="s">
        <v>1916</v>
      </c>
      <c r="F317" s="429" t="s">
        <v>1330</v>
      </c>
      <c r="G317" s="429">
        <v>1</v>
      </c>
      <c r="H317" s="431">
        <v>30000</v>
      </c>
      <c r="I317" s="527">
        <v>30000</v>
      </c>
      <c r="J317" s="862"/>
    </row>
    <row r="318" spans="1:10" s="374" customFormat="1">
      <c r="A318" s="874"/>
      <c r="B318" s="920"/>
      <c r="C318" s="874"/>
      <c r="D318" s="920"/>
      <c r="E318" s="428" t="s">
        <v>1917</v>
      </c>
      <c r="F318" s="429" t="s">
        <v>1330</v>
      </c>
      <c r="G318" s="430">
        <v>1</v>
      </c>
      <c r="H318" s="431">
        <v>5000</v>
      </c>
      <c r="I318" s="527">
        <v>5000</v>
      </c>
      <c r="J318" s="862"/>
    </row>
    <row r="319" spans="1:10" s="374" customFormat="1">
      <c r="A319" s="874"/>
      <c r="B319" s="920"/>
      <c r="C319" s="874"/>
      <c r="D319" s="433" t="s">
        <v>1332</v>
      </c>
      <c r="E319" s="428"/>
      <c r="F319" s="429"/>
      <c r="G319" s="403"/>
      <c r="H319" s="404"/>
      <c r="I319" s="510">
        <v>100000</v>
      </c>
      <c r="J319" s="862"/>
    </row>
    <row r="320" spans="1:10" s="374" customFormat="1">
      <c r="A320" s="874"/>
      <c r="B320" s="920"/>
      <c r="C320" s="874"/>
      <c r="D320" s="434" t="s">
        <v>1918</v>
      </c>
      <c r="E320" s="428"/>
      <c r="F320" s="429"/>
      <c r="G320" s="874"/>
      <c r="H320" s="875"/>
      <c r="I320" s="869">
        <v>12000</v>
      </c>
      <c r="J320" s="862"/>
    </row>
    <row r="321" spans="1:28" s="374" customFormat="1" ht="24">
      <c r="A321" s="874"/>
      <c r="B321" s="920"/>
      <c r="C321" s="874"/>
      <c r="D321" s="434" t="s">
        <v>1913</v>
      </c>
      <c r="E321" s="428"/>
      <c r="F321" s="429"/>
      <c r="G321" s="874"/>
      <c r="H321" s="875"/>
      <c r="I321" s="869"/>
      <c r="J321" s="862"/>
    </row>
    <row r="322" spans="1:28" s="374" customFormat="1">
      <c r="A322" s="874"/>
      <c r="B322" s="920"/>
      <c r="C322" s="874"/>
      <c r="D322" s="434" t="s">
        <v>1911</v>
      </c>
      <c r="E322" s="428"/>
      <c r="F322" s="429"/>
      <c r="G322" s="874"/>
      <c r="H322" s="875"/>
      <c r="I322" s="869"/>
      <c r="J322" s="862"/>
    </row>
    <row r="323" spans="1:28" s="374" customFormat="1" ht="24">
      <c r="A323" s="874"/>
      <c r="B323" s="920"/>
      <c r="C323" s="874"/>
      <c r="D323" s="434" t="s">
        <v>1919</v>
      </c>
      <c r="E323" s="428"/>
      <c r="F323" s="429"/>
      <c r="G323" s="874"/>
      <c r="H323" s="875"/>
      <c r="I323" s="869"/>
      <c r="J323" s="862"/>
    </row>
    <row r="324" spans="1:28" s="374" customFormat="1" ht="24">
      <c r="A324" s="874"/>
      <c r="B324" s="920"/>
      <c r="C324" s="874"/>
      <c r="D324" s="433" t="s">
        <v>1742</v>
      </c>
      <c r="E324" s="428"/>
      <c r="F324" s="429"/>
      <c r="G324" s="403"/>
      <c r="H324" s="404"/>
      <c r="I324" s="510">
        <v>12000</v>
      </c>
      <c r="J324" s="862"/>
    </row>
    <row r="325" spans="1:28" s="374" customFormat="1">
      <c r="A325" s="874"/>
      <c r="B325" s="920"/>
      <c r="C325" s="874"/>
      <c r="D325" s="433" t="s">
        <v>1342</v>
      </c>
      <c r="E325" s="428"/>
      <c r="F325" s="429"/>
      <c r="G325" s="403"/>
      <c r="H325" s="404"/>
      <c r="I325" s="510">
        <v>112000</v>
      </c>
      <c r="J325" s="863"/>
    </row>
    <row r="326" spans="1:28" s="411" customFormat="1">
      <c r="A326" s="406" t="s">
        <v>1839</v>
      </c>
      <c r="B326" s="406" t="s">
        <v>1447</v>
      </c>
      <c r="C326" s="407"/>
      <c r="D326" s="408" t="s">
        <v>17</v>
      </c>
      <c r="E326" s="409"/>
      <c r="F326" s="406"/>
      <c r="G326" s="410"/>
      <c r="H326" s="408"/>
      <c r="I326" s="511">
        <f>I214+I225+I240+I247+I253+I258+I272+I280+I290+I297+I303+I314+I325</f>
        <v>14564873.7752</v>
      </c>
      <c r="J326" s="538">
        <f>SUM(J207:J325)</f>
        <v>12307705</v>
      </c>
    </row>
    <row r="327" spans="1:28" s="386" customFormat="1" ht="24">
      <c r="A327" s="917">
        <v>1</v>
      </c>
      <c r="B327" s="917" t="s">
        <v>1922</v>
      </c>
      <c r="C327" s="918" t="s">
        <v>1690</v>
      </c>
      <c r="D327" s="437" t="s">
        <v>1684</v>
      </c>
      <c r="E327" s="438" t="s">
        <v>1923</v>
      </c>
      <c r="F327" s="437" t="s">
        <v>1924</v>
      </c>
      <c r="G327" s="437">
        <v>67.5</v>
      </c>
      <c r="H327" s="413">
        <v>2500</v>
      </c>
      <c r="I327" s="518">
        <v>168750</v>
      </c>
      <c r="J327" s="856">
        <f>ROUND(I331*0.8,0)</f>
        <v>154080</v>
      </c>
      <c r="K327" s="416"/>
      <c r="L327" s="416"/>
      <c r="M327" s="416"/>
      <c r="N327" s="416"/>
      <c r="O327" s="416"/>
      <c r="P327" s="416"/>
      <c r="Q327" s="416"/>
      <c r="R327" s="416"/>
      <c r="S327" s="416"/>
      <c r="T327" s="416"/>
      <c r="U327" s="416"/>
      <c r="V327" s="416"/>
      <c r="W327" s="416"/>
      <c r="X327" s="416"/>
      <c r="Y327" s="416"/>
      <c r="Z327" s="416"/>
      <c r="AA327" s="416"/>
      <c r="AB327" s="439"/>
    </row>
    <row r="328" spans="1:28" s="416" customFormat="1" ht="14.25">
      <c r="A328" s="917"/>
      <c r="B328" s="917"/>
      <c r="C328" s="918"/>
      <c r="D328" s="436" t="s">
        <v>1332</v>
      </c>
      <c r="E328" s="438"/>
      <c r="F328" s="437"/>
      <c r="G328" s="440"/>
      <c r="H328" s="441"/>
      <c r="I328" s="514">
        <v>168750</v>
      </c>
      <c r="J328" s="859"/>
    </row>
    <row r="329" spans="1:28" s="416" customFormat="1" ht="14.25">
      <c r="A329" s="917"/>
      <c r="B329" s="917"/>
      <c r="C329" s="918"/>
      <c r="D329" s="436" t="s">
        <v>1334</v>
      </c>
      <c r="E329" s="438"/>
      <c r="F329" s="437"/>
      <c r="G329" s="440"/>
      <c r="H329" s="442"/>
      <c r="I329" s="515">
        <v>20250</v>
      </c>
      <c r="J329" s="859"/>
    </row>
    <row r="330" spans="1:28" s="416" customFormat="1">
      <c r="A330" s="917"/>
      <c r="B330" s="917"/>
      <c r="C330" s="918"/>
      <c r="D330" s="388" t="s">
        <v>1336</v>
      </c>
      <c r="E330" s="438"/>
      <c r="F330" s="437"/>
      <c r="G330" s="437">
        <v>4</v>
      </c>
      <c r="H330" s="413">
        <v>900</v>
      </c>
      <c r="I330" s="516">
        <v>3600</v>
      </c>
      <c r="J330" s="859"/>
    </row>
    <row r="331" spans="1:28" s="416" customFormat="1">
      <c r="A331" s="917"/>
      <c r="B331" s="917"/>
      <c r="C331" s="918"/>
      <c r="D331" s="436" t="s">
        <v>1342</v>
      </c>
      <c r="E331" s="438"/>
      <c r="F331" s="437"/>
      <c r="G331" s="441"/>
      <c r="H331" s="441"/>
      <c r="I331" s="519">
        <v>192600</v>
      </c>
      <c r="J331" s="860"/>
    </row>
    <row r="332" spans="1:28" s="411" customFormat="1">
      <c r="A332" s="418" t="s">
        <v>1920</v>
      </c>
      <c r="B332" s="418" t="s">
        <v>1921</v>
      </c>
      <c r="C332" s="435"/>
      <c r="D332" s="418" t="s">
        <v>17</v>
      </c>
      <c r="E332" s="423"/>
      <c r="F332" s="436"/>
      <c r="G332" s="436"/>
      <c r="H332" s="436"/>
      <c r="I332" s="517">
        <v>192600</v>
      </c>
      <c r="J332" s="538">
        <f>J327</f>
        <v>154080</v>
      </c>
    </row>
    <row r="333" spans="1:28" s="416" customFormat="1">
      <c r="A333" s="916">
        <v>1</v>
      </c>
      <c r="B333" s="915" t="s">
        <v>246</v>
      </c>
      <c r="C333" s="919" t="s">
        <v>1690</v>
      </c>
      <c r="D333" s="437" t="s">
        <v>1925</v>
      </c>
      <c r="E333" s="438" t="s">
        <v>1926</v>
      </c>
      <c r="F333" s="437" t="s">
        <v>1924</v>
      </c>
      <c r="G333" s="437">
        <v>1940</v>
      </c>
      <c r="H333" s="437">
        <v>400</v>
      </c>
      <c r="I333" s="520">
        <v>776000</v>
      </c>
      <c r="J333" s="856">
        <f>ROUND(I340*0.9,0)</f>
        <v>1454011</v>
      </c>
    </row>
    <row r="334" spans="1:28" s="416" customFormat="1">
      <c r="A334" s="916"/>
      <c r="B334" s="917"/>
      <c r="C334" s="918"/>
      <c r="D334" s="437" t="s">
        <v>1927</v>
      </c>
      <c r="E334" s="438" t="s">
        <v>1928</v>
      </c>
      <c r="F334" s="437" t="s">
        <v>1924</v>
      </c>
      <c r="G334" s="437">
        <v>142</v>
      </c>
      <c r="H334" s="437">
        <v>2500</v>
      </c>
      <c r="I334" s="520">
        <v>355000</v>
      </c>
      <c r="J334" s="859"/>
    </row>
    <row r="335" spans="1:28" s="416" customFormat="1">
      <c r="A335" s="916"/>
      <c r="B335" s="917"/>
      <c r="C335" s="918"/>
      <c r="D335" s="437" t="s">
        <v>1754</v>
      </c>
      <c r="E335" s="438" t="s">
        <v>1754</v>
      </c>
      <c r="F335" s="437" t="s">
        <v>1924</v>
      </c>
      <c r="G335" s="445">
        <v>363</v>
      </c>
      <c r="H335" s="445">
        <v>800</v>
      </c>
      <c r="I335" s="520">
        <v>290400</v>
      </c>
      <c r="J335" s="859"/>
    </row>
    <row r="336" spans="1:28" s="416" customFormat="1">
      <c r="A336" s="916"/>
      <c r="B336" s="917"/>
      <c r="C336" s="918"/>
      <c r="D336" s="436" t="s">
        <v>1332</v>
      </c>
      <c r="E336" s="438"/>
      <c r="F336" s="437"/>
      <c r="G336" s="441"/>
      <c r="H336" s="441"/>
      <c r="I336" s="514">
        <v>1421400</v>
      </c>
      <c r="J336" s="859"/>
    </row>
    <row r="337" spans="1:10" s="416" customFormat="1">
      <c r="A337" s="916"/>
      <c r="B337" s="917"/>
      <c r="C337" s="918"/>
      <c r="D337" s="436" t="s">
        <v>1334</v>
      </c>
      <c r="E337" s="438"/>
      <c r="F337" s="437"/>
      <c r="G337" s="442"/>
      <c r="H337" s="442"/>
      <c r="I337" s="515">
        <v>170568</v>
      </c>
      <c r="J337" s="859"/>
    </row>
    <row r="338" spans="1:10" s="416" customFormat="1">
      <c r="A338" s="916"/>
      <c r="B338" s="917"/>
      <c r="C338" s="918"/>
      <c r="D338" s="388" t="s">
        <v>1336</v>
      </c>
      <c r="E338" s="438"/>
      <c r="F338" s="437"/>
      <c r="G338" s="446">
        <v>4</v>
      </c>
      <c r="H338" s="446">
        <v>900</v>
      </c>
      <c r="I338" s="513">
        <v>3600</v>
      </c>
      <c r="J338" s="859"/>
    </row>
    <row r="339" spans="1:10" s="416" customFormat="1">
      <c r="A339" s="916"/>
      <c r="B339" s="917"/>
      <c r="C339" s="918"/>
      <c r="D339" s="388" t="s">
        <v>1338</v>
      </c>
      <c r="E339" s="438" t="s">
        <v>1903</v>
      </c>
      <c r="F339" s="437"/>
      <c r="G339" s="446"/>
      <c r="H339" s="446"/>
      <c r="I339" s="513">
        <v>20000</v>
      </c>
      <c r="J339" s="859"/>
    </row>
    <row r="340" spans="1:10" s="416" customFormat="1">
      <c r="A340" s="916"/>
      <c r="B340" s="917"/>
      <c r="C340" s="918"/>
      <c r="D340" s="436" t="s">
        <v>1342</v>
      </c>
      <c r="E340" s="438"/>
      <c r="F340" s="437"/>
      <c r="G340" s="441"/>
      <c r="H340" s="441"/>
      <c r="I340" s="514">
        <v>1615568</v>
      </c>
      <c r="J340" s="860"/>
    </row>
    <row r="341" spans="1:10" s="416" customFormat="1">
      <c r="A341" s="916">
        <v>2</v>
      </c>
      <c r="B341" s="915" t="s">
        <v>1048</v>
      </c>
      <c r="C341" s="919" t="s">
        <v>1690</v>
      </c>
      <c r="D341" s="917" t="s">
        <v>1929</v>
      </c>
      <c r="E341" s="438" t="s">
        <v>1930</v>
      </c>
      <c r="F341" s="437" t="s">
        <v>1924</v>
      </c>
      <c r="G341" s="445">
        <v>1800</v>
      </c>
      <c r="H341" s="445">
        <v>30</v>
      </c>
      <c r="I341" s="518">
        <v>54000</v>
      </c>
      <c r="J341" s="856">
        <f>ROUND(I349*0.8,0)</f>
        <v>1091520</v>
      </c>
    </row>
    <row r="342" spans="1:10" s="416" customFormat="1" ht="24">
      <c r="A342" s="916"/>
      <c r="B342" s="915"/>
      <c r="C342" s="919"/>
      <c r="D342" s="917"/>
      <c r="E342" s="438" t="s">
        <v>1931</v>
      </c>
      <c r="F342" s="437" t="s">
        <v>1924</v>
      </c>
      <c r="G342" s="445">
        <v>1800</v>
      </c>
      <c r="H342" s="445">
        <v>51</v>
      </c>
      <c r="I342" s="518">
        <v>91800</v>
      </c>
      <c r="J342" s="859"/>
    </row>
    <row r="343" spans="1:10" s="416" customFormat="1">
      <c r="A343" s="916"/>
      <c r="B343" s="915"/>
      <c r="C343" s="919"/>
      <c r="D343" s="917"/>
      <c r="E343" s="438" t="s">
        <v>1932</v>
      </c>
      <c r="F343" s="437" t="s">
        <v>1924</v>
      </c>
      <c r="G343" s="445">
        <v>1800</v>
      </c>
      <c r="H343" s="445">
        <v>240</v>
      </c>
      <c r="I343" s="518">
        <v>432000</v>
      </c>
      <c r="J343" s="859"/>
    </row>
    <row r="344" spans="1:10" s="416" customFormat="1" ht="36">
      <c r="A344" s="916"/>
      <c r="B344" s="917"/>
      <c r="C344" s="918"/>
      <c r="D344" s="917" t="s">
        <v>1933</v>
      </c>
      <c r="E344" s="438" t="s">
        <v>1934</v>
      </c>
      <c r="F344" s="437" t="s">
        <v>1924</v>
      </c>
      <c r="G344" s="445">
        <v>1660</v>
      </c>
      <c r="H344" s="447">
        <v>50</v>
      </c>
      <c r="I344" s="518">
        <v>83000</v>
      </c>
      <c r="J344" s="859"/>
    </row>
    <row r="345" spans="1:10" s="416" customFormat="1" ht="24">
      <c r="A345" s="916"/>
      <c r="B345" s="917"/>
      <c r="C345" s="918"/>
      <c r="D345" s="917"/>
      <c r="E345" s="438" t="s">
        <v>1935</v>
      </c>
      <c r="F345" s="437" t="s">
        <v>1924</v>
      </c>
      <c r="G345" s="445">
        <v>1660</v>
      </c>
      <c r="H345" s="447">
        <v>330</v>
      </c>
      <c r="I345" s="518">
        <v>547800</v>
      </c>
      <c r="J345" s="859"/>
    </row>
    <row r="346" spans="1:10" s="416" customFormat="1">
      <c r="A346" s="916"/>
      <c r="B346" s="917"/>
      <c r="C346" s="918"/>
      <c r="D346" s="436" t="s">
        <v>1332</v>
      </c>
      <c r="E346" s="438"/>
      <c r="F346" s="437"/>
      <c r="G346" s="441"/>
      <c r="H346" s="441"/>
      <c r="I346" s="514">
        <v>1208600</v>
      </c>
      <c r="J346" s="859"/>
    </row>
    <row r="347" spans="1:10" s="416" customFormat="1">
      <c r="A347" s="916"/>
      <c r="B347" s="917"/>
      <c r="C347" s="918"/>
      <c r="D347" s="436" t="s">
        <v>1334</v>
      </c>
      <c r="E347" s="438"/>
      <c r="F347" s="437"/>
      <c r="G347" s="442"/>
      <c r="H347" s="442"/>
      <c r="I347" s="515">
        <v>125800</v>
      </c>
      <c r="J347" s="859"/>
    </row>
    <row r="348" spans="1:10" s="416" customFormat="1">
      <c r="A348" s="916"/>
      <c r="B348" s="917"/>
      <c r="C348" s="918"/>
      <c r="D348" s="388" t="s">
        <v>1338</v>
      </c>
      <c r="E348" s="438" t="s">
        <v>1801</v>
      </c>
      <c r="F348" s="437"/>
      <c r="G348" s="446"/>
      <c r="H348" s="446"/>
      <c r="I348" s="516">
        <v>30000</v>
      </c>
      <c r="J348" s="859"/>
    </row>
    <row r="349" spans="1:10" s="416" customFormat="1">
      <c r="A349" s="916"/>
      <c r="B349" s="917"/>
      <c r="C349" s="918"/>
      <c r="D349" s="436" t="s">
        <v>1342</v>
      </c>
      <c r="E349" s="438"/>
      <c r="F349" s="437"/>
      <c r="G349" s="441"/>
      <c r="H349" s="441"/>
      <c r="I349" s="514">
        <v>1364400</v>
      </c>
      <c r="J349" s="860"/>
    </row>
    <row r="350" spans="1:10" s="416" customFormat="1">
      <c r="A350" s="916">
        <v>3</v>
      </c>
      <c r="B350" s="915" t="s">
        <v>251</v>
      </c>
      <c r="C350" s="919" t="s">
        <v>1690</v>
      </c>
      <c r="D350" s="437" t="s">
        <v>1936</v>
      </c>
      <c r="E350" s="438" t="s">
        <v>1937</v>
      </c>
      <c r="F350" s="437" t="s">
        <v>1359</v>
      </c>
      <c r="G350" s="447">
        <v>50</v>
      </c>
      <c r="H350" s="447">
        <v>2500</v>
      </c>
      <c r="I350" s="513">
        <v>125000</v>
      </c>
      <c r="J350" s="856">
        <f>ROUND(I354*0.9,0)</f>
        <v>136080</v>
      </c>
    </row>
    <row r="351" spans="1:10" s="416" customFormat="1">
      <c r="A351" s="916"/>
      <c r="B351" s="915"/>
      <c r="C351" s="919"/>
      <c r="D351" s="437" t="s">
        <v>1938</v>
      </c>
      <c r="E351" s="438" t="s">
        <v>1939</v>
      </c>
      <c r="F351" s="437" t="s">
        <v>1924</v>
      </c>
      <c r="G351" s="445">
        <v>200</v>
      </c>
      <c r="H351" s="445">
        <v>50</v>
      </c>
      <c r="I351" s="513">
        <v>10000</v>
      </c>
      <c r="J351" s="859"/>
    </row>
    <row r="352" spans="1:10" s="416" customFormat="1">
      <c r="A352" s="916"/>
      <c r="B352" s="917"/>
      <c r="C352" s="918"/>
      <c r="D352" s="436" t="s">
        <v>1332</v>
      </c>
      <c r="E352" s="438"/>
      <c r="F352" s="437"/>
      <c r="G352" s="441"/>
      <c r="H352" s="441"/>
      <c r="I352" s="514">
        <v>135000</v>
      </c>
      <c r="J352" s="859"/>
    </row>
    <row r="353" spans="1:10" s="416" customFormat="1">
      <c r="A353" s="916"/>
      <c r="B353" s="917"/>
      <c r="C353" s="918"/>
      <c r="D353" s="436" t="s">
        <v>1334</v>
      </c>
      <c r="E353" s="438"/>
      <c r="F353" s="437"/>
      <c r="G353" s="442"/>
      <c r="H353" s="442"/>
      <c r="I353" s="515">
        <v>16200</v>
      </c>
      <c r="J353" s="859"/>
    </row>
    <row r="354" spans="1:10" s="416" customFormat="1">
      <c r="A354" s="916"/>
      <c r="B354" s="917"/>
      <c r="C354" s="918"/>
      <c r="D354" s="436" t="s">
        <v>1342</v>
      </c>
      <c r="E354" s="438"/>
      <c r="F354" s="437"/>
      <c r="G354" s="441"/>
      <c r="H354" s="441"/>
      <c r="I354" s="514">
        <v>151200</v>
      </c>
      <c r="J354" s="860"/>
    </row>
    <row r="355" spans="1:10" s="416" customFormat="1">
      <c r="A355" s="916">
        <v>4</v>
      </c>
      <c r="B355" s="917" t="s">
        <v>809</v>
      </c>
      <c r="C355" s="918" t="s">
        <v>1312</v>
      </c>
      <c r="D355" s="437" t="s">
        <v>1684</v>
      </c>
      <c r="E355" s="438" t="s">
        <v>1940</v>
      </c>
      <c r="F355" s="437" t="s">
        <v>1315</v>
      </c>
      <c r="G355" s="447">
        <v>726</v>
      </c>
      <c r="H355" s="447">
        <v>2500</v>
      </c>
      <c r="I355" s="513">
        <v>1815000</v>
      </c>
      <c r="J355" s="856">
        <f>ROUND(I360*0.9,0)</f>
        <v>1894770</v>
      </c>
    </row>
    <row r="356" spans="1:10" s="416" customFormat="1">
      <c r="A356" s="916"/>
      <c r="B356" s="917"/>
      <c r="C356" s="918"/>
      <c r="D356" s="436" t="s">
        <v>1332</v>
      </c>
      <c r="E356" s="438"/>
      <c r="F356" s="437"/>
      <c r="G356" s="441"/>
      <c r="H356" s="441"/>
      <c r="I356" s="514">
        <v>1815000</v>
      </c>
      <c r="J356" s="859"/>
    </row>
    <row r="357" spans="1:10" s="416" customFormat="1">
      <c r="A357" s="916"/>
      <c r="B357" s="917"/>
      <c r="C357" s="918"/>
      <c r="D357" s="436" t="s">
        <v>1334</v>
      </c>
      <c r="E357" s="438"/>
      <c r="F357" s="437"/>
      <c r="G357" s="442"/>
      <c r="H357" s="442"/>
      <c r="I357" s="515">
        <v>181500</v>
      </c>
      <c r="J357" s="859"/>
    </row>
    <row r="358" spans="1:10" s="416" customFormat="1">
      <c r="A358" s="916"/>
      <c r="B358" s="917"/>
      <c r="C358" s="918"/>
      <c r="D358" s="388" t="s">
        <v>1336</v>
      </c>
      <c r="E358" s="438"/>
      <c r="F358" s="437" t="s">
        <v>1689</v>
      </c>
      <c r="G358" s="445">
        <v>12</v>
      </c>
      <c r="H358" s="445">
        <v>900</v>
      </c>
      <c r="I358" s="516">
        <v>10800</v>
      </c>
      <c r="J358" s="859"/>
    </row>
    <row r="359" spans="1:10" s="416" customFormat="1">
      <c r="A359" s="916"/>
      <c r="B359" s="917"/>
      <c r="C359" s="918"/>
      <c r="D359" s="388" t="s">
        <v>1340</v>
      </c>
      <c r="E359" s="438" t="s">
        <v>1941</v>
      </c>
      <c r="F359" s="437"/>
      <c r="G359" s="445">
        <v>4900</v>
      </c>
      <c r="H359" s="445">
        <v>20</v>
      </c>
      <c r="I359" s="516">
        <v>98000</v>
      </c>
      <c r="J359" s="859"/>
    </row>
    <row r="360" spans="1:10" s="416" customFormat="1">
      <c r="A360" s="916"/>
      <c r="B360" s="917"/>
      <c r="C360" s="918"/>
      <c r="D360" s="436" t="s">
        <v>1342</v>
      </c>
      <c r="E360" s="438"/>
      <c r="F360" s="437"/>
      <c r="G360" s="441"/>
      <c r="H360" s="441"/>
      <c r="I360" s="514">
        <v>2105300</v>
      </c>
      <c r="J360" s="860"/>
    </row>
    <row r="361" spans="1:10" s="416" customFormat="1">
      <c r="A361" s="916">
        <v>5</v>
      </c>
      <c r="B361" s="915" t="s">
        <v>1942</v>
      </c>
      <c r="C361" s="919" t="s">
        <v>1690</v>
      </c>
      <c r="D361" s="917" t="s">
        <v>1929</v>
      </c>
      <c r="E361" s="438" t="s">
        <v>1943</v>
      </c>
      <c r="F361" s="437" t="s">
        <v>1924</v>
      </c>
      <c r="G361" s="445">
        <v>1715</v>
      </c>
      <c r="H361" s="445">
        <v>240</v>
      </c>
      <c r="I361" s="513">
        <v>411600</v>
      </c>
      <c r="J361" s="856">
        <f>ROUND(I366*0.8,0)</f>
        <v>467436</v>
      </c>
    </row>
    <row r="362" spans="1:10" s="416" customFormat="1" ht="24">
      <c r="A362" s="916"/>
      <c r="B362" s="915"/>
      <c r="C362" s="919"/>
      <c r="D362" s="917"/>
      <c r="E362" s="438" t="s">
        <v>1944</v>
      </c>
      <c r="F362" s="437" t="s">
        <v>1924</v>
      </c>
      <c r="G362" s="445">
        <v>1715</v>
      </c>
      <c r="H362" s="445">
        <v>50</v>
      </c>
      <c r="I362" s="513">
        <v>85750</v>
      </c>
      <c r="J362" s="859"/>
    </row>
    <row r="363" spans="1:10" s="416" customFormat="1">
      <c r="A363" s="916"/>
      <c r="B363" s="915"/>
      <c r="C363" s="919"/>
      <c r="D363" s="448" t="s">
        <v>1332</v>
      </c>
      <c r="E363" s="449"/>
      <c r="F363" s="450"/>
      <c r="G363" s="448"/>
      <c r="H363" s="448"/>
      <c r="I363" s="521">
        <v>497350</v>
      </c>
      <c r="J363" s="859"/>
    </row>
    <row r="364" spans="1:10" s="416" customFormat="1">
      <c r="A364" s="916"/>
      <c r="B364" s="915"/>
      <c r="C364" s="919"/>
      <c r="D364" s="436" t="s">
        <v>1334</v>
      </c>
      <c r="E364" s="438"/>
      <c r="F364" s="437"/>
      <c r="G364" s="442"/>
      <c r="H364" s="442"/>
      <c r="I364" s="515">
        <v>56945</v>
      </c>
      <c r="J364" s="859"/>
    </row>
    <row r="365" spans="1:10" s="416" customFormat="1">
      <c r="A365" s="916"/>
      <c r="B365" s="915"/>
      <c r="C365" s="919"/>
      <c r="D365" s="388" t="s">
        <v>1338</v>
      </c>
      <c r="E365" s="438" t="s">
        <v>1801</v>
      </c>
      <c r="F365" s="437"/>
      <c r="G365" s="446"/>
      <c r="H365" s="446"/>
      <c r="I365" s="513">
        <v>30000</v>
      </c>
      <c r="J365" s="859"/>
    </row>
    <row r="366" spans="1:10" s="416" customFormat="1">
      <c r="A366" s="916"/>
      <c r="B366" s="915"/>
      <c r="C366" s="919"/>
      <c r="D366" s="436" t="s">
        <v>1342</v>
      </c>
      <c r="E366" s="438"/>
      <c r="F366" s="437"/>
      <c r="G366" s="441"/>
      <c r="H366" s="441"/>
      <c r="I366" s="514">
        <v>584295</v>
      </c>
      <c r="J366" s="860"/>
    </row>
    <row r="367" spans="1:10" s="416" customFormat="1" ht="24">
      <c r="A367" s="916">
        <v>6</v>
      </c>
      <c r="B367" s="917" t="s">
        <v>1945</v>
      </c>
      <c r="C367" s="918" t="s">
        <v>1690</v>
      </c>
      <c r="D367" s="437" t="s">
        <v>1946</v>
      </c>
      <c r="E367" s="438" t="s">
        <v>1947</v>
      </c>
      <c r="F367" s="437" t="s">
        <v>1315</v>
      </c>
      <c r="G367" s="445">
        <v>64</v>
      </c>
      <c r="H367" s="445">
        <v>2500</v>
      </c>
      <c r="I367" s="513">
        <v>160000</v>
      </c>
      <c r="J367" s="856">
        <f>ROUND(I371*0.8,0)</f>
        <v>146240</v>
      </c>
    </row>
    <row r="368" spans="1:10" s="416" customFormat="1">
      <c r="A368" s="916"/>
      <c r="B368" s="917"/>
      <c r="C368" s="918"/>
      <c r="D368" s="436" t="s">
        <v>1332</v>
      </c>
      <c r="E368" s="438"/>
      <c r="F368" s="437"/>
      <c r="G368" s="441"/>
      <c r="H368" s="441"/>
      <c r="I368" s="514">
        <v>160000</v>
      </c>
      <c r="J368" s="859"/>
    </row>
    <row r="369" spans="1:10" s="416" customFormat="1">
      <c r="A369" s="916"/>
      <c r="B369" s="917"/>
      <c r="C369" s="918"/>
      <c r="D369" s="436" t="s">
        <v>1334</v>
      </c>
      <c r="E369" s="438"/>
      <c r="F369" s="437"/>
      <c r="G369" s="442"/>
      <c r="H369" s="442"/>
      <c r="I369" s="515">
        <v>19200</v>
      </c>
      <c r="J369" s="859"/>
    </row>
    <row r="370" spans="1:10" s="416" customFormat="1">
      <c r="A370" s="916"/>
      <c r="B370" s="917"/>
      <c r="C370" s="918"/>
      <c r="D370" s="388" t="s">
        <v>1336</v>
      </c>
      <c r="E370" s="438"/>
      <c r="F370" s="437" t="s">
        <v>1689</v>
      </c>
      <c r="G370" s="445">
        <v>4</v>
      </c>
      <c r="H370" s="445">
        <v>900</v>
      </c>
      <c r="I370" s="516">
        <v>3600</v>
      </c>
      <c r="J370" s="859"/>
    </row>
    <row r="371" spans="1:10" s="416" customFormat="1">
      <c r="A371" s="916"/>
      <c r="B371" s="917"/>
      <c r="C371" s="918"/>
      <c r="D371" s="436" t="s">
        <v>1342</v>
      </c>
      <c r="E371" s="438"/>
      <c r="F371" s="437"/>
      <c r="G371" s="441"/>
      <c r="H371" s="441"/>
      <c r="I371" s="514">
        <v>182800</v>
      </c>
      <c r="J371" s="860"/>
    </row>
    <row r="372" spans="1:10" s="416" customFormat="1">
      <c r="A372" s="916">
        <v>7</v>
      </c>
      <c r="B372" s="915" t="s">
        <v>1046</v>
      </c>
      <c r="C372" s="919" t="s">
        <v>1690</v>
      </c>
      <c r="D372" s="437" t="s">
        <v>1948</v>
      </c>
      <c r="E372" s="438" t="s">
        <v>1949</v>
      </c>
      <c r="F372" s="437" t="s">
        <v>1924</v>
      </c>
      <c r="G372" s="445">
        <v>189</v>
      </c>
      <c r="H372" s="445">
        <v>2500</v>
      </c>
      <c r="I372" s="518">
        <v>472500</v>
      </c>
      <c r="J372" s="856">
        <f>ROUND(I382*0.8,0)</f>
        <v>558189</v>
      </c>
    </row>
    <row r="373" spans="1:10" s="416" customFormat="1">
      <c r="A373" s="916"/>
      <c r="B373" s="915"/>
      <c r="C373" s="919"/>
      <c r="D373" s="917" t="s">
        <v>1950</v>
      </c>
      <c r="E373" s="438" t="s">
        <v>1951</v>
      </c>
      <c r="F373" s="437" t="s">
        <v>1382</v>
      </c>
      <c r="G373" s="445">
        <v>1</v>
      </c>
      <c r="H373" s="445">
        <v>50000</v>
      </c>
      <c r="I373" s="518">
        <v>50000</v>
      </c>
      <c r="J373" s="859"/>
    </row>
    <row r="374" spans="1:10" s="416" customFormat="1">
      <c r="A374" s="916"/>
      <c r="B374" s="915"/>
      <c r="C374" s="919"/>
      <c r="D374" s="917"/>
      <c r="E374" s="438" t="s">
        <v>1952</v>
      </c>
      <c r="F374" s="437" t="s">
        <v>1924</v>
      </c>
      <c r="G374" s="445">
        <v>760</v>
      </c>
      <c r="H374" s="445">
        <v>80</v>
      </c>
      <c r="I374" s="518">
        <v>60800</v>
      </c>
      <c r="J374" s="859"/>
    </row>
    <row r="375" spans="1:10" s="416" customFormat="1">
      <c r="A375" s="916"/>
      <c r="B375" s="915"/>
      <c r="C375" s="919"/>
      <c r="D375" s="917"/>
      <c r="E375" s="438" t="s">
        <v>1953</v>
      </c>
      <c r="F375" s="437" t="s">
        <v>1924</v>
      </c>
      <c r="G375" s="445">
        <v>95</v>
      </c>
      <c r="H375" s="445">
        <v>150</v>
      </c>
      <c r="I375" s="518">
        <v>14250</v>
      </c>
      <c r="J375" s="859"/>
    </row>
    <row r="376" spans="1:10" s="416" customFormat="1">
      <c r="A376" s="916"/>
      <c r="B376" s="915"/>
      <c r="C376" s="919"/>
      <c r="D376" s="917"/>
      <c r="E376" s="438" t="s">
        <v>1954</v>
      </c>
      <c r="F376" s="437" t="s">
        <v>1924</v>
      </c>
      <c r="G376" s="445">
        <v>15</v>
      </c>
      <c r="H376" s="445">
        <v>200</v>
      </c>
      <c r="I376" s="518">
        <v>3000</v>
      </c>
      <c r="J376" s="859"/>
    </row>
    <row r="377" spans="1:10" s="416" customFormat="1">
      <c r="A377" s="916"/>
      <c r="B377" s="915"/>
      <c r="C377" s="919"/>
      <c r="D377" s="917"/>
      <c r="E377" s="438" t="s">
        <v>1955</v>
      </c>
      <c r="F377" s="437" t="s">
        <v>1924</v>
      </c>
      <c r="G377" s="445">
        <v>10</v>
      </c>
      <c r="H377" s="445">
        <v>400</v>
      </c>
      <c r="I377" s="518">
        <v>4000</v>
      </c>
      <c r="J377" s="859"/>
    </row>
    <row r="378" spans="1:10" s="416" customFormat="1">
      <c r="A378" s="916"/>
      <c r="B378" s="915"/>
      <c r="C378" s="919"/>
      <c r="D378" s="917"/>
      <c r="E378" s="438" t="s">
        <v>1956</v>
      </c>
      <c r="F378" s="437" t="s">
        <v>1709</v>
      </c>
      <c r="G378" s="445">
        <v>80</v>
      </c>
      <c r="H378" s="445">
        <v>150</v>
      </c>
      <c r="I378" s="518">
        <v>12000</v>
      </c>
      <c r="J378" s="859"/>
    </row>
    <row r="379" spans="1:10" s="416" customFormat="1">
      <c r="A379" s="916"/>
      <c r="B379" s="915"/>
      <c r="C379" s="919"/>
      <c r="D379" s="448" t="s">
        <v>1332</v>
      </c>
      <c r="E379" s="449"/>
      <c r="F379" s="450"/>
      <c r="G379" s="448"/>
      <c r="H379" s="448"/>
      <c r="I379" s="521">
        <v>616550</v>
      </c>
      <c r="J379" s="859"/>
    </row>
    <row r="380" spans="1:10" s="416" customFormat="1">
      <c r="A380" s="916"/>
      <c r="B380" s="917"/>
      <c r="C380" s="918"/>
      <c r="D380" s="436" t="s">
        <v>1334</v>
      </c>
      <c r="E380" s="438"/>
      <c r="F380" s="437"/>
      <c r="G380" s="442"/>
      <c r="H380" s="442"/>
      <c r="I380" s="515">
        <v>73986</v>
      </c>
      <c r="J380" s="859"/>
    </row>
    <row r="381" spans="1:10" s="416" customFormat="1">
      <c r="A381" s="916"/>
      <c r="B381" s="917"/>
      <c r="C381" s="918"/>
      <c r="D381" s="388" t="s">
        <v>1336</v>
      </c>
      <c r="E381" s="438"/>
      <c r="F381" s="437" t="s">
        <v>1689</v>
      </c>
      <c r="G381" s="445">
        <v>8</v>
      </c>
      <c r="H381" s="445">
        <v>900</v>
      </c>
      <c r="I381" s="518">
        <v>7200</v>
      </c>
      <c r="J381" s="859"/>
    </row>
    <row r="382" spans="1:10" s="416" customFormat="1">
      <c r="A382" s="916"/>
      <c r="B382" s="917"/>
      <c r="C382" s="918"/>
      <c r="D382" s="436" t="s">
        <v>1342</v>
      </c>
      <c r="E382" s="438"/>
      <c r="F382" s="437"/>
      <c r="G382" s="441"/>
      <c r="H382" s="441"/>
      <c r="I382" s="514">
        <v>697736</v>
      </c>
      <c r="J382" s="860"/>
    </row>
    <row r="383" spans="1:10" s="416" customFormat="1" ht="24">
      <c r="A383" s="916">
        <v>8</v>
      </c>
      <c r="B383" s="917" t="s">
        <v>245</v>
      </c>
      <c r="C383" s="918" t="s">
        <v>1690</v>
      </c>
      <c r="D383" s="917" t="s">
        <v>1694</v>
      </c>
      <c r="E383" s="438" t="s">
        <v>1957</v>
      </c>
      <c r="F383" s="437" t="s">
        <v>1315</v>
      </c>
      <c r="G383" s="445">
        <v>3063</v>
      </c>
      <c r="H383" s="445">
        <v>30</v>
      </c>
      <c r="I383" s="513">
        <v>91890</v>
      </c>
      <c r="J383" s="856">
        <f>ROUND(I389*0.9,0)</f>
        <v>2299367</v>
      </c>
    </row>
    <row r="384" spans="1:10" s="416" customFormat="1">
      <c r="A384" s="916"/>
      <c r="B384" s="917"/>
      <c r="C384" s="918"/>
      <c r="D384" s="917"/>
      <c r="E384" s="438" t="s">
        <v>1958</v>
      </c>
      <c r="F384" s="437" t="s">
        <v>1315</v>
      </c>
      <c r="G384" s="445">
        <v>3063</v>
      </c>
      <c r="H384" s="445">
        <v>210</v>
      </c>
      <c r="I384" s="513">
        <v>643230</v>
      </c>
      <c r="J384" s="859"/>
    </row>
    <row r="385" spans="1:10" s="416" customFormat="1">
      <c r="A385" s="916"/>
      <c r="B385" s="917"/>
      <c r="C385" s="918"/>
      <c r="D385" s="437" t="s">
        <v>1959</v>
      </c>
      <c r="E385" s="438" t="s">
        <v>1960</v>
      </c>
      <c r="F385" s="437" t="s">
        <v>1330</v>
      </c>
      <c r="G385" s="447">
        <v>0</v>
      </c>
      <c r="H385" s="447"/>
      <c r="I385" s="513">
        <v>1560200</v>
      </c>
      <c r="J385" s="859"/>
    </row>
    <row r="386" spans="1:10" s="416" customFormat="1">
      <c r="A386" s="916"/>
      <c r="B386" s="917"/>
      <c r="C386" s="918"/>
      <c r="D386" s="436" t="s">
        <v>1332</v>
      </c>
      <c r="E386" s="438"/>
      <c r="F386" s="437"/>
      <c r="G386" s="441"/>
      <c r="H386" s="441"/>
      <c r="I386" s="514">
        <v>2295320</v>
      </c>
      <c r="J386" s="859"/>
    </row>
    <row r="387" spans="1:10" s="416" customFormat="1">
      <c r="A387" s="916"/>
      <c r="B387" s="917"/>
      <c r="C387" s="918"/>
      <c r="D387" s="436" t="s">
        <v>1334</v>
      </c>
      <c r="E387" s="438"/>
      <c r="F387" s="437"/>
      <c r="G387" s="442"/>
      <c r="H387" s="442"/>
      <c r="I387" s="515">
        <v>229532</v>
      </c>
      <c r="J387" s="859"/>
    </row>
    <row r="388" spans="1:10" s="416" customFormat="1">
      <c r="A388" s="916"/>
      <c r="B388" s="917"/>
      <c r="C388" s="918"/>
      <c r="D388" s="388" t="s">
        <v>1338</v>
      </c>
      <c r="E388" s="438" t="s">
        <v>1961</v>
      </c>
      <c r="F388" s="437"/>
      <c r="G388" s="446"/>
      <c r="H388" s="446"/>
      <c r="I388" s="516">
        <v>30000</v>
      </c>
      <c r="J388" s="859"/>
    </row>
    <row r="389" spans="1:10" s="416" customFormat="1">
      <c r="A389" s="916"/>
      <c r="B389" s="917"/>
      <c r="C389" s="918"/>
      <c r="D389" s="436" t="s">
        <v>1342</v>
      </c>
      <c r="E389" s="438"/>
      <c r="F389" s="437"/>
      <c r="G389" s="441"/>
      <c r="H389" s="441"/>
      <c r="I389" s="514">
        <v>2554852</v>
      </c>
      <c r="J389" s="860"/>
    </row>
    <row r="390" spans="1:10" s="416" customFormat="1">
      <c r="A390" s="916">
        <v>9</v>
      </c>
      <c r="B390" s="915" t="s">
        <v>1962</v>
      </c>
      <c r="C390" s="919" t="s">
        <v>1312</v>
      </c>
      <c r="D390" s="915" t="s">
        <v>1963</v>
      </c>
      <c r="E390" s="449" t="s">
        <v>1964</v>
      </c>
      <c r="F390" s="450" t="s">
        <v>1359</v>
      </c>
      <c r="G390" s="451">
        <v>15</v>
      </c>
      <c r="H390" s="451">
        <v>1600</v>
      </c>
      <c r="I390" s="518">
        <v>24000</v>
      </c>
      <c r="J390" s="856">
        <f>ROUND(I405*0.8,0)</f>
        <v>309348</v>
      </c>
    </row>
    <row r="391" spans="1:10" s="416" customFormat="1">
      <c r="A391" s="916"/>
      <c r="B391" s="915"/>
      <c r="C391" s="919"/>
      <c r="D391" s="915"/>
      <c r="E391" s="449" t="s">
        <v>1965</v>
      </c>
      <c r="F391" s="450" t="s">
        <v>1359</v>
      </c>
      <c r="G391" s="451">
        <v>6</v>
      </c>
      <c r="H391" s="451">
        <v>2500</v>
      </c>
      <c r="I391" s="518">
        <v>15000</v>
      </c>
      <c r="J391" s="859"/>
    </row>
    <row r="392" spans="1:10" s="416" customFormat="1">
      <c r="A392" s="916"/>
      <c r="B392" s="915"/>
      <c r="C392" s="919"/>
      <c r="D392" s="915"/>
      <c r="E392" s="449" t="s">
        <v>1966</v>
      </c>
      <c r="F392" s="450" t="s">
        <v>1359</v>
      </c>
      <c r="G392" s="451">
        <v>21</v>
      </c>
      <c r="H392" s="451">
        <v>200</v>
      </c>
      <c r="I392" s="518">
        <v>4200</v>
      </c>
      <c r="J392" s="859"/>
    </row>
    <row r="393" spans="1:10" s="416" customFormat="1" ht="24">
      <c r="A393" s="916"/>
      <c r="B393" s="915"/>
      <c r="C393" s="919"/>
      <c r="D393" s="915" t="s">
        <v>1967</v>
      </c>
      <c r="E393" s="449" t="s">
        <v>1968</v>
      </c>
      <c r="F393" s="450" t="s">
        <v>1315</v>
      </c>
      <c r="G393" s="451">
        <v>280</v>
      </c>
      <c r="H393" s="451">
        <v>70</v>
      </c>
      <c r="I393" s="518">
        <v>19600</v>
      </c>
      <c r="J393" s="859"/>
    </row>
    <row r="394" spans="1:10" s="416" customFormat="1">
      <c r="A394" s="916"/>
      <c r="B394" s="915"/>
      <c r="C394" s="919"/>
      <c r="D394" s="915"/>
      <c r="E394" s="449" t="s">
        <v>1969</v>
      </c>
      <c r="F394" s="450" t="s">
        <v>1315</v>
      </c>
      <c r="G394" s="451">
        <v>280</v>
      </c>
      <c r="H394" s="451">
        <v>120</v>
      </c>
      <c r="I394" s="518">
        <v>33600</v>
      </c>
      <c r="J394" s="859"/>
    </row>
    <row r="395" spans="1:10" s="416" customFormat="1" ht="24">
      <c r="A395" s="916"/>
      <c r="B395" s="915"/>
      <c r="C395" s="919"/>
      <c r="D395" s="915" t="s">
        <v>1970</v>
      </c>
      <c r="E395" s="449" t="s">
        <v>1971</v>
      </c>
      <c r="F395" s="450" t="s">
        <v>1315</v>
      </c>
      <c r="G395" s="451">
        <v>72</v>
      </c>
      <c r="H395" s="451">
        <v>220</v>
      </c>
      <c r="I395" s="518">
        <v>15840</v>
      </c>
      <c r="J395" s="859"/>
    </row>
    <row r="396" spans="1:10" s="416" customFormat="1">
      <c r="A396" s="916"/>
      <c r="B396" s="915"/>
      <c r="C396" s="919"/>
      <c r="D396" s="915"/>
      <c r="E396" s="449" t="s">
        <v>1972</v>
      </c>
      <c r="F396" s="450" t="s">
        <v>1315</v>
      </c>
      <c r="G396" s="451">
        <v>72</v>
      </c>
      <c r="H396" s="451">
        <v>120</v>
      </c>
      <c r="I396" s="518">
        <v>8640</v>
      </c>
      <c r="J396" s="859"/>
    </row>
    <row r="397" spans="1:10" s="416" customFormat="1" ht="24">
      <c r="A397" s="916"/>
      <c r="B397" s="915"/>
      <c r="C397" s="919"/>
      <c r="D397" s="915" t="s">
        <v>1973</v>
      </c>
      <c r="E397" s="449" t="s">
        <v>1974</v>
      </c>
      <c r="F397" s="450" t="s">
        <v>1315</v>
      </c>
      <c r="G397" s="450">
        <v>265</v>
      </c>
      <c r="H397" s="450">
        <v>50</v>
      </c>
      <c r="I397" s="518">
        <v>13250</v>
      </c>
      <c r="J397" s="859"/>
    </row>
    <row r="398" spans="1:10" s="416" customFormat="1" ht="24">
      <c r="A398" s="916"/>
      <c r="B398" s="915"/>
      <c r="C398" s="919"/>
      <c r="D398" s="915"/>
      <c r="E398" s="449" t="s">
        <v>1975</v>
      </c>
      <c r="F398" s="450" t="s">
        <v>1315</v>
      </c>
      <c r="G398" s="451">
        <v>525</v>
      </c>
      <c r="H398" s="451">
        <v>45</v>
      </c>
      <c r="I398" s="518">
        <v>23625</v>
      </c>
      <c r="J398" s="859"/>
    </row>
    <row r="399" spans="1:10" s="416" customFormat="1">
      <c r="A399" s="916"/>
      <c r="B399" s="915"/>
      <c r="C399" s="919"/>
      <c r="D399" s="915"/>
      <c r="E399" s="449" t="s">
        <v>1972</v>
      </c>
      <c r="F399" s="450" t="s">
        <v>1315</v>
      </c>
      <c r="G399" s="451">
        <v>265</v>
      </c>
      <c r="H399" s="451">
        <v>120</v>
      </c>
      <c r="I399" s="518">
        <v>31800</v>
      </c>
      <c r="J399" s="859"/>
    </row>
    <row r="400" spans="1:10" s="416" customFormat="1">
      <c r="A400" s="916"/>
      <c r="B400" s="915"/>
      <c r="C400" s="919"/>
      <c r="D400" s="915" t="s">
        <v>1976</v>
      </c>
      <c r="E400" s="449" t="s">
        <v>1977</v>
      </c>
      <c r="F400" s="450" t="s">
        <v>1315</v>
      </c>
      <c r="G400" s="451">
        <v>509</v>
      </c>
      <c r="H400" s="451">
        <v>50</v>
      </c>
      <c r="I400" s="518">
        <v>25450</v>
      </c>
      <c r="J400" s="859"/>
    </row>
    <row r="401" spans="1:10" s="416" customFormat="1">
      <c r="A401" s="916"/>
      <c r="B401" s="915"/>
      <c r="C401" s="919"/>
      <c r="D401" s="915"/>
      <c r="E401" s="449" t="s">
        <v>1978</v>
      </c>
      <c r="F401" s="450" t="s">
        <v>1315</v>
      </c>
      <c r="G401" s="451">
        <v>509</v>
      </c>
      <c r="H401" s="451">
        <v>248</v>
      </c>
      <c r="I401" s="518">
        <v>126232</v>
      </c>
      <c r="J401" s="859"/>
    </row>
    <row r="402" spans="1:10" s="416" customFormat="1">
      <c r="A402" s="916"/>
      <c r="B402" s="915"/>
      <c r="C402" s="919"/>
      <c r="D402" s="448" t="s">
        <v>1332</v>
      </c>
      <c r="E402" s="449"/>
      <c r="F402" s="450"/>
      <c r="G402" s="448"/>
      <c r="H402" s="448"/>
      <c r="I402" s="521">
        <v>341237</v>
      </c>
      <c r="J402" s="859"/>
    </row>
    <row r="403" spans="1:10" s="416" customFormat="1">
      <c r="A403" s="916"/>
      <c r="B403" s="915"/>
      <c r="C403" s="919"/>
      <c r="D403" s="448" t="s">
        <v>1334</v>
      </c>
      <c r="E403" s="449"/>
      <c r="F403" s="450"/>
      <c r="G403" s="448"/>
      <c r="H403" s="448"/>
      <c r="I403" s="521">
        <v>40948.44</v>
      </c>
      <c r="J403" s="859"/>
    </row>
    <row r="404" spans="1:10" s="416" customFormat="1">
      <c r="A404" s="916"/>
      <c r="B404" s="915"/>
      <c r="C404" s="919"/>
      <c r="D404" s="450" t="s">
        <v>1336</v>
      </c>
      <c r="E404" s="449"/>
      <c r="F404" s="450" t="s">
        <v>1689</v>
      </c>
      <c r="G404" s="451">
        <v>5</v>
      </c>
      <c r="H404" s="451">
        <v>900</v>
      </c>
      <c r="I404" s="518">
        <v>4500</v>
      </c>
      <c r="J404" s="859"/>
    </row>
    <row r="405" spans="1:10" s="416" customFormat="1">
      <c r="A405" s="916"/>
      <c r="B405" s="915"/>
      <c r="C405" s="919"/>
      <c r="D405" s="448" t="s">
        <v>1342</v>
      </c>
      <c r="E405" s="449"/>
      <c r="F405" s="450"/>
      <c r="G405" s="448"/>
      <c r="H405" s="448"/>
      <c r="I405" s="521">
        <v>386685.44</v>
      </c>
      <c r="J405" s="860"/>
    </row>
    <row r="406" spans="1:10" s="416" customFormat="1">
      <c r="A406" s="916">
        <v>10</v>
      </c>
      <c r="B406" s="917" t="s">
        <v>247</v>
      </c>
      <c r="C406" s="918" t="s">
        <v>1312</v>
      </c>
      <c r="D406" s="437" t="s">
        <v>1751</v>
      </c>
      <c r="E406" s="438" t="s">
        <v>1979</v>
      </c>
      <c r="F406" s="437" t="s">
        <v>1315</v>
      </c>
      <c r="G406" s="447">
        <v>0</v>
      </c>
      <c r="H406" s="447">
        <v>0</v>
      </c>
      <c r="I406" s="513">
        <v>0</v>
      </c>
      <c r="J406" s="856">
        <f>ROUND(I413*0.9,0)</f>
        <v>285476</v>
      </c>
    </row>
    <row r="407" spans="1:10" s="416" customFormat="1">
      <c r="A407" s="916"/>
      <c r="B407" s="917"/>
      <c r="C407" s="918"/>
      <c r="D407" s="917" t="s">
        <v>1823</v>
      </c>
      <c r="E407" s="438" t="s">
        <v>1980</v>
      </c>
      <c r="F407" s="437" t="s">
        <v>1315</v>
      </c>
      <c r="G407" s="445">
        <v>780</v>
      </c>
      <c r="H407" s="445">
        <v>30</v>
      </c>
      <c r="I407" s="513">
        <v>23400</v>
      </c>
      <c r="J407" s="859"/>
    </row>
    <row r="408" spans="1:10" s="416" customFormat="1">
      <c r="A408" s="916"/>
      <c r="B408" s="917"/>
      <c r="C408" s="918"/>
      <c r="D408" s="917"/>
      <c r="E408" s="438" t="s">
        <v>1981</v>
      </c>
      <c r="F408" s="437" t="s">
        <v>1315</v>
      </c>
      <c r="G408" s="445">
        <v>780</v>
      </c>
      <c r="H408" s="447">
        <v>30</v>
      </c>
      <c r="I408" s="513">
        <v>23400</v>
      </c>
      <c r="J408" s="859"/>
    </row>
    <row r="409" spans="1:10" s="416" customFormat="1">
      <c r="A409" s="916"/>
      <c r="B409" s="917"/>
      <c r="C409" s="918"/>
      <c r="D409" s="917"/>
      <c r="E409" s="438" t="s">
        <v>1982</v>
      </c>
      <c r="F409" s="437" t="s">
        <v>1315</v>
      </c>
      <c r="G409" s="445">
        <v>780</v>
      </c>
      <c r="H409" s="447">
        <v>300</v>
      </c>
      <c r="I409" s="513">
        <v>234000</v>
      </c>
      <c r="J409" s="859"/>
    </row>
    <row r="410" spans="1:10" s="416" customFormat="1">
      <c r="A410" s="916"/>
      <c r="B410" s="917"/>
      <c r="C410" s="918"/>
      <c r="D410" s="436" t="s">
        <v>1332</v>
      </c>
      <c r="E410" s="438"/>
      <c r="F410" s="437"/>
      <c r="G410" s="441"/>
      <c r="H410" s="441"/>
      <c r="I410" s="514">
        <v>280800</v>
      </c>
      <c r="J410" s="859"/>
    </row>
    <row r="411" spans="1:10" s="416" customFormat="1">
      <c r="A411" s="916"/>
      <c r="B411" s="917"/>
      <c r="C411" s="918"/>
      <c r="D411" s="436" t="s">
        <v>1334</v>
      </c>
      <c r="E411" s="438"/>
      <c r="F411" s="437"/>
      <c r="G411" s="442"/>
      <c r="H411" s="442"/>
      <c r="I411" s="515">
        <v>33696</v>
      </c>
      <c r="J411" s="859"/>
    </row>
    <row r="412" spans="1:10" s="416" customFormat="1">
      <c r="A412" s="916"/>
      <c r="B412" s="917"/>
      <c r="C412" s="918"/>
      <c r="D412" s="388" t="s">
        <v>1336</v>
      </c>
      <c r="E412" s="438"/>
      <c r="F412" s="437" t="s">
        <v>1689</v>
      </c>
      <c r="G412" s="445">
        <v>3</v>
      </c>
      <c r="H412" s="445">
        <v>900</v>
      </c>
      <c r="I412" s="516">
        <v>2700</v>
      </c>
      <c r="J412" s="859"/>
    </row>
    <row r="413" spans="1:10" s="416" customFormat="1">
      <c r="A413" s="916"/>
      <c r="B413" s="917"/>
      <c r="C413" s="918"/>
      <c r="D413" s="436" t="s">
        <v>1342</v>
      </c>
      <c r="E413" s="438"/>
      <c r="F413" s="437"/>
      <c r="G413" s="441"/>
      <c r="H413" s="441"/>
      <c r="I413" s="514">
        <v>317196</v>
      </c>
      <c r="J413" s="860"/>
    </row>
    <row r="414" spans="1:10" s="374" customFormat="1">
      <c r="A414" s="913">
        <v>11</v>
      </c>
      <c r="B414" s="914" t="s">
        <v>186</v>
      </c>
      <c r="C414" s="874"/>
      <c r="D414" s="914" t="s">
        <v>1983</v>
      </c>
      <c r="E414" s="914" t="s">
        <v>1984</v>
      </c>
      <c r="F414" s="913" t="s">
        <v>1686</v>
      </c>
      <c r="G414" s="400">
        <v>189</v>
      </c>
      <c r="H414" s="432">
        <v>42.24</v>
      </c>
      <c r="I414" s="527">
        <v>7983.36</v>
      </c>
      <c r="J414" s="861">
        <f>ROUND(I496*0.9,0)</f>
        <v>4232094</v>
      </c>
    </row>
    <row r="415" spans="1:10" s="374" customFormat="1">
      <c r="A415" s="913"/>
      <c r="B415" s="914"/>
      <c r="C415" s="874"/>
      <c r="D415" s="914"/>
      <c r="E415" s="914"/>
      <c r="F415" s="913"/>
      <c r="G415" s="400">
        <v>27</v>
      </c>
      <c r="H415" s="432">
        <v>260</v>
      </c>
      <c r="I415" s="527">
        <v>7020</v>
      </c>
      <c r="J415" s="862"/>
    </row>
    <row r="416" spans="1:10" s="374" customFormat="1">
      <c r="A416" s="913"/>
      <c r="B416" s="914"/>
      <c r="C416" s="874"/>
      <c r="D416" s="914"/>
      <c r="E416" s="914" t="s">
        <v>1985</v>
      </c>
      <c r="F416" s="913" t="s">
        <v>1686</v>
      </c>
      <c r="G416" s="400" t="s">
        <v>1986</v>
      </c>
      <c r="H416" s="432">
        <v>1632</v>
      </c>
      <c r="I416" s="527">
        <v>65280</v>
      </c>
      <c r="J416" s="862"/>
    </row>
    <row r="417" spans="1:10" s="374" customFormat="1">
      <c r="A417" s="913"/>
      <c r="B417" s="914"/>
      <c r="C417" s="874"/>
      <c r="D417" s="914"/>
      <c r="E417" s="914"/>
      <c r="F417" s="913"/>
      <c r="G417" s="400" t="s">
        <v>1987</v>
      </c>
      <c r="H417" s="432">
        <v>677.7</v>
      </c>
      <c r="I417" s="527">
        <v>10843.2</v>
      </c>
      <c r="J417" s="862"/>
    </row>
    <row r="418" spans="1:10" s="374" customFormat="1" ht="36">
      <c r="A418" s="913"/>
      <c r="B418" s="914"/>
      <c r="C418" s="874"/>
      <c r="D418" s="914"/>
      <c r="E418" s="428" t="s">
        <v>1988</v>
      </c>
      <c r="F418" s="429" t="s">
        <v>1686</v>
      </c>
      <c r="G418" s="400">
        <v>763.2</v>
      </c>
      <c r="H418" s="432">
        <v>245</v>
      </c>
      <c r="I418" s="527">
        <v>186984</v>
      </c>
      <c r="J418" s="862"/>
    </row>
    <row r="419" spans="1:10" s="374" customFormat="1" ht="24">
      <c r="A419" s="913"/>
      <c r="B419" s="914"/>
      <c r="C419" s="874"/>
      <c r="D419" s="914"/>
      <c r="E419" s="428" t="s">
        <v>1989</v>
      </c>
      <c r="F419" s="429" t="s">
        <v>1686</v>
      </c>
      <c r="G419" s="400">
        <v>468</v>
      </c>
      <c r="H419" s="432">
        <v>180</v>
      </c>
      <c r="I419" s="527">
        <v>84240</v>
      </c>
      <c r="J419" s="862"/>
    </row>
    <row r="420" spans="1:10" s="374" customFormat="1" ht="24">
      <c r="A420" s="913"/>
      <c r="B420" s="914"/>
      <c r="C420" s="874"/>
      <c r="D420" s="914"/>
      <c r="E420" s="428" t="s">
        <v>1990</v>
      </c>
      <c r="F420" s="429" t="s">
        <v>1686</v>
      </c>
      <c r="G420" s="400">
        <v>648</v>
      </c>
      <c r="H420" s="432">
        <v>196.80401234567901</v>
      </c>
      <c r="I420" s="527">
        <v>127529</v>
      </c>
      <c r="J420" s="862"/>
    </row>
    <row r="421" spans="1:10" s="374" customFormat="1">
      <c r="A421" s="913"/>
      <c r="B421" s="914"/>
      <c r="C421" s="874"/>
      <c r="D421" s="914"/>
      <c r="E421" s="914" t="s">
        <v>1991</v>
      </c>
      <c r="F421" s="913" t="s">
        <v>1686</v>
      </c>
      <c r="G421" s="400">
        <v>160.72</v>
      </c>
      <c r="H421" s="432">
        <v>47.5</v>
      </c>
      <c r="I421" s="527">
        <v>7634.2</v>
      </c>
      <c r="J421" s="862"/>
    </row>
    <row r="422" spans="1:10" s="374" customFormat="1">
      <c r="A422" s="913"/>
      <c r="B422" s="914"/>
      <c r="C422" s="874"/>
      <c r="D422" s="914"/>
      <c r="E422" s="914"/>
      <c r="F422" s="913"/>
      <c r="G422" s="400">
        <v>100</v>
      </c>
      <c r="H422" s="432">
        <v>145</v>
      </c>
      <c r="I422" s="527">
        <v>14500</v>
      </c>
      <c r="J422" s="862"/>
    </row>
    <row r="423" spans="1:10" s="374" customFormat="1" ht="24">
      <c r="A423" s="913"/>
      <c r="B423" s="914"/>
      <c r="C423" s="874"/>
      <c r="D423" s="914"/>
      <c r="E423" s="428" t="s">
        <v>1992</v>
      </c>
      <c r="F423" s="429" t="s">
        <v>1686</v>
      </c>
      <c r="G423" s="400">
        <v>115.2</v>
      </c>
      <c r="H423" s="432">
        <v>235.75</v>
      </c>
      <c r="I423" s="527">
        <v>27158.400000000001</v>
      </c>
      <c r="J423" s="862"/>
    </row>
    <row r="424" spans="1:10" s="374" customFormat="1">
      <c r="A424" s="913"/>
      <c r="B424" s="914"/>
      <c r="C424" s="874"/>
      <c r="D424" s="914"/>
      <c r="E424" s="428" t="s">
        <v>1993</v>
      </c>
      <c r="F424" s="429" t="s">
        <v>1686</v>
      </c>
      <c r="G424" s="400">
        <v>366</v>
      </c>
      <c r="H424" s="432">
        <v>61.6</v>
      </c>
      <c r="I424" s="527">
        <v>22545.599999999999</v>
      </c>
      <c r="J424" s="862"/>
    </row>
    <row r="425" spans="1:10" s="374" customFormat="1" ht="24">
      <c r="A425" s="913"/>
      <c r="B425" s="914"/>
      <c r="C425" s="874"/>
      <c r="D425" s="914"/>
      <c r="E425" s="428" t="s">
        <v>1994</v>
      </c>
      <c r="F425" s="429" t="s">
        <v>1686</v>
      </c>
      <c r="G425" s="400">
        <v>177.6</v>
      </c>
      <c r="H425" s="432">
        <v>61.6</v>
      </c>
      <c r="I425" s="527">
        <v>10940.16</v>
      </c>
      <c r="J425" s="862"/>
    </row>
    <row r="426" spans="1:10" s="374" customFormat="1">
      <c r="A426" s="913"/>
      <c r="B426" s="914"/>
      <c r="C426" s="874"/>
      <c r="D426" s="914"/>
      <c r="E426" s="428" t="s">
        <v>1995</v>
      </c>
      <c r="F426" s="429" t="s">
        <v>1686</v>
      </c>
      <c r="G426" s="400">
        <v>287</v>
      </c>
      <c r="H426" s="432">
        <v>61.6</v>
      </c>
      <c r="I426" s="527">
        <v>17679.2</v>
      </c>
      <c r="J426" s="862"/>
    </row>
    <row r="427" spans="1:10" s="374" customFormat="1">
      <c r="A427" s="913"/>
      <c r="B427" s="914"/>
      <c r="C427" s="874"/>
      <c r="D427" s="914"/>
      <c r="E427" s="428" t="s">
        <v>1996</v>
      </c>
      <c r="F427" s="429" t="s">
        <v>1686</v>
      </c>
      <c r="G427" s="400">
        <v>22</v>
      </c>
      <c r="H427" s="432">
        <v>47.5</v>
      </c>
      <c r="I427" s="527">
        <v>1045</v>
      </c>
      <c r="J427" s="862"/>
    </row>
    <row r="428" spans="1:10" s="374" customFormat="1" ht="24">
      <c r="A428" s="913"/>
      <c r="B428" s="914"/>
      <c r="C428" s="874"/>
      <c r="D428" s="914"/>
      <c r="E428" s="428" t="s">
        <v>1997</v>
      </c>
      <c r="F428" s="429" t="s">
        <v>1686</v>
      </c>
      <c r="G428" s="75">
        <v>89</v>
      </c>
      <c r="H428" s="386">
        <v>189.9</v>
      </c>
      <c r="I428" s="527">
        <v>16901.099999999999</v>
      </c>
      <c r="J428" s="862"/>
    </row>
    <row r="429" spans="1:10" s="374" customFormat="1">
      <c r="A429" s="913"/>
      <c r="B429" s="914"/>
      <c r="C429" s="874"/>
      <c r="D429" s="914"/>
      <c r="E429" s="428" t="s">
        <v>1998</v>
      </c>
      <c r="F429" s="429" t="s">
        <v>1686</v>
      </c>
      <c r="G429" s="400">
        <v>33</v>
      </c>
      <c r="H429" s="432">
        <v>165</v>
      </c>
      <c r="I429" s="527">
        <v>5445</v>
      </c>
      <c r="J429" s="862"/>
    </row>
    <row r="430" spans="1:10" s="374" customFormat="1" ht="24">
      <c r="A430" s="913"/>
      <c r="B430" s="914"/>
      <c r="C430" s="874"/>
      <c r="D430" s="914"/>
      <c r="E430" s="428" t="s">
        <v>1999</v>
      </c>
      <c r="F430" s="429" t="s">
        <v>1686</v>
      </c>
      <c r="G430" s="400">
        <v>34</v>
      </c>
      <c r="H430" s="432">
        <v>621.41</v>
      </c>
      <c r="I430" s="527">
        <v>21127.94</v>
      </c>
      <c r="J430" s="862"/>
    </row>
    <row r="431" spans="1:10" s="374" customFormat="1" ht="48">
      <c r="A431" s="913"/>
      <c r="B431" s="914"/>
      <c r="C431" s="874"/>
      <c r="D431" s="914"/>
      <c r="E431" s="428" t="s">
        <v>2000</v>
      </c>
      <c r="F431" s="429" t="s">
        <v>1686</v>
      </c>
      <c r="G431" s="400">
        <v>68</v>
      </c>
      <c r="H431" s="432">
        <v>1427.64705882353</v>
      </c>
      <c r="I431" s="527">
        <v>97080</v>
      </c>
      <c r="J431" s="862"/>
    </row>
    <row r="432" spans="1:10" s="374" customFormat="1">
      <c r="A432" s="913"/>
      <c r="B432" s="914"/>
      <c r="C432" s="874"/>
      <c r="D432" s="914"/>
      <c r="E432" s="428" t="s">
        <v>2001</v>
      </c>
      <c r="F432" s="429" t="s">
        <v>1686</v>
      </c>
      <c r="G432" s="400">
        <v>34</v>
      </c>
      <c r="H432" s="432">
        <v>2550</v>
      </c>
      <c r="I432" s="527">
        <v>86700</v>
      </c>
      <c r="J432" s="862"/>
    </row>
    <row r="433" spans="1:10" s="374" customFormat="1">
      <c r="A433" s="913"/>
      <c r="B433" s="914"/>
      <c r="C433" s="874"/>
      <c r="D433" s="914"/>
      <c r="E433" s="428" t="s">
        <v>2002</v>
      </c>
      <c r="F433" s="429" t="s">
        <v>1686</v>
      </c>
      <c r="G433" s="400">
        <v>120</v>
      </c>
      <c r="H433" s="432">
        <v>130</v>
      </c>
      <c r="I433" s="527">
        <v>15600</v>
      </c>
      <c r="J433" s="862"/>
    </row>
    <row r="434" spans="1:10" s="374" customFormat="1">
      <c r="A434" s="913"/>
      <c r="B434" s="914"/>
      <c r="C434" s="874"/>
      <c r="D434" s="914"/>
      <c r="E434" s="428" t="s">
        <v>1747</v>
      </c>
      <c r="F434" s="429" t="s">
        <v>1686</v>
      </c>
      <c r="G434" s="400">
        <v>1440</v>
      </c>
      <c r="H434" s="432">
        <v>120</v>
      </c>
      <c r="I434" s="527">
        <v>172800</v>
      </c>
      <c r="J434" s="862"/>
    </row>
    <row r="435" spans="1:10" s="374" customFormat="1">
      <c r="A435" s="913"/>
      <c r="B435" s="914"/>
      <c r="C435" s="874"/>
      <c r="D435" s="914"/>
      <c r="E435" s="428" t="s">
        <v>2003</v>
      </c>
      <c r="F435" s="429" t="s">
        <v>1686</v>
      </c>
      <c r="G435" s="400">
        <v>1440</v>
      </c>
      <c r="H435" s="432">
        <v>60</v>
      </c>
      <c r="I435" s="527">
        <v>86400</v>
      </c>
      <c r="J435" s="862"/>
    </row>
    <row r="436" spans="1:10" s="374" customFormat="1">
      <c r="A436" s="913"/>
      <c r="B436" s="914"/>
      <c r="C436" s="874"/>
      <c r="D436" s="914" t="s">
        <v>2004</v>
      </c>
      <c r="E436" s="428" t="s">
        <v>2005</v>
      </c>
      <c r="F436" s="429" t="s">
        <v>1686</v>
      </c>
      <c r="G436" s="400" t="s">
        <v>2006</v>
      </c>
      <c r="H436" s="432">
        <v>1632</v>
      </c>
      <c r="I436" s="527">
        <v>81600</v>
      </c>
      <c r="J436" s="862"/>
    </row>
    <row r="437" spans="1:10" s="374" customFormat="1">
      <c r="A437" s="913"/>
      <c r="B437" s="914"/>
      <c r="C437" s="874"/>
      <c r="D437" s="914"/>
      <c r="E437" s="428" t="s">
        <v>2007</v>
      </c>
      <c r="F437" s="429" t="s">
        <v>1686</v>
      </c>
      <c r="G437" s="400">
        <v>30</v>
      </c>
      <c r="H437" s="432">
        <v>235.75</v>
      </c>
      <c r="I437" s="527">
        <v>7072.5</v>
      </c>
      <c r="J437" s="862"/>
    </row>
    <row r="438" spans="1:10" s="374" customFormat="1">
      <c r="A438" s="913"/>
      <c r="B438" s="914"/>
      <c r="C438" s="874"/>
      <c r="D438" s="914"/>
      <c r="E438" s="428" t="s">
        <v>2008</v>
      </c>
      <c r="F438" s="429" t="s">
        <v>1686</v>
      </c>
      <c r="G438" s="400">
        <v>708</v>
      </c>
      <c r="H438" s="432">
        <v>47.5</v>
      </c>
      <c r="I438" s="527">
        <v>33630</v>
      </c>
      <c r="J438" s="862"/>
    </row>
    <row r="439" spans="1:10" s="374" customFormat="1" ht="24">
      <c r="A439" s="913"/>
      <c r="B439" s="914"/>
      <c r="C439" s="874"/>
      <c r="D439" s="914"/>
      <c r="E439" s="428" t="s">
        <v>1990</v>
      </c>
      <c r="F439" s="429" t="s">
        <v>1686</v>
      </c>
      <c r="G439" s="400">
        <v>1771</v>
      </c>
      <c r="H439" s="432">
        <v>189.9</v>
      </c>
      <c r="I439" s="527">
        <v>336312.9</v>
      </c>
      <c r="J439" s="862"/>
    </row>
    <row r="440" spans="1:10" s="374" customFormat="1">
      <c r="A440" s="913"/>
      <c r="B440" s="914"/>
      <c r="C440" s="874"/>
      <c r="D440" s="914"/>
      <c r="E440" s="428" t="s">
        <v>1991</v>
      </c>
      <c r="F440" s="429" t="s">
        <v>1686</v>
      </c>
      <c r="G440" s="400">
        <v>145</v>
      </c>
      <c r="H440" s="432">
        <v>47.5</v>
      </c>
      <c r="I440" s="527">
        <v>6887.5</v>
      </c>
      <c r="J440" s="862"/>
    </row>
    <row r="441" spans="1:10" s="374" customFormat="1" ht="24">
      <c r="A441" s="913"/>
      <c r="B441" s="914"/>
      <c r="C441" s="874"/>
      <c r="D441" s="914"/>
      <c r="E441" s="428" t="s">
        <v>2009</v>
      </c>
      <c r="F441" s="429" t="s">
        <v>1686</v>
      </c>
      <c r="G441" s="400">
        <v>286</v>
      </c>
      <c r="H441" s="432">
        <v>189.9</v>
      </c>
      <c r="I441" s="527">
        <v>54311.4</v>
      </c>
      <c r="J441" s="862"/>
    </row>
    <row r="442" spans="1:10" s="374" customFormat="1">
      <c r="A442" s="913"/>
      <c r="B442" s="914"/>
      <c r="C442" s="874"/>
      <c r="D442" s="914"/>
      <c r="E442" s="428" t="s">
        <v>1993</v>
      </c>
      <c r="F442" s="429" t="s">
        <v>1686</v>
      </c>
      <c r="G442" s="400">
        <v>733</v>
      </c>
      <c r="H442" s="432">
        <v>61.6</v>
      </c>
      <c r="I442" s="527">
        <v>45152.800000000003</v>
      </c>
      <c r="J442" s="862"/>
    </row>
    <row r="443" spans="1:10" s="374" customFormat="1" ht="24">
      <c r="A443" s="913"/>
      <c r="B443" s="914"/>
      <c r="C443" s="874"/>
      <c r="D443" s="914"/>
      <c r="E443" s="428" t="s">
        <v>1994</v>
      </c>
      <c r="F443" s="429" t="s">
        <v>1686</v>
      </c>
      <c r="G443" s="400">
        <v>177.6</v>
      </c>
      <c r="H443" s="432">
        <v>61.6</v>
      </c>
      <c r="I443" s="527">
        <v>10940.16</v>
      </c>
      <c r="J443" s="862"/>
    </row>
    <row r="444" spans="1:10" s="374" customFormat="1">
      <c r="A444" s="913"/>
      <c r="B444" s="914"/>
      <c r="C444" s="874"/>
      <c r="D444" s="914"/>
      <c r="E444" s="428" t="s">
        <v>1995</v>
      </c>
      <c r="F444" s="429" t="s">
        <v>1686</v>
      </c>
      <c r="G444" s="400">
        <v>665</v>
      </c>
      <c r="H444" s="432">
        <v>61.6</v>
      </c>
      <c r="I444" s="527">
        <v>40964</v>
      </c>
      <c r="J444" s="862"/>
    </row>
    <row r="445" spans="1:10" s="374" customFormat="1">
      <c r="A445" s="913"/>
      <c r="B445" s="914"/>
      <c r="C445" s="874"/>
      <c r="D445" s="914"/>
      <c r="E445" s="428" t="s">
        <v>1996</v>
      </c>
      <c r="F445" s="429" t="s">
        <v>1686</v>
      </c>
      <c r="G445" s="400">
        <v>33.5</v>
      </c>
      <c r="H445" s="432">
        <v>47.5</v>
      </c>
      <c r="I445" s="527">
        <v>1591.25</v>
      </c>
      <c r="J445" s="862"/>
    </row>
    <row r="446" spans="1:10" s="374" customFormat="1">
      <c r="A446" s="913"/>
      <c r="B446" s="914"/>
      <c r="C446" s="874"/>
      <c r="D446" s="914"/>
      <c r="E446" s="428" t="s">
        <v>2010</v>
      </c>
      <c r="F446" s="429" t="s">
        <v>1686</v>
      </c>
      <c r="G446" s="400">
        <v>30</v>
      </c>
      <c r="H446" s="432">
        <v>189.9</v>
      </c>
      <c r="I446" s="527">
        <v>5697</v>
      </c>
      <c r="J446" s="862"/>
    </row>
    <row r="447" spans="1:10" s="374" customFormat="1">
      <c r="A447" s="913"/>
      <c r="B447" s="914"/>
      <c r="C447" s="874"/>
      <c r="D447" s="914"/>
      <c r="E447" s="428" t="s">
        <v>2011</v>
      </c>
      <c r="F447" s="429" t="s">
        <v>1686</v>
      </c>
      <c r="G447" s="400">
        <v>20</v>
      </c>
      <c r="H447" s="432">
        <v>400</v>
      </c>
      <c r="I447" s="527">
        <v>8000</v>
      </c>
      <c r="J447" s="862"/>
    </row>
    <row r="448" spans="1:10" s="374" customFormat="1">
      <c r="A448" s="913"/>
      <c r="B448" s="914"/>
      <c r="C448" s="874"/>
      <c r="D448" s="914"/>
      <c r="E448" s="914" t="s">
        <v>2012</v>
      </c>
      <c r="F448" s="913" t="s">
        <v>1686</v>
      </c>
      <c r="G448" s="400">
        <v>808</v>
      </c>
      <c r="H448" s="432">
        <v>230</v>
      </c>
      <c r="I448" s="527">
        <v>185840</v>
      </c>
      <c r="J448" s="862"/>
    </row>
    <row r="449" spans="1:10" s="374" customFormat="1">
      <c r="A449" s="913"/>
      <c r="B449" s="914"/>
      <c r="C449" s="874"/>
      <c r="D449" s="914"/>
      <c r="E449" s="914"/>
      <c r="F449" s="913"/>
      <c r="G449" s="400">
        <v>36</v>
      </c>
      <c r="H449" s="432">
        <v>165</v>
      </c>
      <c r="I449" s="527">
        <v>5940</v>
      </c>
      <c r="J449" s="862"/>
    </row>
    <row r="450" spans="1:10" s="374" customFormat="1">
      <c r="A450" s="913"/>
      <c r="B450" s="914"/>
      <c r="C450" s="874"/>
      <c r="D450" s="914"/>
      <c r="E450" s="428" t="s">
        <v>2013</v>
      </c>
      <c r="F450" s="429" t="s">
        <v>1686</v>
      </c>
      <c r="G450" s="400">
        <v>176</v>
      </c>
      <c r="H450" s="432">
        <v>2068</v>
      </c>
      <c r="I450" s="527">
        <v>363968</v>
      </c>
      <c r="J450" s="862"/>
    </row>
    <row r="451" spans="1:10" s="374" customFormat="1" ht="24">
      <c r="A451" s="913"/>
      <c r="B451" s="914"/>
      <c r="C451" s="874"/>
      <c r="D451" s="914" t="s">
        <v>2014</v>
      </c>
      <c r="E451" s="428" t="s">
        <v>2015</v>
      </c>
      <c r="F451" s="429" t="s">
        <v>1686</v>
      </c>
      <c r="G451" s="400">
        <v>431</v>
      </c>
      <c r="H451" s="432">
        <v>47.5</v>
      </c>
      <c r="I451" s="527">
        <v>20472.5</v>
      </c>
      <c r="J451" s="862"/>
    </row>
    <row r="452" spans="1:10" s="374" customFormat="1" ht="24">
      <c r="A452" s="913"/>
      <c r="B452" s="914"/>
      <c r="C452" s="874"/>
      <c r="D452" s="914"/>
      <c r="E452" s="428" t="s">
        <v>2016</v>
      </c>
      <c r="F452" s="429" t="s">
        <v>1686</v>
      </c>
      <c r="G452" s="400">
        <v>207</v>
      </c>
      <c r="H452" s="432">
        <v>47.5</v>
      </c>
      <c r="I452" s="527">
        <v>9832.5</v>
      </c>
      <c r="J452" s="862"/>
    </row>
    <row r="453" spans="1:10" s="374" customFormat="1" ht="36">
      <c r="A453" s="913"/>
      <c r="B453" s="914"/>
      <c r="C453" s="874"/>
      <c r="D453" s="914"/>
      <c r="E453" s="428" t="s">
        <v>2017</v>
      </c>
      <c r="F453" s="429" t="s">
        <v>1686</v>
      </c>
      <c r="G453" s="400">
        <v>48</v>
      </c>
      <c r="H453" s="432">
        <v>245</v>
      </c>
      <c r="I453" s="527">
        <v>11760</v>
      </c>
      <c r="J453" s="862"/>
    </row>
    <row r="454" spans="1:10" s="374" customFormat="1" ht="24">
      <c r="A454" s="913"/>
      <c r="B454" s="914"/>
      <c r="C454" s="874"/>
      <c r="D454" s="914"/>
      <c r="E454" s="428" t="s">
        <v>2018</v>
      </c>
      <c r="F454" s="429" t="s">
        <v>1686</v>
      </c>
      <c r="G454" s="400">
        <v>100</v>
      </c>
      <c r="H454" s="432">
        <v>350</v>
      </c>
      <c r="I454" s="527">
        <v>35000</v>
      </c>
      <c r="J454" s="862"/>
    </row>
    <row r="455" spans="1:10" s="374" customFormat="1" ht="24">
      <c r="A455" s="913"/>
      <c r="B455" s="914"/>
      <c r="C455" s="874"/>
      <c r="D455" s="914"/>
      <c r="E455" s="428" t="s">
        <v>2019</v>
      </c>
      <c r="F455" s="429" t="s">
        <v>1686</v>
      </c>
      <c r="G455" s="400">
        <v>100</v>
      </c>
      <c r="H455" s="432">
        <v>47.5</v>
      </c>
      <c r="I455" s="527">
        <v>4750</v>
      </c>
      <c r="J455" s="862"/>
    </row>
    <row r="456" spans="1:10" s="374" customFormat="1" ht="24">
      <c r="A456" s="913"/>
      <c r="B456" s="914"/>
      <c r="C456" s="874"/>
      <c r="D456" s="914"/>
      <c r="E456" s="428" t="s">
        <v>2020</v>
      </c>
      <c r="F456" s="429" t="s">
        <v>1686</v>
      </c>
      <c r="G456" s="400">
        <v>70</v>
      </c>
      <c r="H456" s="432">
        <v>2068</v>
      </c>
      <c r="I456" s="527">
        <v>144760</v>
      </c>
      <c r="J456" s="862"/>
    </row>
    <row r="457" spans="1:10" s="374" customFormat="1">
      <c r="A457" s="913"/>
      <c r="B457" s="914"/>
      <c r="C457" s="874"/>
      <c r="D457" s="914"/>
      <c r="E457" s="428" t="s">
        <v>2021</v>
      </c>
      <c r="F457" s="429" t="s">
        <v>1686</v>
      </c>
      <c r="G457" s="400">
        <v>105</v>
      </c>
      <c r="H457" s="373">
        <v>412.17</v>
      </c>
      <c r="I457" s="527">
        <v>43277.85</v>
      </c>
      <c r="J457" s="862"/>
    </row>
    <row r="458" spans="1:10" s="374" customFormat="1">
      <c r="A458" s="913"/>
      <c r="B458" s="914"/>
      <c r="C458" s="874"/>
      <c r="D458" s="914"/>
      <c r="E458" s="428" t="s">
        <v>1995</v>
      </c>
      <c r="F458" s="429" t="s">
        <v>1686</v>
      </c>
      <c r="G458" s="400">
        <v>720</v>
      </c>
      <c r="H458" s="432">
        <v>61.6</v>
      </c>
      <c r="I458" s="527">
        <v>44352</v>
      </c>
      <c r="J458" s="862"/>
    </row>
    <row r="459" spans="1:10" s="374" customFormat="1">
      <c r="A459" s="913"/>
      <c r="B459" s="914"/>
      <c r="C459" s="874"/>
      <c r="D459" s="914"/>
      <c r="E459" s="428" t="s">
        <v>1996</v>
      </c>
      <c r="F459" s="429" t="s">
        <v>1686</v>
      </c>
      <c r="G459" s="400">
        <v>32.5</v>
      </c>
      <c r="H459" s="432">
        <v>47.5</v>
      </c>
      <c r="I459" s="527">
        <v>1543.75</v>
      </c>
      <c r="J459" s="862"/>
    </row>
    <row r="460" spans="1:10" s="374" customFormat="1">
      <c r="A460" s="913"/>
      <c r="B460" s="914"/>
      <c r="C460" s="874"/>
      <c r="D460" s="914"/>
      <c r="E460" s="428" t="s">
        <v>2022</v>
      </c>
      <c r="F460" s="429" t="s">
        <v>1686</v>
      </c>
      <c r="G460" s="400">
        <v>65</v>
      </c>
      <c r="H460" s="432">
        <v>189.9</v>
      </c>
      <c r="I460" s="527">
        <v>12343.5</v>
      </c>
      <c r="J460" s="862"/>
    </row>
    <row r="461" spans="1:10" s="374" customFormat="1">
      <c r="A461" s="913"/>
      <c r="B461" s="914"/>
      <c r="C461" s="874"/>
      <c r="D461" s="914"/>
      <c r="E461" s="428" t="s">
        <v>2011</v>
      </c>
      <c r="F461" s="429" t="s">
        <v>1686</v>
      </c>
      <c r="G461" s="400">
        <v>20</v>
      </c>
      <c r="H461" s="432">
        <v>400</v>
      </c>
      <c r="I461" s="527">
        <v>8000</v>
      </c>
      <c r="J461" s="862"/>
    </row>
    <row r="462" spans="1:10" s="374" customFormat="1">
      <c r="A462" s="913"/>
      <c r="B462" s="914"/>
      <c r="C462" s="874"/>
      <c r="D462" s="914"/>
      <c r="E462" s="428" t="s">
        <v>1998</v>
      </c>
      <c r="F462" s="429" t="s">
        <v>1686</v>
      </c>
      <c r="G462" s="400">
        <v>40</v>
      </c>
      <c r="H462" s="432">
        <v>165</v>
      </c>
      <c r="I462" s="527">
        <v>6600</v>
      </c>
      <c r="J462" s="862"/>
    </row>
    <row r="463" spans="1:10" s="374" customFormat="1" ht="36">
      <c r="A463" s="913"/>
      <c r="B463" s="914"/>
      <c r="C463" s="874"/>
      <c r="D463" s="914"/>
      <c r="E463" s="428" t="s">
        <v>2023</v>
      </c>
      <c r="F463" s="429" t="s">
        <v>1709</v>
      </c>
      <c r="G463" s="400">
        <v>52</v>
      </c>
      <c r="H463" s="432">
        <v>400</v>
      </c>
      <c r="I463" s="527">
        <v>20800</v>
      </c>
      <c r="J463" s="862"/>
    </row>
    <row r="464" spans="1:10" s="374" customFormat="1">
      <c r="A464" s="913"/>
      <c r="B464" s="914"/>
      <c r="C464" s="874"/>
      <c r="D464" s="914"/>
      <c r="E464" s="428" t="s">
        <v>1747</v>
      </c>
      <c r="F464" s="429" t="s">
        <v>1686</v>
      </c>
      <c r="G464" s="400">
        <v>307</v>
      </c>
      <c r="H464" s="432">
        <v>120</v>
      </c>
      <c r="I464" s="527">
        <v>36840</v>
      </c>
      <c r="J464" s="862"/>
    </row>
    <row r="465" spans="1:10" s="374" customFormat="1">
      <c r="A465" s="913"/>
      <c r="B465" s="914"/>
      <c r="C465" s="874"/>
      <c r="D465" s="914"/>
      <c r="E465" s="428" t="s">
        <v>2003</v>
      </c>
      <c r="F465" s="429" t="s">
        <v>1686</v>
      </c>
      <c r="G465" s="400">
        <v>307</v>
      </c>
      <c r="H465" s="432">
        <v>60</v>
      </c>
      <c r="I465" s="527">
        <v>18420</v>
      </c>
      <c r="J465" s="862"/>
    </row>
    <row r="466" spans="1:10" s="374" customFormat="1">
      <c r="A466" s="913"/>
      <c r="B466" s="914"/>
      <c r="C466" s="874"/>
      <c r="D466" s="914" t="s">
        <v>2024</v>
      </c>
      <c r="E466" s="914" t="s">
        <v>2025</v>
      </c>
      <c r="F466" s="913" t="s">
        <v>1686</v>
      </c>
      <c r="G466" s="400" t="s">
        <v>2026</v>
      </c>
      <c r="H466" s="432">
        <v>1632</v>
      </c>
      <c r="I466" s="527">
        <v>8160</v>
      </c>
      <c r="J466" s="862"/>
    </row>
    <row r="467" spans="1:10" s="374" customFormat="1">
      <c r="A467" s="913"/>
      <c r="B467" s="914"/>
      <c r="C467" s="874"/>
      <c r="D467" s="914"/>
      <c r="E467" s="914"/>
      <c r="F467" s="913"/>
      <c r="G467" s="400" t="s">
        <v>2027</v>
      </c>
      <c r="H467" s="432">
        <v>2532</v>
      </c>
      <c r="I467" s="527">
        <v>15192</v>
      </c>
      <c r="J467" s="862"/>
    </row>
    <row r="468" spans="1:10" s="374" customFormat="1">
      <c r="A468" s="913"/>
      <c r="B468" s="914"/>
      <c r="C468" s="874"/>
      <c r="D468" s="914"/>
      <c r="E468" s="914"/>
      <c r="F468" s="913"/>
      <c r="G468" s="400" t="s">
        <v>2028</v>
      </c>
      <c r="H468" s="432">
        <v>677.7</v>
      </c>
      <c r="I468" s="527">
        <v>1321.5150000000001</v>
      </c>
      <c r="J468" s="862"/>
    </row>
    <row r="469" spans="1:10" s="374" customFormat="1" ht="24">
      <c r="A469" s="913"/>
      <c r="B469" s="914"/>
      <c r="C469" s="874"/>
      <c r="D469" s="914"/>
      <c r="E469" s="428" t="s">
        <v>2029</v>
      </c>
      <c r="F469" s="429" t="s">
        <v>1686</v>
      </c>
      <c r="G469" s="400">
        <v>34</v>
      </c>
      <c r="H469" s="432">
        <v>189.9</v>
      </c>
      <c r="I469" s="527">
        <v>6456.6</v>
      </c>
      <c r="J469" s="862"/>
    </row>
    <row r="470" spans="1:10" s="374" customFormat="1">
      <c r="A470" s="913"/>
      <c r="B470" s="914"/>
      <c r="C470" s="874"/>
      <c r="D470" s="914"/>
      <c r="E470" s="428" t="s">
        <v>2030</v>
      </c>
      <c r="F470" s="429" t="s">
        <v>1686</v>
      </c>
      <c r="G470" s="400">
        <v>21</v>
      </c>
      <c r="H470" s="432">
        <v>2550</v>
      </c>
      <c r="I470" s="527">
        <v>53550</v>
      </c>
      <c r="J470" s="862"/>
    </row>
    <row r="471" spans="1:10" s="374" customFormat="1">
      <c r="A471" s="913"/>
      <c r="B471" s="914"/>
      <c r="C471" s="874"/>
      <c r="D471" s="914"/>
      <c r="E471" s="914" t="s">
        <v>2031</v>
      </c>
      <c r="F471" s="913" t="s">
        <v>1686</v>
      </c>
      <c r="G471" s="400">
        <v>35.4</v>
      </c>
      <c r="H471" s="432">
        <v>42.24</v>
      </c>
      <c r="I471" s="527">
        <v>1495.296</v>
      </c>
      <c r="J471" s="862"/>
    </row>
    <row r="472" spans="1:10" s="374" customFormat="1">
      <c r="A472" s="913"/>
      <c r="B472" s="914"/>
      <c r="C472" s="874"/>
      <c r="D472" s="914"/>
      <c r="E472" s="914"/>
      <c r="F472" s="913"/>
      <c r="G472" s="400">
        <v>47.4</v>
      </c>
      <c r="H472" s="432">
        <v>260</v>
      </c>
      <c r="I472" s="527">
        <v>12324</v>
      </c>
      <c r="J472" s="862"/>
    </row>
    <row r="473" spans="1:10" s="374" customFormat="1">
      <c r="A473" s="913"/>
      <c r="B473" s="914"/>
      <c r="C473" s="874"/>
      <c r="D473" s="914"/>
      <c r="E473" s="428" t="s">
        <v>2032</v>
      </c>
      <c r="F473" s="429" t="s">
        <v>1686</v>
      </c>
      <c r="G473" s="400">
        <v>193.2</v>
      </c>
      <c r="H473" s="432">
        <v>245.25</v>
      </c>
      <c r="I473" s="527">
        <v>47382.3</v>
      </c>
      <c r="J473" s="862"/>
    </row>
    <row r="474" spans="1:10" s="374" customFormat="1">
      <c r="A474" s="913"/>
      <c r="B474" s="914"/>
      <c r="C474" s="874"/>
      <c r="D474" s="914"/>
      <c r="E474" s="428" t="s">
        <v>2033</v>
      </c>
      <c r="F474" s="429" t="s">
        <v>1686</v>
      </c>
      <c r="G474" s="400">
        <v>449</v>
      </c>
      <c r="H474" s="432">
        <v>150</v>
      </c>
      <c r="I474" s="527">
        <v>67350</v>
      </c>
      <c r="J474" s="862"/>
    </row>
    <row r="475" spans="1:10" s="374" customFormat="1">
      <c r="A475" s="913"/>
      <c r="B475" s="914"/>
      <c r="C475" s="874"/>
      <c r="D475" s="914"/>
      <c r="E475" s="914" t="s">
        <v>2034</v>
      </c>
      <c r="F475" s="913" t="s">
        <v>1686</v>
      </c>
      <c r="G475" s="400">
        <v>340</v>
      </c>
      <c r="H475" s="432">
        <v>280</v>
      </c>
      <c r="I475" s="527">
        <v>95200</v>
      </c>
      <c r="J475" s="862"/>
    </row>
    <row r="476" spans="1:10" s="374" customFormat="1">
      <c r="A476" s="913"/>
      <c r="B476" s="914"/>
      <c r="C476" s="874"/>
      <c r="D476" s="914"/>
      <c r="E476" s="914"/>
      <c r="F476" s="913"/>
      <c r="G476" s="400" t="s">
        <v>2035</v>
      </c>
      <c r="H476" s="432">
        <v>249.07</v>
      </c>
      <c r="I476" s="527">
        <v>22416.3</v>
      </c>
      <c r="J476" s="862"/>
    </row>
    <row r="477" spans="1:10" s="374" customFormat="1">
      <c r="A477" s="913"/>
      <c r="B477" s="914"/>
      <c r="C477" s="874"/>
      <c r="D477" s="914"/>
      <c r="E477" s="428" t="s">
        <v>1747</v>
      </c>
      <c r="F477" s="429" t="s">
        <v>1686</v>
      </c>
      <c r="G477" s="400">
        <v>449</v>
      </c>
      <c r="H477" s="432">
        <v>316.055679287305</v>
      </c>
      <c r="I477" s="527">
        <v>141909</v>
      </c>
      <c r="J477" s="862"/>
    </row>
    <row r="478" spans="1:10" s="374" customFormat="1">
      <c r="A478" s="913"/>
      <c r="B478" s="914"/>
      <c r="C478" s="874"/>
      <c r="D478" s="914"/>
      <c r="E478" s="428" t="s">
        <v>1746</v>
      </c>
      <c r="F478" s="429" t="s">
        <v>1686</v>
      </c>
      <c r="G478" s="400">
        <v>449</v>
      </c>
      <c r="H478" s="432">
        <v>100</v>
      </c>
      <c r="I478" s="527">
        <v>44900</v>
      </c>
      <c r="J478" s="862"/>
    </row>
    <row r="479" spans="1:10" s="374" customFormat="1">
      <c r="A479" s="913"/>
      <c r="B479" s="914"/>
      <c r="C479" s="874"/>
      <c r="D479" s="914"/>
      <c r="E479" s="428" t="s">
        <v>2036</v>
      </c>
      <c r="F479" s="429" t="s">
        <v>1686</v>
      </c>
      <c r="G479" s="400">
        <v>449</v>
      </c>
      <c r="H479" s="432">
        <v>66.817371937639194</v>
      </c>
      <c r="I479" s="527">
        <v>30001</v>
      </c>
      <c r="J479" s="862"/>
    </row>
    <row r="480" spans="1:10" s="374" customFormat="1">
      <c r="A480" s="913"/>
      <c r="B480" s="914"/>
      <c r="C480" s="874"/>
      <c r="D480" s="914"/>
      <c r="E480" s="428" t="s">
        <v>2003</v>
      </c>
      <c r="F480" s="429" t="s">
        <v>1686</v>
      </c>
      <c r="G480" s="400">
        <v>449</v>
      </c>
      <c r="H480" s="432">
        <v>30</v>
      </c>
      <c r="I480" s="527">
        <v>13470</v>
      </c>
      <c r="J480" s="862"/>
    </row>
    <row r="481" spans="1:10" s="374" customFormat="1">
      <c r="A481" s="913"/>
      <c r="B481" s="914"/>
      <c r="C481" s="874"/>
      <c r="D481" s="914"/>
      <c r="E481" s="428" t="s">
        <v>2037</v>
      </c>
      <c r="F481" s="429" t="s">
        <v>1686</v>
      </c>
      <c r="G481" s="400">
        <v>449</v>
      </c>
      <c r="H481" s="432">
        <v>100</v>
      </c>
      <c r="I481" s="527">
        <v>44900</v>
      </c>
      <c r="J481" s="862"/>
    </row>
    <row r="482" spans="1:10" s="374" customFormat="1" ht="24">
      <c r="A482" s="913"/>
      <c r="B482" s="914"/>
      <c r="C482" s="874"/>
      <c r="D482" s="914" t="s">
        <v>1752</v>
      </c>
      <c r="E482" s="428" t="s">
        <v>2038</v>
      </c>
      <c r="F482" s="429" t="s">
        <v>1686</v>
      </c>
      <c r="G482" s="400">
        <v>13.68</v>
      </c>
      <c r="H482" s="432">
        <v>42.24</v>
      </c>
      <c r="I482" s="527">
        <v>577.84320000000002</v>
      </c>
      <c r="J482" s="862"/>
    </row>
    <row r="483" spans="1:10" s="374" customFormat="1">
      <c r="A483" s="913"/>
      <c r="B483" s="914"/>
      <c r="C483" s="874"/>
      <c r="D483" s="914"/>
      <c r="E483" s="428" t="s">
        <v>2039</v>
      </c>
      <c r="F483" s="429" t="s">
        <v>1686</v>
      </c>
      <c r="G483" s="400">
        <v>46</v>
      </c>
      <c r="H483" s="432">
        <v>145</v>
      </c>
      <c r="I483" s="527">
        <v>6670</v>
      </c>
      <c r="J483" s="862"/>
    </row>
    <row r="484" spans="1:10" s="374" customFormat="1">
      <c r="A484" s="913"/>
      <c r="B484" s="914"/>
      <c r="C484" s="874"/>
      <c r="D484" s="914"/>
      <c r="E484" s="428" t="s">
        <v>2040</v>
      </c>
      <c r="F484" s="429" t="s">
        <v>1686</v>
      </c>
      <c r="G484" s="400">
        <v>1.44</v>
      </c>
      <c r="H484" s="432">
        <v>677.7</v>
      </c>
      <c r="I484" s="527">
        <v>975.88800000000003</v>
      </c>
      <c r="J484" s="862"/>
    </row>
    <row r="485" spans="1:10" s="374" customFormat="1">
      <c r="A485" s="913"/>
      <c r="B485" s="914"/>
      <c r="C485" s="874"/>
      <c r="D485" s="914"/>
      <c r="E485" s="428" t="s">
        <v>2041</v>
      </c>
      <c r="F485" s="429" t="s">
        <v>1686</v>
      </c>
      <c r="G485" s="400">
        <v>46</v>
      </c>
      <c r="H485" s="432">
        <v>47.5</v>
      </c>
      <c r="I485" s="527">
        <v>2185</v>
      </c>
      <c r="J485" s="862"/>
    </row>
    <row r="486" spans="1:10" s="374" customFormat="1">
      <c r="A486" s="913"/>
      <c r="B486" s="914"/>
      <c r="C486" s="874"/>
      <c r="D486" s="914"/>
      <c r="E486" s="428" t="s">
        <v>2042</v>
      </c>
      <c r="F486" s="429" t="s">
        <v>1686</v>
      </c>
      <c r="G486" s="400">
        <v>13.81</v>
      </c>
      <c r="H486" s="432">
        <v>350</v>
      </c>
      <c r="I486" s="527">
        <v>4833.5</v>
      </c>
      <c r="J486" s="862"/>
    </row>
    <row r="487" spans="1:10" s="374" customFormat="1" ht="24">
      <c r="A487" s="913"/>
      <c r="B487" s="914"/>
      <c r="C487" s="874"/>
      <c r="D487" s="914"/>
      <c r="E487" s="428" t="s">
        <v>2043</v>
      </c>
      <c r="F487" s="429" t="s">
        <v>1686</v>
      </c>
      <c r="G487" s="400">
        <v>24.6</v>
      </c>
      <c r="H487" s="432">
        <v>120</v>
      </c>
      <c r="I487" s="527">
        <v>2952</v>
      </c>
      <c r="J487" s="862"/>
    </row>
    <row r="488" spans="1:10" s="374" customFormat="1" ht="36">
      <c r="A488" s="913"/>
      <c r="B488" s="914"/>
      <c r="C488" s="874"/>
      <c r="D488" s="914" t="s">
        <v>2044</v>
      </c>
      <c r="E488" s="428" t="s">
        <v>2045</v>
      </c>
      <c r="F488" s="429" t="s">
        <v>1686</v>
      </c>
      <c r="G488" s="400">
        <v>680</v>
      </c>
      <c r="H488" s="432">
        <v>260</v>
      </c>
      <c r="I488" s="527">
        <v>176800</v>
      </c>
      <c r="J488" s="862"/>
    </row>
    <row r="489" spans="1:10" s="374" customFormat="1">
      <c r="A489" s="913"/>
      <c r="B489" s="914"/>
      <c r="C489" s="874"/>
      <c r="D489" s="914"/>
      <c r="E489" s="428" t="s">
        <v>2046</v>
      </c>
      <c r="F489" s="429" t="s">
        <v>1686</v>
      </c>
      <c r="G489" s="430">
        <v>748</v>
      </c>
      <c r="H489" s="431">
        <v>240</v>
      </c>
      <c r="I489" s="527">
        <v>179520</v>
      </c>
      <c r="J489" s="862"/>
    </row>
    <row r="490" spans="1:10" s="374" customFormat="1" ht="24">
      <c r="A490" s="913"/>
      <c r="B490" s="914"/>
      <c r="C490" s="874"/>
      <c r="D490" s="914"/>
      <c r="E490" s="428" t="s">
        <v>2047</v>
      </c>
      <c r="F490" s="429" t="s">
        <v>1686</v>
      </c>
      <c r="G490" s="430">
        <v>2375</v>
      </c>
      <c r="H490" s="431">
        <v>210</v>
      </c>
      <c r="I490" s="527">
        <v>498750</v>
      </c>
      <c r="J490" s="862"/>
    </row>
    <row r="491" spans="1:10" s="374" customFormat="1">
      <c r="A491" s="913"/>
      <c r="B491" s="914"/>
      <c r="C491" s="874"/>
      <c r="D491" s="914"/>
      <c r="E491" s="428" t="s">
        <v>2048</v>
      </c>
      <c r="F491" s="429" t="s">
        <v>1382</v>
      </c>
      <c r="G491" s="400">
        <v>0</v>
      </c>
      <c r="H491" s="432"/>
      <c r="I491" s="527"/>
      <c r="J491" s="862"/>
    </row>
    <row r="492" spans="1:10" s="374" customFormat="1">
      <c r="A492" s="913"/>
      <c r="B492" s="914"/>
      <c r="C492" s="874"/>
      <c r="D492" s="433" t="s">
        <v>1332</v>
      </c>
      <c r="E492" s="428"/>
      <c r="F492" s="429"/>
      <c r="G492" s="403"/>
      <c r="H492" s="404"/>
      <c r="I492" s="510">
        <v>4179388.0122000002</v>
      </c>
      <c r="J492" s="862"/>
    </row>
    <row r="493" spans="1:10" s="374" customFormat="1" ht="24">
      <c r="A493" s="913"/>
      <c r="B493" s="914"/>
      <c r="C493" s="874"/>
      <c r="D493" s="367" t="s">
        <v>1742</v>
      </c>
      <c r="E493" s="428"/>
      <c r="F493" s="429"/>
      <c r="G493" s="403"/>
      <c r="H493" s="404"/>
      <c r="I493" s="510">
        <v>417938.80122000002</v>
      </c>
      <c r="J493" s="862"/>
    </row>
    <row r="494" spans="1:10" s="374" customFormat="1">
      <c r="A494" s="913"/>
      <c r="B494" s="914"/>
      <c r="C494" s="874"/>
      <c r="D494" s="434" t="s">
        <v>1336</v>
      </c>
      <c r="E494" s="428"/>
      <c r="F494" s="429" t="s">
        <v>2049</v>
      </c>
      <c r="G494" s="400">
        <v>50</v>
      </c>
      <c r="H494" s="432">
        <v>900</v>
      </c>
      <c r="I494" s="527">
        <v>45000</v>
      </c>
      <c r="J494" s="862"/>
    </row>
    <row r="495" spans="1:10" s="374" customFormat="1">
      <c r="A495" s="913"/>
      <c r="B495" s="914"/>
      <c r="C495" s="874"/>
      <c r="D495" s="434" t="s">
        <v>1338</v>
      </c>
      <c r="E495" s="428"/>
      <c r="F495" s="429" t="s">
        <v>1330</v>
      </c>
      <c r="G495" s="400">
        <v>2</v>
      </c>
      <c r="H495" s="432">
        <v>30000</v>
      </c>
      <c r="I495" s="527">
        <v>60000</v>
      </c>
      <c r="J495" s="862"/>
    </row>
    <row r="496" spans="1:10" s="374" customFormat="1">
      <c r="A496" s="913"/>
      <c r="B496" s="914"/>
      <c r="C496" s="874"/>
      <c r="D496" s="433" t="s">
        <v>1342</v>
      </c>
      <c r="E496" s="428"/>
      <c r="F496" s="429"/>
      <c r="G496" s="403"/>
      <c r="H496" s="404"/>
      <c r="I496" s="510">
        <v>4702326.8134199996</v>
      </c>
      <c r="J496" s="863"/>
    </row>
    <row r="497" spans="1:10" s="416" customFormat="1">
      <c r="A497" s="436" t="s">
        <v>526</v>
      </c>
      <c r="B497" s="436" t="s">
        <v>1449</v>
      </c>
      <c r="C497" s="443"/>
      <c r="D497" s="436" t="s">
        <v>17</v>
      </c>
      <c r="E497" s="444"/>
      <c r="F497" s="436"/>
      <c r="G497" s="436"/>
      <c r="H497" s="436"/>
      <c r="I497" s="517">
        <f>I340+I349+I354+I360+I366+I371+I382+I389+I405+I413+I496</f>
        <v>14662359.253419999</v>
      </c>
      <c r="J497" s="538">
        <f>SUM(J333:J496)</f>
        <v>12874531</v>
      </c>
    </row>
    <row r="498" spans="1:10" s="453" customFormat="1" ht="24">
      <c r="A498" s="883">
        <v>1</v>
      </c>
      <c r="B498" s="880" t="s">
        <v>266</v>
      </c>
      <c r="C498" s="890" t="s">
        <v>1312</v>
      </c>
      <c r="D498" s="890" t="s">
        <v>2052</v>
      </c>
      <c r="E498" s="365" t="s">
        <v>2053</v>
      </c>
      <c r="F498" s="385" t="s">
        <v>1315</v>
      </c>
      <c r="G498" s="75">
        <v>610</v>
      </c>
      <c r="H498" s="911">
        <v>51</v>
      </c>
      <c r="I498" s="869">
        <v>31110</v>
      </c>
      <c r="J498" s="856">
        <f>ROUND(I508*0.9,0)</f>
        <v>561109</v>
      </c>
    </row>
    <row r="499" spans="1:10" s="453" customFormat="1">
      <c r="A499" s="884"/>
      <c r="B499" s="881"/>
      <c r="C499" s="891"/>
      <c r="D499" s="891"/>
      <c r="E499" s="365" t="s">
        <v>2054</v>
      </c>
      <c r="F499" s="385" t="s">
        <v>1315</v>
      </c>
      <c r="G499" s="75">
        <v>610</v>
      </c>
      <c r="H499" s="911"/>
      <c r="I499" s="869"/>
      <c r="J499" s="857"/>
    </row>
    <row r="500" spans="1:10" s="455" customFormat="1">
      <c r="A500" s="884"/>
      <c r="B500" s="881"/>
      <c r="C500" s="891"/>
      <c r="D500" s="891"/>
      <c r="E500" s="454" t="s">
        <v>2055</v>
      </c>
      <c r="F500" s="912" t="s">
        <v>1315</v>
      </c>
      <c r="G500" s="75">
        <v>484.42</v>
      </c>
      <c r="H500" s="373">
        <v>199.5</v>
      </c>
      <c r="I500" s="527">
        <v>96641.79</v>
      </c>
      <c r="J500" s="857"/>
    </row>
    <row r="501" spans="1:10" s="455" customFormat="1">
      <c r="A501" s="884"/>
      <c r="B501" s="881"/>
      <c r="C501" s="891"/>
      <c r="D501" s="891"/>
      <c r="E501" s="454" t="s">
        <v>2056</v>
      </c>
      <c r="F501" s="912"/>
      <c r="G501" s="75">
        <v>125.58</v>
      </c>
      <c r="H501" s="373">
        <v>240</v>
      </c>
      <c r="I501" s="527">
        <v>30139.200000000001</v>
      </c>
      <c r="J501" s="857"/>
    </row>
    <row r="502" spans="1:10" s="455" customFormat="1" ht="24">
      <c r="A502" s="884"/>
      <c r="B502" s="881"/>
      <c r="C502" s="891"/>
      <c r="D502" s="890" t="s">
        <v>1961</v>
      </c>
      <c r="E502" s="365" t="s">
        <v>2057</v>
      </c>
      <c r="F502" s="385" t="s">
        <v>1315</v>
      </c>
      <c r="G502" s="75">
        <v>1324</v>
      </c>
      <c r="H502" s="911">
        <v>51</v>
      </c>
      <c r="I502" s="869">
        <v>67524</v>
      </c>
      <c r="J502" s="857"/>
    </row>
    <row r="503" spans="1:10" s="455" customFormat="1">
      <c r="A503" s="884"/>
      <c r="B503" s="881"/>
      <c r="C503" s="891"/>
      <c r="D503" s="891"/>
      <c r="E503" s="365" t="s">
        <v>2054</v>
      </c>
      <c r="F503" s="385" t="s">
        <v>1315</v>
      </c>
      <c r="G503" s="75">
        <v>1324</v>
      </c>
      <c r="H503" s="911"/>
      <c r="I503" s="869"/>
      <c r="J503" s="857"/>
    </row>
    <row r="504" spans="1:10" s="455" customFormat="1">
      <c r="A504" s="884"/>
      <c r="B504" s="881"/>
      <c r="C504" s="891"/>
      <c r="D504" s="907"/>
      <c r="E504" s="365" t="s">
        <v>2058</v>
      </c>
      <c r="F504" s="385" t="s">
        <v>1315</v>
      </c>
      <c r="G504" s="456">
        <v>1324</v>
      </c>
      <c r="H504" s="457">
        <v>210</v>
      </c>
      <c r="I504" s="527">
        <v>278040</v>
      </c>
      <c r="J504" s="857"/>
    </row>
    <row r="505" spans="1:10" s="453" customFormat="1">
      <c r="A505" s="902"/>
      <c r="B505" s="904"/>
      <c r="C505" s="892"/>
      <c r="D505" s="458" t="s">
        <v>1332</v>
      </c>
      <c r="E505" s="459"/>
      <c r="F505" s="460"/>
      <c r="G505" s="461"/>
      <c r="H505" s="462"/>
      <c r="I505" s="510">
        <v>503454.99</v>
      </c>
      <c r="J505" s="857"/>
    </row>
    <row r="506" spans="1:10" s="453" customFormat="1">
      <c r="A506" s="902"/>
      <c r="B506" s="904"/>
      <c r="C506" s="892"/>
      <c r="D506" s="458" t="s">
        <v>1742</v>
      </c>
      <c r="E506" s="459"/>
      <c r="F506" s="460"/>
      <c r="G506" s="463"/>
      <c r="H506" s="462"/>
      <c r="I506" s="510">
        <v>60000</v>
      </c>
      <c r="J506" s="857"/>
    </row>
    <row r="507" spans="1:10" s="455" customFormat="1">
      <c r="A507" s="884"/>
      <c r="B507" s="881"/>
      <c r="C507" s="891"/>
      <c r="D507" s="464" t="s">
        <v>1338</v>
      </c>
      <c r="E507" s="465" t="s">
        <v>2059</v>
      </c>
      <c r="F507" s="466"/>
      <c r="G507" s="467">
        <v>2</v>
      </c>
      <c r="H507" s="457">
        <v>30000</v>
      </c>
      <c r="I507" s="527">
        <v>60000</v>
      </c>
      <c r="J507" s="857"/>
    </row>
    <row r="508" spans="1:10" s="453" customFormat="1">
      <c r="A508" s="903"/>
      <c r="B508" s="905"/>
      <c r="C508" s="893"/>
      <c r="D508" s="458" t="s">
        <v>1342</v>
      </c>
      <c r="E508" s="459"/>
      <c r="F508" s="460"/>
      <c r="G508" s="468"/>
      <c r="H508" s="462"/>
      <c r="I508" s="510">
        <v>623454.99</v>
      </c>
      <c r="J508" s="858"/>
    </row>
    <row r="509" spans="1:10" s="455" customFormat="1">
      <c r="A509" s="889">
        <v>2</v>
      </c>
      <c r="B509" s="899" t="s">
        <v>670</v>
      </c>
      <c r="C509" s="867" t="s">
        <v>1312</v>
      </c>
      <c r="D509" s="883" t="s">
        <v>2060</v>
      </c>
      <c r="E509" s="880" t="s">
        <v>2061</v>
      </c>
      <c r="F509" s="883" t="s">
        <v>1745</v>
      </c>
      <c r="G509" s="469" t="s">
        <v>2062</v>
      </c>
      <c r="H509" s="457">
        <v>1632</v>
      </c>
      <c r="I509" s="527">
        <v>17952</v>
      </c>
      <c r="J509" s="856">
        <f>ROUND(I523*0.9,0)</f>
        <v>956698</v>
      </c>
    </row>
    <row r="510" spans="1:10" s="455" customFormat="1">
      <c r="A510" s="889"/>
      <c r="B510" s="899"/>
      <c r="C510" s="867"/>
      <c r="D510" s="884"/>
      <c r="E510" s="882"/>
      <c r="F510" s="885"/>
      <c r="G510" s="470" t="s">
        <v>2063</v>
      </c>
      <c r="H510" s="457">
        <v>2532</v>
      </c>
      <c r="I510" s="527">
        <v>5064</v>
      </c>
      <c r="J510" s="857"/>
    </row>
    <row r="511" spans="1:10" s="455" customFormat="1">
      <c r="A511" s="889"/>
      <c r="B511" s="899"/>
      <c r="C511" s="867"/>
      <c r="D511" s="884"/>
      <c r="E511" s="465" t="s">
        <v>2064</v>
      </c>
      <c r="F511" s="466" t="s">
        <v>1315</v>
      </c>
      <c r="G511" s="467">
        <v>100</v>
      </c>
      <c r="H511" s="457">
        <v>47.5</v>
      </c>
      <c r="I511" s="527">
        <v>4750</v>
      </c>
      <c r="J511" s="857"/>
    </row>
    <row r="512" spans="1:10" s="455" customFormat="1">
      <c r="A512" s="889"/>
      <c r="B512" s="899"/>
      <c r="C512" s="867"/>
      <c r="D512" s="884"/>
      <c r="E512" s="465" t="s">
        <v>2065</v>
      </c>
      <c r="F512" s="466" t="s">
        <v>1330</v>
      </c>
      <c r="G512" s="467">
        <v>1</v>
      </c>
      <c r="H512" s="457">
        <v>10000</v>
      </c>
      <c r="I512" s="527">
        <v>10000</v>
      </c>
      <c r="J512" s="857"/>
    </row>
    <row r="513" spans="1:10" s="455" customFormat="1">
      <c r="A513" s="889"/>
      <c r="B513" s="899"/>
      <c r="C513" s="867"/>
      <c r="D513" s="884"/>
      <c r="E513" s="465" t="s">
        <v>2066</v>
      </c>
      <c r="F513" s="466" t="s">
        <v>1330</v>
      </c>
      <c r="G513" s="467">
        <v>1</v>
      </c>
      <c r="H513" s="457">
        <v>12000</v>
      </c>
      <c r="I513" s="527">
        <v>12000</v>
      </c>
      <c r="J513" s="857"/>
    </row>
    <row r="514" spans="1:10" s="455" customFormat="1">
      <c r="A514" s="889"/>
      <c r="B514" s="899"/>
      <c r="C514" s="867"/>
      <c r="D514" s="884"/>
      <c r="E514" s="465" t="s">
        <v>2067</v>
      </c>
      <c r="F514" s="466" t="s">
        <v>1315</v>
      </c>
      <c r="G514" s="467">
        <v>452</v>
      </c>
      <c r="H514" s="457">
        <v>73.137168141592895</v>
      </c>
      <c r="I514" s="527">
        <v>33058</v>
      </c>
      <c r="J514" s="857"/>
    </row>
    <row r="515" spans="1:10" s="455" customFormat="1">
      <c r="A515" s="889"/>
      <c r="B515" s="899"/>
      <c r="C515" s="867"/>
      <c r="D515" s="884"/>
      <c r="E515" s="465" t="s">
        <v>2068</v>
      </c>
      <c r="F515" s="466" t="s">
        <v>1315</v>
      </c>
      <c r="G515" s="467">
        <v>312</v>
      </c>
      <c r="H515" s="457">
        <v>150</v>
      </c>
      <c r="I515" s="527">
        <v>46800</v>
      </c>
      <c r="J515" s="857"/>
    </row>
    <row r="516" spans="1:10" s="455" customFormat="1">
      <c r="A516" s="889"/>
      <c r="B516" s="899"/>
      <c r="C516" s="867"/>
      <c r="D516" s="885"/>
      <c r="E516" s="465" t="s">
        <v>2069</v>
      </c>
      <c r="F516" s="466" t="s">
        <v>1315</v>
      </c>
      <c r="G516" s="467">
        <v>1516</v>
      </c>
      <c r="H516" s="457">
        <v>135.51820580474899</v>
      </c>
      <c r="I516" s="527">
        <v>205445.59999999899</v>
      </c>
      <c r="J516" s="857"/>
    </row>
    <row r="517" spans="1:10" s="455" customFormat="1" ht="24">
      <c r="A517" s="889"/>
      <c r="B517" s="899"/>
      <c r="C517" s="867"/>
      <c r="D517" s="890" t="s">
        <v>2070</v>
      </c>
      <c r="E517" s="465" t="s">
        <v>2071</v>
      </c>
      <c r="F517" s="466" t="s">
        <v>1315</v>
      </c>
      <c r="G517" s="467">
        <v>2250</v>
      </c>
      <c r="H517" s="868">
        <v>51</v>
      </c>
      <c r="I517" s="869">
        <v>114750</v>
      </c>
      <c r="J517" s="857"/>
    </row>
    <row r="518" spans="1:10" s="455" customFormat="1">
      <c r="A518" s="889"/>
      <c r="B518" s="899"/>
      <c r="C518" s="867"/>
      <c r="D518" s="891"/>
      <c r="E518" s="465" t="s">
        <v>2054</v>
      </c>
      <c r="F518" s="466" t="s">
        <v>1315</v>
      </c>
      <c r="G518" s="467">
        <v>2250</v>
      </c>
      <c r="H518" s="868"/>
      <c r="I518" s="869"/>
      <c r="J518" s="857"/>
    </row>
    <row r="519" spans="1:10" s="455" customFormat="1">
      <c r="A519" s="889"/>
      <c r="B519" s="899"/>
      <c r="C519" s="867"/>
      <c r="D519" s="907"/>
      <c r="E519" s="466" t="s">
        <v>2072</v>
      </c>
      <c r="F519" s="466" t="s">
        <v>1315</v>
      </c>
      <c r="G519" s="467">
        <v>2250</v>
      </c>
      <c r="H519" s="457">
        <v>210</v>
      </c>
      <c r="I519" s="527">
        <v>472500</v>
      </c>
      <c r="J519" s="857"/>
    </row>
    <row r="520" spans="1:10" s="453" customFormat="1">
      <c r="A520" s="898"/>
      <c r="B520" s="900"/>
      <c r="C520" s="886"/>
      <c r="D520" s="458" t="s">
        <v>1332</v>
      </c>
      <c r="E520" s="459"/>
      <c r="F520" s="460"/>
      <c r="G520" s="463"/>
      <c r="H520" s="462"/>
      <c r="I520" s="510">
        <v>922319.59999999905</v>
      </c>
      <c r="J520" s="857"/>
    </row>
    <row r="521" spans="1:10" s="453" customFormat="1">
      <c r="A521" s="898"/>
      <c r="B521" s="900"/>
      <c r="C521" s="886"/>
      <c r="D521" s="458" t="s">
        <v>1742</v>
      </c>
      <c r="E521" s="459"/>
      <c r="F521" s="460"/>
      <c r="G521" s="463"/>
      <c r="H521" s="462"/>
      <c r="I521" s="510">
        <v>110678.352</v>
      </c>
      <c r="J521" s="857"/>
    </row>
    <row r="522" spans="1:10" s="455" customFormat="1">
      <c r="A522" s="889"/>
      <c r="B522" s="899"/>
      <c r="C522" s="867"/>
      <c r="D522" s="471" t="s">
        <v>1338</v>
      </c>
      <c r="E522" s="465" t="s">
        <v>2073</v>
      </c>
      <c r="F522" s="466"/>
      <c r="G522" s="467">
        <v>1</v>
      </c>
      <c r="H522" s="457">
        <v>30000</v>
      </c>
      <c r="I522" s="527">
        <v>30000</v>
      </c>
      <c r="J522" s="857"/>
    </row>
    <row r="523" spans="1:10" s="453" customFormat="1">
      <c r="A523" s="898"/>
      <c r="B523" s="900"/>
      <c r="C523" s="886"/>
      <c r="D523" s="458" t="s">
        <v>1342</v>
      </c>
      <c r="E523" s="459"/>
      <c r="F523" s="460"/>
      <c r="G523" s="468"/>
      <c r="H523" s="462"/>
      <c r="I523" s="510">
        <v>1062997.952</v>
      </c>
      <c r="J523" s="858"/>
    </row>
    <row r="524" spans="1:10" s="455" customFormat="1" ht="24">
      <c r="A524" s="889">
        <v>3</v>
      </c>
      <c r="B524" s="899" t="s">
        <v>2074</v>
      </c>
      <c r="C524" s="867" t="s">
        <v>1312</v>
      </c>
      <c r="D524" s="883" t="s">
        <v>2075</v>
      </c>
      <c r="E524" s="465" t="s">
        <v>2076</v>
      </c>
      <c r="F524" s="466" t="s">
        <v>1315</v>
      </c>
      <c r="G524" s="469">
        <v>749</v>
      </c>
      <c r="H524" s="868">
        <v>380</v>
      </c>
      <c r="I524" s="869">
        <v>284620</v>
      </c>
      <c r="J524" s="856">
        <f>ROUND(I535*0.9,0)</f>
        <v>868907</v>
      </c>
    </row>
    <row r="525" spans="1:10" s="455" customFormat="1" ht="24">
      <c r="A525" s="889"/>
      <c r="B525" s="899"/>
      <c r="C525" s="867"/>
      <c r="D525" s="885"/>
      <c r="E525" s="465" t="s">
        <v>1935</v>
      </c>
      <c r="F525" s="466" t="s">
        <v>1315</v>
      </c>
      <c r="G525" s="467">
        <v>749</v>
      </c>
      <c r="H525" s="868"/>
      <c r="I525" s="869"/>
      <c r="J525" s="857"/>
    </row>
    <row r="526" spans="1:10" s="455" customFormat="1" ht="24">
      <c r="A526" s="889"/>
      <c r="B526" s="899"/>
      <c r="C526" s="867"/>
      <c r="D526" s="883" t="s">
        <v>2077</v>
      </c>
      <c r="E526" s="465" t="s">
        <v>2053</v>
      </c>
      <c r="F526" s="466" t="s">
        <v>1315</v>
      </c>
      <c r="G526" s="467">
        <v>425.5</v>
      </c>
      <c r="H526" s="868">
        <v>51</v>
      </c>
      <c r="I526" s="869">
        <v>21700.5</v>
      </c>
      <c r="J526" s="857"/>
    </row>
    <row r="527" spans="1:10" s="455" customFormat="1">
      <c r="A527" s="889"/>
      <c r="B527" s="899"/>
      <c r="C527" s="867"/>
      <c r="D527" s="884"/>
      <c r="E527" s="465" t="s">
        <v>2054</v>
      </c>
      <c r="F527" s="466" t="s">
        <v>1315</v>
      </c>
      <c r="G527" s="467">
        <v>425.5</v>
      </c>
      <c r="H527" s="868"/>
      <c r="I527" s="869"/>
      <c r="J527" s="857"/>
    </row>
    <row r="528" spans="1:10" s="455" customFormat="1">
      <c r="A528" s="889"/>
      <c r="B528" s="899"/>
      <c r="C528" s="867"/>
      <c r="D528" s="885"/>
      <c r="E528" s="472" t="s">
        <v>2056</v>
      </c>
      <c r="F528" s="466" t="s">
        <v>1315</v>
      </c>
      <c r="G528" s="467">
        <v>425.5</v>
      </c>
      <c r="H528" s="457">
        <v>240</v>
      </c>
      <c r="I528" s="527">
        <v>102120</v>
      </c>
      <c r="J528" s="857"/>
    </row>
    <row r="529" spans="1:10" s="455" customFormat="1" ht="24">
      <c r="A529" s="889"/>
      <c r="B529" s="899"/>
      <c r="C529" s="867"/>
      <c r="D529" s="883" t="s">
        <v>1961</v>
      </c>
      <c r="E529" s="465" t="s">
        <v>2071</v>
      </c>
      <c r="F529" s="466" t="s">
        <v>1315</v>
      </c>
      <c r="G529" s="467">
        <v>1556</v>
      </c>
      <c r="H529" s="868">
        <v>51</v>
      </c>
      <c r="I529" s="869">
        <v>79356</v>
      </c>
      <c r="J529" s="857"/>
    </row>
    <row r="530" spans="1:10" s="455" customFormat="1">
      <c r="A530" s="889"/>
      <c r="B530" s="899"/>
      <c r="C530" s="867"/>
      <c r="D530" s="884"/>
      <c r="E530" s="465" t="s">
        <v>2054</v>
      </c>
      <c r="F530" s="466" t="s">
        <v>1315</v>
      </c>
      <c r="G530" s="467">
        <v>1556</v>
      </c>
      <c r="H530" s="868"/>
      <c r="I530" s="869"/>
      <c r="J530" s="857"/>
    </row>
    <row r="531" spans="1:10" s="455" customFormat="1">
      <c r="A531" s="889"/>
      <c r="B531" s="899"/>
      <c r="C531" s="867"/>
      <c r="D531" s="885"/>
      <c r="E531" s="465" t="s">
        <v>2058</v>
      </c>
      <c r="F531" s="466" t="s">
        <v>1315</v>
      </c>
      <c r="G531" s="467">
        <v>1556</v>
      </c>
      <c r="H531" s="457">
        <v>210</v>
      </c>
      <c r="I531" s="527">
        <v>326760</v>
      </c>
      <c r="J531" s="857"/>
    </row>
    <row r="532" spans="1:10" s="453" customFormat="1">
      <c r="A532" s="898"/>
      <c r="B532" s="900"/>
      <c r="C532" s="886"/>
      <c r="D532" s="458" t="s">
        <v>1332</v>
      </c>
      <c r="E532" s="459"/>
      <c r="F532" s="460"/>
      <c r="G532" s="463"/>
      <c r="H532" s="462"/>
      <c r="I532" s="510">
        <v>814556.5</v>
      </c>
      <c r="J532" s="857"/>
    </row>
    <row r="533" spans="1:10" s="453" customFormat="1">
      <c r="A533" s="898"/>
      <c r="B533" s="900"/>
      <c r="C533" s="886"/>
      <c r="D533" s="458" t="s">
        <v>1742</v>
      </c>
      <c r="E533" s="459"/>
      <c r="F533" s="460"/>
      <c r="G533" s="463"/>
      <c r="H533" s="462"/>
      <c r="I533" s="510">
        <v>90896</v>
      </c>
      <c r="J533" s="857"/>
    </row>
    <row r="534" spans="1:10" s="455" customFormat="1">
      <c r="A534" s="889"/>
      <c r="B534" s="899"/>
      <c r="C534" s="867"/>
      <c r="D534" s="471" t="s">
        <v>1338</v>
      </c>
      <c r="E534" s="465" t="s">
        <v>2059</v>
      </c>
      <c r="F534" s="466"/>
      <c r="G534" s="467">
        <v>2</v>
      </c>
      <c r="H534" s="457">
        <v>30000</v>
      </c>
      <c r="I534" s="527">
        <v>60000</v>
      </c>
      <c r="J534" s="857"/>
    </row>
    <row r="535" spans="1:10" s="453" customFormat="1">
      <c r="A535" s="898"/>
      <c r="B535" s="900"/>
      <c r="C535" s="886"/>
      <c r="D535" s="458" t="s">
        <v>1342</v>
      </c>
      <c r="E535" s="459"/>
      <c r="F535" s="460"/>
      <c r="G535" s="468"/>
      <c r="H535" s="462"/>
      <c r="I535" s="510">
        <v>965452.5</v>
      </c>
      <c r="J535" s="858"/>
    </row>
    <row r="536" spans="1:10" s="455" customFormat="1">
      <c r="A536" s="889">
        <v>4</v>
      </c>
      <c r="B536" s="899" t="s">
        <v>2078</v>
      </c>
      <c r="C536" s="867" t="s">
        <v>1312</v>
      </c>
      <c r="D536" s="467" t="s">
        <v>1684</v>
      </c>
      <c r="E536" s="473" t="s">
        <v>1744</v>
      </c>
      <c r="F536" s="466" t="s">
        <v>1315</v>
      </c>
      <c r="G536" s="469">
        <v>724.82399999999996</v>
      </c>
      <c r="H536" s="457">
        <v>2500</v>
      </c>
      <c r="I536" s="527">
        <v>1812060</v>
      </c>
      <c r="J536" s="856">
        <f>ROUND(I543*0.9,0)</f>
        <v>2424196</v>
      </c>
    </row>
    <row r="537" spans="1:10" s="455" customFormat="1" ht="24">
      <c r="A537" s="889"/>
      <c r="B537" s="899"/>
      <c r="C537" s="867"/>
      <c r="D537" s="883" t="s">
        <v>1961</v>
      </c>
      <c r="E537" s="465" t="s">
        <v>2057</v>
      </c>
      <c r="F537" s="466" t="s">
        <v>1315</v>
      </c>
      <c r="G537" s="467">
        <v>2450</v>
      </c>
      <c r="H537" s="457">
        <v>8</v>
      </c>
      <c r="I537" s="527">
        <v>19600</v>
      </c>
      <c r="J537" s="857"/>
    </row>
    <row r="538" spans="1:10" s="455" customFormat="1">
      <c r="A538" s="889"/>
      <c r="B538" s="899"/>
      <c r="C538" s="867"/>
      <c r="D538" s="884"/>
      <c r="E538" s="465" t="s">
        <v>2054</v>
      </c>
      <c r="F538" s="466" t="s">
        <v>1315</v>
      </c>
      <c r="G538" s="467">
        <v>1750</v>
      </c>
      <c r="H538" s="457">
        <v>43</v>
      </c>
      <c r="I538" s="527">
        <v>75250</v>
      </c>
      <c r="J538" s="857"/>
    </row>
    <row r="539" spans="1:10" s="455" customFormat="1" ht="24">
      <c r="A539" s="889"/>
      <c r="B539" s="899"/>
      <c r="C539" s="867"/>
      <c r="D539" s="885"/>
      <c r="E539" s="465" t="s">
        <v>2072</v>
      </c>
      <c r="F539" s="466" t="s">
        <v>1315</v>
      </c>
      <c r="G539" s="467">
        <v>2450</v>
      </c>
      <c r="H539" s="457">
        <v>210</v>
      </c>
      <c r="I539" s="527">
        <v>514500</v>
      </c>
      <c r="J539" s="857"/>
    </row>
    <row r="540" spans="1:10" s="453" customFormat="1">
      <c r="A540" s="898"/>
      <c r="B540" s="900"/>
      <c r="C540" s="886"/>
      <c r="D540" s="458" t="s">
        <v>1332</v>
      </c>
      <c r="E540" s="459"/>
      <c r="F540" s="460"/>
      <c r="G540" s="463"/>
      <c r="H540" s="462"/>
      <c r="I540" s="510">
        <v>2421410</v>
      </c>
      <c r="J540" s="857"/>
    </row>
    <row r="541" spans="1:10" s="453" customFormat="1">
      <c r="A541" s="898"/>
      <c r="B541" s="900"/>
      <c r="C541" s="886"/>
      <c r="D541" s="458" t="s">
        <v>1742</v>
      </c>
      <c r="E541" s="459"/>
      <c r="F541" s="460"/>
      <c r="G541" s="463"/>
      <c r="H541" s="462"/>
      <c r="I541" s="510">
        <v>242141</v>
      </c>
      <c r="J541" s="857"/>
    </row>
    <row r="542" spans="1:10" s="455" customFormat="1">
      <c r="A542" s="889"/>
      <c r="B542" s="899"/>
      <c r="C542" s="867"/>
      <c r="D542" s="471" t="s">
        <v>1338</v>
      </c>
      <c r="E542" s="465" t="s">
        <v>1815</v>
      </c>
      <c r="F542" s="466"/>
      <c r="G542" s="467">
        <v>1</v>
      </c>
      <c r="H542" s="457">
        <v>30000</v>
      </c>
      <c r="I542" s="527">
        <v>30000</v>
      </c>
      <c r="J542" s="857"/>
    </row>
    <row r="543" spans="1:10" s="453" customFormat="1">
      <c r="A543" s="908"/>
      <c r="B543" s="909"/>
      <c r="C543" s="910"/>
      <c r="D543" s="474" t="s">
        <v>1342</v>
      </c>
      <c r="E543" s="475"/>
      <c r="F543" s="476"/>
      <c r="G543" s="477"/>
      <c r="H543" s="462"/>
      <c r="I543" s="510">
        <v>2693551</v>
      </c>
      <c r="J543" s="858"/>
    </row>
    <row r="544" spans="1:10" s="452" customFormat="1">
      <c r="A544" s="478" t="s">
        <v>2050</v>
      </c>
      <c r="B544" s="479" t="s">
        <v>2051</v>
      </c>
      <c r="C544" s="480"/>
      <c r="D544" s="481" t="s">
        <v>17</v>
      </c>
      <c r="E544" s="479"/>
      <c r="F544" s="480"/>
      <c r="G544" s="463"/>
      <c r="H544" s="482"/>
      <c r="I544" s="522">
        <f>I508+I523+I535+I543</f>
        <v>5345456.4419999998</v>
      </c>
      <c r="J544" s="537">
        <f>SUM(J498:J543)</f>
        <v>4810910</v>
      </c>
    </row>
    <row r="545" spans="1:239" s="483" customFormat="1" ht="24">
      <c r="A545" s="889">
        <v>1</v>
      </c>
      <c r="B545" s="899" t="s">
        <v>165</v>
      </c>
      <c r="C545" s="867" t="s">
        <v>1312</v>
      </c>
      <c r="D545" s="883" t="s">
        <v>2080</v>
      </c>
      <c r="E545" s="465" t="s">
        <v>2081</v>
      </c>
      <c r="F545" s="466" t="s">
        <v>1315</v>
      </c>
      <c r="G545" s="890">
        <v>1750</v>
      </c>
      <c r="H545" s="868">
        <v>400</v>
      </c>
      <c r="I545" s="869">
        <v>700000</v>
      </c>
      <c r="J545" s="856">
        <f>ROUND(I551*0.9,0)</f>
        <v>738176</v>
      </c>
    </row>
    <row r="546" spans="1:239" s="483" customFormat="1">
      <c r="A546" s="889"/>
      <c r="B546" s="899"/>
      <c r="C546" s="867"/>
      <c r="D546" s="885"/>
      <c r="E546" s="465" t="s">
        <v>2082</v>
      </c>
      <c r="F546" s="466" t="s">
        <v>1315</v>
      </c>
      <c r="G546" s="907"/>
      <c r="H546" s="868"/>
      <c r="I546" s="869"/>
      <c r="J546" s="857"/>
    </row>
    <row r="547" spans="1:239" s="483" customFormat="1">
      <c r="A547" s="889"/>
      <c r="B547" s="899"/>
      <c r="C547" s="867"/>
      <c r="D547" s="484" t="s">
        <v>2080</v>
      </c>
      <c r="E547" s="465" t="s">
        <v>2083</v>
      </c>
      <c r="F547" s="466" t="s">
        <v>1330</v>
      </c>
      <c r="G547" s="467">
        <v>1</v>
      </c>
      <c r="H547" s="457">
        <v>14460</v>
      </c>
      <c r="I547" s="527">
        <v>14460</v>
      </c>
      <c r="J547" s="857"/>
    </row>
    <row r="548" spans="1:239" s="485" customFormat="1">
      <c r="A548" s="898"/>
      <c r="B548" s="900"/>
      <c r="C548" s="886"/>
      <c r="D548" s="458" t="s">
        <v>1332</v>
      </c>
      <c r="E548" s="459"/>
      <c r="F548" s="460"/>
      <c r="G548" s="463"/>
      <c r="H548" s="462"/>
      <c r="I548" s="510">
        <v>714460</v>
      </c>
      <c r="J548" s="857"/>
    </row>
    <row r="549" spans="1:239" s="485" customFormat="1">
      <c r="A549" s="898"/>
      <c r="B549" s="900"/>
      <c r="C549" s="886"/>
      <c r="D549" s="458" t="s">
        <v>1742</v>
      </c>
      <c r="E549" s="459"/>
      <c r="F549" s="460"/>
      <c r="G549" s="463"/>
      <c r="H549" s="462"/>
      <c r="I549" s="510">
        <v>85735.2</v>
      </c>
      <c r="J549" s="857"/>
    </row>
    <row r="550" spans="1:239" s="483" customFormat="1">
      <c r="A550" s="889"/>
      <c r="B550" s="899"/>
      <c r="C550" s="867"/>
      <c r="D550" s="471" t="s">
        <v>1338</v>
      </c>
      <c r="E550" s="465" t="s">
        <v>2084</v>
      </c>
      <c r="F550" s="466"/>
      <c r="G550" s="467">
        <v>1</v>
      </c>
      <c r="H550" s="457">
        <v>20000</v>
      </c>
      <c r="I550" s="527">
        <v>20000</v>
      </c>
      <c r="J550" s="857"/>
    </row>
    <row r="551" spans="1:239" s="485" customFormat="1">
      <c r="A551" s="898"/>
      <c r="B551" s="900"/>
      <c r="C551" s="886"/>
      <c r="D551" s="458" t="s">
        <v>1342</v>
      </c>
      <c r="E551" s="459"/>
      <c r="F551" s="460"/>
      <c r="G551" s="468"/>
      <c r="H551" s="462"/>
      <c r="I551" s="510">
        <v>820195.2</v>
      </c>
      <c r="J551" s="858"/>
    </row>
    <row r="552" spans="1:239" s="483" customFormat="1">
      <c r="A552" s="889">
        <v>2</v>
      </c>
      <c r="B552" s="899" t="s">
        <v>166</v>
      </c>
      <c r="C552" s="867" t="s">
        <v>2085</v>
      </c>
      <c r="D552" s="883" t="s">
        <v>2086</v>
      </c>
      <c r="E552" s="465" t="s">
        <v>2085</v>
      </c>
      <c r="F552" s="466" t="s">
        <v>1330</v>
      </c>
      <c r="G552" s="469">
        <v>1</v>
      </c>
      <c r="H552" s="457">
        <v>85000</v>
      </c>
      <c r="I552" s="527">
        <v>85000</v>
      </c>
      <c r="J552" s="856">
        <f>ROUND(I558*0.8,0)</f>
        <v>123542</v>
      </c>
    </row>
    <row r="553" spans="1:239" s="483" customFormat="1">
      <c r="A553" s="889"/>
      <c r="B553" s="899"/>
      <c r="C553" s="867"/>
      <c r="D553" s="884"/>
      <c r="E553" s="465" t="s">
        <v>2087</v>
      </c>
      <c r="F553" s="466" t="s">
        <v>2088</v>
      </c>
      <c r="G553" s="467">
        <v>6</v>
      </c>
      <c r="H553" s="457">
        <v>1411.6666666666699</v>
      </c>
      <c r="I553" s="527">
        <v>8470</v>
      </c>
      <c r="J553" s="857"/>
    </row>
    <row r="554" spans="1:239" s="483" customFormat="1">
      <c r="A554" s="889"/>
      <c r="B554" s="899"/>
      <c r="C554" s="867"/>
      <c r="D554" s="884"/>
      <c r="E554" s="465" t="s">
        <v>2089</v>
      </c>
      <c r="F554" s="466" t="s">
        <v>1330</v>
      </c>
      <c r="G554" s="486">
        <v>1</v>
      </c>
      <c r="H554" s="457">
        <v>4225</v>
      </c>
      <c r="I554" s="527">
        <v>4225</v>
      </c>
      <c r="J554" s="857"/>
    </row>
    <row r="555" spans="1:239" s="483" customFormat="1" ht="45" customHeight="1">
      <c r="A555" s="889"/>
      <c r="B555" s="899"/>
      <c r="C555" s="867"/>
      <c r="D555" s="884"/>
      <c r="E555" s="465" t="s">
        <v>2090</v>
      </c>
      <c r="F555" s="466" t="s">
        <v>1330</v>
      </c>
      <c r="G555" s="467">
        <v>1</v>
      </c>
      <c r="H555" s="457">
        <v>40653</v>
      </c>
      <c r="I555" s="527">
        <v>40653</v>
      </c>
      <c r="J555" s="857"/>
    </row>
    <row r="556" spans="1:239" s="485" customFormat="1" ht="45" customHeight="1">
      <c r="A556" s="898"/>
      <c r="B556" s="900"/>
      <c r="C556" s="886"/>
      <c r="D556" s="458" t="s">
        <v>1332</v>
      </c>
      <c r="E556" s="459"/>
      <c r="F556" s="460"/>
      <c r="G556" s="463"/>
      <c r="H556" s="462"/>
      <c r="I556" s="510">
        <v>138348</v>
      </c>
      <c r="J556" s="857"/>
    </row>
    <row r="557" spans="1:239" s="485" customFormat="1" ht="45" customHeight="1">
      <c r="A557" s="898"/>
      <c r="B557" s="900"/>
      <c r="C557" s="886"/>
      <c r="D557" s="458" t="s">
        <v>1742</v>
      </c>
      <c r="E557" s="459"/>
      <c r="F557" s="460"/>
      <c r="G557" s="463"/>
      <c r="H557" s="462"/>
      <c r="I557" s="510">
        <v>16080</v>
      </c>
      <c r="J557" s="857"/>
    </row>
    <row r="558" spans="1:239" s="485" customFormat="1" ht="45" customHeight="1">
      <c r="A558" s="898"/>
      <c r="B558" s="900"/>
      <c r="C558" s="886"/>
      <c r="D558" s="458" t="s">
        <v>1342</v>
      </c>
      <c r="E558" s="459"/>
      <c r="F558" s="460"/>
      <c r="G558" s="468"/>
      <c r="H558" s="462"/>
      <c r="I558" s="510">
        <v>154428</v>
      </c>
      <c r="J558" s="858"/>
    </row>
    <row r="559" spans="1:239" s="489" customFormat="1" ht="75" hidden="1" customHeight="1">
      <c r="A559" s="880">
        <v>3</v>
      </c>
      <c r="B559" s="880" t="s">
        <v>168</v>
      </c>
      <c r="C559" s="894" t="s">
        <v>1312</v>
      </c>
      <c r="D559" s="899" t="s">
        <v>2091</v>
      </c>
      <c r="E559" s="899" t="s">
        <v>2092</v>
      </c>
      <c r="F559" s="899" t="s">
        <v>1315</v>
      </c>
      <c r="G559" s="473"/>
      <c r="H559" s="487"/>
      <c r="I559" s="488"/>
      <c r="J559" s="538"/>
      <c r="K559" s="483"/>
      <c r="L559" s="483"/>
      <c r="M559" s="483"/>
      <c r="N559" s="483"/>
      <c r="O559" s="483"/>
      <c r="P559" s="483"/>
      <c r="Q559" s="483"/>
      <c r="R559" s="483"/>
      <c r="S559" s="483"/>
      <c r="T559" s="483"/>
      <c r="U559" s="483"/>
      <c r="V559" s="483"/>
      <c r="W559" s="483"/>
      <c r="X559" s="483"/>
      <c r="Y559" s="483"/>
      <c r="Z559" s="483"/>
      <c r="AA559" s="483"/>
      <c r="AB559" s="483"/>
      <c r="AC559" s="483"/>
      <c r="AD559" s="483"/>
      <c r="AE559" s="483"/>
      <c r="AF559" s="483"/>
      <c r="AG559" s="483"/>
      <c r="AH559" s="483"/>
      <c r="AI559" s="483"/>
      <c r="AJ559" s="483"/>
      <c r="AK559" s="483"/>
      <c r="AL559" s="483"/>
      <c r="AM559" s="483"/>
      <c r="AN559" s="483"/>
      <c r="AO559" s="483"/>
      <c r="AP559" s="483"/>
      <c r="AQ559" s="483"/>
      <c r="AR559" s="483"/>
      <c r="AS559" s="483"/>
      <c r="AT559" s="483"/>
      <c r="AU559" s="483"/>
      <c r="AV559" s="483"/>
      <c r="AW559" s="483"/>
      <c r="AX559" s="483"/>
      <c r="AY559" s="483"/>
      <c r="AZ559" s="483"/>
      <c r="BA559" s="483"/>
      <c r="BB559" s="483"/>
      <c r="BC559" s="483"/>
      <c r="BD559" s="483"/>
      <c r="BE559" s="483"/>
      <c r="BF559" s="483"/>
      <c r="BG559" s="483"/>
      <c r="BH559" s="483"/>
      <c r="BI559" s="483"/>
      <c r="BJ559" s="483"/>
      <c r="BK559" s="483"/>
      <c r="BL559" s="483"/>
      <c r="BM559" s="483"/>
      <c r="BN559" s="483"/>
      <c r="BO559" s="483"/>
      <c r="BP559" s="483"/>
      <c r="BQ559" s="483"/>
      <c r="BR559" s="483"/>
      <c r="BS559" s="483"/>
      <c r="BT559" s="483"/>
      <c r="BU559" s="483"/>
      <c r="BV559" s="483"/>
      <c r="BW559" s="483"/>
      <c r="BX559" s="483"/>
      <c r="BY559" s="483"/>
      <c r="BZ559" s="483"/>
      <c r="CA559" s="483"/>
      <c r="CB559" s="483"/>
      <c r="CC559" s="483"/>
      <c r="CD559" s="483"/>
      <c r="CE559" s="483"/>
      <c r="CF559" s="483"/>
      <c r="CG559" s="483"/>
      <c r="CH559" s="483"/>
      <c r="CI559" s="483"/>
      <c r="CJ559" s="483"/>
      <c r="CK559" s="483"/>
      <c r="CL559" s="483"/>
      <c r="CM559" s="483"/>
      <c r="CN559" s="483"/>
      <c r="CO559" s="483"/>
      <c r="CP559" s="483"/>
      <c r="CQ559" s="483"/>
      <c r="CR559" s="483"/>
      <c r="CS559" s="483"/>
      <c r="CT559" s="483"/>
      <c r="CU559" s="483"/>
      <c r="CV559" s="483"/>
      <c r="CW559" s="483"/>
      <c r="CX559" s="483"/>
      <c r="CY559" s="483"/>
      <c r="CZ559" s="483"/>
      <c r="DA559" s="483"/>
      <c r="DB559" s="483"/>
      <c r="DC559" s="483"/>
      <c r="DD559" s="483"/>
      <c r="DE559" s="483"/>
      <c r="DF559" s="483"/>
      <c r="DG559" s="483"/>
      <c r="DH559" s="483"/>
      <c r="DI559" s="483"/>
      <c r="DJ559" s="483"/>
      <c r="DK559" s="483"/>
      <c r="DL559" s="483"/>
      <c r="DM559" s="483"/>
      <c r="DN559" s="483"/>
      <c r="DO559" s="483"/>
      <c r="DP559" s="483"/>
      <c r="DQ559" s="483"/>
      <c r="DR559" s="483"/>
      <c r="DS559" s="483"/>
      <c r="DT559" s="483"/>
      <c r="DU559" s="483"/>
      <c r="DV559" s="483"/>
      <c r="DW559" s="483"/>
      <c r="DX559" s="483"/>
      <c r="DY559" s="483"/>
      <c r="DZ559" s="483"/>
      <c r="EA559" s="483"/>
      <c r="EB559" s="483"/>
      <c r="EC559" s="483"/>
      <c r="ED559" s="483"/>
      <c r="EE559" s="483"/>
      <c r="EF559" s="483"/>
      <c r="EG559" s="483"/>
      <c r="EH559" s="483"/>
      <c r="EI559" s="483"/>
      <c r="EJ559" s="483"/>
      <c r="EK559" s="483"/>
      <c r="EL559" s="483"/>
      <c r="EM559" s="483"/>
      <c r="EN559" s="483"/>
      <c r="EO559" s="483"/>
      <c r="EP559" s="483"/>
      <c r="EQ559" s="483"/>
      <c r="ER559" s="483"/>
      <c r="ES559" s="483"/>
      <c r="ET559" s="483"/>
      <c r="EU559" s="483"/>
      <c r="EV559" s="483"/>
      <c r="EW559" s="483"/>
      <c r="EX559" s="483"/>
      <c r="EY559" s="483"/>
      <c r="EZ559" s="483"/>
      <c r="FA559" s="483"/>
      <c r="FB559" s="483"/>
      <c r="FC559" s="483"/>
      <c r="FD559" s="483"/>
      <c r="FE559" s="483"/>
      <c r="FF559" s="483"/>
      <c r="FG559" s="483"/>
      <c r="FH559" s="483"/>
      <c r="FI559" s="483"/>
      <c r="FJ559" s="483"/>
      <c r="FK559" s="483"/>
      <c r="FL559" s="483"/>
      <c r="FM559" s="483"/>
      <c r="FN559" s="483"/>
      <c r="FO559" s="483"/>
      <c r="FP559" s="483"/>
      <c r="FQ559" s="483"/>
      <c r="FR559" s="483"/>
      <c r="FS559" s="483"/>
      <c r="FT559" s="483"/>
      <c r="FU559" s="483"/>
      <c r="FV559" s="483"/>
      <c r="FW559" s="483"/>
      <c r="FX559" s="483"/>
      <c r="FY559" s="483"/>
      <c r="FZ559" s="483"/>
      <c r="GA559" s="483"/>
      <c r="GB559" s="483"/>
      <c r="GC559" s="483"/>
      <c r="GD559" s="483"/>
      <c r="GE559" s="483"/>
      <c r="GF559" s="483"/>
      <c r="GG559" s="483"/>
      <c r="GH559" s="483"/>
      <c r="GI559" s="483"/>
      <c r="GJ559" s="483"/>
      <c r="GK559" s="483"/>
      <c r="GL559" s="483"/>
      <c r="GM559" s="483"/>
      <c r="GN559" s="483"/>
      <c r="GO559" s="483"/>
      <c r="GP559" s="483"/>
      <c r="GQ559" s="483"/>
      <c r="GR559" s="483"/>
      <c r="GS559" s="483"/>
      <c r="GT559" s="483"/>
      <c r="GU559" s="483"/>
      <c r="GV559" s="483"/>
      <c r="GW559" s="483"/>
      <c r="GX559" s="483"/>
      <c r="GY559" s="483"/>
      <c r="GZ559" s="483"/>
      <c r="HA559" s="483"/>
      <c r="HB559" s="483"/>
      <c r="HC559" s="483"/>
      <c r="HD559" s="483"/>
      <c r="HE559" s="483"/>
      <c r="HF559" s="483"/>
      <c r="HG559" s="483"/>
      <c r="HH559" s="483"/>
      <c r="HI559" s="483"/>
      <c r="HJ559" s="483"/>
      <c r="HK559" s="483"/>
      <c r="HL559" s="483"/>
      <c r="HM559" s="483"/>
      <c r="HN559" s="483"/>
      <c r="HO559" s="483"/>
      <c r="HP559" s="483"/>
      <c r="HQ559" s="483"/>
      <c r="HR559" s="483"/>
      <c r="HS559" s="483"/>
      <c r="HT559" s="483"/>
      <c r="HU559" s="483"/>
      <c r="HV559" s="483"/>
      <c r="HW559" s="483"/>
      <c r="HX559" s="483"/>
      <c r="HY559" s="483"/>
      <c r="HZ559" s="483"/>
      <c r="IA559" s="483"/>
      <c r="IB559" s="483"/>
      <c r="IC559" s="483"/>
      <c r="ID559" s="483"/>
      <c r="IE559" s="483"/>
    </row>
    <row r="560" spans="1:239" s="489" customFormat="1" ht="40.15" customHeight="1">
      <c r="A560" s="881"/>
      <c r="B560" s="881"/>
      <c r="C560" s="895"/>
      <c r="D560" s="880"/>
      <c r="E560" s="899"/>
      <c r="F560" s="899"/>
      <c r="G560" s="473">
        <v>174</v>
      </c>
      <c r="H560" s="487">
        <v>189.9</v>
      </c>
      <c r="I560" s="490">
        <v>33042.6</v>
      </c>
      <c r="J560" s="856">
        <f>ROUND(I570*0.8,0)</f>
        <v>599906</v>
      </c>
      <c r="K560" s="483"/>
      <c r="L560" s="483"/>
      <c r="M560" s="483"/>
      <c r="N560" s="483"/>
      <c r="O560" s="483"/>
      <c r="P560" s="483"/>
      <c r="Q560" s="483"/>
      <c r="R560" s="483"/>
      <c r="S560" s="483"/>
      <c r="T560" s="483"/>
      <c r="U560" s="483"/>
      <c r="V560" s="483"/>
      <c r="W560" s="483"/>
      <c r="X560" s="483"/>
      <c r="Y560" s="483"/>
      <c r="Z560" s="483"/>
      <c r="AA560" s="483"/>
      <c r="AB560" s="483"/>
      <c r="AC560" s="483"/>
      <c r="AD560" s="483"/>
      <c r="AE560" s="483"/>
      <c r="AF560" s="483"/>
      <c r="AG560" s="483"/>
      <c r="AH560" s="483"/>
      <c r="AI560" s="483"/>
      <c r="AJ560" s="483"/>
      <c r="AK560" s="483"/>
      <c r="AL560" s="483"/>
      <c r="AM560" s="483"/>
      <c r="AN560" s="483"/>
      <c r="AO560" s="483"/>
      <c r="AP560" s="483"/>
      <c r="AQ560" s="483"/>
      <c r="AR560" s="483"/>
      <c r="AS560" s="483"/>
      <c r="AT560" s="483"/>
      <c r="AU560" s="483"/>
      <c r="AV560" s="483"/>
      <c r="AW560" s="483"/>
      <c r="AX560" s="483"/>
      <c r="AY560" s="483"/>
      <c r="AZ560" s="483"/>
      <c r="BA560" s="483"/>
      <c r="BB560" s="483"/>
      <c r="BC560" s="483"/>
      <c r="BD560" s="483"/>
      <c r="BE560" s="483"/>
      <c r="BF560" s="483"/>
      <c r="BG560" s="483"/>
      <c r="BH560" s="483"/>
      <c r="BI560" s="483"/>
      <c r="BJ560" s="483"/>
      <c r="BK560" s="483"/>
      <c r="BL560" s="483"/>
      <c r="BM560" s="483"/>
      <c r="BN560" s="483"/>
      <c r="BO560" s="483"/>
      <c r="BP560" s="483"/>
      <c r="BQ560" s="483"/>
      <c r="BR560" s="483"/>
      <c r="BS560" s="483"/>
      <c r="BT560" s="483"/>
      <c r="BU560" s="483"/>
      <c r="BV560" s="483"/>
      <c r="BW560" s="483"/>
      <c r="BX560" s="483"/>
      <c r="BY560" s="483"/>
      <c r="BZ560" s="483"/>
      <c r="CA560" s="483"/>
      <c r="CB560" s="483"/>
      <c r="CC560" s="483"/>
      <c r="CD560" s="483"/>
      <c r="CE560" s="483"/>
      <c r="CF560" s="483"/>
      <c r="CG560" s="483"/>
      <c r="CH560" s="483"/>
      <c r="CI560" s="483"/>
      <c r="CJ560" s="483"/>
      <c r="CK560" s="483"/>
      <c r="CL560" s="483"/>
      <c r="CM560" s="483"/>
      <c r="CN560" s="483"/>
      <c r="CO560" s="483"/>
      <c r="CP560" s="483"/>
      <c r="CQ560" s="483"/>
      <c r="CR560" s="483"/>
      <c r="CS560" s="483"/>
      <c r="CT560" s="483"/>
      <c r="CU560" s="483"/>
      <c r="CV560" s="483"/>
      <c r="CW560" s="483"/>
      <c r="CX560" s="483"/>
      <c r="CY560" s="483"/>
      <c r="CZ560" s="483"/>
      <c r="DA560" s="483"/>
      <c r="DB560" s="483"/>
      <c r="DC560" s="483"/>
      <c r="DD560" s="483"/>
      <c r="DE560" s="483"/>
      <c r="DF560" s="483"/>
      <c r="DG560" s="483"/>
      <c r="DH560" s="483"/>
      <c r="DI560" s="483"/>
      <c r="DJ560" s="483"/>
      <c r="DK560" s="483"/>
      <c r="DL560" s="483"/>
      <c r="DM560" s="483"/>
      <c r="DN560" s="483"/>
      <c r="DO560" s="483"/>
      <c r="DP560" s="483"/>
      <c r="DQ560" s="483"/>
      <c r="DR560" s="483"/>
      <c r="DS560" s="483"/>
      <c r="DT560" s="483"/>
      <c r="DU560" s="483"/>
      <c r="DV560" s="483"/>
      <c r="DW560" s="483"/>
      <c r="DX560" s="483"/>
      <c r="DY560" s="483"/>
      <c r="DZ560" s="483"/>
      <c r="EA560" s="483"/>
      <c r="EB560" s="483"/>
      <c r="EC560" s="483"/>
      <c r="ED560" s="483"/>
      <c r="EE560" s="483"/>
      <c r="EF560" s="483"/>
      <c r="EG560" s="483"/>
      <c r="EH560" s="483"/>
      <c r="EI560" s="483"/>
      <c r="EJ560" s="483"/>
      <c r="EK560" s="483"/>
      <c r="EL560" s="483"/>
      <c r="EM560" s="483"/>
      <c r="EN560" s="483"/>
      <c r="EO560" s="483"/>
      <c r="EP560" s="483"/>
      <c r="EQ560" s="483"/>
      <c r="ER560" s="483"/>
      <c r="ES560" s="483"/>
      <c r="ET560" s="483"/>
      <c r="EU560" s="483"/>
      <c r="EV560" s="483"/>
      <c r="EW560" s="483"/>
      <c r="EX560" s="483"/>
      <c r="EY560" s="483"/>
      <c r="EZ560" s="483"/>
      <c r="FA560" s="483"/>
      <c r="FB560" s="483"/>
      <c r="FC560" s="483"/>
      <c r="FD560" s="483"/>
      <c r="FE560" s="483"/>
      <c r="FF560" s="483"/>
      <c r="FG560" s="483"/>
      <c r="FH560" s="483"/>
      <c r="FI560" s="483"/>
      <c r="FJ560" s="483"/>
      <c r="FK560" s="483"/>
      <c r="FL560" s="483"/>
      <c r="FM560" s="483"/>
      <c r="FN560" s="483"/>
      <c r="FO560" s="483"/>
      <c r="FP560" s="483"/>
      <c r="FQ560" s="483"/>
      <c r="FR560" s="483"/>
      <c r="FS560" s="483"/>
      <c r="FT560" s="483"/>
      <c r="FU560" s="483"/>
      <c r="FV560" s="483"/>
      <c r="FW560" s="483"/>
      <c r="FX560" s="483"/>
      <c r="FY560" s="483"/>
      <c r="FZ560" s="483"/>
      <c r="GA560" s="483"/>
      <c r="GB560" s="483"/>
      <c r="GC560" s="483"/>
      <c r="GD560" s="483"/>
      <c r="GE560" s="483"/>
      <c r="GF560" s="483"/>
      <c r="GG560" s="483"/>
      <c r="GH560" s="483"/>
      <c r="GI560" s="483"/>
      <c r="GJ560" s="483"/>
      <c r="GK560" s="483"/>
      <c r="GL560" s="483"/>
      <c r="GM560" s="483"/>
      <c r="GN560" s="483"/>
      <c r="GO560" s="483"/>
      <c r="GP560" s="483"/>
      <c r="GQ560" s="483"/>
      <c r="GR560" s="483"/>
      <c r="GS560" s="483"/>
      <c r="GT560" s="483"/>
      <c r="GU560" s="483"/>
      <c r="GV560" s="483"/>
      <c r="GW560" s="483"/>
      <c r="GX560" s="483"/>
      <c r="GY560" s="483"/>
      <c r="GZ560" s="483"/>
      <c r="HA560" s="483"/>
      <c r="HB560" s="483"/>
      <c r="HC560" s="483"/>
      <c r="HD560" s="483"/>
      <c r="HE560" s="483"/>
      <c r="HF560" s="483"/>
      <c r="HG560" s="483"/>
      <c r="HH560" s="483"/>
      <c r="HI560" s="483"/>
      <c r="HJ560" s="483"/>
      <c r="HK560" s="483"/>
      <c r="HL560" s="483"/>
      <c r="HM560" s="483"/>
      <c r="HN560" s="483"/>
      <c r="HO560" s="483"/>
      <c r="HP560" s="483"/>
      <c r="HQ560" s="483"/>
      <c r="HR560" s="483"/>
      <c r="HS560" s="483"/>
      <c r="HT560" s="483"/>
      <c r="HU560" s="483"/>
      <c r="HV560" s="483"/>
      <c r="HW560" s="483"/>
      <c r="HX560" s="483"/>
      <c r="HY560" s="483"/>
      <c r="HZ560" s="483"/>
      <c r="IA560" s="483"/>
      <c r="IB560" s="483"/>
      <c r="IC560" s="483"/>
      <c r="ID560" s="483"/>
      <c r="IE560" s="483"/>
    </row>
    <row r="561" spans="1:239" s="489" customFormat="1" ht="40.15" customHeight="1">
      <c r="A561" s="881"/>
      <c r="B561" s="881"/>
      <c r="C561" s="895"/>
      <c r="D561" s="880"/>
      <c r="E561" s="899"/>
      <c r="F561" s="899"/>
      <c r="G561" s="473">
        <v>33</v>
      </c>
      <c r="H561" s="487">
        <v>249.07</v>
      </c>
      <c r="I561" s="491">
        <v>8219.31</v>
      </c>
      <c r="J561" s="859"/>
      <c r="K561" s="483"/>
      <c r="L561" s="483"/>
      <c r="M561" s="483"/>
      <c r="N561" s="483"/>
      <c r="O561" s="483"/>
      <c r="P561" s="483"/>
      <c r="Q561" s="483"/>
      <c r="R561" s="483"/>
      <c r="S561" s="483"/>
      <c r="T561" s="483"/>
      <c r="U561" s="483"/>
      <c r="V561" s="483"/>
      <c r="W561" s="483"/>
      <c r="X561" s="483"/>
      <c r="Y561" s="483"/>
      <c r="Z561" s="483"/>
      <c r="AA561" s="483"/>
      <c r="AB561" s="483"/>
      <c r="AC561" s="483"/>
      <c r="AD561" s="483"/>
      <c r="AE561" s="483"/>
      <c r="AF561" s="483"/>
      <c r="AG561" s="483"/>
      <c r="AH561" s="483"/>
      <c r="AI561" s="483"/>
      <c r="AJ561" s="483"/>
      <c r="AK561" s="483"/>
      <c r="AL561" s="483"/>
      <c r="AM561" s="483"/>
      <c r="AN561" s="483"/>
      <c r="AO561" s="483"/>
      <c r="AP561" s="483"/>
      <c r="AQ561" s="483"/>
      <c r="AR561" s="483"/>
      <c r="AS561" s="483"/>
      <c r="AT561" s="483"/>
      <c r="AU561" s="483"/>
      <c r="AV561" s="483"/>
      <c r="AW561" s="483"/>
      <c r="AX561" s="483"/>
      <c r="AY561" s="483"/>
      <c r="AZ561" s="483"/>
      <c r="BA561" s="483"/>
      <c r="BB561" s="483"/>
      <c r="BC561" s="483"/>
      <c r="BD561" s="483"/>
      <c r="BE561" s="483"/>
      <c r="BF561" s="483"/>
      <c r="BG561" s="483"/>
      <c r="BH561" s="483"/>
      <c r="BI561" s="483"/>
      <c r="BJ561" s="483"/>
      <c r="BK561" s="483"/>
      <c r="BL561" s="483"/>
      <c r="BM561" s="483"/>
      <c r="BN561" s="483"/>
      <c r="BO561" s="483"/>
      <c r="BP561" s="483"/>
      <c r="BQ561" s="483"/>
      <c r="BR561" s="483"/>
      <c r="BS561" s="483"/>
      <c r="BT561" s="483"/>
      <c r="BU561" s="483"/>
      <c r="BV561" s="483"/>
      <c r="BW561" s="483"/>
      <c r="BX561" s="483"/>
      <c r="BY561" s="483"/>
      <c r="BZ561" s="483"/>
      <c r="CA561" s="483"/>
      <c r="CB561" s="483"/>
      <c r="CC561" s="483"/>
      <c r="CD561" s="483"/>
      <c r="CE561" s="483"/>
      <c r="CF561" s="483"/>
      <c r="CG561" s="483"/>
      <c r="CH561" s="483"/>
      <c r="CI561" s="483"/>
      <c r="CJ561" s="483"/>
      <c r="CK561" s="483"/>
      <c r="CL561" s="483"/>
      <c r="CM561" s="483"/>
      <c r="CN561" s="483"/>
      <c r="CO561" s="483"/>
      <c r="CP561" s="483"/>
      <c r="CQ561" s="483"/>
      <c r="CR561" s="483"/>
      <c r="CS561" s="483"/>
      <c r="CT561" s="483"/>
      <c r="CU561" s="483"/>
      <c r="CV561" s="483"/>
      <c r="CW561" s="483"/>
      <c r="CX561" s="483"/>
      <c r="CY561" s="483"/>
      <c r="CZ561" s="483"/>
      <c r="DA561" s="483"/>
      <c r="DB561" s="483"/>
      <c r="DC561" s="483"/>
      <c r="DD561" s="483"/>
      <c r="DE561" s="483"/>
      <c r="DF561" s="483"/>
      <c r="DG561" s="483"/>
      <c r="DH561" s="483"/>
      <c r="DI561" s="483"/>
      <c r="DJ561" s="483"/>
      <c r="DK561" s="483"/>
      <c r="DL561" s="483"/>
      <c r="DM561" s="483"/>
      <c r="DN561" s="483"/>
      <c r="DO561" s="483"/>
      <c r="DP561" s="483"/>
      <c r="DQ561" s="483"/>
      <c r="DR561" s="483"/>
      <c r="DS561" s="483"/>
      <c r="DT561" s="483"/>
      <c r="DU561" s="483"/>
      <c r="DV561" s="483"/>
      <c r="DW561" s="483"/>
      <c r="DX561" s="483"/>
      <c r="DY561" s="483"/>
      <c r="DZ561" s="483"/>
      <c r="EA561" s="483"/>
      <c r="EB561" s="483"/>
      <c r="EC561" s="483"/>
      <c r="ED561" s="483"/>
      <c r="EE561" s="483"/>
      <c r="EF561" s="483"/>
      <c r="EG561" s="483"/>
      <c r="EH561" s="483"/>
      <c r="EI561" s="483"/>
      <c r="EJ561" s="483"/>
      <c r="EK561" s="483"/>
      <c r="EL561" s="483"/>
      <c r="EM561" s="483"/>
      <c r="EN561" s="483"/>
      <c r="EO561" s="483"/>
      <c r="EP561" s="483"/>
      <c r="EQ561" s="483"/>
      <c r="ER561" s="483"/>
      <c r="ES561" s="483"/>
      <c r="ET561" s="483"/>
      <c r="EU561" s="483"/>
      <c r="EV561" s="483"/>
      <c r="EW561" s="483"/>
      <c r="EX561" s="483"/>
      <c r="EY561" s="483"/>
      <c r="EZ561" s="483"/>
      <c r="FA561" s="483"/>
      <c r="FB561" s="483"/>
      <c r="FC561" s="483"/>
      <c r="FD561" s="483"/>
      <c r="FE561" s="483"/>
      <c r="FF561" s="483"/>
      <c r="FG561" s="483"/>
      <c r="FH561" s="483"/>
      <c r="FI561" s="483"/>
      <c r="FJ561" s="483"/>
      <c r="FK561" s="483"/>
      <c r="FL561" s="483"/>
      <c r="FM561" s="483"/>
      <c r="FN561" s="483"/>
      <c r="FO561" s="483"/>
      <c r="FP561" s="483"/>
      <c r="FQ561" s="483"/>
      <c r="FR561" s="483"/>
      <c r="FS561" s="483"/>
      <c r="FT561" s="483"/>
      <c r="FU561" s="483"/>
      <c r="FV561" s="483"/>
      <c r="FW561" s="483"/>
      <c r="FX561" s="483"/>
      <c r="FY561" s="483"/>
      <c r="FZ561" s="483"/>
      <c r="GA561" s="483"/>
      <c r="GB561" s="483"/>
      <c r="GC561" s="483"/>
      <c r="GD561" s="483"/>
      <c r="GE561" s="483"/>
      <c r="GF561" s="483"/>
      <c r="GG561" s="483"/>
      <c r="GH561" s="483"/>
      <c r="GI561" s="483"/>
      <c r="GJ561" s="483"/>
      <c r="GK561" s="483"/>
      <c r="GL561" s="483"/>
      <c r="GM561" s="483"/>
      <c r="GN561" s="483"/>
      <c r="GO561" s="483"/>
      <c r="GP561" s="483"/>
      <c r="GQ561" s="483"/>
      <c r="GR561" s="483"/>
      <c r="GS561" s="483"/>
      <c r="GT561" s="483"/>
      <c r="GU561" s="483"/>
      <c r="GV561" s="483"/>
      <c r="GW561" s="483"/>
      <c r="GX561" s="483"/>
      <c r="GY561" s="483"/>
      <c r="GZ561" s="483"/>
      <c r="HA561" s="483"/>
      <c r="HB561" s="483"/>
      <c r="HC561" s="483"/>
      <c r="HD561" s="483"/>
      <c r="HE561" s="483"/>
      <c r="HF561" s="483"/>
      <c r="HG561" s="483"/>
      <c r="HH561" s="483"/>
      <c r="HI561" s="483"/>
      <c r="HJ561" s="483"/>
      <c r="HK561" s="483"/>
      <c r="HL561" s="483"/>
      <c r="HM561" s="483"/>
      <c r="HN561" s="483"/>
      <c r="HO561" s="483"/>
      <c r="HP561" s="483"/>
      <c r="HQ561" s="483"/>
      <c r="HR561" s="483"/>
      <c r="HS561" s="483"/>
      <c r="HT561" s="483"/>
      <c r="HU561" s="483"/>
      <c r="HV561" s="483"/>
      <c r="HW561" s="483"/>
      <c r="HX561" s="483"/>
      <c r="HY561" s="483"/>
      <c r="HZ561" s="483"/>
      <c r="IA561" s="483"/>
      <c r="IB561" s="483"/>
      <c r="IC561" s="483"/>
      <c r="ID561" s="483"/>
      <c r="IE561" s="483"/>
    </row>
    <row r="562" spans="1:239" s="489" customFormat="1" ht="40.15" customHeight="1">
      <c r="A562" s="881"/>
      <c r="B562" s="881"/>
      <c r="C562" s="895"/>
      <c r="D562" s="880"/>
      <c r="E562" s="899"/>
      <c r="F562" s="899"/>
      <c r="G562" s="473">
        <v>174</v>
      </c>
      <c r="H562" s="487">
        <v>150</v>
      </c>
      <c r="I562" s="491">
        <v>26100</v>
      </c>
      <c r="J562" s="859"/>
      <c r="K562" s="483"/>
      <c r="L562" s="483"/>
      <c r="M562" s="483"/>
      <c r="N562" s="483"/>
      <c r="O562" s="483"/>
      <c r="P562" s="483"/>
      <c r="Q562" s="483"/>
      <c r="R562" s="483"/>
      <c r="S562" s="483"/>
      <c r="T562" s="483"/>
      <c r="U562" s="483"/>
      <c r="V562" s="483"/>
      <c r="W562" s="483"/>
      <c r="X562" s="483"/>
      <c r="Y562" s="483"/>
      <c r="Z562" s="483"/>
      <c r="AA562" s="483"/>
      <c r="AB562" s="483"/>
      <c r="AC562" s="483"/>
      <c r="AD562" s="483"/>
      <c r="AE562" s="483"/>
      <c r="AF562" s="483"/>
      <c r="AG562" s="483"/>
      <c r="AH562" s="483"/>
      <c r="AI562" s="483"/>
      <c r="AJ562" s="483"/>
      <c r="AK562" s="483"/>
      <c r="AL562" s="483"/>
      <c r="AM562" s="483"/>
      <c r="AN562" s="483"/>
      <c r="AO562" s="483"/>
      <c r="AP562" s="483"/>
      <c r="AQ562" s="483"/>
      <c r="AR562" s="483"/>
      <c r="AS562" s="483"/>
      <c r="AT562" s="483"/>
      <c r="AU562" s="483"/>
      <c r="AV562" s="483"/>
      <c r="AW562" s="483"/>
      <c r="AX562" s="483"/>
      <c r="AY562" s="483"/>
      <c r="AZ562" s="483"/>
      <c r="BA562" s="483"/>
      <c r="BB562" s="483"/>
      <c r="BC562" s="483"/>
      <c r="BD562" s="483"/>
      <c r="BE562" s="483"/>
      <c r="BF562" s="483"/>
      <c r="BG562" s="483"/>
      <c r="BH562" s="483"/>
      <c r="BI562" s="483"/>
      <c r="BJ562" s="483"/>
      <c r="BK562" s="483"/>
      <c r="BL562" s="483"/>
      <c r="BM562" s="483"/>
      <c r="BN562" s="483"/>
      <c r="BO562" s="483"/>
      <c r="BP562" s="483"/>
      <c r="BQ562" s="483"/>
      <c r="BR562" s="483"/>
      <c r="BS562" s="483"/>
      <c r="BT562" s="483"/>
      <c r="BU562" s="483"/>
      <c r="BV562" s="483"/>
      <c r="BW562" s="483"/>
      <c r="BX562" s="483"/>
      <c r="BY562" s="483"/>
      <c r="BZ562" s="483"/>
      <c r="CA562" s="483"/>
      <c r="CB562" s="483"/>
      <c r="CC562" s="483"/>
      <c r="CD562" s="483"/>
      <c r="CE562" s="483"/>
      <c r="CF562" s="483"/>
      <c r="CG562" s="483"/>
      <c r="CH562" s="483"/>
      <c r="CI562" s="483"/>
      <c r="CJ562" s="483"/>
      <c r="CK562" s="483"/>
      <c r="CL562" s="483"/>
      <c r="CM562" s="483"/>
      <c r="CN562" s="483"/>
      <c r="CO562" s="483"/>
      <c r="CP562" s="483"/>
      <c r="CQ562" s="483"/>
      <c r="CR562" s="483"/>
      <c r="CS562" s="483"/>
      <c r="CT562" s="483"/>
      <c r="CU562" s="483"/>
      <c r="CV562" s="483"/>
      <c r="CW562" s="483"/>
      <c r="CX562" s="483"/>
      <c r="CY562" s="483"/>
      <c r="CZ562" s="483"/>
      <c r="DA562" s="483"/>
      <c r="DB562" s="483"/>
      <c r="DC562" s="483"/>
      <c r="DD562" s="483"/>
      <c r="DE562" s="483"/>
      <c r="DF562" s="483"/>
      <c r="DG562" s="483"/>
      <c r="DH562" s="483"/>
      <c r="DI562" s="483"/>
      <c r="DJ562" s="483"/>
      <c r="DK562" s="483"/>
      <c r="DL562" s="483"/>
      <c r="DM562" s="483"/>
      <c r="DN562" s="483"/>
      <c r="DO562" s="483"/>
      <c r="DP562" s="483"/>
      <c r="DQ562" s="483"/>
      <c r="DR562" s="483"/>
      <c r="DS562" s="483"/>
      <c r="DT562" s="483"/>
      <c r="DU562" s="483"/>
      <c r="DV562" s="483"/>
      <c r="DW562" s="483"/>
      <c r="DX562" s="483"/>
      <c r="DY562" s="483"/>
      <c r="DZ562" s="483"/>
      <c r="EA562" s="483"/>
      <c r="EB562" s="483"/>
      <c r="EC562" s="483"/>
      <c r="ED562" s="483"/>
      <c r="EE562" s="483"/>
      <c r="EF562" s="483"/>
      <c r="EG562" s="483"/>
      <c r="EH562" s="483"/>
      <c r="EI562" s="483"/>
      <c r="EJ562" s="483"/>
      <c r="EK562" s="483"/>
      <c r="EL562" s="483"/>
      <c r="EM562" s="483"/>
      <c r="EN562" s="483"/>
      <c r="EO562" s="483"/>
      <c r="EP562" s="483"/>
      <c r="EQ562" s="483"/>
      <c r="ER562" s="483"/>
      <c r="ES562" s="483"/>
      <c r="ET562" s="483"/>
      <c r="EU562" s="483"/>
      <c r="EV562" s="483"/>
      <c r="EW562" s="483"/>
      <c r="EX562" s="483"/>
      <c r="EY562" s="483"/>
      <c r="EZ562" s="483"/>
      <c r="FA562" s="483"/>
      <c r="FB562" s="483"/>
      <c r="FC562" s="483"/>
      <c r="FD562" s="483"/>
      <c r="FE562" s="483"/>
      <c r="FF562" s="483"/>
      <c r="FG562" s="483"/>
      <c r="FH562" s="483"/>
      <c r="FI562" s="483"/>
      <c r="FJ562" s="483"/>
      <c r="FK562" s="483"/>
      <c r="FL562" s="483"/>
      <c r="FM562" s="483"/>
      <c r="FN562" s="483"/>
      <c r="FO562" s="483"/>
      <c r="FP562" s="483"/>
      <c r="FQ562" s="483"/>
      <c r="FR562" s="483"/>
      <c r="FS562" s="483"/>
      <c r="FT562" s="483"/>
      <c r="FU562" s="483"/>
      <c r="FV562" s="483"/>
      <c r="FW562" s="483"/>
      <c r="FX562" s="483"/>
      <c r="FY562" s="483"/>
      <c r="FZ562" s="483"/>
      <c r="GA562" s="483"/>
      <c r="GB562" s="483"/>
      <c r="GC562" s="483"/>
      <c r="GD562" s="483"/>
      <c r="GE562" s="483"/>
      <c r="GF562" s="483"/>
      <c r="GG562" s="483"/>
      <c r="GH562" s="483"/>
      <c r="GI562" s="483"/>
      <c r="GJ562" s="483"/>
      <c r="GK562" s="483"/>
      <c r="GL562" s="483"/>
      <c r="GM562" s="483"/>
      <c r="GN562" s="483"/>
      <c r="GO562" s="483"/>
      <c r="GP562" s="483"/>
      <c r="GQ562" s="483"/>
      <c r="GR562" s="483"/>
      <c r="GS562" s="483"/>
      <c r="GT562" s="483"/>
      <c r="GU562" s="483"/>
      <c r="GV562" s="483"/>
      <c r="GW562" s="483"/>
      <c r="GX562" s="483"/>
      <c r="GY562" s="483"/>
      <c r="GZ562" s="483"/>
      <c r="HA562" s="483"/>
      <c r="HB562" s="483"/>
      <c r="HC562" s="483"/>
      <c r="HD562" s="483"/>
      <c r="HE562" s="483"/>
      <c r="HF562" s="483"/>
      <c r="HG562" s="483"/>
      <c r="HH562" s="483"/>
      <c r="HI562" s="483"/>
      <c r="HJ562" s="483"/>
      <c r="HK562" s="483"/>
      <c r="HL562" s="483"/>
      <c r="HM562" s="483"/>
      <c r="HN562" s="483"/>
      <c r="HO562" s="483"/>
      <c r="HP562" s="483"/>
      <c r="HQ562" s="483"/>
      <c r="HR562" s="483"/>
      <c r="HS562" s="483"/>
      <c r="HT562" s="483"/>
      <c r="HU562" s="483"/>
      <c r="HV562" s="483"/>
      <c r="HW562" s="483"/>
      <c r="HX562" s="483"/>
      <c r="HY562" s="483"/>
      <c r="HZ562" s="483"/>
      <c r="IA562" s="483"/>
      <c r="IB562" s="483"/>
      <c r="IC562" s="483"/>
      <c r="ID562" s="483"/>
      <c r="IE562" s="483"/>
    </row>
    <row r="563" spans="1:239" s="489" customFormat="1" ht="40.15" customHeight="1">
      <c r="A563" s="881"/>
      <c r="B563" s="881"/>
      <c r="C563" s="895"/>
      <c r="D563" s="880"/>
      <c r="E563" s="899"/>
      <c r="F563" s="899"/>
      <c r="G563" s="473">
        <v>174</v>
      </c>
      <c r="H563" s="487">
        <v>241.011494252874</v>
      </c>
      <c r="I563" s="491">
        <v>41936.000000000102</v>
      </c>
      <c r="J563" s="859"/>
      <c r="K563" s="483"/>
      <c r="L563" s="483"/>
      <c r="M563" s="483"/>
      <c r="N563" s="483"/>
      <c r="O563" s="483"/>
      <c r="P563" s="483"/>
      <c r="Q563" s="483"/>
      <c r="R563" s="483"/>
      <c r="S563" s="483"/>
      <c r="T563" s="483"/>
      <c r="U563" s="483"/>
      <c r="V563" s="483"/>
      <c r="W563" s="483"/>
      <c r="X563" s="483"/>
      <c r="Y563" s="483"/>
      <c r="Z563" s="483"/>
      <c r="AA563" s="483"/>
      <c r="AB563" s="483"/>
      <c r="AC563" s="483"/>
      <c r="AD563" s="483"/>
      <c r="AE563" s="483"/>
      <c r="AF563" s="483"/>
      <c r="AG563" s="483"/>
      <c r="AH563" s="483"/>
      <c r="AI563" s="483"/>
      <c r="AJ563" s="483"/>
      <c r="AK563" s="483"/>
      <c r="AL563" s="483"/>
      <c r="AM563" s="483"/>
      <c r="AN563" s="483"/>
      <c r="AO563" s="483"/>
      <c r="AP563" s="483"/>
      <c r="AQ563" s="483"/>
      <c r="AR563" s="483"/>
      <c r="AS563" s="483"/>
      <c r="AT563" s="483"/>
      <c r="AU563" s="483"/>
      <c r="AV563" s="483"/>
      <c r="AW563" s="483"/>
      <c r="AX563" s="483"/>
      <c r="AY563" s="483"/>
      <c r="AZ563" s="483"/>
      <c r="BA563" s="483"/>
      <c r="BB563" s="483"/>
      <c r="BC563" s="483"/>
      <c r="BD563" s="483"/>
      <c r="BE563" s="483"/>
      <c r="BF563" s="483"/>
      <c r="BG563" s="483"/>
      <c r="BH563" s="483"/>
      <c r="BI563" s="483"/>
      <c r="BJ563" s="483"/>
      <c r="BK563" s="483"/>
      <c r="BL563" s="483"/>
      <c r="BM563" s="483"/>
      <c r="BN563" s="483"/>
      <c r="BO563" s="483"/>
      <c r="BP563" s="483"/>
      <c r="BQ563" s="483"/>
      <c r="BR563" s="483"/>
      <c r="BS563" s="483"/>
      <c r="BT563" s="483"/>
      <c r="BU563" s="483"/>
      <c r="BV563" s="483"/>
      <c r="BW563" s="483"/>
      <c r="BX563" s="483"/>
      <c r="BY563" s="483"/>
      <c r="BZ563" s="483"/>
      <c r="CA563" s="483"/>
      <c r="CB563" s="483"/>
      <c r="CC563" s="483"/>
      <c r="CD563" s="483"/>
      <c r="CE563" s="483"/>
      <c r="CF563" s="483"/>
      <c r="CG563" s="483"/>
      <c r="CH563" s="483"/>
      <c r="CI563" s="483"/>
      <c r="CJ563" s="483"/>
      <c r="CK563" s="483"/>
      <c r="CL563" s="483"/>
      <c r="CM563" s="483"/>
      <c r="CN563" s="483"/>
      <c r="CO563" s="483"/>
      <c r="CP563" s="483"/>
      <c r="CQ563" s="483"/>
      <c r="CR563" s="483"/>
      <c r="CS563" s="483"/>
      <c r="CT563" s="483"/>
      <c r="CU563" s="483"/>
      <c r="CV563" s="483"/>
      <c r="CW563" s="483"/>
      <c r="CX563" s="483"/>
      <c r="CY563" s="483"/>
      <c r="CZ563" s="483"/>
      <c r="DA563" s="483"/>
      <c r="DB563" s="483"/>
      <c r="DC563" s="483"/>
      <c r="DD563" s="483"/>
      <c r="DE563" s="483"/>
      <c r="DF563" s="483"/>
      <c r="DG563" s="483"/>
      <c r="DH563" s="483"/>
      <c r="DI563" s="483"/>
      <c r="DJ563" s="483"/>
      <c r="DK563" s="483"/>
      <c r="DL563" s="483"/>
      <c r="DM563" s="483"/>
      <c r="DN563" s="483"/>
      <c r="DO563" s="483"/>
      <c r="DP563" s="483"/>
      <c r="DQ563" s="483"/>
      <c r="DR563" s="483"/>
      <c r="DS563" s="483"/>
      <c r="DT563" s="483"/>
      <c r="DU563" s="483"/>
      <c r="DV563" s="483"/>
      <c r="DW563" s="483"/>
      <c r="DX563" s="483"/>
      <c r="DY563" s="483"/>
      <c r="DZ563" s="483"/>
      <c r="EA563" s="483"/>
      <c r="EB563" s="483"/>
      <c r="EC563" s="483"/>
      <c r="ED563" s="483"/>
      <c r="EE563" s="483"/>
      <c r="EF563" s="483"/>
      <c r="EG563" s="483"/>
      <c r="EH563" s="483"/>
      <c r="EI563" s="483"/>
      <c r="EJ563" s="483"/>
      <c r="EK563" s="483"/>
      <c r="EL563" s="483"/>
      <c r="EM563" s="483"/>
      <c r="EN563" s="483"/>
      <c r="EO563" s="483"/>
      <c r="EP563" s="483"/>
      <c r="EQ563" s="483"/>
      <c r="ER563" s="483"/>
      <c r="ES563" s="483"/>
      <c r="ET563" s="483"/>
      <c r="EU563" s="483"/>
      <c r="EV563" s="483"/>
      <c r="EW563" s="483"/>
      <c r="EX563" s="483"/>
      <c r="EY563" s="483"/>
      <c r="EZ563" s="483"/>
      <c r="FA563" s="483"/>
      <c r="FB563" s="483"/>
      <c r="FC563" s="483"/>
      <c r="FD563" s="483"/>
      <c r="FE563" s="483"/>
      <c r="FF563" s="483"/>
      <c r="FG563" s="483"/>
      <c r="FH563" s="483"/>
      <c r="FI563" s="483"/>
      <c r="FJ563" s="483"/>
      <c r="FK563" s="483"/>
      <c r="FL563" s="483"/>
      <c r="FM563" s="483"/>
      <c r="FN563" s="483"/>
      <c r="FO563" s="483"/>
      <c r="FP563" s="483"/>
      <c r="FQ563" s="483"/>
      <c r="FR563" s="483"/>
      <c r="FS563" s="483"/>
      <c r="FT563" s="483"/>
      <c r="FU563" s="483"/>
      <c r="FV563" s="483"/>
      <c r="FW563" s="483"/>
      <c r="FX563" s="483"/>
      <c r="FY563" s="483"/>
      <c r="FZ563" s="483"/>
      <c r="GA563" s="483"/>
      <c r="GB563" s="483"/>
      <c r="GC563" s="483"/>
      <c r="GD563" s="483"/>
      <c r="GE563" s="483"/>
      <c r="GF563" s="483"/>
      <c r="GG563" s="483"/>
      <c r="GH563" s="483"/>
      <c r="GI563" s="483"/>
      <c r="GJ563" s="483"/>
      <c r="GK563" s="483"/>
      <c r="GL563" s="483"/>
      <c r="GM563" s="483"/>
      <c r="GN563" s="483"/>
      <c r="GO563" s="483"/>
      <c r="GP563" s="483"/>
      <c r="GQ563" s="483"/>
      <c r="GR563" s="483"/>
      <c r="GS563" s="483"/>
      <c r="GT563" s="483"/>
      <c r="GU563" s="483"/>
      <c r="GV563" s="483"/>
      <c r="GW563" s="483"/>
      <c r="GX563" s="483"/>
      <c r="GY563" s="483"/>
      <c r="GZ563" s="483"/>
      <c r="HA563" s="483"/>
      <c r="HB563" s="483"/>
      <c r="HC563" s="483"/>
      <c r="HD563" s="483"/>
      <c r="HE563" s="483"/>
      <c r="HF563" s="483"/>
      <c r="HG563" s="483"/>
      <c r="HH563" s="483"/>
      <c r="HI563" s="483"/>
      <c r="HJ563" s="483"/>
      <c r="HK563" s="483"/>
      <c r="HL563" s="483"/>
      <c r="HM563" s="483"/>
      <c r="HN563" s="483"/>
      <c r="HO563" s="483"/>
      <c r="HP563" s="483"/>
      <c r="HQ563" s="483"/>
      <c r="HR563" s="483"/>
      <c r="HS563" s="483"/>
      <c r="HT563" s="483"/>
      <c r="HU563" s="483"/>
      <c r="HV563" s="483"/>
      <c r="HW563" s="483"/>
      <c r="HX563" s="483"/>
      <c r="HY563" s="483"/>
      <c r="HZ563" s="483"/>
      <c r="IA563" s="483"/>
      <c r="IB563" s="483"/>
      <c r="IC563" s="483"/>
      <c r="ID563" s="483"/>
      <c r="IE563" s="483"/>
    </row>
    <row r="564" spans="1:239" s="489" customFormat="1" ht="40.15" customHeight="1">
      <c r="A564" s="881"/>
      <c r="B564" s="881"/>
      <c r="C564" s="895"/>
      <c r="D564" s="880"/>
      <c r="E564" s="899"/>
      <c r="F564" s="899"/>
      <c r="G564" s="473">
        <v>19.8</v>
      </c>
      <c r="H564" s="487">
        <v>47.5</v>
      </c>
      <c r="I564" s="491">
        <v>940.5</v>
      </c>
      <c r="J564" s="859"/>
      <c r="K564" s="483"/>
      <c r="L564" s="483"/>
      <c r="M564" s="483"/>
      <c r="N564" s="483"/>
      <c r="O564" s="483"/>
      <c r="P564" s="483"/>
      <c r="Q564" s="483"/>
      <c r="R564" s="483"/>
      <c r="S564" s="483"/>
      <c r="T564" s="483"/>
      <c r="U564" s="483"/>
      <c r="V564" s="483"/>
      <c r="W564" s="483"/>
      <c r="X564" s="483"/>
      <c r="Y564" s="483"/>
      <c r="Z564" s="483"/>
      <c r="AA564" s="483"/>
      <c r="AB564" s="483"/>
      <c r="AC564" s="483"/>
      <c r="AD564" s="483"/>
      <c r="AE564" s="483"/>
      <c r="AF564" s="483"/>
      <c r="AG564" s="483"/>
      <c r="AH564" s="483"/>
      <c r="AI564" s="483"/>
      <c r="AJ564" s="483"/>
      <c r="AK564" s="483"/>
      <c r="AL564" s="483"/>
      <c r="AM564" s="483"/>
      <c r="AN564" s="483"/>
      <c r="AO564" s="483"/>
      <c r="AP564" s="483"/>
      <c r="AQ564" s="483"/>
      <c r="AR564" s="483"/>
      <c r="AS564" s="483"/>
      <c r="AT564" s="483"/>
      <c r="AU564" s="483"/>
      <c r="AV564" s="483"/>
      <c r="AW564" s="483"/>
      <c r="AX564" s="483"/>
      <c r="AY564" s="483"/>
      <c r="AZ564" s="483"/>
      <c r="BA564" s="483"/>
      <c r="BB564" s="483"/>
      <c r="BC564" s="483"/>
      <c r="BD564" s="483"/>
      <c r="BE564" s="483"/>
      <c r="BF564" s="483"/>
      <c r="BG564" s="483"/>
      <c r="BH564" s="483"/>
      <c r="BI564" s="483"/>
      <c r="BJ564" s="483"/>
      <c r="BK564" s="483"/>
      <c r="BL564" s="483"/>
      <c r="BM564" s="483"/>
      <c r="BN564" s="483"/>
      <c r="BO564" s="483"/>
      <c r="BP564" s="483"/>
      <c r="BQ564" s="483"/>
      <c r="BR564" s="483"/>
      <c r="BS564" s="483"/>
      <c r="BT564" s="483"/>
      <c r="BU564" s="483"/>
      <c r="BV564" s="483"/>
      <c r="BW564" s="483"/>
      <c r="BX564" s="483"/>
      <c r="BY564" s="483"/>
      <c r="BZ564" s="483"/>
      <c r="CA564" s="483"/>
      <c r="CB564" s="483"/>
      <c r="CC564" s="483"/>
      <c r="CD564" s="483"/>
      <c r="CE564" s="483"/>
      <c r="CF564" s="483"/>
      <c r="CG564" s="483"/>
      <c r="CH564" s="483"/>
      <c r="CI564" s="483"/>
      <c r="CJ564" s="483"/>
      <c r="CK564" s="483"/>
      <c r="CL564" s="483"/>
      <c r="CM564" s="483"/>
      <c r="CN564" s="483"/>
      <c r="CO564" s="483"/>
      <c r="CP564" s="483"/>
      <c r="CQ564" s="483"/>
      <c r="CR564" s="483"/>
      <c r="CS564" s="483"/>
      <c r="CT564" s="483"/>
      <c r="CU564" s="483"/>
      <c r="CV564" s="483"/>
      <c r="CW564" s="483"/>
      <c r="CX564" s="483"/>
      <c r="CY564" s="483"/>
      <c r="CZ564" s="483"/>
      <c r="DA564" s="483"/>
      <c r="DB564" s="483"/>
      <c r="DC564" s="483"/>
      <c r="DD564" s="483"/>
      <c r="DE564" s="483"/>
      <c r="DF564" s="483"/>
      <c r="DG564" s="483"/>
      <c r="DH564" s="483"/>
      <c r="DI564" s="483"/>
      <c r="DJ564" s="483"/>
      <c r="DK564" s="483"/>
      <c r="DL564" s="483"/>
      <c r="DM564" s="483"/>
      <c r="DN564" s="483"/>
      <c r="DO564" s="483"/>
      <c r="DP564" s="483"/>
      <c r="DQ564" s="483"/>
      <c r="DR564" s="483"/>
      <c r="DS564" s="483"/>
      <c r="DT564" s="483"/>
      <c r="DU564" s="483"/>
      <c r="DV564" s="483"/>
      <c r="DW564" s="483"/>
      <c r="DX564" s="483"/>
      <c r="DY564" s="483"/>
      <c r="DZ564" s="483"/>
      <c r="EA564" s="483"/>
      <c r="EB564" s="483"/>
      <c r="EC564" s="483"/>
      <c r="ED564" s="483"/>
      <c r="EE564" s="483"/>
      <c r="EF564" s="483"/>
      <c r="EG564" s="483"/>
      <c r="EH564" s="483"/>
      <c r="EI564" s="483"/>
      <c r="EJ564" s="483"/>
      <c r="EK564" s="483"/>
      <c r="EL564" s="483"/>
      <c r="EM564" s="483"/>
      <c r="EN564" s="483"/>
      <c r="EO564" s="483"/>
      <c r="EP564" s="483"/>
      <c r="EQ564" s="483"/>
      <c r="ER564" s="483"/>
      <c r="ES564" s="483"/>
      <c r="ET564" s="483"/>
      <c r="EU564" s="483"/>
      <c r="EV564" s="483"/>
      <c r="EW564" s="483"/>
      <c r="EX564" s="483"/>
      <c r="EY564" s="483"/>
      <c r="EZ564" s="483"/>
      <c r="FA564" s="483"/>
      <c r="FB564" s="483"/>
      <c r="FC564" s="483"/>
      <c r="FD564" s="483"/>
      <c r="FE564" s="483"/>
      <c r="FF564" s="483"/>
      <c r="FG564" s="483"/>
      <c r="FH564" s="483"/>
      <c r="FI564" s="483"/>
      <c r="FJ564" s="483"/>
      <c r="FK564" s="483"/>
      <c r="FL564" s="483"/>
      <c r="FM564" s="483"/>
      <c r="FN564" s="483"/>
      <c r="FO564" s="483"/>
      <c r="FP564" s="483"/>
      <c r="FQ564" s="483"/>
      <c r="FR564" s="483"/>
      <c r="FS564" s="483"/>
      <c r="FT564" s="483"/>
      <c r="FU564" s="483"/>
      <c r="FV564" s="483"/>
      <c r="FW564" s="483"/>
      <c r="FX564" s="483"/>
      <c r="FY564" s="483"/>
      <c r="FZ564" s="483"/>
      <c r="GA564" s="483"/>
      <c r="GB564" s="483"/>
      <c r="GC564" s="483"/>
      <c r="GD564" s="483"/>
      <c r="GE564" s="483"/>
      <c r="GF564" s="483"/>
      <c r="GG564" s="483"/>
      <c r="GH564" s="483"/>
      <c r="GI564" s="483"/>
      <c r="GJ564" s="483"/>
      <c r="GK564" s="483"/>
      <c r="GL564" s="483"/>
      <c r="GM564" s="483"/>
      <c r="GN564" s="483"/>
      <c r="GO564" s="483"/>
      <c r="GP564" s="483"/>
      <c r="GQ564" s="483"/>
      <c r="GR564" s="483"/>
      <c r="GS564" s="483"/>
      <c r="GT564" s="483"/>
      <c r="GU564" s="483"/>
      <c r="GV564" s="483"/>
      <c r="GW564" s="483"/>
      <c r="GX564" s="483"/>
      <c r="GY564" s="483"/>
      <c r="GZ564" s="483"/>
      <c r="HA564" s="483"/>
      <c r="HB564" s="483"/>
      <c r="HC564" s="483"/>
      <c r="HD564" s="483"/>
      <c r="HE564" s="483"/>
      <c r="HF564" s="483"/>
      <c r="HG564" s="483"/>
      <c r="HH564" s="483"/>
      <c r="HI564" s="483"/>
      <c r="HJ564" s="483"/>
      <c r="HK564" s="483"/>
      <c r="HL564" s="483"/>
      <c r="HM564" s="483"/>
      <c r="HN564" s="483"/>
      <c r="HO564" s="483"/>
      <c r="HP564" s="483"/>
      <c r="HQ564" s="483"/>
      <c r="HR564" s="483"/>
      <c r="HS564" s="483"/>
      <c r="HT564" s="483"/>
      <c r="HU564" s="483"/>
      <c r="HV564" s="483"/>
      <c r="HW564" s="483"/>
      <c r="HX564" s="483"/>
      <c r="HY564" s="483"/>
      <c r="HZ564" s="483"/>
      <c r="IA564" s="483"/>
      <c r="IB564" s="483"/>
      <c r="IC564" s="483"/>
      <c r="ID564" s="483"/>
      <c r="IE564" s="483"/>
    </row>
    <row r="565" spans="1:239" s="489" customFormat="1" ht="40.15" customHeight="1">
      <c r="A565" s="881"/>
      <c r="B565" s="881"/>
      <c r="C565" s="895"/>
      <c r="D565" s="880"/>
      <c r="E565" s="899"/>
      <c r="F565" s="899"/>
      <c r="G565" s="473">
        <v>1</v>
      </c>
      <c r="H565" s="487">
        <v>1835</v>
      </c>
      <c r="I565" s="491">
        <v>1835</v>
      </c>
      <c r="J565" s="859"/>
      <c r="K565" s="483"/>
      <c r="L565" s="483"/>
      <c r="M565" s="483"/>
      <c r="N565" s="483"/>
      <c r="O565" s="483"/>
      <c r="P565" s="483"/>
      <c r="Q565" s="483"/>
      <c r="R565" s="483"/>
      <c r="S565" s="483"/>
      <c r="T565" s="483"/>
      <c r="U565" s="483"/>
      <c r="V565" s="483"/>
      <c r="W565" s="483"/>
      <c r="X565" s="483"/>
      <c r="Y565" s="483"/>
      <c r="Z565" s="483"/>
      <c r="AA565" s="483"/>
      <c r="AB565" s="483"/>
      <c r="AC565" s="483"/>
      <c r="AD565" s="483"/>
      <c r="AE565" s="483"/>
      <c r="AF565" s="483"/>
      <c r="AG565" s="483"/>
      <c r="AH565" s="483"/>
      <c r="AI565" s="483"/>
      <c r="AJ565" s="483"/>
      <c r="AK565" s="483"/>
      <c r="AL565" s="483"/>
      <c r="AM565" s="483"/>
      <c r="AN565" s="483"/>
      <c r="AO565" s="483"/>
      <c r="AP565" s="483"/>
      <c r="AQ565" s="483"/>
      <c r="AR565" s="483"/>
      <c r="AS565" s="483"/>
      <c r="AT565" s="483"/>
      <c r="AU565" s="483"/>
      <c r="AV565" s="483"/>
      <c r="AW565" s="483"/>
      <c r="AX565" s="483"/>
      <c r="AY565" s="483"/>
      <c r="AZ565" s="483"/>
      <c r="BA565" s="483"/>
      <c r="BB565" s="483"/>
      <c r="BC565" s="483"/>
      <c r="BD565" s="483"/>
      <c r="BE565" s="483"/>
      <c r="BF565" s="483"/>
      <c r="BG565" s="483"/>
      <c r="BH565" s="483"/>
      <c r="BI565" s="483"/>
      <c r="BJ565" s="483"/>
      <c r="BK565" s="483"/>
      <c r="BL565" s="483"/>
      <c r="BM565" s="483"/>
      <c r="BN565" s="483"/>
      <c r="BO565" s="483"/>
      <c r="BP565" s="483"/>
      <c r="BQ565" s="483"/>
      <c r="BR565" s="483"/>
      <c r="BS565" s="483"/>
      <c r="BT565" s="483"/>
      <c r="BU565" s="483"/>
      <c r="BV565" s="483"/>
      <c r="BW565" s="483"/>
      <c r="BX565" s="483"/>
      <c r="BY565" s="483"/>
      <c r="BZ565" s="483"/>
      <c r="CA565" s="483"/>
      <c r="CB565" s="483"/>
      <c r="CC565" s="483"/>
      <c r="CD565" s="483"/>
      <c r="CE565" s="483"/>
      <c r="CF565" s="483"/>
      <c r="CG565" s="483"/>
      <c r="CH565" s="483"/>
      <c r="CI565" s="483"/>
      <c r="CJ565" s="483"/>
      <c r="CK565" s="483"/>
      <c r="CL565" s="483"/>
      <c r="CM565" s="483"/>
      <c r="CN565" s="483"/>
      <c r="CO565" s="483"/>
      <c r="CP565" s="483"/>
      <c r="CQ565" s="483"/>
      <c r="CR565" s="483"/>
      <c r="CS565" s="483"/>
      <c r="CT565" s="483"/>
      <c r="CU565" s="483"/>
      <c r="CV565" s="483"/>
      <c r="CW565" s="483"/>
      <c r="CX565" s="483"/>
      <c r="CY565" s="483"/>
      <c r="CZ565" s="483"/>
      <c r="DA565" s="483"/>
      <c r="DB565" s="483"/>
      <c r="DC565" s="483"/>
      <c r="DD565" s="483"/>
      <c r="DE565" s="483"/>
      <c r="DF565" s="483"/>
      <c r="DG565" s="483"/>
      <c r="DH565" s="483"/>
      <c r="DI565" s="483"/>
      <c r="DJ565" s="483"/>
      <c r="DK565" s="483"/>
      <c r="DL565" s="483"/>
      <c r="DM565" s="483"/>
      <c r="DN565" s="483"/>
      <c r="DO565" s="483"/>
      <c r="DP565" s="483"/>
      <c r="DQ565" s="483"/>
      <c r="DR565" s="483"/>
      <c r="DS565" s="483"/>
      <c r="DT565" s="483"/>
      <c r="DU565" s="483"/>
      <c r="DV565" s="483"/>
      <c r="DW565" s="483"/>
      <c r="DX565" s="483"/>
      <c r="DY565" s="483"/>
      <c r="DZ565" s="483"/>
      <c r="EA565" s="483"/>
      <c r="EB565" s="483"/>
      <c r="EC565" s="483"/>
      <c r="ED565" s="483"/>
      <c r="EE565" s="483"/>
      <c r="EF565" s="483"/>
      <c r="EG565" s="483"/>
      <c r="EH565" s="483"/>
      <c r="EI565" s="483"/>
      <c r="EJ565" s="483"/>
      <c r="EK565" s="483"/>
      <c r="EL565" s="483"/>
      <c r="EM565" s="483"/>
      <c r="EN565" s="483"/>
      <c r="EO565" s="483"/>
      <c r="EP565" s="483"/>
      <c r="EQ565" s="483"/>
      <c r="ER565" s="483"/>
      <c r="ES565" s="483"/>
      <c r="ET565" s="483"/>
      <c r="EU565" s="483"/>
      <c r="EV565" s="483"/>
      <c r="EW565" s="483"/>
      <c r="EX565" s="483"/>
      <c r="EY565" s="483"/>
      <c r="EZ565" s="483"/>
      <c r="FA565" s="483"/>
      <c r="FB565" s="483"/>
      <c r="FC565" s="483"/>
      <c r="FD565" s="483"/>
      <c r="FE565" s="483"/>
      <c r="FF565" s="483"/>
      <c r="FG565" s="483"/>
      <c r="FH565" s="483"/>
      <c r="FI565" s="483"/>
      <c r="FJ565" s="483"/>
      <c r="FK565" s="483"/>
      <c r="FL565" s="483"/>
      <c r="FM565" s="483"/>
      <c r="FN565" s="483"/>
      <c r="FO565" s="483"/>
      <c r="FP565" s="483"/>
      <c r="FQ565" s="483"/>
      <c r="FR565" s="483"/>
      <c r="FS565" s="483"/>
      <c r="FT565" s="483"/>
      <c r="FU565" s="483"/>
      <c r="FV565" s="483"/>
      <c r="FW565" s="483"/>
      <c r="FX565" s="483"/>
      <c r="FY565" s="483"/>
      <c r="FZ565" s="483"/>
      <c r="GA565" s="483"/>
      <c r="GB565" s="483"/>
      <c r="GC565" s="483"/>
      <c r="GD565" s="483"/>
      <c r="GE565" s="483"/>
      <c r="GF565" s="483"/>
      <c r="GG565" s="483"/>
      <c r="GH565" s="483"/>
      <c r="GI565" s="483"/>
      <c r="GJ565" s="483"/>
      <c r="GK565" s="483"/>
      <c r="GL565" s="483"/>
      <c r="GM565" s="483"/>
      <c r="GN565" s="483"/>
      <c r="GO565" s="483"/>
      <c r="GP565" s="483"/>
      <c r="GQ565" s="483"/>
      <c r="GR565" s="483"/>
      <c r="GS565" s="483"/>
      <c r="GT565" s="483"/>
      <c r="GU565" s="483"/>
      <c r="GV565" s="483"/>
      <c r="GW565" s="483"/>
      <c r="GX565" s="483"/>
      <c r="GY565" s="483"/>
      <c r="GZ565" s="483"/>
      <c r="HA565" s="483"/>
      <c r="HB565" s="483"/>
      <c r="HC565" s="483"/>
      <c r="HD565" s="483"/>
      <c r="HE565" s="483"/>
      <c r="HF565" s="483"/>
      <c r="HG565" s="483"/>
      <c r="HH565" s="483"/>
      <c r="HI565" s="483"/>
      <c r="HJ565" s="483"/>
      <c r="HK565" s="483"/>
      <c r="HL565" s="483"/>
      <c r="HM565" s="483"/>
      <c r="HN565" s="483"/>
      <c r="HO565" s="483"/>
      <c r="HP565" s="483"/>
      <c r="HQ565" s="483"/>
      <c r="HR565" s="483"/>
      <c r="HS565" s="483"/>
      <c r="HT565" s="483"/>
      <c r="HU565" s="483"/>
      <c r="HV565" s="483"/>
      <c r="HW565" s="483"/>
      <c r="HX565" s="483"/>
      <c r="HY565" s="483"/>
      <c r="HZ565" s="483"/>
      <c r="IA565" s="483"/>
      <c r="IB565" s="483"/>
      <c r="IC565" s="483"/>
      <c r="ID565" s="483"/>
      <c r="IE565" s="483"/>
    </row>
    <row r="566" spans="1:239" s="489" customFormat="1" ht="40.15" customHeight="1">
      <c r="A566" s="881"/>
      <c r="B566" s="881"/>
      <c r="C566" s="895"/>
      <c r="D566" s="880"/>
      <c r="E566" s="899"/>
      <c r="F566" s="899"/>
      <c r="G566" s="492">
        <v>174</v>
      </c>
      <c r="H566" s="493">
        <v>225.6</v>
      </c>
      <c r="I566" s="494">
        <v>39254.400000000001</v>
      </c>
      <c r="J566" s="859"/>
      <c r="K566" s="483"/>
      <c r="L566" s="483"/>
      <c r="M566" s="483"/>
      <c r="N566" s="483"/>
      <c r="O566" s="483"/>
      <c r="P566" s="483"/>
      <c r="Q566" s="483"/>
      <c r="R566" s="483"/>
      <c r="S566" s="483"/>
      <c r="T566" s="483"/>
      <c r="U566" s="483"/>
      <c r="V566" s="483"/>
      <c r="W566" s="483"/>
      <c r="X566" s="483"/>
      <c r="Y566" s="483"/>
      <c r="Z566" s="483"/>
      <c r="AA566" s="483"/>
      <c r="AB566" s="483"/>
      <c r="AC566" s="483"/>
      <c r="AD566" s="483"/>
      <c r="AE566" s="483"/>
      <c r="AF566" s="483"/>
      <c r="AG566" s="483"/>
      <c r="AH566" s="483"/>
      <c r="AI566" s="483"/>
      <c r="AJ566" s="483"/>
      <c r="AK566" s="483"/>
      <c r="AL566" s="483"/>
      <c r="AM566" s="483"/>
      <c r="AN566" s="483"/>
      <c r="AO566" s="483"/>
      <c r="AP566" s="483"/>
      <c r="AQ566" s="483"/>
      <c r="AR566" s="483"/>
      <c r="AS566" s="483"/>
      <c r="AT566" s="483"/>
      <c r="AU566" s="483"/>
      <c r="AV566" s="483"/>
      <c r="AW566" s="483"/>
      <c r="AX566" s="483"/>
      <c r="AY566" s="483"/>
      <c r="AZ566" s="483"/>
      <c r="BA566" s="483"/>
      <c r="BB566" s="483"/>
      <c r="BC566" s="483"/>
      <c r="BD566" s="483"/>
      <c r="BE566" s="483"/>
      <c r="BF566" s="483"/>
      <c r="BG566" s="483"/>
      <c r="BH566" s="483"/>
      <c r="BI566" s="483"/>
      <c r="BJ566" s="483"/>
      <c r="BK566" s="483"/>
      <c r="BL566" s="483"/>
      <c r="BM566" s="483"/>
      <c r="BN566" s="483"/>
      <c r="BO566" s="483"/>
      <c r="BP566" s="483"/>
      <c r="BQ566" s="483"/>
      <c r="BR566" s="483"/>
      <c r="BS566" s="483"/>
      <c r="BT566" s="483"/>
      <c r="BU566" s="483"/>
      <c r="BV566" s="483"/>
      <c r="BW566" s="483"/>
      <c r="BX566" s="483"/>
      <c r="BY566" s="483"/>
      <c r="BZ566" s="483"/>
      <c r="CA566" s="483"/>
      <c r="CB566" s="483"/>
      <c r="CC566" s="483"/>
      <c r="CD566" s="483"/>
      <c r="CE566" s="483"/>
      <c r="CF566" s="483"/>
      <c r="CG566" s="483"/>
      <c r="CH566" s="483"/>
      <c r="CI566" s="483"/>
      <c r="CJ566" s="483"/>
      <c r="CK566" s="483"/>
      <c r="CL566" s="483"/>
      <c r="CM566" s="483"/>
      <c r="CN566" s="483"/>
      <c r="CO566" s="483"/>
      <c r="CP566" s="483"/>
      <c r="CQ566" s="483"/>
      <c r="CR566" s="483"/>
      <c r="CS566" s="483"/>
      <c r="CT566" s="483"/>
      <c r="CU566" s="483"/>
      <c r="CV566" s="483"/>
      <c r="CW566" s="483"/>
      <c r="CX566" s="483"/>
      <c r="CY566" s="483"/>
      <c r="CZ566" s="483"/>
      <c r="DA566" s="483"/>
      <c r="DB566" s="483"/>
      <c r="DC566" s="483"/>
      <c r="DD566" s="483"/>
      <c r="DE566" s="483"/>
      <c r="DF566" s="483"/>
      <c r="DG566" s="483"/>
      <c r="DH566" s="483"/>
      <c r="DI566" s="483"/>
      <c r="DJ566" s="483"/>
      <c r="DK566" s="483"/>
      <c r="DL566" s="483"/>
      <c r="DM566" s="483"/>
      <c r="DN566" s="483"/>
      <c r="DO566" s="483"/>
      <c r="DP566" s="483"/>
      <c r="DQ566" s="483"/>
      <c r="DR566" s="483"/>
      <c r="DS566" s="483"/>
      <c r="DT566" s="483"/>
      <c r="DU566" s="483"/>
      <c r="DV566" s="483"/>
      <c r="DW566" s="483"/>
      <c r="DX566" s="483"/>
      <c r="DY566" s="483"/>
      <c r="DZ566" s="483"/>
      <c r="EA566" s="483"/>
      <c r="EB566" s="483"/>
      <c r="EC566" s="483"/>
      <c r="ED566" s="483"/>
      <c r="EE566" s="483"/>
      <c r="EF566" s="483"/>
      <c r="EG566" s="483"/>
      <c r="EH566" s="483"/>
      <c r="EI566" s="483"/>
      <c r="EJ566" s="483"/>
      <c r="EK566" s="483"/>
      <c r="EL566" s="483"/>
      <c r="EM566" s="483"/>
      <c r="EN566" s="483"/>
      <c r="EO566" s="483"/>
      <c r="EP566" s="483"/>
      <c r="EQ566" s="483"/>
      <c r="ER566" s="483"/>
      <c r="ES566" s="483"/>
      <c r="ET566" s="483"/>
      <c r="EU566" s="483"/>
      <c r="EV566" s="483"/>
      <c r="EW566" s="483"/>
      <c r="EX566" s="483"/>
      <c r="EY566" s="483"/>
      <c r="EZ566" s="483"/>
      <c r="FA566" s="483"/>
      <c r="FB566" s="483"/>
      <c r="FC566" s="483"/>
      <c r="FD566" s="483"/>
      <c r="FE566" s="483"/>
      <c r="FF566" s="483"/>
      <c r="FG566" s="483"/>
      <c r="FH566" s="483"/>
      <c r="FI566" s="483"/>
      <c r="FJ566" s="483"/>
      <c r="FK566" s="483"/>
      <c r="FL566" s="483"/>
      <c r="FM566" s="483"/>
      <c r="FN566" s="483"/>
      <c r="FO566" s="483"/>
      <c r="FP566" s="483"/>
      <c r="FQ566" s="483"/>
      <c r="FR566" s="483"/>
      <c r="FS566" s="483"/>
      <c r="FT566" s="483"/>
      <c r="FU566" s="483"/>
      <c r="FV566" s="483"/>
      <c r="FW566" s="483"/>
      <c r="FX566" s="483"/>
      <c r="FY566" s="483"/>
      <c r="FZ566" s="483"/>
      <c r="GA566" s="483"/>
      <c r="GB566" s="483"/>
      <c r="GC566" s="483"/>
      <c r="GD566" s="483"/>
      <c r="GE566" s="483"/>
      <c r="GF566" s="483"/>
      <c r="GG566" s="483"/>
      <c r="GH566" s="483"/>
      <c r="GI566" s="483"/>
      <c r="GJ566" s="483"/>
      <c r="GK566" s="483"/>
      <c r="GL566" s="483"/>
      <c r="GM566" s="483"/>
      <c r="GN566" s="483"/>
      <c r="GO566" s="483"/>
      <c r="GP566" s="483"/>
      <c r="GQ566" s="483"/>
      <c r="GR566" s="483"/>
      <c r="GS566" s="483"/>
      <c r="GT566" s="483"/>
      <c r="GU566" s="483"/>
      <c r="GV566" s="483"/>
      <c r="GW566" s="483"/>
      <c r="GX566" s="483"/>
      <c r="GY566" s="483"/>
      <c r="GZ566" s="483"/>
      <c r="HA566" s="483"/>
      <c r="HB566" s="483"/>
      <c r="HC566" s="483"/>
      <c r="HD566" s="483"/>
      <c r="HE566" s="483"/>
      <c r="HF566" s="483"/>
      <c r="HG566" s="483"/>
      <c r="HH566" s="483"/>
      <c r="HI566" s="483"/>
      <c r="HJ566" s="483"/>
      <c r="HK566" s="483"/>
      <c r="HL566" s="483"/>
      <c r="HM566" s="483"/>
      <c r="HN566" s="483"/>
      <c r="HO566" s="483"/>
      <c r="HP566" s="483"/>
      <c r="HQ566" s="483"/>
      <c r="HR566" s="483"/>
      <c r="HS566" s="483"/>
      <c r="HT566" s="483"/>
      <c r="HU566" s="483"/>
      <c r="HV566" s="483"/>
      <c r="HW566" s="483"/>
      <c r="HX566" s="483"/>
      <c r="HY566" s="483"/>
      <c r="HZ566" s="483"/>
      <c r="IA566" s="483"/>
      <c r="IB566" s="483"/>
      <c r="IC566" s="483"/>
      <c r="ID566" s="483"/>
      <c r="IE566" s="483"/>
    </row>
    <row r="567" spans="1:239" s="489" customFormat="1" ht="108" customHeight="1">
      <c r="A567" s="881"/>
      <c r="B567" s="881"/>
      <c r="C567" s="895"/>
      <c r="D567" s="495" t="s">
        <v>2093</v>
      </c>
      <c r="E567" s="465" t="s">
        <v>2094</v>
      </c>
      <c r="F567" s="465" t="s">
        <v>1315</v>
      </c>
      <c r="G567" s="473">
        <v>2459</v>
      </c>
      <c r="H567" s="487">
        <v>210.74020319303301</v>
      </c>
      <c r="I567" s="494">
        <v>518210.15965166799</v>
      </c>
      <c r="J567" s="859"/>
      <c r="K567" s="483"/>
      <c r="L567" s="483"/>
      <c r="M567" s="483"/>
      <c r="N567" s="483"/>
      <c r="O567" s="483"/>
      <c r="P567" s="483"/>
      <c r="Q567" s="483"/>
      <c r="R567" s="483"/>
      <c r="S567" s="483"/>
      <c r="T567" s="483"/>
      <c r="U567" s="483"/>
      <c r="V567" s="483"/>
      <c r="W567" s="483"/>
      <c r="X567" s="483"/>
      <c r="Y567" s="483"/>
      <c r="Z567" s="483"/>
      <c r="AA567" s="483"/>
      <c r="AB567" s="483"/>
      <c r="AC567" s="483"/>
      <c r="AD567" s="483"/>
      <c r="AE567" s="483"/>
      <c r="AF567" s="483"/>
      <c r="AG567" s="483"/>
      <c r="AH567" s="483"/>
      <c r="AI567" s="483"/>
      <c r="AJ567" s="483"/>
      <c r="AK567" s="483"/>
      <c r="AL567" s="483"/>
      <c r="AM567" s="483"/>
      <c r="AN567" s="483"/>
      <c r="AO567" s="483"/>
      <c r="AP567" s="483"/>
      <c r="AQ567" s="483"/>
      <c r="AR567" s="483"/>
      <c r="AS567" s="483"/>
      <c r="AT567" s="483"/>
      <c r="AU567" s="483"/>
      <c r="AV567" s="483"/>
      <c r="AW567" s="483"/>
      <c r="AX567" s="483"/>
      <c r="AY567" s="483"/>
      <c r="AZ567" s="483"/>
      <c r="BA567" s="483"/>
      <c r="BB567" s="483"/>
      <c r="BC567" s="483"/>
      <c r="BD567" s="483"/>
      <c r="BE567" s="483"/>
      <c r="BF567" s="483"/>
      <c r="BG567" s="483"/>
      <c r="BH567" s="483"/>
      <c r="BI567" s="483"/>
      <c r="BJ567" s="483"/>
      <c r="BK567" s="483"/>
      <c r="BL567" s="483"/>
      <c r="BM567" s="483"/>
      <c r="BN567" s="483"/>
      <c r="BO567" s="483"/>
      <c r="BP567" s="483"/>
      <c r="BQ567" s="483"/>
      <c r="BR567" s="483"/>
      <c r="BS567" s="483"/>
      <c r="BT567" s="483"/>
      <c r="BU567" s="483"/>
      <c r="BV567" s="483"/>
      <c r="BW567" s="483"/>
      <c r="BX567" s="483"/>
      <c r="BY567" s="483"/>
      <c r="BZ567" s="483"/>
      <c r="CA567" s="483"/>
      <c r="CB567" s="483"/>
      <c r="CC567" s="483"/>
      <c r="CD567" s="483"/>
      <c r="CE567" s="483"/>
      <c r="CF567" s="483"/>
      <c r="CG567" s="483"/>
      <c r="CH567" s="483"/>
      <c r="CI567" s="483"/>
      <c r="CJ567" s="483"/>
      <c r="CK567" s="483"/>
      <c r="CL567" s="483"/>
      <c r="CM567" s="483"/>
      <c r="CN567" s="483"/>
      <c r="CO567" s="483"/>
      <c r="CP567" s="483"/>
      <c r="CQ567" s="483"/>
      <c r="CR567" s="483"/>
      <c r="CS567" s="483"/>
      <c r="CT567" s="483"/>
      <c r="CU567" s="483"/>
      <c r="CV567" s="483"/>
      <c r="CW567" s="483"/>
      <c r="CX567" s="483"/>
      <c r="CY567" s="483"/>
      <c r="CZ567" s="483"/>
      <c r="DA567" s="483"/>
      <c r="DB567" s="483"/>
      <c r="DC567" s="483"/>
      <c r="DD567" s="483"/>
      <c r="DE567" s="483"/>
      <c r="DF567" s="483"/>
      <c r="DG567" s="483"/>
      <c r="DH567" s="483"/>
      <c r="DI567" s="483"/>
      <c r="DJ567" s="483"/>
      <c r="DK567" s="483"/>
      <c r="DL567" s="483"/>
      <c r="DM567" s="483"/>
      <c r="DN567" s="483"/>
      <c r="DO567" s="483"/>
      <c r="DP567" s="483"/>
      <c r="DQ567" s="483"/>
      <c r="DR567" s="483"/>
      <c r="DS567" s="483"/>
      <c r="DT567" s="483"/>
      <c r="DU567" s="483"/>
      <c r="DV567" s="483"/>
      <c r="DW567" s="483"/>
      <c r="DX567" s="483"/>
      <c r="DY567" s="483"/>
      <c r="DZ567" s="483"/>
      <c r="EA567" s="483"/>
      <c r="EB567" s="483"/>
      <c r="EC567" s="483"/>
      <c r="ED567" s="483"/>
      <c r="EE567" s="483"/>
      <c r="EF567" s="483"/>
      <c r="EG567" s="483"/>
      <c r="EH567" s="483"/>
      <c r="EI567" s="483"/>
      <c r="EJ567" s="483"/>
      <c r="EK567" s="483"/>
      <c r="EL567" s="483"/>
      <c r="EM567" s="483"/>
      <c r="EN567" s="483"/>
      <c r="EO567" s="483"/>
      <c r="EP567" s="483"/>
      <c r="EQ567" s="483"/>
      <c r="ER567" s="483"/>
      <c r="ES567" s="483"/>
      <c r="ET567" s="483"/>
      <c r="EU567" s="483"/>
      <c r="EV567" s="483"/>
      <c r="EW567" s="483"/>
      <c r="EX567" s="483"/>
      <c r="EY567" s="483"/>
      <c r="EZ567" s="483"/>
      <c r="FA567" s="483"/>
      <c r="FB567" s="483"/>
      <c r="FC567" s="483"/>
      <c r="FD567" s="483"/>
      <c r="FE567" s="483"/>
      <c r="FF567" s="483"/>
      <c r="FG567" s="483"/>
      <c r="FH567" s="483"/>
      <c r="FI567" s="483"/>
      <c r="FJ567" s="483"/>
      <c r="FK567" s="483"/>
      <c r="FL567" s="483"/>
      <c r="FM567" s="483"/>
      <c r="FN567" s="483"/>
      <c r="FO567" s="483"/>
      <c r="FP567" s="483"/>
      <c r="FQ567" s="483"/>
      <c r="FR567" s="483"/>
      <c r="FS567" s="483"/>
      <c r="FT567" s="483"/>
      <c r="FU567" s="483"/>
      <c r="FV567" s="483"/>
      <c r="FW567" s="483"/>
      <c r="FX567" s="483"/>
      <c r="FY567" s="483"/>
      <c r="FZ567" s="483"/>
      <c r="GA567" s="483"/>
      <c r="GB567" s="483"/>
      <c r="GC567" s="483"/>
      <c r="GD567" s="483"/>
      <c r="GE567" s="483"/>
      <c r="GF567" s="483"/>
      <c r="GG567" s="483"/>
      <c r="GH567" s="483"/>
      <c r="GI567" s="483"/>
      <c r="GJ567" s="483"/>
      <c r="GK567" s="483"/>
      <c r="GL567" s="483"/>
      <c r="GM567" s="483"/>
      <c r="GN567" s="483"/>
      <c r="GO567" s="483"/>
      <c r="GP567" s="483"/>
      <c r="GQ567" s="483"/>
      <c r="GR567" s="483"/>
      <c r="GS567" s="483"/>
      <c r="GT567" s="483"/>
      <c r="GU567" s="483"/>
      <c r="GV567" s="483"/>
      <c r="GW567" s="483"/>
      <c r="GX567" s="483"/>
      <c r="GY567" s="483"/>
      <c r="GZ567" s="483"/>
      <c r="HA567" s="483"/>
      <c r="HB567" s="483"/>
      <c r="HC567" s="483"/>
      <c r="HD567" s="483"/>
      <c r="HE567" s="483"/>
      <c r="HF567" s="483"/>
      <c r="HG567" s="483"/>
      <c r="HH567" s="483"/>
      <c r="HI567" s="483"/>
      <c r="HJ567" s="483"/>
      <c r="HK567" s="483"/>
      <c r="HL567" s="483"/>
      <c r="HM567" s="483"/>
      <c r="HN567" s="483"/>
      <c r="HO567" s="483"/>
      <c r="HP567" s="483"/>
      <c r="HQ567" s="483"/>
      <c r="HR567" s="483"/>
      <c r="HS567" s="483"/>
      <c r="HT567" s="483"/>
      <c r="HU567" s="483"/>
      <c r="HV567" s="483"/>
      <c r="HW567" s="483"/>
      <c r="HX567" s="483"/>
      <c r="HY567" s="483"/>
      <c r="HZ567" s="483"/>
      <c r="IA567" s="483"/>
      <c r="IB567" s="483"/>
      <c r="IC567" s="483"/>
      <c r="ID567" s="483"/>
      <c r="IE567" s="483"/>
    </row>
    <row r="568" spans="1:239" s="489" customFormat="1" ht="40.15" customHeight="1">
      <c r="A568" s="881"/>
      <c r="B568" s="881"/>
      <c r="C568" s="895"/>
      <c r="D568" s="459" t="s">
        <v>1332</v>
      </c>
      <c r="E568" s="465"/>
      <c r="F568" s="465"/>
      <c r="G568" s="469"/>
      <c r="H568" s="496"/>
      <c r="I568" s="523">
        <v>669537.96965166798</v>
      </c>
      <c r="J568" s="859"/>
      <c r="K568" s="483"/>
      <c r="L568" s="483"/>
      <c r="M568" s="483"/>
      <c r="N568" s="483"/>
      <c r="O568" s="483"/>
      <c r="P568" s="483"/>
      <c r="Q568" s="483"/>
      <c r="R568" s="483"/>
      <c r="S568" s="483"/>
      <c r="T568" s="483"/>
      <c r="U568" s="483"/>
      <c r="V568" s="483"/>
      <c r="W568" s="483"/>
      <c r="X568" s="483"/>
      <c r="Y568" s="483"/>
      <c r="Z568" s="483"/>
      <c r="AA568" s="483"/>
      <c r="AB568" s="483"/>
      <c r="AC568" s="483"/>
      <c r="AD568" s="483"/>
      <c r="AE568" s="483"/>
      <c r="AF568" s="483"/>
      <c r="AG568" s="483"/>
      <c r="AH568" s="483"/>
      <c r="AI568" s="483"/>
      <c r="AJ568" s="483"/>
      <c r="AK568" s="483"/>
      <c r="AL568" s="483"/>
      <c r="AM568" s="483"/>
      <c r="AN568" s="483"/>
      <c r="AO568" s="483"/>
      <c r="AP568" s="483"/>
      <c r="AQ568" s="483"/>
      <c r="AR568" s="483"/>
      <c r="AS568" s="483"/>
      <c r="AT568" s="483"/>
      <c r="AU568" s="483"/>
      <c r="AV568" s="483"/>
      <c r="AW568" s="483"/>
      <c r="AX568" s="483"/>
      <c r="AY568" s="483"/>
      <c r="AZ568" s="483"/>
      <c r="BA568" s="483"/>
      <c r="BB568" s="483"/>
      <c r="BC568" s="483"/>
      <c r="BD568" s="483"/>
      <c r="BE568" s="483"/>
      <c r="BF568" s="483"/>
      <c r="BG568" s="483"/>
      <c r="BH568" s="483"/>
      <c r="BI568" s="483"/>
      <c r="BJ568" s="483"/>
      <c r="BK568" s="483"/>
      <c r="BL568" s="483"/>
      <c r="BM568" s="483"/>
      <c r="BN568" s="483"/>
      <c r="BO568" s="483"/>
      <c r="BP568" s="483"/>
      <c r="BQ568" s="483"/>
      <c r="BR568" s="483"/>
      <c r="BS568" s="483"/>
      <c r="BT568" s="483"/>
      <c r="BU568" s="483"/>
      <c r="BV568" s="483"/>
      <c r="BW568" s="483"/>
      <c r="BX568" s="483"/>
      <c r="BY568" s="483"/>
      <c r="BZ568" s="483"/>
      <c r="CA568" s="483"/>
      <c r="CB568" s="483"/>
      <c r="CC568" s="483"/>
      <c r="CD568" s="483"/>
      <c r="CE568" s="483"/>
      <c r="CF568" s="483"/>
      <c r="CG568" s="483"/>
      <c r="CH568" s="483"/>
      <c r="CI568" s="483"/>
      <c r="CJ568" s="483"/>
      <c r="CK568" s="483"/>
      <c r="CL568" s="483"/>
      <c r="CM568" s="483"/>
      <c r="CN568" s="483"/>
      <c r="CO568" s="483"/>
      <c r="CP568" s="483"/>
      <c r="CQ568" s="483"/>
      <c r="CR568" s="483"/>
      <c r="CS568" s="483"/>
      <c r="CT568" s="483"/>
      <c r="CU568" s="483"/>
      <c r="CV568" s="483"/>
      <c r="CW568" s="483"/>
      <c r="CX568" s="483"/>
      <c r="CY568" s="483"/>
      <c r="CZ568" s="483"/>
      <c r="DA568" s="483"/>
      <c r="DB568" s="483"/>
      <c r="DC568" s="483"/>
      <c r="DD568" s="483"/>
      <c r="DE568" s="483"/>
      <c r="DF568" s="483"/>
      <c r="DG568" s="483"/>
      <c r="DH568" s="483"/>
      <c r="DI568" s="483"/>
      <c r="DJ568" s="483"/>
      <c r="DK568" s="483"/>
      <c r="DL568" s="483"/>
      <c r="DM568" s="483"/>
      <c r="DN568" s="483"/>
      <c r="DO568" s="483"/>
      <c r="DP568" s="483"/>
      <c r="DQ568" s="483"/>
      <c r="DR568" s="483"/>
      <c r="DS568" s="483"/>
      <c r="DT568" s="483"/>
      <c r="DU568" s="483"/>
      <c r="DV568" s="483"/>
      <c r="DW568" s="483"/>
      <c r="DX568" s="483"/>
      <c r="DY568" s="483"/>
      <c r="DZ568" s="483"/>
      <c r="EA568" s="483"/>
      <c r="EB568" s="483"/>
      <c r="EC568" s="483"/>
      <c r="ED568" s="483"/>
      <c r="EE568" s="483"/>
      <c r="EF568" s="483"/>
      <c r="EG568" s="483"/>
      <c r="EH568" s="483"/>
      <c r="EI568" s="483"/>
      <c r="EJ568" s="483"/>
      <c r="EK568" s="483"/>
      <c r="EL568" s="483"/>
      <c r="EM568" s="483"/>
      <c r="EN568" s="483"/>
      <c r="EO568" s="483"/>
      <c r="EP568" s="483"/>
      <c r="EQ568" s="483"/>
      <c r="ER568" s="483"/>
      <c r="ES568" s="483"/>
      <c r="ET568" s="483"/>
      <c r="EU568" s="483"/>
      <c r="EV568" s="483"/>
      <c r="EW568" s="483"/>
      <c r="EX568" s="483"/>
      <c r="EY568" s="483"/>
      <c r="EZ568" s="483"/>
      <c r="FA568" s="483"/>
      <c r="FB568" s="483"/>
      <c r="FC568" s="483"/>
      <c r="FD568" s="483"/>
      <c r="FE568" s="483"/>
      <c r="FF568" s="483"/>
      <c r="FG568" s="483"/>
      <c r="FH568" s="483"/>
      <c r="FI568" s="483"/>
      <c r="FJ568" s="483"/>
      <c r="FK568" s="483"/>
      <c r="FL568" s="483"/>
      <c r="FM568" s="483"/>
      <c r="FN568" s="483"/>
      <c r="FO568" s="483"/>
      <c r="FP568" s="483"/>
      <c r="FQ568" s="483"/>
      <c r="FR568" s="483"/>
      <c r="FS568" s="483"/>
      <c r="FT568" s="483"/>
      <c r="FU568" s="483"/>
      <c r="FV568" s="483"/>
      <c r="FW568" s="483"/>
      <c r="FX568" s="483"/>
      <c r="FY568" s="483"/>
      <c r="FZ568" s="483"/>
      <c r="GA568" s="483"/>
      <c r="GB568" s="483"/>
      <c r="GC568" s="483"/>
      <c r="GD568" s="483"/>
      <c r="GE568" s="483"/>
      <c r="GF568" s="483"/>
      <c r="GG568" s="483"/>
      <c r="GH568" s="483"/>
      <c r="GI568" s="483"/>
      <c r="GJ568" s="483"/>
      <c r="GK568" s="483"/>
      <c r="GL568" s="483"/>
      <c r="GM568" s="483"/>
      <c r="GN568" s="483"/>
      <c r="GO568" s="483"/>
      <c r="GP568" s="483"/>
      <c r="GQ568" s="483"/>
      <c r="GR568" s="483"/>
      <c r="GS568" s="483"/>
      <c r="GT568" s="483"/>
      <c r="GU568" s="483"/>
      <c r="GV568" s="483"/>
      <c r="GW568" s="483"/>
      <c r="GX568" s="483"/>
      <c r="GY568" s="483"/>
      <c r="GZ568" s="483"/>
      <c r="HA568" s="483"/>
      <c r="HB568" s="483"/>
      <c r="HC568" s="483"/>
      <c r="HD568" s="483"/>
      <c r="HE568" s="483"/>
      <c r="HF568" s="483"/>
      <c r="HG568" s="483"/>
      <c r="HH568" s="483"/>
      <c r="HI568" s="483"/>
      <c r="HJ568" s="483"/>
      <c r="HK568" s="483"/>
      <c r="HL568" s="483"/>
      <c r="HM568" s="483"/>
      <c r="HN568" s="483"/>
      <c r="HO568" s="483"/>
      <c r="HP568" s="483"/>
      <c r="HQ568" s="483"/>
      <c r="HR568" s="483"/>
      <c r="HS568" s="483"/>
      <c r="HT568" s="483"/>
      <c r="HU568" s="483"/>
      <c r="HV568" s="483"/>
      <c r="HW568" s="483"/>
      <c r="HX568" s="483"/>
      <c r="HY568" s="483"/>
      <c r="HZ568" s="483"/>
      <c r="IA568" s="483"/>
      <c r="IB568" s="483"/>
      <c r="IC568" s="483"/>
      <c r="ID568" s="483"/>
      <c r="IE568" s="483"/>
    </row>
    <row r="569" spans="1:239" s="489" customFormat="1" ht="40.15" customHeight="1">
      <c r="A569" s="881"/>
      <c r="B569" s="881"/>
      <c r="C569" s="895"/>
      <c r="D569" s="459" t="s">
        <v>1334</v>
      </c>
      <c r="E569" s="465"/>
      <c r="F569" s="465"/>
      <c r="G569" s="473"/>
      <c r="H569" s="487"/>
      <c r="I569" s="526">
        <v>80344.556358200207</v>
      </c>
      <c r="J569" s="859"/>
      <c r="K569" s="483"/>
      <c r="L569" s="483"/>
      <c r="M569" s="483"/>
      <c r="N569" s="483"/>
      <c r="O569" s="483"/>
      <c r="P569" s="483"/>
      <c r="Q569" s="483"/>
      <c r="R569" s="483"/>
      <c r="S569" s="483"/>
      <c r="T569" s="483"/>
      <c r="U569" s="483"/>
      <c r="V569" s="483"/>
      <c r="W569" s="483"/>
      <c r="X569" s="483"/>
      <c r="Y569" s="483"/>
      <c r="Z569" s="483"/>
      <c r="AA569" s="483"/>
      <c r="AB569" s="483"/>
      <c r="AC569" s="483"/>
      <c r="AD569" s="483"/>
      <c r="AE569" s="483"/>
      <c r="AF569" s="483"/>
      <c r="AG569" s="483"/>
      <c r="AH569" s="483"/>
      <c r="AI569" s="483"/>
      <c r="AJ569" s="483"/>
      <c r="AK569" s="483"/>
      <c r="AL569" s="483"/>
      <c r="AM569" s="483"/>
      <c r="AN569" s="483"/>
      <c r="AO569" s="483"/>
      <c r="AP569" s="483"/>
      <c r="AQ569" s="483"/>
      <c r="AR569" s="483"/>
      <c r="AS569" s="483"/>
      <c r="AT569" s="483"/>
      <c r="AU569" s="483"/>
      <c r="AV569" s="483"/>
      <c r="AW569" s="483"/>
      <c r="AX569" s="483"/>
      <c r="AY569" s="483"/>
      <c r="AZ569" s="483"/>
      <c r="BA569" s="483"/>
      <c r="BB569" s="483"/>
      <c r="BC569" s="483"/>
      <c r="BD569" s="483"/>
      <c r="BE569" s="483"/>
      <c r="BF569" s="483"/>
      <c r="BG569" s="483"/>
      <c r="BH569" s="483"/>
      <c r="BI569" s="483"/>
      <c r="BJ569" s="483"/>
      <c r="BK569" s="483"/>
      <c r="BL569" s="483"/>
      <c r="BM569" s="483"/>
      <c r="BN569" s="483"/>
      <c r="BO569" s="483"/>
      <c r="BP569" s="483"/>
      <c r="BQ569" s="483"/>
      <c r="BR569" s="483"/>
      <c r="BS569" s="483"/>
      <c r="BT569" s="483"/>
      <c r="BU569" s="483"/>
      <c r="BV569" s="483"/>
      <c r="BW569" s="483"/>
      <c r="BX569" s="483"/>
      <c r="BY569" s="483"/>
      <c r="BZ569" s="483"/>
      <c r="CA569" s="483"/>
      <c r="CB569" s="483"/>
      <c r="CC569" s="483"/>
      <c r="CD569" s="483"/>
      <c r="CE569" s="483"/>
      <c r="CF569" s="483"/>
      <c r="CG569" s="483"/>
      <c r="CH569" s="483"/>
      <c r="CI569" s="483"/>
      <c r="CJ569" s="483"/>
      <c r="CK569" s="483"/>
      <c r="CL569" s="483"/>
      <c r="CM569" s="483"/>
      <c r="CN569" s="483"/>
      <c r="CO569" s="483"/>
      <c r="CP569" s="483"/>
      <c r="CQ569" s="483"/>
      <c r="CR569" s="483"/>
      <c r="CS569" s="483"/>
      <c r="CT569" s="483"/>
      <c r="CU569" s="483"/>
      <c r="CV569" s="483"/>
      <c r="CW569" s="483"/>
      <c r="CX569" s="483"/>
      <c r="CY569" s="483"/>
      <c r="CZ569" s="483"/>
      <c r="DA569" s="483"/>
      <c r="DB569" s="483"/>
      <c r="DC569" s="483"/>
      <c r="DD569" s="483"/>
      <c r="DE569" s="483"/>
      <c r="DF569" s="483"/>
      <c r="DG569" s="483"/>
      <c r="DH569" s="483"/>
      <c r="DI569" s="483"/>
      <c r="DJ569" s="483"/>
      <c r="DK569" s="483"/>
      <c r="DL569" s="483"/>
      <c r="DM569" s="483"/>
      <c r="DN569" s="483"/>
      <c r="DO569" s="483"/>
      <c r="DP569" s="483"/>
      <c r="DQ569" s="483"/>
      <c r="DR569" s="483"/>
      <c r="DS569" s="483"/>
      <c r="DT569" s="483"/>
      <c r="DU569" s="483"/>
      <c r="DV569" s="483"/>
      <c r="DW569" s="483"/>
      <c r="DX569" s="483"/>
      <c r="DY569" s="483"/>
      <c r="DZ569" s="483"/>
      <c r="EA569" s="483"/>
      <c r="EB569" s="483"/>
      <c r="EC569" s="483"/>
      <c r="ED569" s="483"/>
      <c r="EE569" s="483"/>
      <c r="EF569" s="483"/>
      <c r="EG569" s="483"/>
      <c r="EH569" s="483"/>
      <c r="EI569" s="483"/>
      <c r="EJ569" s="483"/>
      <c r="EK569" s="483"/>
      <c r="EL569" s="483"/>
      <c r="EM569" s="483"/>
      <c r="EN569" s="483"/>
      <c r="EO569" s="483"/>
      <c r="EP569" s="483"/>
      <c r="EQ569" s="483"/>
      <c r="ER569" s="483"/>
      <c r="ES569" s="483"/>
      <c r="ET569" s="483"/>
      <c r="EU569" s="483"/>
      <c r="EV569" s="483"/>
      <c r="EW569" s="483"/>
      <c r="EX569" s="483"/>
      <c r="EY569" s="483"/>
      <c r="EZ569" s="483"/>
      <c r="FA569" s="483"/>
      <c r="FB569" s="483"/>
      <c r="FC569" s="483"/>
      <c r="FD569" s="483"/>
      <c r="FE569" s="483"/>
      <c r="FF569" s="483"/>
      <c r="FG569" s="483"/>
      <c r="FH569" s="483"/>
      <c r="FI569" s="483"/>
      <c r="FJ569" s="483"/>
      <c r="FK569" s="483"/>
      <c r="FL569" s="483"/>
      <c r="FM569" s="483"/>
      <c r="FN569" s="483"/>
      <c r="FO569" s="483"/>
      <c r="FP569" s="483"/>
      <c r="FQ569" s="483"/>
      <c r="FR569" s="483"/>
      <c r="FS569" s="483"/>
      <c r="FT569" s="483"/>
      <c r="FU569" s="483"/>
      <c r="FV569" s="483"/>
      <c r="FW569" s="483"/>
      <c r="FX569" s="483"/>
      <c r="FY569" s="483"/>
      <c r="FZ569" s="483"/>
      <c r="GA569" s="483"/>
      <c r="GB569" s="483"/>
      <c r="GC569" s="483"/>
      <c r="GD569" s="483"/>
      <c r="GE569" s="483"/>
      <c r="GF569" s="483"/>
      <c r="GG569" s="483"/>
      <c r="GH569" s="483"/>
      <c r="GI569" s="483"/>
      <c r="GJ569" s="483"/>
      <c r="GK569" s="483"/>
      <c r="GL569" s="483"/>
      <c r="GM569" s="483"/>
      <c r="GN569" s="483"/>
      <c r="GO569" s="483"/>
      <c r="GP569" s="483"/>
      <c r="GQ569" s="483"/>
      <c r="GR569" s="483"/>
      <c r="GS569" s="483"/>
      <c r="GT569" s="483"/>
      <c r="GU569" s="483"/>
      <c r="GV569" s="483"/>
      <c r="GW569" s="483"/>
      <c r="GX569" s="483"/>
      <c r="GY569" s="483"/>
      <c r="GZ569" s="483"/>
      <c r="HA569" s="483"/>
      <c r="HB569" s="483"/>
      <c r="HC569" s="483"/>
      <c r="HD569" s="483"/>
      <c r="HE569" s="483"/>
      <c r="HF569" s="483"/>
      <c r="HG569" s="483"/>
      <c r="HH569" s="483"/>
      <c r="HI569" s="483"/>
      <c r="HJ569" s="483"/>
      <c r="HK569" s="483"/>
      <c r="HL569" s="483"/>
      <c r="HM569" s="483"/>
      <c r="HN569" s="483"/>
      <c r="HO569" s="483"/>
      <c r="HP569" s="483"/>
      <c r="HQ569" s="483"/>
      <c r="HR569" s="483"/>
      <c r="HS569" s="483"/>
      <c r="HT569" s="483"/>
      <c r="HU569" s="483"/>
      <c r="HV569" s="483"/>
      <c r="HW569" s="483"/>
      <c r="HX569" s="483"/>
      <c r="HY569" s="483"/>
      <c r="HZ569" s="483"/>
      <c r="IA569" s="483"/>
      <c r="IB569" s="483"/>
      <c r="IC569" s="483"/>
      <c r="ID569" s="483"/>
      <c r="IE569" s="483"/>
    </row>
    <row r="570" spans="1:239" s="489" customFormat="1" ht="40.15" customHeight="1">
      <c r="A570" s="882"/>
      <c r="B570" s="882"/>
      <c r="C570" s="906"/>
      <c r="D570" s="459" t="s">
        <v>1342</v>
      </c>
      <c r="E570" s="465"/>
      <c r="F570" s="465"/>
      <c r="G570" s="467"/>
      <c r="H570" s="497"/>
      <c r="I570" s="522">
        <v>749882.52600986802</v>
      </c>
      <c r="J570" s="860"/>
      <c r="K570" s="483"/>
      <c r="L570" s="483"/>
      <c r="M570" s="483"/>
      <c r="N570" s="483"/>
      <c r="O570" s="483"/>
      <c r="P570" s="483"/>
      <c r="Q570" s="483"/>
      <c r="R570" s="483"/>
      <c r="S570" s="483"/>
      <c r="T570" s="483"/>
      <c r="U570" s="483"/>
      <c r="V570" s="483"/>
      <c r="W570" s="483"/>
      <c r="X570" s="483"/>
      <c r="Y570" s="483"/>
      <c r="Z570" s="483"/>
      <c r="AA570" s="483"/>
      <c r="AB570" s="483"/>
      <c r="AC570" s="483"/>
      <c r="AD570" s="483"/>
      <c r="AE570" s="483"/>
      <c r="AF570" s="483"/>
      <c r="AG570" s="483"/>
      <c r="AH570" s="483"/>
      <c r="AI570" s="483"/>
      <c r="AJ570" s="483"/>
      <c r="AK570" s="483"/>
      <c r="AL570" s="483"/>
      <c r="AM570" s="483"/>
      <c r="AN570" s="483"/>
      <c r="AO570" s="483"/>
      <c r="AP570" s="483"/>
      <c r="AQ570" s="483"/>
      <c r="AR570" s="483"/>
      <c r="AS570" s="483"/>
      <c r="AT570" s="483"/>
      <c r="AU570" s="483"/>
      <c r="AV570" s="483"/>
      <c r="AW570" s="483"/>
      <c r="AX570" s="483"/>
      <c r="AY570" s="483"/>
      <c r="AZ570" s="483"/>
      <c r="BA570" s="483"/>
      <c r="BB570" s="483"/>
      <c r="BC570" s="483"/>
      <c r="BD570" s="483"/>
      <c r="BE570" s="483"/>
      <c r="BF570" s="483"/>
      <c r="BG570" s="483"/>
      <c r="BH570" s="483"/>
      <c r="BI570" s="483"/>
      <c r="BJ570" s="483"/>
      <c r="BK570" s="483"/>
      <c r="BL570" s="483"/>
      <c r="BM570" s="483"/>
      <c r="BN570" s="483"/>
      <c r="BO570" s="483"/>
      <c r="BP570" s="483"/>
      <c r="BQ570" s="483"/>
      <c r="BR570" s="483"/>
      <c r="BS570" s="483"/>
      <c r="BT570" s="483"/>
      <c r="BU570" s="483"/>
      <c r="BV570" s="483"/>
      <c r="BW570" s="483"/>
      <c r="BX570" s="483"/>
      <c r="BY570" s="483"/>
      <c r="BZ570" s="483"/>
      <c r="CA570" s="483"/>
      <c r="CB570" s="483"/>
      <c r="CC570" s="483"/>
      <c r="CD570" s="483"/>
      <c r="CE570" s="483"/>
      <c r="CF570" s="483"/>
      <c r="CG570" s="483"/>
      <c r="CH570" s="483"/>
      <c r="CI570" s="483"/>
      <c r="CJ570" s="483"/>
      <c r="CK570" s="483"/>
      <c r="CL570" s="483"/>
      <c r="CM570" s="483"/>
      <c r="CN570" s="483"/>
      <c r="CO570" s="483"/>
      <c r="CP570" s="483"/>
      <c r="CQ570" s="483"/>
      <c r="CR570" s="483"/>
      <c r="CS570" s="483"/>
      <c r="CT570" s="483"/>
      <c r="CU570" s="483"/>
      <c r="CV570" s="483"/>
      <c r="CW570" s="483"/>
      <c r="CX570" s="483"/>
      <c r="CY570" s="483"/>
      <c r="CZ570" s="483"/>
      <c r="DA570" s="483"/>
      <c r="DB570" s="483"/>
      <c r="DC570" s="483"/>
      <c r="DD570" s="483"/>
      <c r="DE570" s="483"/>
      <c r="DF570" s="483"/>
      <c r="DG570" s="483"/>
      <c r="DH570" s="483"/>
      <c r="DI570" s="483"/>
      <c r="DJ570" s="483"/>
      <c r="DK570" s="483"/>
      <c r="DL570" s="483"/>
      <c r="DM570" s="483"/>
      <c r="DN570" s="483"/>
      <c r="DO570" s="483"/>
      <c r="DP570" s="483"/>
      <c r="DQ570" s="483"/>
      <c r="DR570" s="483"/>
      <c r="DS570" s="483"/>
      <c r="DT570" s="483"/>
      <c r="DU570" s="483"/>
      <c r="DV570" s="483"/>
      <c r="DW570" s="483"/>
      <c r="DX570" s="483"/>
      <c r="DY570" s="483"/>
      <c r="DZ570" s="483"/>
      <c r="EA570" s="483"/>
      <c r="EB570" s="483"/>
      <c r="EC570" s="483"/>
      <c r="ED570" s="483"/>
      <c r="EE570" s="483"/>
      <c r="EF570" s="483"/>
      <c r="EG570" s="483"/>
      <c r="EH570" s="483"/>
      <c r="EI570" s="483"/>
      <c r="EJ570" s="483"/>
      <c r="EK570" s="483"/>
      <c r="EL570" s="483"/>
      <c r="EM570" s="483"/>
      <c r="EN570" s="483"/>
      <c r="EO570" s="483"/>
      <c r="EP570" s="483"/>
      <c r="EQ570" s="483"/>
      <c r="ER570" s="483"/>
      <c r="ES570" s="483"/>
      <c r="ET570" s="483"/>
      <c r="EU570" s="483"/>
      <c r="EV570" s="483"/>
      <c r="EW570" s="483"/>
      <c r="EX570" s="483"/>
      <c r="EY570" s="483"/>
      <c r="EZ570" s="483"/>
      <c r="FA570" s="483"/>
      <c r="FB570" s="483"/>
      <c r="FC570" s="483"/>
      <c r="FD570" s="483"/>
      <c r="FE570" s="483"/>
      <c r="FF570" s="483"/>
      <c r="FG570" s="483"/>
      <c r="FH570" s="483"/>
      <c r="FI570" s="483"/>
      <c r="FJ570" s="483"/>
      <c r="FK570" s="483"/>
      <c r="FL570" s="483"/>
      <c r="FM570" s="483"/>
      <c r="FN570" s="483"/>
      <c r="FO570" s="483"/>
      <c r="FP570" s="483"/>
      <c r="FQ570" s="483"/>
      <c r="FR570" s="483"/>
      <c r="FS570" s="483"/>
      <c r="FT570" s="483"/>
      <c r="FU570" s="483"/>
      <c r="FV570" s="483"/>
      <c r="FW570" s="483"/>
      <c r="FX570" s="483"/>
      <c r="FY570" s="483"/>
      <c r="FZ570" s="483"/>
      <c r="GA570" s="483"/>
      <c r="GB570" s="483"/>
      <c r="GC570" s="483"/>
      <c r="GD570" s="483"/>
      <c r="GE570" s="483"/>
      <c r="GF570" s="483"/>
      <c r="GG570" s="483"/>
      <c r="GH570" s="483"/>
      <c r="GI570" s="483"/>
      <c r="GJ570" s="483"/>
      <c r="GK570" s="483"/>
      <c r="GL570" s="483"/>
      <c r="GM570" s="483"/>
      <c r="GN570" s="483"/>
      <c r="GO570" s="483"/>
      <c r="GP570" s="483"/>
      <c r="GQ570" s="483"/>
      <c r="GR570" s="483"/>
      <c r="GS570" s="483"/>
      <c r="GT570" s="483"/>
      <c r="GU570" s="483"/>
      <c r="GV570" s="483"/>
      <c r="GW570" s="483"/>
      <c r="GX570" s="483"/>
      <c r="GY570" s="483"/>
      <c r="GZ570" s="483"/>
      <c r="HA570" s="483"/>
      <c r="HB570" s="483"/>
      <c r="HC570" s="483"/>
      <c r="HD570" s="483"/>
      <c r="HE570" s="483"/>
      <c r="HF570" s="483"/>
      <c r="HG570" s="483"/>
      <c r="HH570" s="483"/>
      <c r="HI570" s="483"/>
      <c r="HJ570" s="483"/>
      <c r="HK570" s="483"/>
      <c r="HL570" s="483"/>
      <c r="HM570" s="483"/>
      <c r="HN570" s="483"/>
      <c r="HO570" s="483"/>
      <c r="HP570" s="483"/>
      <c r="HQ570" s="483"/>
      <c r="HR570" s="483"/>
      <c r="HS570" s="483"/>
      <c r="HT570" s="483"/>
      <c r="HU570" s="483"/>
      <c r="HV570" s="483"/>
      <c r="HW570" s="483"/>
      <c r="HX570" s="483"/>
      <c r="HY570" s="483"/>
      <c r="HZ570" s="483"/>
      <c r="IA570" s="483"/>
      <c r="IB570" s="483"/>
      <c r="IC570" s="483"/>
      <c r="ID570" s="483"/>
      <c r="IE570" s="483"/>
    </row>
    <row r="571" spans="1:239" s="452" customFormat="1">
      <c r="A571" s="478" t="s">
        <v>2079</v>
      </c>
      <c r="B571" s="479" t="s">
        <v>1450</v>
      </c>
      <c r="C571" s="480"/>
      <c r="D571" s="481" t="s">
        <v>17</v>
      </c>
      <c r="E571" s="479"/>
      <c r="F571" s="480"/>
      <c r="G571" s="463"/>
      <c r="H571" s="482"/>
      <c r="I571" s="522">
        <f>I551+I558+I570</f>
        <v>1724505.7260098681</v>
      </c>
      <c r="J571" s="537">
        <f>SUM(J545:J570)</f>
        <v>1461624</v>
      </c>
    </row>
    <row r="572" spans="1:239" s="485" customFormat="1">
      <c r="A572" s="890">
        <v>1</v>
      </c>
      <c r="B572" s="894" t="s">
        <v>228</v>
      </c>
      <c r="C572" s="890" t="s">
        <v>1312</v>
      </c>
      <c r="D572" s="883" t="s">
        <v>1684</v>
      </c>
      <c r="E572" s="880" t="s">
        <v>2096</v>
      </c>
      <c r="F572" s="883" t="s">
        <v>1315</v>
      </c>
      <c r="G572" s="467">
        <v>17.010000000000002</v>
      </c>
      <c r="H572" s="457">
        <v>2500</v>
      </c>
      <c r="I572" s="527">
        <v>42525</v>
      </c>
      <c r="J572" s="856">
        <f>ROUND(I577*0.9,0)</f>
        <v>497621</v>
      </c>
    </row>
    <row r="573" spans="1:239" s="485" customFormat="1">
      <c r="A573" s="891"/>
      <c r="B573" s="895"/>
      <c r="C573" s="891"/>
      <c r="D573" s="885"/>
      <c r="E573" s="882"/>
      <c r="F573" s="885"/>
      <c r="G573" s="467">
        <v>1</v>
      </c>
      <c r="H573" s="457">
        <v>2347</v>
      </c>
      <c r="I573" s="527">
        <v>2347</v>
      </c>
      <c r="J573" s="859"/>
    </row>
    <row r="574" spans="1:239" s="485" customFormat="1" ht="108">
      <c r="A574" s="891"/>
      <c r="B574" s="895"/>
      <c r="C574" s="891"/>
      <c r="D574" s="466" t="s">
        <v>1684</v>
      </c>
      <c r="E574" s="465" t="s">
        <v>2097</v>
      </c>
      <c r="F574" s="466" t="s">
        <v>1315</v>
      </c>
      <c r="G574" s="467">
        <v>179.52</v>
      </c>
      <c r="H574" s="457">
        <v>2500</v>
      </c>
      <c r="I574" s="527">
        <v>448800</v>
      </c>
      <c r="J574" s="859"/>
    </row>
    <row r="575" spans="1:239" s="485" customFormat="1">
      <c r="A575" s="892"/>
      <c r="B575" s="896"/>
      <c r="C575" s="892"/>
      <c r="D575" s="458" t="s">
        <v>1332</v>
      </c>
      <c r="E575" s="459"/>
      <c r="F575" s="460"/>
      <c r="G575" s="463"/>
      <c r="H575" s="462"/>
      <c r="I575" s="510">
        <v>493672</v>
      </c>
      <c r="J575" s="859"/>
    </row>
    <row r="576" spans="1:239" s="485" customFormat="1">
      <c r="A576" s="892"/>
      <c r="B576" s="896"/>
      <c r="C576" s="892"/>
      <c r="D576" s="458" t="s">
        <v>1742</v>
      </c>
      <c r="E576" s="459"/>
      <c r="F576" s="460"/>
      <c r="G576" s="463"/>
      <c r="H576" s="462"/>
      <c r="I576" s="510">
        <v>59240.639999999999</v>
      </c>
      <c r="J576" s="859"/>
    </row>
    <row r="577" spans="1:10" s="485" customFormat="1">
      <c r="A577" s="893"/>
      <c r="B577" s="897"/>
      <c r="C577" s="893"/>
      <c r="D577" s="458" t="s">
        <v>1342</v>
      </c>
      <c r="E577" s="459"/>
      <c r="F577" s="460"/>
      <c r="G577" s="463"/>
      <c r="H577" s="462"/>
      <c r="I577" s="510">
        <v>552912.64000000001</v>
      </c>
      <c r="J577" s="860"/>
    </row>
    <row r="578" spans="1:10" s="483" customFormat="1">
      <c r="A578" s="890">
        <v>2</v>
      </c>
      <c r="B578" s="894" t="s">
        <v>1015</v>
      </c>
      <c r="C578" s="890" t="s">
        <v>1312</v>
      </c>
      <c r="D578" s="883" t="s">
        <v>1684</v>
      </c>
      <c r="E578" s="465" t="s">
        <v>2098</v>
      </c>
      <c r="F578" s="466" t="s">
        <v>1315</v>
      </c>
      <c r="G578" s="467">
        <v>0</v>
      </c>
      <c r="H578" s="457">
        <v>200</v>
      </c>
      <c r="I578" s="527">
        <v>0</v>
      </c>
      <c r="J578" s="856">
        <f>ROUND(I583*0.8,0)</f>
        <v>27172</v>
      </c>
    </row>
    <row r="579" spans="1:10" s="483" customFormat="1" ht="72">
      <c r="A579" s="891"/>
      <c r="B579" s="895"/>
      <c r="C579" s="891"/>
      <c r="D579" s="884"/>
      <c r="E579" s="465" t="s">
        <v>2099</v>
      </c>
      <c r="F579" s="466" t="s">
        <v>1315</v>
      </c>
      <c r="G579" s="456">
        <v>8</v>
      </c>
      <c r="H579" s="457">
        <v>165.78</v>
      </c>
      <c r="I579" s="527">
        <v>1326.24</v>
      </c>
      <c r="J579" s="857"/>
    </row>
    <row r="580" spans="1:10" s="483" customFormat="1" ht="48">
      <c r="A580" s="891"/>
      <c r="B580" s="895"/>
      <c r="C580" s="891"/>
      <c r="D580" s="885"/>
      <c r="E580" s="465" t="s">
        <v>2100</v>
      </c>
      <c r="F580" s="466" t="s">
        <v>1315</v>
      </c>
      <c r="G580" s="498">
        <v>200</v>
      </c>
      <c r="H580" s="457">
        <v>145</v>
      </c>
      <c r="I580" s="527">
        <v>29000</v>
      </c>
      <c r="J580" s="857"/>
    </row>
    <row r="581" spans="1:10" s="485" customFormat="1">
      <c r="A581" s="892"/>
      <c r="B581" s="896"/>
      <c r="C581" s="892"/>
      <c r="D581" s="458" t="s">
        <v>1332</v>
      </c>
      <c r="E581" s="459"/>
      <c r="F581" s="460"/>
      <c r="G581" s="461"/>
      <c r="H581" s="462"/>
      <c r="I581" s="510">
        <v>30326.240000000002</v>
      </c>
      <c r="J581" s="857"/>
    </row>
    <row r="582" spans="1:10" s="485" customFormat="1">
      <c r="A582" s="892"/>
      <c r="B582" s="896"/>
      <c r="C582" s="892"/>
      <c r="D582" s="458" t="s">
        <v>1742</v>
      </c>
      <c r="E582" s="459"/>
      <c r="F582" s="460"/>
      <c r="G582" s="463"/>
      <c r="H582" s="462"/>
      <c r="I582" s="510">
        <v>3639.1487999999999</v>
      </c>
      <c r="J582" s="857"/>
    </row>
    <row r="583" spans="1:10" s="485" customFormat="1">
      <c r="A583" s="893"/>
      <c r="B583" s="897"/>
      <c r="C583" s="893"/>
      <c r="D583" s="458" t="s">
        <v>1342</v>
      </c>
      <c r="E583" s="459"/>
      <c r="F583" s="460"/>
      <c r="G583" s="463"/>
      <c r="H583" s="462"/>
      <c r="I583" s="510">
        <v>33965.388800000001</v>
      </c>
      <c r="J583" s="858"/>
    </row>
    <row r="584" spans="1:10" s="483" customFormat="1">
      <c r="A584" s="890">
        <v>3</v>
      </c>
      <c r="B584" s="894" t="s">
        <v>2101</v>
      </c>
      <c r="C584" s="890" t="s">
        <v>1312</v>
      </c>
      <c r="D584" s="883" t="s">
        <v>1684</v>
      </c>
      <c r="E584" s="465" t="s">
        <v>2098</v>
      </c>
      <c r="F584" s="466" t="s">
        <v>1315</v>
      </c>
      <c r="G584" s="499">
        <v>1120</v>
      </c>
      <c r="H584" s="457">
        <v>200</v>
      </c>
      <c r="I584" s="527">
        <v>224000</v>
      </c>
      <c r="J584" s="856">
        <f>ROUND(I591*0.8,0)</f>
        <v>316866</v>
      </c>
    </row>
    <row r="585" spans="1:10" s="483" customFormat="1">
      <c r="A585" s="891"/>
      <c r="B585" s="895"/>
      <c r="C585" s="891"/>
      <c r="D585" s="884"/>
      <c r="E585" s="465" t="s">
        <v>2102</v>
      </c>
      <c r="F585" s="466" t="s">
        <v>1315</v>
      </c>
      <c r="G585" s="467" t="s">
        <v>2103</v>
      </c>
      <c r="H585" s="457">
        <v>1632</v>
      </c>
      <c r="I585" s="527">
        <v>114240</v>
      </c>
      <c r="J585" s="857"/>
    </row>
    <row r="586" spans="1:10" s="483" customFormat="1">
      <c r="A586" s="891"/>
      <c r="B586" s="895"/>
      <c r="C586" s="891"/>
      <c r="D586" s="884"/>
      <c r="E586" s="465" t="s">
        <v>1779</v>
      </c>
      <c r="F586" s="466" t="s">
        <v>1315</v>
      </c>
      <c r="G586" s="467">
        <v>100</v>
      </c>
      <c r="H586" s="457">
        <v>45</v>
      </c>
      <c r="I586" s="527">
        <v>4500</v>
      </c>
      <c r="J586" s="857"/>
    </row>
    <row r="587" spans="1:10" s="483" customFormat="1">
      <c r="A587" s="891"/>
      <c r="B587" s="895"/>
      <c r="C587" s="891"/>
      <c r="D587" s="885"/>
      <c r="E587" s="465" t="s">
        <v>2104</v>
      </c>
      <c r="F587" s="466" t="s">
        <v>1372</v>
      </c>
      <c r="G587" s="467">
        <v>27</v>
      </c>
      <c r="H587" s="457">
        <v>165.78</v>
      </c>
      <c r="I587" s="527">
        <v>4476.0600000000004</v>
      </c>
      <c r="J587" s="857"/>
    </row>
    <row r="588" spans="1:10" s="485" customFormat="1">
      <c r="A588" s="892"/>
      <c r="B588" s="896"/>
      <c r="C588" s="892"/>
      <c r="D588" s="458" t="s">
        <v>1332</v>
      </c>
      <c r="E588" s="459"/>
      <c r="F588" s="460"/>
      <c r="G588" s="463"/>
      <c r="H588" s="462"/>
      <c r="I588" s="510">
        <v>347216.06</v>
      </c>
      <c r="J588" s="857"/>
    </row>
    <row r="589" spans="1:10" s="485" customFormat="1">
      <c r="A589" s="892"/>
      <c r="B589" s="896"/>
      <c r="C589" s="892"/>
      <c r="D589" s="458" t="s">
        <v>1742</v>
      </c>
      <c r="E589" s="459"/>
      <c r="F589" s="460"/>
      <c r="G589" s="463"/>
      <c r="H589" s="462"/>
      <c r="I589" s="510">
        <v>41665.927199999998</v>
      </c>
      <c r="J589" s="857"/>
    </row>
    <row r="590" spans="1:10" s="483" customFormat="1">
      <c r="A590" s="891"/>
      <c r="B590" s="895"/>
      <c r="C590" s="891"/>
      <c r="D590" s="471" t="s">
        <v>1336</v>
      </c>
      <c r="E590" s="465"/>
      <c r="F590" s="466"/>
      <c r="G590" s="467">
        <v>8</v>
      </c>
      <c r="H590" s="457">
        <v>900</v>
      </c>
      <c r="I590" s="527">
        <v>7200</v>
      </c>
      <c r="J590" s="857"/>
    </row>
    <row r="591" spans="1:10" s="485" customFormat="1">
      <c r="A591" s="893"/>
      <c r="B591" s="897"/>
      <c r="C591" s="893"/>
      <c r="D591" s="458" t="s">
        <v>1342</v>
      </c>
      <c r="E591" s="459"/>
      <c r="F591" s="460"/>
      <c r="G591" s="468"/>
      <c r="H591" s="462"/>
      <c r="I591" s="510">
        <v>396081.98719999997</v>
      </c>
      <c r="J591" s="858"/>
    </row>
    <row r="592" spans="1:10" s="483" customFormat="1">
      <c r="A592" s="883">
        <v>4</v>
      </c>
      <c r="B592" s="894" t="s">
        <v>1012</v>
      </c>
      <c r="C592" s="890" t="s">
        <v>1312</v>
      </c>
      <c r="D592" s="883" t="s">
        <v>1684</v>
      </c>
      <c r="E592" s="880" t="s">
        <v>2105</v>
      </c>
      <c r="F592" s="883" t="s">
        <v>1315</v>
      </c>
      <c r="G592" s="469">
        <v>135</v>
      </c>
      <c r="H592" s="457">
        <v>222.3</v>
      </c>
      <c r="I592" s="527">
        <v>30010.5</v>
      </c>
      <c r="J592" s="856">
        <f>ROUND(I600*0.8,0)</f>
        <v>234838</v>
      </c>
    </row>
    <row r="593" spans="1:10" s="483" customFormat="1">
      <c r="A593" s="884"/>
      <c r="B593" s="895"/>
      <c r="C593" s="891"/>
      <c r="D593" s="884"/>
      <c r="E593" s="881"/>
      <c r="F593" s="884"/>
      <c r="G593" s="467">
        <v>135</v>
      </c>
      <c r="H593" s="457">
        <v>97</v>
      </c>
      <c r="I593" s="527">
        <v>13095</v>
      </c>
      <c r="J593" s="857"/>
    </row>
    <row r="594" spans="1:10" s="483" customFormat="1">
      <c r="A594" s="884"/>
      <c r="B594" s="895"/>
      <c r="C594" s="891"/>
      <c r="D594" s="884"/>
      <c r="E594" s="881"/>
      <c r="F594" s="884"/>
      <c r="G594" s="467">
        <v>249.48</v>
      </c>
      <c r="H594" s="457">
        <v>245.25</v>
      </c>
      <c r="I594" s="527">
        <v>61184.97</v>
      </c>
      <c r="J594" s="857"/>
    </row>
    <row r="595" spans="1:10" s="483" customFormat="1">
      <c r="A595" s="884"/>
      <c r="B595" s="895"/>
      <c r="C595" s="891"/>
      <c r="D595" s="884"/>
      <c r="E595" s="881"/>
      <c r="F595" s="884"/>
      <c r="G595" s="467">
        <v>135</v>
      </c>
      <c r="H595" s="457">
        <v>225.6</v>
      </c>
      <c r="I595" s="527">
        <v>30456</v>
      </c>
      <c r="J595" s="857"/>
    </row>
    <row r="596" spans="1:10" s="483" customFormat="1">
      <c r="A596" s="884"/>
      <c r="B596" s="895"/>
      <c r="C596" s="891"/>
      <c r="D596" s="884"/>
      <c r="E596" s="881"/>
      <c r="F596" s="884"/>
      <c r="G596" s="467">
        <v>1</v>
      </c>
      <c r="H596" s="457">
        <v>14850</v>
      </c>
      <c r="I596" s="527">
        <v>14850</v>
      </c>
      <c r="J596" s="857"/>
    </row>
    <row r="597" spans="1:10" s="483" customFormat="1">
      <c r="A597" s="884"/>
      <c r="B597" s="895"/>
      <c r="C597" s="891"/>
      <c r="D597" s="885"/>
      <c r="E597" s="882"/>
      <c r="F597" s="885"/>
      <c r="G597" s="467">
        <v>90</v>
      </c>
      <c r="H597" s="457">
        <v>1250</v>
      </c>
      <c r="I597" s="527">
        <v>112500</v>
      </c>
      <c r="J597" s="857"/>
    </row>
    <row r="598" spans="1:10" s="485" customFormat="1">
      <c r="A598" s="902"/>
      <c r="B598" s="896"/>
      <c r="C598" s="892"/>
      <c r="D598" s="458" t="s">
        <v>1332</v>
      </c>
      <c r="E598" s="459"/>
      <c r="F598" s="460"/>
      <c r="G598" s="461"/>
      <c r="H598" s="462"/>
      <c r="I598" s="510">
        <v>262096.47</v>
      </c>
      <c r="J598" s="857"/>
    </row>
    <row r="599" spans="1:10" s="485" customFormat="1">
      <c r="A599" s="902"/>
      <c r="B599" s="896"/>
      <c r="C599" s="892"/>
      <c r="D599" s="458" t="s">
        <v>1742</v>
      </c>
      <c r="E599" s="459"/>
      <c r="F599" s="460"/>
      <c r="G599" s="463"/>
      <c r="H599" s="462"/>
      <c r="I599" s="510">
        <v>31451.576400000002</v>
      </c>
      <c r="J599" s="857"/>
    </row>
    <row r="600" spans="1:10" s="485" customFormat="1">
      <c r="A600" s="903"/>
      <c r="B600" s="897"/>
      <c r="C600" s="893"/>
      <c r="D600" s="458" t="s">
        <v>1342</v>
      </c>
      <c r="E600" s="459"/>
      <c r="F600" s="460"/>
      <c r="G600" s="477"/>
      <c r="H600" s="462"/>
      <c r="I600" s="510">
        <v>293548.04639999999</v>
      </c>
      <c r="J600" s="858"/>
    </row>
    <row r="601" spans="1:10" s="483" customFormat="1">
      <c r="A601" s="890">
        <v>5</v>
      </c>
      <c r="B601" s="894" t="s">
        <v>2106</v>
      </c>
      <c r="C601" s="890" t="s">
        <v>1312</v>
      </c>
      <c r="D601" s="883" t="s">
        <v>1684</v>
      </c>
      <c r="E601" s="880" t="s">
        <v>2107</v>
      </c>
      <c r="F601" s="883" t="s">
        <v>1315</v>
      </c>
      <c r="G601" s="469">
        <v>240</v>
      </c>
      <c r="H601" s="457">
        <v>222.3</v>
      </c>
      <c r="I601" s="527">
        <v>53352</v>
      </c>
      <c r="J601" s="856">
        <f>ROUND(I609*0.8,0)</f>
        <v>408377</v>
      </c>
    </row>
    <row r="602" spans="1:10" s="483" customFormat="1">
      <c r="A602" s="891"/>
      <c r="B602" s="895"/>
      <c r="C602" s="891"/>
      <c r="D602" s="884"/>
      <c r="E602" s="881"/>
      <c r="F602" s="884"/>
      <c r="G602" s="467">
        <v>240</v>
      </c>
      <c r="H602" s="457">
        <v>97</v>
      </c>
      <c r="I602" s="527">
        <v>23280</v>
      </c>
      <c r="J602" s="857"/>
    </row>
    <row r="603" spans="1:10" s="483" customFormat="1">
      <c r="A603" s="891"/>
      <c r="B603" s="895"/>
      <c r="C603" s="891"/>
      <c r="D603" s="884"/>
      <c r="E603" s="881"/>
      <c r="F603" s="884"/>
      <c r="G603" s="467">
        <v>517.44000000000005</v>
      </c>
      <c r="H603" s="457">
        <v>245.25</v>
      </c>
      <c r="I603" s="527">
        <v>126902.16</v>
      </c>
      <c r="J603" s="857"/>
    </row>
    <row r="604" spans="1:10" s="483" customFormat="1">
      <c r="A604" s="891"/>
      <c r="B604" s="895"/>
      <c r="C604" s="891"/>
      <c r="D604" s="884"/>
      <c r="E604" s="881"/>
      <c r="F604" s="884"/>
      <c r="G604" s="467">
        <v>240</v>
      </c>
      <c r="H604" s="457">
        <v>225.6</v>
      </c>
      <c r="I604" s="527">
        <v>54144</v>
      </c>
      <c r="J604" s="857"/>
    </row>
    <row r="605" spans="1:10" s="483" customFormat="1">
      <c r="A605" s="891"/>
      <c r="B605" s="895"/>
      <c r="C605" s="891"/>
      <c r="D605" s="884"/>
      <c r="E605" s="881"/>
      <c r="F605" s="884"/>
      <c r="G605" s="467">
        <v>1</v>
      </c>
      <c r="H605" s="457">
        <v>23100</v>
      </c>
      <c r="I605" s="527">
        <v>23100</v>
      </c>
      <c r="J605" s="857"/>
    </row>
    <row r="606" spans="1:10" s="483" customFormat="1">
      <c r="A606" s="891"/>
      <c r="B606" s="895"/>
      <c r="C606" s="891"/>
      <c r="D606" s="885"/>
      <c r="E606" s="882"/>
      <c r="F606" s="885"/>
      <c r="G606" s="500">
        <v>140</v>
      </c>
      <c r="H606" s="457">
        <v>1250</v>
      </c>
      <c r="I606" s="527">
        <v>175000</v>
      </c>
      <c r="J606" s="857"/>
    </row>
    <row r="607" spans="1:10" s="485" customFormat="1">
      <c r="A607" s="892"/>
      <c r="B607" s="896"/>
      <c r="C607" s="892"/>
      <c r="D607" s="458" t="s">
        <v>1332</v>
      </c>
      <c r="E607" s="459"/>
      <c r="F607" s="460"/>
      <c r="G607" s="463"/>
      <c r="H607" s="462"/>
      <c r="I607" s="510">
        <v>455778.16</v>
      </c>
      <c r="J607" s="857"/>
    </row>
    <row r="608" spans="1:10" s="485" customFormat="1">
      <c r="A608" s="892"/>
      <c r="B608" s="896"/>
      <c r="C608" s="892"/>
      <c r="D608" s="458" t="s">
        <v>1742</v>
      </c>
      <c r="E608" s="459"/>
      <c r="F608" s="460"/>
      <c r="G608" s="463"/>
      <c r="H608" s="462"/>
      <c r="I608" s="510">
        <v>54693.379200000003</v>
      </c>
      <c r="J608" s="857"/>
    </row>
    <row r="609" spans="1:10" s="485" customFormat="1">
      <c r="A609" s="893"/>
      <c r="B609" s="897"/>
      <c r="C609" s="893"/>
      <c r="D609" s="458" t="s">
        <v>1342</v>
      </c>
      <c r="E609" s="459"/>
      <c r="F609" s="460"/>
      <c r="G609" s="468"/>
      <c r="H609" s="462"/>
      <c r="I609" s="510">
        <v>510471.5392</v>
      </c>
      <c r="J609" s="858"/>
    </row>
    <row r="610" spans="1:10" s="483" customFormat="1" ht="36">
      <c r="A610" s="884">
        <v>6</v>
      </c>
      <c r="B610" s="881" t="s">
        <v>542</v>
      </c>
      <c r="C610" s="891" t="s">
        <v>1312</v>
      </c>
      <c r="D610" s="466" t="s">
        <v>2108</v>
      </c>
      <c r="E610" s="465" t="s">
        <v>2109</v>
      </c>
      <c r="F610" s="466" t="s">
        <v>1315</v>
      </c>
      <c r="G610" s="469">
        <v>1200</v>
      </c>
      <c r="H610" s="457">
        <v>290</v>
      </c>
      <c r="I610" s="527">
        <v>348000</v>
      </c>
      <c r="J610" s="856">
        <f>ROUND(I614*0.8,0)</f>
        <v>335808</v>
      </c>
    </row>
    <row r="611" spans="1:10" s="485" customFormat="1">
      <c r="A611" s="902"/>
      <c r="B611" s="904"/>
      <c r="C611" s="892"/>
      <c r="D611" s="458" t="s">
        <v>1332</v>
      </c>
      <c r="E611" s="459"/>
      <c r="F611" s="460"/>
      <c r="G611" s="463"/>
      <c r="H611" s="462"/>
      <c r="I611" s="510">
        <v>348000</v>
      </c>
      <c r="J611" s="857"/>
    </row>
    <row r="612" spans="1:10" s="485" customFormat="1">
      <c r="A612" s="902"/>
      <c r="B612" s="904"/>
      <c r="C612" s="892"/>
      <c r="D612" s="458" t="s">
        <v>1742</v>
      </c>
      <c r="E612" s="459"/>
      <c r="F612" s="460"/>
      <c r="G612" s="463"/>
      <c r="H612" s="462"/>
      <c r="I612" s="510">
        <v>41760</v>
      </c>
      <c r="J612" s="857"/>
    </row>
    <row r="613" spans="1:10" s="483" customFormat="1">
      <c r="A613" s="884"/>
      <c r="B613" s="881"/>
      <c r="C613" s="891"/>
      <c r="D613" s="471" t="s">
        <v>1338</v>
      </c>
      <c r="E613" s="465" t="s">
        <v>1801</v>
      </c>
      <c r="F613" s="466"/>
      <c r="G613" s="467">
        <v>1</v>
      </c>
      <c r="H613" s="457">
        <v>30000</v>
      </c>
      <c r="I613" s="527">
        <v>30000</v>
      </c>
      <c r="J613" s="857"/>
    </row>
    <row r="614" spans="1:10" s="485" customFormat="1">
      <c r="A614" s="903"/>
      <c r="B614" s="905"/>
      <c r="C614" s="893"/>
      <c r="D614" s="458" t="s">
        <v>1342</v>
      </c>
      <c r="E614" s="459"/>
      <c r="F614" s="460"/>
      <c r="G614" s="468"/>
      <c r="H614" s="462"/>
      <c r="I614" s="510">
        <v>419760</v>
      </c>
      <c r="J614" s="858"/>
    </row>
    <row r="615" spans="1:10" s="483" customFormat="1">
      <c r="A615" s="889">
        <v>7</v>
      </c>
      <c r="B615" s="899" t="s">
        <v>2110</v>
      </c>
      <c r="C615" s="867" t="s">
        <v>2111</v>
      </c>
      <c r="D615" s="883" t="s">
        <v>1684</v>
      </c>
      <c r="E615" s="465" t="s">
        <v>2112</v>
      </c>
      <c r="F615" s="466" t="s">
        <v>1315</v>
      </c>
      <c r="G615" s="501">
        <v>18</v>
      </c>
      <c r="H615" s="457">
        <v>200</v>
      </c>
      <c r="I615" s="527">
        <v>3600</v>
      </c>
      <c r="J615" s="856">
        <f>ROUND(I621*0.8,0)</f>
        <v>45330</v>
      </c>
    </row>
    <row r="616" spans="1:10" s="483" customFormat="1">
      <c r="A616" s="889"/>
      <c r="B616" s="899"/>
      <c r="C616" s="867"/>
      <c r="D616" s="884"/>
      <c r="E616" s="502" t="s">
        <v>2113</v>
      </c>
      <c r="F616" s="466" t="s">
        <v>1315</v>
      </c>
      <c r="G616" s="469">
        <v>134.75</v>
      </c>
      <c r="H616" s="457">
        <v>200</v>
      </c>
      <c r="I616" s="527">
        <v>26950</v>
      </c>
      <c r="J616" s="857"/>
    </row>
    <row r="617" spans="1:10" s="483" customFormat="1">
      <c r="A617" s="889"/>
      <c r="B617" s="899"/>
      <c r="C617" s="867"/>
      <c r="D617" s="885"/>
      <c r="E617" s="465" t="s">
        <v>2114</v>
      </c>
      <c r="F617" s="466" t="s">
        <v>1372</v>
      </c>
      <c r="G617" s="503">
        <v>66.7</v>
      </c>
      <c r="H617" s="457">
        <v>180</v>
      </c>
      <c r="I617" s="527">
        <v>12006</v>
      </c>
      <c r="J617" s="857"/>
    </row>
    <row r="618" spans="1:10" s="485" customFormat="1">
      <c r="A618" s="898"/>
      <c r="B618" s="900"/>
      <c r="C618" s="886"/>
      <c r="D618" s="458" t="s">
        <v>1332</v>
      </c>
      <c r="E618" s="459"/>
      <c r="F618" s="460"/>
      <c r="G618" s="463"/>
      <c r="H618" s="462"/>
      <c r="I618" s="510">
        <v>42556</v>
      </c>
      <c r="J618" s="857"/>
    </row>
    <row r="619" spans="1:10" s="485" customFormat="1">
      <c r="A619" s="898"/>
      <c r="B619" s="900"/>
      <c r="C619" s="886"/>
      <c r="D619" s="458" t="s">
        <v>1742</v>
      </c>
      <c r="E619" s="459"/>
      <c r="F619" s="460"/>
      <c r="G619" s="463"/>
      <c r="H619" s="462"/>
      <c r="I619" s="510">
        <v>5106.72</v>
      </c>
      <c r="J619" s="857"/>
    </row>
    <row r="620" spans="1:10" s="483" customFormat="1">
      <c r="A620" s="889"/>
      <c r="B620" s="899"/>
      <c r="C620" s="867"/>
      <c r="D620" s="901" t="s">
        <v>1336</v>
      </c>
      <c r="E620" s="901"/>
      <c r="F620" s="466" t="s">
        <v>1689</v>
      </c>
      <c r="G620" s="467">
        <v>10</v>
      </c>
      <c r="H620" s="457">
        <v>900</v>
      </c>
      <c r="I620" s="527">
        <v>9000</v>
      </c>
      <c r="J620" s="857"/>
    </row>
    <row r="621" spans="1:10" s="485" customFormat="1">
      <c r="A621" s="898"/>
      <c r="B621" s="900"/>
      <c r="C621" s="886"/>
      <c r="D621" s="458" t="s">
        <v>1342</v>
      </c>
      <c r="E621" s="459"/>
      <c r="F621" s="460"/>
      <c r="G621" s="468"/>
      <c r="H621" s="462"/>
      <c r="I621" s="510">
        <v>56662.720000000001</v>
      </c>
      <c r="J621" s="858"/>
    </row>
    <row r="622" spans="1:10" s="483" customFormat="1">
      <c r="A622" s="890">
        <v>8</v>
      </c>
      <c r="B622" s="894" t="s">
        <v>1014</v>
      </c>
      <c r="C622" s="890" t="s">
        <v>1312</v>
      </c>
      <c r="D622" s="883" t="s">
        <v>1751</v>
      </c>
      <c r="E622" s="465" t="s">
        <v>2115</v>
      </c>
      <c r="F622" s="466" t="s">
        <v>1315</v>
      </c>
      <c r="G622" s="469">
        <v>120.29</v>
      </c>
      <c r="H622" s="457">
        <v>280</v>
      </c>
      <c r="I622" s="527">
        <v>33681.199999999997</v>
      </c>
      <c r="J622" s="856">
        <f>ROUND(I629*0.8,0)</f>
        <v>74766</v>
      </c>
    </row>
    <row r="623" spans="1:10" s="483" customFormat="1">
      <c r="A623" s="891"/>
      <c r="B623" s="895"/>
      <c r="C623" s="891"/>
      <c r="D623" s="884"/>
      <c r="E623" s="465" t="s">
        <v>2116</v>
      </c>
      <c r="F623" s="466" t="s">
        <v>1315</v>
      </c>
      <c r="G623" s="467">
        <v>120.29</v>
      </c>
      <c r="H623" s="457">
        <v>50</v>
      </c>
      <c r="I623" s="527">
        <v>6014.5</v>
      </c>
      <c r="J623" s="857"/>
    </row>
    <row r="624" spans="1:10" s="483" customFormat="1">
      <c r="A624" s="891"/>
      <c r="B624" s="895"/>
      <c r="C624" s="891"/>
      <c r="D624" s="884"/>
      <c r="E624" s="465" t="s">
        <v>2117</v>
      </c>
      <c r="F624" s="466" t="s">
        <v>1372</v>
      </c>
      <c r="G624" s="467">
        <v>30</v>
      </c>
      <c r="H624" s="457">
        <v>249.07</v>
      </c>
      <c r="I624" s="527">
        <v>7472.1</v>
      </c>
      <c r="J624" s="857"/>
    </row>
    <row r="625" spans="1:10" s="483" customFormat="1">
      <c r="A625" s="891"/>
      <c r="B625" s="895"/>
      <c r="C625" s="891"/>
      <c r="D625" s="884"/>
      <c r="E625" s="465" t="s">
        <v>2118</v>
      </c>
      <c r="F625" s="466" t="s">
        <v>1315</v>
      </c>
      <c r="G625" s="467">
        <v>120.29</v>
      </c>
      <c r="H625" s="457">
        <v>40</v>
      </c>
      <c r="I625" s="527">
        <v>4811.6000000000004</v>
      </c>
      <c r="J625" s="857"/>
    </row>
    <row r="626" spans="1:10" s="483" customFormat="1" ht="48">
      <c r="A626" s="891"/>
      <c r="B626" s="895"/>
      <c r="C626" s="891"/>
      <c r="D626" s="466" t="s">
        <v>2119</v>
      </c>
      <c r="E626" s="465" t="s">
        <v>2120</v>
      </c>
      <c r="F626" s="466" t="s">
        <v>1330</v>
      </c>
      <c r="G626" s="467">
        <v>1</v>
      </c>
      <c r="H626" s="457">
        <v>31464.42</v>
      </c>
      <c r="I626" s="527">
        <v>31464.42</v>
      </c>
      <c r="J626" s="857"/>
    </row>
    <row r="627" spans="1:10" s="485" customFormat="1">
      <c r="A627" s="892"/>
      <c r="B627" s="896"/>
      <c r="C627" s="892"/>
      <c r="D627" s="458" t="s">
        <v>1332</v>
      </c>
      <c r="E627" s="459"/>
      <c r="F627" s="460"/>
      <c r="G627" s="463"/>
      <c r="H627" s="462"/>
      <c r="I627" s="510">
        <v>83443.820000000007</v>
      </c>
      <c r="J627" s="857"/>
    </row>
    <row r="628" spans="1:10" s="485" customFormat="1">
      <c r="A628" s="892"/>
      <c r="B628" s="896"/>
      <c r="C628" s="892"/>
      <c r="D628" s="458" t="s">
        <v>1742</v>
      </c>
      <c r="E628" s="459"/>
      <c r="F628" s="460"/>
      <c r="G628" s="463"/>
      <c r="H628" s="462"/>
      <c r="I628" s="510">
        <v>10013.258400000001</v>
      </c>
      <c r="J628" s="857"/>
    </row>
    <row r="629" spans="1:10" s="485" customFormat="1">
      <c r="A629" s="893"/>
      <c r="B629" s="897"/>
      <c r="C629" s="893"/>
      <c r="D629" s="458" t="s">
        <v>1342</v>
      </c>
      <c r="E629" s="459"/>
      <c r="F629" s="460"/>
      <c r="G629" s="468"/>
      <c r="H629" s="462"/>
      <c r="I629" s="510">
        <v>93457.078399999999</v>
      </c>
      <c r="J629" s="858"/>
    </row>
    <row r="630" spans="1:10" s="483" customFormat="1">
      <c r="A630" s="890">
        <v>9</v>
      </c>
      <c r="B630" s="894" t="s">
        <v>2121</v>
      </c>
      <c r="C630" s="890" t="s">
        <v>1312</v>
      </c>
      <c r="D630" s="883" t="s">
        <v>1751</v>
      </c>
      <c r="E630" s="465" t="s">
        <v>2122</v>
      </c>
      <c r="F630" s="466" t="s">
        <v>1315</v>
      </c>
      <c r="G630" s="469">
        <v>185.35</v>
      </c>
      <c r="H630" s="457">
        <v>280</v>
      </c>
      <c r="I630" s="527">
        <v>51898</v>
      </c>
      <c r="J630" s="856">
        <f>ROUND(I637*0.8,0)</f>
        <v>99918</v>
      </c>
    </row>
    <row r="631" spans="1:10" s="483" customFormat="1">
      <c r="A631" s="891"/>
      <c r="B631" s="895"/>
      <c r="C631" s="891"/>
      <c r="D631" s="884"/>
      <c r="E631" s="465" t="s">
        <v>2116</v>
      </c>
      <c r="F631" s="466" t="s">
        <v>1315</v>
      </c>
      <c r="G631" s="467">
        <v>185.35</v>
      </c>
      <c r="H631" s="457">
        <v>50</v>
      </c>
      <c r="I631" s="527">
        <v>9267.5</v>
      </c>
      <c r="J631" s="857"/>
    </row>
    <row r="632" spans="1:10" s="483" customFormat="1">
      <c r="A632" s="891"/>
      <c r="B632" s="895"/>
      <c r="C632" s="891"/>
      <c r="D632" s="884"/>
      <c r="E632" s="465" t="s">
        <v>2117</v>
      </c>
      <c r="F632" s="466" t="s">
        <v>1372</v>
      </c>
      <c r="G632" s="467">
        <v>30</v>
      </c>
      <c r="H632" s="457">
        <v>249.07</v>
      </c>
      <c r="I632" s="527">
        <v>7472.1</v>
      </c>
      <c r="J632" s="857"/>
    </row>
    <row r="633" spans="1:10" s="483" customFormat="1">
      <c r="A633" s="891"/>
      <c r="B633" s="895"/>
      <c r="C633" s="891"/>
      <c r="D633" s="884"/>
      <c r="E633" s="465" t="s">
        <v>2118</v>
      </c>
      <c r="F633" s="466" t="s">
        <v>1315</v>
      </c>
      <c r="G633" s="467">
        <v>185.35</v>
      </c>
      <c r="H633" s="457">
        <v>40</v>
      </c>
      <c r="I633" s="527">
        <v>7414</v>
      </c>
      <c r="J633" s="857"/>
    </row>
    <row r="634" spans="1:10" s="483" customFormat="1" ht="48">
      <c r="A634" s="891"/>
      <c r="B634" s="895"/>
      <c r="C634" s="891"/>
      <c r="D634" s="466" t="s">
        <v>2119</v>
      </c>
      <c r="E634" s="465" t="s">
        <v>2120</v>
      </c>
      <c r="F634" s="466" t="s">
        <v>1330</v>
      </c>
      <c r="G634" s="467">
        <v>1</v>
      </c>
      <c r="H634" s="457">
        <v>35464.1</v>
      </c>
      <c r="I634" s="527">
        <v>35464.1</v>
      </c>
      <c r="J634" s="857"/>
    </row>
    <row r="635" spans="1:10" s="485" customFormat="1">
      <c r="A635" s="892"/>
      <c r="B635" s="896"/>
      <c r="C635" s="892"/>
      <c r="D635" s="458" t="s">
        <v>1332</v>
      </c>
      <c r="E635" s="459"/>
      <c r="F635" s="460"/>
      <c r="G635" s="463"/>
      <c r="H635" s="462"/>
      <c r="I635" s="510">
        <v>111515.7</v>
      </c>
      <c r="J635" s="857"/>
    </row>
    <row r="636" spans="1:10" s="485" customFormat="1">
      <c r="A636" s="892"/>
      <c r="B636" s="896"/>
      <c r="C636" s="892"/>
      <c r="D636" s="458" t="s">
        <v>1742</v>
      </c>
      <c r="E636" s="459"/>
      <c r="F636" s="460"/>
      <c r="G636" s="463"/>
      <c r="H636" s="462"/>
      <c r="I636" s="510">
        <v>13381.884</v>
      </c>
      <c r="J636" s="857"/>
    </row>
    <row r="637" spans="1:10" s="485" customFormat="1">
      <c r="A637" s="893"/>
      <c r="B637" s="897"/>
      <c r="C637" s="893"/>
      <c r="D637" s="458" t="s">
        <v>1342</v>
      </c>
      <c r="E637" s="459"/>
      <c r="F637" s="460"/>
      <c r="G637" s="468"/>
      <c r="H637" s="462"/>
      <c r="I637" s="510">
        <v>124897.584</v>
      </c>
      <c r="J637" s="858"/>
    </row>
    <row r="638" spans="1:10" s="483" customFormat="1">
      <c r="A638" s="889">
        <v>10</v>
      </c>
      <c r="B638" s="899" t="s">
        <v>233</v>
      </c>
      <c r="C638" s="867" t="s">
        <v>1312</v>
      </c>
      <c r="D638" s="883" t="s">
        <v>1684</v>
      </c>
      <c r="E638" s="880" t="s">
        <v>2123</v>
      </c>
      <c r="F638" s="883" t="s">
        <v>1315</v>
      </c>
      <c r="G638" s="470">
        <v>322.32</v>
      </c>
      <c r="H638" s="457">
        <v>222.3</v>
      </c>
      <c r="I638" s="527">
        <v>71651.736000000004</v>
      </c>
      <c r="J638" s="856">
        <f>ROUND(I653*0.9,0)</f>
        <v>1752482</v>
      </c>
    </row>
    <row r="639" spans="1:10" s="483" customFormat="1">
      <c r="A639" s="889"/>
      <c r="B639" s="899"/>
      <c r="C639" s="867"/>
      <c r="D639" s="884"/>
      <c r="E639" s="881"/>
      <c r="F639" s="884"/>
      <c r="G639" s="470">
        <v>309.95999999999998</v>
      </c>
      <c r="H639" s="457">
        <v>150</v>
      </c>
      <c r="I639" s="527">
        <v>46494</v>
      </c>
      <c r="J639" s="857"/>
    </row>
    <row r="640" spans="1:10" s="483" customFormat="1">
      <c r="A640" s="889"/>
      <c r="B640" s="899"/>
      <c r="C640" s="867"/>
      <c r="D640" s="884"/>
      <c r="E640" s="881"/>
      <c r="F640" s="884"/>
      <c r="G640" s="470">
        <v>402</v>
      </c>
      <c r="H640" s="457">
        <v>245.25</v>
      </c>
      <c r="I640" s="527">
        <v>98590.5</v>
      </c>
      <c r="J640" s="857"/>
    </row>
    <row r="641" spans="1:10" s="483" customFormat="1">
      <c r="A641" s="889"/>
      <c r="B641" s="899"/>
      <c r="C641" s="867"/>
      <c r="D641" s="884"/>
      <c r="E641" s="881"/>
      <c r="F641" s="884"/>
      <c r="G641" s="470">
        <v>322.32</v>
      </c>
      <c r="H641" s="457">
        <v>225.6</v>
      </c>
      <c r="I641" s="527">
        <v>72715.392000000007</v>
      </c>
      <c r="J641" s="857"/>
    </row>
    <row r="642" spans="1:10" s="483" customFormat="1">
      <c r="A642" s="889"/>
      <c r="B642" s="899"/>
      <c r="C642" s="867"/>
      <c r="D642" s="884"/>
      <c r="E642" s="881"/>
      <c r="F642" s="884"/>
      <c r="G642" s="470">
        <v>1</v>
      </c>
      <c r="H642" s="457">
        <v>91238.399999999994</v>
      </c>
      <c r="I642" s="527">
        <v>91238.399999999994</v>
      </c>
      <c r="J642" s="857"/>
    </row>
    <row r="643" spans="1:10" s="483" customFormat="1">
      <c r="A643" s="889"/>
      <c r="B643" s="899"/>
      <c r="C643" s="867"/>
      <c r="D643" s="885"/>
      <c r="E643" s="882"/>
      <c r="F643" s="885"/>
      <c r="G643" s="470">
        <v>56</v>
      </c>
      <c r="H643" s="457">
        <v>1250</v>
      </c>
      <c r="I643" s="527">
        <v>70000</v>
      </c>
      <c r="J643" s="857"/>
    </row>
    <row r="644" spans="1:10" s="483" customFormat="1">
      <c r="A644" s="889"/>
      <c r="B644" s="899"/>
      <c r="C644" s="867"/>
      <c r="D644" s="466" t="s">
        <v>1684</v>
      </c>
      <c r="E644" s="465" t="s">
        <v>2124</v>
      </c>
      <c r="F644" s="466" t="s">
        <v>1315</v>
      </c>
      <c r="G644" s="467">
        <v>16.7</v>
      </c>
      <c r="H644" s="457">
        <v>165.78</v>
      </c>
      <c r="I644" s="527">
        <v>2768.5259999999998</v>
      </c>
      <c r="J644" s="857"/>
    </row>
    <row r="645" spans="1:10" s="483" customFormat="1">
      <c r="A645" s="889"/>
      <c r="B645" s="899"/>
      <c r="C645" s="867"/>
      <c r="D645" s="883" t="s">
        <v>2108</v>
      </c>
      <c r="E645" s="465" t="s">
        <v>1815</v>
      </c>
      <c r="F645" s="466" t="s">
        <v>1315</v>
      </c>
      <c r="G645" s="467">
        <v>1280</v>
      </c>
      <c r="H645" s="457">
        <v>260</v>
      </c>
      <c r="I645" s="527">
        <v>332800</v>
      </c>
      <c r="J645" s="857"/>
    </row>
    <row r="646" spans="1:10" s="483" customFormat="1">
      <c r="A646" s="889"/>
      <c r="B646" s="899"/>
      <c r="C646" s="867"/>
      <c r="D646" s="884"/>
      <c r="E646" s="465" t="s">
        <v>2073</v>
      </c>
      <c r="F646" s="466" t="s">
        <v>1315</v>
      </c>
      <c r="G646" s="467">
        <v>682</v>
      </c>
      <c r="H646" s="457">
        <v>260</v>
      </c>
      <c r="I646" s="527">
        <v>177320</v>
      </c>
      <c r="J646" s="857"/>
    </row>
    <row r="647" spans="1:10" s="483" customFormat="1">
      <c r="A647" s="889"/>
      <c r="B647" s="899"/>
      <c r="C647" s="867"/>
      <c r="D647" s="884"/>
      <c r="E647" s="465" t="s">
        <v>2125</v>
      </c>
      <c r="F647" s="466" t="s">
        <v>1315</v>
      </c>
      <c r="G647" s="467">
        <v>1401</v>
      </c>
      <c r="H647" s="457">
        <v>250.5</v>
      </c>
      <c r="I647" s="527">
        <v>350950.5</v>
      </c>
      <c r="J647" s="857"/>
    </row>
    <row r="648" spans="1:10" s="483" customFormat="1">
      <c r="A648" s="889"/>
      <c r="B648" s="899"/>
      <c r="C648" s="867"/>
      <c r="D648" s="884"/>
      <c r="E648" s="465" t="s">
        <v>2126</v>
      </c>
      <c r="F648" s="466" t="s">
        <v>1315</v>
      </c>
      <c r="G648" s="467">
        <v>1456</v>
      </c>
      <c r="H648" s="457">
        <v>221</v>
      </c>
      <c r="I648" s="527">
        <v>321776</v>
      </c>
      <c r="J648" s="857"/>
    </row>
    <row r="649" spans="1:10" s="483" customFormat="1">
      <c r="A649" s="889"/>
      <c r="B649" s="899"/>
      <c r="C649" s="867"/>
      <c r="D649" s="885"/>
      <c r="E649" s="465" t="s">
        <v>2127</v>
      </c>
      <c r="F649" s="466" t="s">
        <v>1315</v>
      </c>
      <c r="G649" s="504">
        <v>509.6</v>
      </c>
      <c r="H649" s="457">
        <v>120</v>
      </c>
      <c r="I649" s="527">
        <v>61152</v>
      </c>
      <c r="J649" s="857"/>
    </row>
    <row r="650" spans="1:10" s="485" customFormat="1">
      <c r="A650" s="898"/>
      <c r="B650" s="900"/>
      <c r="C650" s="886"/>
      <c r="D650" s="458" t="s">
        <v>1332</v>
      </c>
      <c r="E650" s="459"/>
      <c r="F650" s="460"/>
      <c r="G650" s="463"/>
      <c r="H650" s="462"/>
      <c r="I650" s="510">
        <v>1697457.054</v>
      </c>
      <c r="J650" s="857"/>
    </row>
    <row r="651" spans="1:10" s="485" customFormat="1">
      <c r="A651" s="898"/>
      <c r="B651" s="900"/>
      <c r="C651" s="886"/>
      <c r="D651" s="458" t="s">
        <v>1742</v>
      </c>
      <c r="E651" s="459"/>
      <c r="F651" s="460"/>
      <c r="G651" s="463"/>
      <c r="H651" s="462"/>
      <c r="I651" s="510">
        <v>169745.70540000001</v>
      </c>
      <c r="J651" s="857"/>
    </row>
    <row r="652" spans="1:10" s="483" customFormat="1" ht="24">
      <c r="A652" s="889"/>
      <c r="B652" s="899"/>
      <c r="C652" s="867"/>
      <c r="D652" s="471" t="s">
        <v>1338</v>
      </c>
      <c r="E652" s="465" t="s">
        <v>2128</v>
      </c>
      <c r="F652" s="466"/>
      <c r="G652" s="467">
        <v>1</v>
      </c>
      <c r="H652" s="457">
        <v>80000</v>
      </c>
      <c r="I652" s="527">
        <v>80000</v>
      </c>
      <c r="J652" s="857"/>
    </row>
    <row r="653" spans="1:10" s="485" customFormat="1">
      <c r="A653" s="898"/>
      <c r="B653" s="900"/>
      <c r="C653" s="886"/>
      <c r="D653" s="458" t="s">
        <v>1342</v>
      </c>
      <c r="E653" s="459"/>
      <c r="F653" s="460"/>
      <c r="G653" s="463"/>
      <c r="H653" s="462"/>
      <c r="I653" s="510">
        <v>1947202.7594000001</v>
      </c>
      <c r="J653" s="858"/>
    </row>
    <row r="654" spans="1:10" s="483" customFormat="1" ht="36">
      <c r="A654" s="867">
        <v>11</v>
      </c>
      <c r="B654" s="887" t="s">
        <v>234</v>
      </c>
      <c r="C654" s="867" t="s">
        <v>1312</v>
      </c>
      <c r="D654" s="889" t="s">
        <v>1684</v>
      </c>
      <c r="E654" s="465" t="s">
        <v>2129</v>
      </c>
      <c r="F654" s="466" t="s">
        <v>1315</v>
      </c>
      <c r="G654" s="867">
        <v>2534</v>
      </c>
      <c r="H654" s="868">
        <v>310</v>
      </c>
      <c r="I654" s="869">
        <v>785540</v>
      </c>
      <c r="J654" s="856">
        <f>ROUND(I661*0.9,0)</f>
        <v>900471</v>
      </c>
    </row>
    <row r="655" spans="1:10" s="483" customFormat="1" ht="24">
      <c r="A655" s="867"/>
      <c r="B655" s="887"/>
      <c r="C655" s="867"/>
      <c r="D655" s="889"/>
      <c r="E655" s="465" t="s">
        <v>2130</v>
      </c>
      <c r="F655" s="466" t="s">
        <v>1315</v>
      </c>
      <c r="G655" s="867"/>
      <c r="H655" s="868"/>
      <c r="I655" s="869"/>
      <c r="J655" s="857"/>
    </row>
    <row r="656" spans="1:10" s="483" customFormat="1" ht="60">
      <c r="A656" s="867"/>
      <c r="B656" s="887"/>
      <c r="C656" s="867"/>
      <c r="D656" s="889"/>
      <c r="E656" s="465" t="s">
        <v>2131</v>
      </c>
      <c r="F656" s="466" t="s">
        <v>1315</v>
      </c>
      <c r="G656" s="467">
        <v>72</v>
      </c>
      <c r="H656" s="457">
        <v>165</v>
      </c>
      <c r="I656" s="527">
        <v>11880</v>
      </c>
      <c r="J656" s="857"/>
    </row>
    <row r="657" spans="1:10" s="483" customFormat="1" ht="60">
      <c r="A657" s="867"/>
      <c r="B657" s="887"/>
      <c r="C657" s="867"/>
      <c r="D657" s="889"/>
      <c r="E657" s="465" t="s">
        <v>2132</v>
      </c>
      <c r="F657" s="466" t="s">
        <v>1315</v>
      </c>
      <c r="G657" s="467">
        <v>531</v>
      </c>
      <c r="H657" s="457">
        <v>165</v>
      </c>
      <c r="I657" s="527">
        <v>87615</v>
      </c>
      <c r="J657" s="857"/>
    </row>
    <row r="658" spans="1:10" s="483" customFormat="1">
      <c r="A658" s="867"/>
      <c r="B658" s="887"/>
      <c r="C658" s="867"/>
      <c r="D658" s="889"/>
      <c r="E658" s="465" t="s">
        <v>2133</v>
      </c>
      <c r="F658" s="466" t="s">
        <v>1372</v>
      </c>
      <c r="G658" s="467">
        <v>50</v>
      </c>
      <c r="H658" s="457">
        <v>165.78</v>
      </c>
      <c r="I658" s="527">
        <v>8289</v>
      </c>
      <c r="J658" s="857"/>
    </row>
    <row r="659" spans="1:10" s="485" customFormat="1">
      <c r="A659" s="886"/>
      <c r="B659" s="888"/>
      <c r="C659" s="886"/>
      <c r="D659" s="458" t="s">
        <v>1332</v>
      </c>
      <c r="E659" s="459"/>
      <c r="F659" s="460"/>
      <c r="G659" s="463"/>
      <c r="H659" s="462"/>
      <c r="I659" s="510">
        <v>893324</v>
      </c>
      <c r="J659" s="857"/>
    </row>
    <row r="660" spans="1:10" s="485" customFormat="1">
      <c r="A660" s="886"/>
      <c r="B660" s="888"/>
      <c r="C660" s="886"/>
      <c r="D660" s="458" t="s">
        <v>1742</v>
      </c>
      <c r="E660" s="459"/>
      <c r="F660" s="460"/>
      <c r="G660" s="463"/>
      <c r="H660" s="462"/>
      <c r="I660" s="510">
        <v>107198.88</v>
      </c>
      <c r="J660" s="857"/>
    </row>
    <row r="661" spans="1:10" s="485" customFormat="1">
      <c r="A661" s="886"/>
      <c r="B661" s="888"/>
      <c r="C661" s="886"/>
      <c r="D661" s="458" t="s">
        <v>1342</v>
      </c>
      <c r="E661" s="459"/>
      <c r="F661" s="460"/>
      <c r="G661" s="463"/>
      <c r="H661" s="462"/>
      <c r="I661" s="510">
        <v>1000522.88</v>
      </c>
      <c r="J661" s="858"/>
    </row>
    <row r="662" spans="1:10" s="452" customFormat="1">
      <c r="A662" s="478" t="s">
        <v>2095</v>
      </c>
      <c r="B662" s="479" t="s">
        <v>1451</v>
      </c>
      <c r="C662" s="480"/>
      <c r="D662" s="481" t="s">
        <v>17</v>
      </c>
      <c r="E662" s="479"/>
      <c r="F662" s="480"/>
      <c r="G662" s="463"/>
      <c r="H662" s="482"/>
      <c r="I662" s="522">
        <f>I577+I583+I591+I600+I609+I614+I621+I629+I637+I653+I661</f>
        <v>5429482.6233999999</v>
      </c>
      <c r="J662" s="537">
        <f>SUM(J572:J661)</f>
        <v>4693649</v>
      </c>
    </row>
    <row r="663" spans="1:10">
      <c r="A663" s="479"/>
      <c r="B663" s="479" t="s">
        <v>2135</v>
      </c>
      <c r="C663" s="479"/>
      <c r="D663" s="479"/>
      <c r="E663" s="479"/>
      <c r="F663" s="479"/>
      <c r="G663" s="524"/>
      <c r="H663" s="525"/>
      <c r="I663" s="535">
        <f>I66+I125+I206+I326+I332+I497+I544+I571+I662</f>
        <v>66192188.346429877</v>
      </c>
      <c r="J663" s="537">
        <f>J66+J125+J206+J326+J332+J497+J544+J571+J662</f>
        <v>57662875</v>
      </c>
    </row>
  </sheetData>
  <mergeCells count="404">
    <mergeCell ref="A2:A3"/>
    <mergeCell ref="B2:B3"/>
    <mergeCell ref="C2:C3"/>
    <mergeCell ref="D2:D3"/>
    <mergeCell ref="E2:E3"/>
    <mergeCell ref="F2:F3"/>
    <mergeCell ref="G2:I2"/>
    <mergeCell ref="A1:J1"/>
    <mergeCell ref="A24:A29"/>
    <mergeCell ref="B24:B29"/>
    <mergeCell ref="C24:C29"/>
    <mergeCell ref="D24:D26"/>
    <mergeCell ref="I5:I6"/>
    <mergeCell ref="A11:A15"/>
    <mergeCell ref="B11:B15"/>
    <mergeCell ref="C11:C15"/>
    <mergeCell ref="D11:D12"/>
    <mergeCell ref="A16:A23"/>
    <mergeCell ref="B16:B23"/>
    <mergeCell ref="C16:C23"/>
    <mergeCell ref="D17:D19"/>
    <mergeCell ref="G17:G18"/>
    <mergeCell ref="A4:A10"/>
    <mergeCell ref="B4:B10"/>
    <mergeCell ref="A67:A74"/>
    <mergeCell ref="B67:B74"/>
    <mergeCell ref="C67:C74"/>
    <mergeCell ref="A75:A80"/>
    <mergeCell ref="B75:B80"/>
    <mergeCell ref="C75:C80"/>
    <mergeCell ref="C4:C10"/>
    <mergeCell ref="D4:D6"/>
    <mergeCell ref="G5:G6"/>
    <mergeCell ref="A30:A65"/>
    <mergeCell ref="B30:B65"/>
    <mergeCell ref="C30:C65"/>
    <mergeCell ref="D30:D39"/>
    <mergeCell ref="D40:D46"/>
    <mergeCell ref="D47:D60"/>
    <mergeCell ref="A98:A102"/>
    <mergeCell ref="B98:B102"/>
    <mergeCell ref="C98:C102"/>
    <mergeCell ref="D98:D99"/>
    <mergeCell ref="A103:A108"/>
    <mergeCell ref="B103:B108"/>
    <mergeCell ref="C103:C108"/>
    <mergeCell ref="D103:D104"/>
    <mergeCell ref="D75:D76"/>
    <mergeCell ref="A81:A93"/>
    <mergeCell ref="B81:B93"/>
    <mergeCell ref="C81:C93"/>
    <mergeCell ref="D88:D90"/>
    <mergeCell ref="A94:A97"/>
    <mergeCell ref="B94:B97"/>
    <mergeCell ref="C94:C97"/>
    <mergeCell ref="A132:A137"/>
    <mergeCell ref="B132:B137"/>
    <mergeCell ref="C132:C137"/>
    <mergeCell ref="D132:D133"/>
    <mergeCell ref="A138:A145"/>
    <mergeCell ref="B138:B145"/>
    <mergeCell ref="C138:C145"/>
    <mergeCell ref="D138:D141"/>
    <mergeCell ref="A109:A124"/>
    <mergeCell ref="B109:B124"/>
    <mergeCell ref="C109:C124"/>
    <mergeCell ref="D109:D120"/>
    <mergeCell ref="A126:A131"/>
    <mergeCell ref="B126:B131"/>
    <mergeCell ref="C126:C131"/>
    <mergeCell ref="D126:D128"/>
    <mergeCell ref="A162:A169"/>
    <mergeCell ref="B162:B169"/>
    <mergeCell ref="C162:C169"/>
    <mergeCell ref="D162:D164"/>
    <mergeCell ref="A170:A173"/>
    <mergeCell ref="B170:B173"/>
    <mergeCell ref="C170:C173"/>
    <mergeCell ref="A146:A153"/>
    <mergeCell ref="B146:B153"/>
    <mergeCell ref="C146:C153"/>
    <mergeCell ref="D146:D149"/>
    <mergeCell ref="A154:A161"/>
    <mergeCell ref="B154:B161"/>
    <mergeCell ref="C154:C161"/>
    <mergeCell ref="D154:D157"/>
    <mergeCell ref="A190:A200"/>
    <mergeCell ref="B190:B200"/>
    <mergeCell ref="C190:C200"/>
    <mergeCell ref="D190:D197"/>
    <mergeCell ref="A201:A205"/>
    <mergeCell ref="B201:B205"/>
    <mergeCell ref="C201:C205"/>
    <mergeCell ref="A174:A182"/>
    <mergeCell ref="B174:B182"/>
    <mergeCell ref="C174:C182"/>
    <mergeCell ref="D174:D176"/>
    <mergeCell ref="D177:D178"/>
    <mergeCell ref="A183:A189"/>
    <mergeCell ref="B183:B189"/>
    <mergeCell ref="C183:C189"/>
    <mergeCell ref="D183:D185"/>
    <mergeCell ref="E235:E236"/>
    <mergeCell ref="A241:A247"/>
    <mergeCell ref="B241:B247"/>
    <mergeCell ref="C241:C247"/>
    <mergeCell ref="D242:D243"/>
    <mergeCell ref="A207:A214"/>
    <mergeCell ref="B207:B214"/>
    <mergeCell ref="C207:C214"/>
    <mergeCell ref="D207:D209"/>
    <mergeCell ref="A215:A225"/>
    <mergeCell ref="B215:B225"/>
    <mergeCell ref="C215:C225"/>
    <mergeCell ref="D215:D220"/>
    <mergeCell ref="A248:A253"/>
    <mergeCell ref="B248:B253"/>
    <mergeCell ref="C248:C253"/>
    <mergeCell ref="D248:D249"/>
    <mergeCell ref="A254:A258"/>
    <mergeCell ref="B254:B258"/>
    <mergeCell ref="C254:C258"/>
    <mergeCell ref="A226:A240"/>
    <mergeCell ref="B226:B240"/>
    <mergeCell ref="C226:C240"/>
    <mergeCell ref="D226:D236"/>
    <mergeCell ref="A281:A290"/>
    <mergeCell ref="B281:B290"/>
    <mergeCell ref="C281:C290"/>
    <mergeCell ref="D281:D282"/>
    <mergeCell ref="D283:D284"/>
    <mergeCell ref="A291:A297"/>
    <mergeCell ref="B291:B297"/>
    <mergeCell ref="C291:C297"/>
    <mergeCell ref="A259:A272"/>
    <mergeCell ref="B259:B272"/>
    <mergeCell ref="C259:C272"/>
    <mergeCell ref="D263:D266"/>
    <mergeCell ref="A273:A280"/>
    <mergeCell ref="B273:B280"/>
    <mergeCell ref="C273:C280"/>
    <mergeCell ref="A315:A325"/>
    <mergeCell ref="B315:B325"/>
    <mergeCell ref="C315:C325"/>
    <mergeCell ref="D315:D318"/>
    <mergeCell ref="G320:G323"/>
    <mergeCell ref="H320:H323"/>
    <mergeCell ref="I320:I323"/>
    <mergeCell ref="A298:A303"/>
    <mergeCell ref="B298:B303"/>
    <mergeCell ref="C298:C303"/>
    <mergeCell ref="D298:D299"/>
    <mergeCell ref="A304:A314"/>
    <mergeCell ref="B304:B314"/>
    <mergeCell ref="C304:C314"/>
    <mergeCell ref="D304:D307"/>
    <mergeCell ref="A341:A349"/>
    <mergeCell ref="B341:B349"/>
    <mergeCell ref="C341:C349"/>
    <mergeCell ref="D341:D343"/>
    <mergeCell ref="D344:D345"/>
    <mergeCell ref="A350:A354"/>
    <mergeCell ref="B350:B354"/>
    <mergeCell ref="C350:C354"/>
    <mergeCell ref="A327:A331"/>
    <mergeCell ref="B327:B331"/>
    <mergeCell ref="C327:C331"/>
    <mergeCell ref="A333:A340"/>
    <mergeCell ref="B333:B340"/>
    <mergeCell ref="C333:C340"/>
    <mergeCell ref="D361:D362"/>
    <mergeCell ref="A367:A371"/>
    <mergeCell ref="B367:B371"/>
    <mergeCell ref="C367:C371"/>
    <mergeCell ref="A372:A382"/>
    <mergeCell ref="B372:B382"/>
    <mergeCell ref="C372:C382"/>
    <mergeCell ref="D373:D378"/>
    <mergeCell ref="A355:A360"/>
    <mergeCell ref="B355:B360"/>
    <mergeCell ref="C355:C360"/>
    <mergeCell ref="A361:A366"/>
    <mergeCell ref="B361:B366"/>
    <mergeCell ref="C361:C366"/>
    <mergeCell ref="A383:A389"/>
    <mergeCell ref="B383:B389"/>
    <mergeCell ref="C383:C389"/>
    <mergeCell ref="D383:D384"/>
    <mergeCell ref="A390:A405"/>
    <mergeCell ref="B390:B405"/>
    <mergeCell ref="C390:C405"/>
    <mergeCell ref="D390:D392"/>
    <mergeCell ref="D393:D394"/>
    <mergeCell ref="D395:D396"/>
    <mergeCell ref="F416:F417"/>
    <mergeCell ref="E421:E422"/>
    <mergeCell ref="F421:F422"/>
    <mergeCell ref="D397:D399"/>
    <mergeCell ref="D400:D401"/>
    <mergeCell ref="A406:A413"/>
    <mergeCell ref="B406:B413"/>
    <mergeCell ref="C406:C413"/>
    <mergeCell ref="D407:D409"/>
    <mergeCell ref="F475:F476"/>
    <mergeCell ref="D482:D487"/>
    <mergeCell ref="D488:D491"/>
    <mergeCell ref="A498:A508"/>
    <mergeCell ref="B498:B508"/>
    <mergeCell ref="C498:C508"/>
    <mergeCell ref="D498:D501"/>
    <mergeCell ref="D436:D450"/>
    <mergeCell ref="E448:E449"/>
    <mergeCell ref="F448:F449"/>
    <mergeCell ref="D451:D465"/>
    <mergeCell ref="D466:D481"/>
    <mergeCell ref="E466:E468"/>
    <mergeCell ref="F466:F468"/>
    <mergeCell ref="E471:E472"/>
    <mergeCell ref="F471:F472"/>
    <mergeCell ref="E475:E476"/>
    <mergeCell ref="A414:A496"/>
    <mergeCell ref="B414:B496"/>
    <mergeCell ref="C414:C496"/>
    <mergeCell ref="D414:D435"/>
    <mergeCell ref="E414:E415"/>
    <mergeCell ref="F414:F415"/>
    <mergeCell ref="E416:E417"/>
    <mergeCell ref="A509:A523"/>
    <mergeCell ref="B509:B523"/>
    <mergeCell ref="C509:C523"/>
    <mergeCell ref="D509:D516"/>
    <mergeCell ref="E509:E510"/>
    <mergeCell ref="F509:F510"/>
    <mergeCell ref="D517:D519"/>
    <mergeCell ref="H498:H499"/>
    <mergeCell ref="I498:I499"/>
    <mergeCell ref="F500:F501"/>
    <mergeCell ref="D502:D504"/>
    <mergeCell ref="H502:H503"/>
    <mergeCell ref="I502:I503"/>
    <mergeCell ref="A545:A551"/>
    <mergeCell ref="B545:B551"/>
    <mergeCell ref="C545:C551"/>
    <mergeCell ref="D545:D546"/>
    <mergeCell ref="G545:G546"/>
    <mergeCell ref="H545:H546"/>
    <mergeCell ref="I526:I527"/>
    <mergeCell ref="D529:D531"/>
    <mergeCell ref="H529:H530"/>
    <mergeCell ref="I529:I530"/>
    <mergeCell ref="A536:A543"/>
    <mergeCell ref="B536:B543"/>
    <mergeCell ref="C536:C543"/>
    <mergeCell ref="D537:D539"/>
    <mergeCell ref="A524:A535"/>
    <mergeCell ref="B524:B535"/>
    <mergeCell ref="C524:C535"/>
    <mergeCell ref="D524:D525"/>
    <mergeCell ref="H524:H525"/>
    <mergeCell ref="I524:I525"/>
    <mergeCell ref="D526:D528"/>
    <mergeCell ref="H526:H527"/>
    <mergeCell ref="A552:A558"/>
    <mergeCell ref="B552:B558"/>
    <mergeCell ref="C552:C558"/>
    <mergeCell ref="D552:D555"/>
    <mergeCell ref="A559:A570"/>
    <mergeCell ref="B559:B570"/>
    <mergeCell ref="C559:C570"/>
    <mergeCell ref="D559:D566"/>
    <mergeCell ref="E559:E566"/>
    <mergeCell ref="A578:A583"/>
    <mergeCell ref="B578:B583"/>
    <mergeCell ref="C578:C583"/>
    <mergeCell ref="D578:D580"/>
    <mergeCell ref="A584:A591"/>
    <mergeCell ref="B584:B591"/>
    <mergeCell ref="C584:C591"/>
    <mergeCell ref="D584:D587"/>
    <mergeCell ref="F559:F566"/>
    <mergeCell ref="A572:A577"/>
    <mergeCell ref="B572:B577"/>
    <mergeCell ref="C572:C577"/>
    <mergeCell ref="D572:D573"/>
    <mergeCell ref="E572:E573"/>
    <mergeCell ref="F572:F573"/>
    <mergeCell ref="A601:A609"/>
    <mergeCell ref="B601:B609"/>
    <mergeCell ref="C601:C609"/>
    <mergeCell ref="D601:D606"/>
    <mergeCell ref="E601:E606"/>
    <mergeCell ref="F601:F606"/>
    <mergeCell ref="A592:A600"/>
    <mergeCell ref="B592:B600"/>
    <mergeCell ref="C592:C600"/>
    <mergeCell ref="D592:D597"/>
    <mergeCell ref="E592:E597"/>
    <mergeCell ref="F592:F597"/>
    <mergeCell ref="D615:D617"/>
    <mergeCell ref="D620:E620"/>
    <mergeCell ref="A622:A629"/>
    <mergeCell ref="B622:B629"/>
    <mergeCell ref="C622:C629"/>
    <mergeCell ref="D622:D625"/>
    <mergeCell ref="A610:A614"/>
    <mergeCell ref="B610:B614"/>
    <mergeCell ref="C610:C614"/>
    <mergeCell ref="A615:A621"/>
    <mergeCell ref="B615:B621"/>
    <mergeCell ref="C615:C621"/>
    <mergeCell ref="E638:E643"/>
    <mergeCell ref="F638:F643"/>
    <mergeCell ref="D645:D649"/>
    <mergeCell ref="A654:A661"/>
    <mergeCell ref="B654:B661"/>
    <mergeCell ref="C654:C661"/>
    <mergeCell ref="D654:D658"/>
    <mergeCell ref="A630:A637"/>
    <mergeCell ref="B630:B637"/>
    <mergeCell ref="C630:C637"/>
    <mergeCell ref="D630:D633"/>
    <mergeCell ref="A638:A653"/>
    <mergeCell ref="B638:B653"/>
    <mergeCell ref="C638:C653"/>
    <mergeCell ref="D638:D643"/>
    <mergeCell ref="G654:G655"/>
    <mergeCell ref="H654:H655"/>
    <mergeCell ref="I654:I655"/>
    <mergeCell ref="J2:J3"/>
    <mergeCell ref="J4:J10"/>
    <mergeCell ref="J11:J15"/>
    <mergeCell ref="J16:J23"/>
    <mergeCell ref="J24:J29"/>
    <mergeCell ref="J30:J65"/>
    <mergeCell ref="I545:I546"/>
    <mergeCell ref="H517:H518"/>
    <mergeCell ref="I517:I518"/>
    <mergeCell ref="G309:G312"/>
    <mergeCell ref="H309:H312"/>
    <mergeCell ref="I309:I312"/>
    <mergeCell ref="H17:H18"/>
    <mergeCell ref="I17:I18"/>
    <mergeCell ref="J109:J124"/>
    <mergeCell ref="J126:J131"/>
    <mergeCell ref="J132:J137"/>
    <mergeCell ref="J138:J145"/>
    <mergeCell ref="J146:J153"/>
    <mergeCell ref="J154:J161"/>
    <mergeCell ref="H5:H6"/>
    <mergeCell ref="J67:J74"/>
    <mergeCell ref="J75:J80"/>
    <mergeCell ref="J81:J93"/>
    <mergeCell ref="J94:J97"/>
    <mergeCell ref="J98:J102"/>
    <mergeCell ref="J103:J108"/>
    <mergeCell ref="J207:J214"/>
    <mergeCell ref="J215:J225"/>
    <mergeCell ref="J226:J240"/>
    <mergeCell ref="J241:J247"/>
    <mergeCell ref="J248:J253"/>
    <mergeCell ref="J254:J258"/>
    <mergeCell ref="J162:J169"/>
    <mergeCell ref="J170:J173"/>
    <mergeCell ref="J175:J182"/>
    <mergeCell ref="J183:J189"/>
    <mergeCell ref="J190:J200"/>
    <mergeCell ref="J201:J205"/>
    <mergeCell ref="J315:J325"/>
    <mergeCell ref="J327:J331"/>
    <mergeCell ref="J333:J340"/>
    <mergeCell ref="J341:J349"/>
    <mergeCell ref="J350:J354"/>
    <mergeCell ref="J355:J360"/>
    <mergeCell ref="J259:J272"/>
    <mergeCell ref="J273:J280"/>
    <mergeCell ref="J281:J290"/>
    <mergeCell ref="J291:J297"/>
    <mergeCell ref="J298:J303"/>
    <mergeCell ref="J304:J314"/>
    <mergeCell ref="J414:J496"/>
    <mergeCell ref="J498:J508"/>
    <mergeCell ref="J509:J523"/>
    <mergeCell ref="J524:J535"/>
    <mergeCell ref="J536:J543"/>
    <mergeCell ref="J545:J551"/>
    <mergeCell ref="J361:J366"/>
    <mergeCell ref="J367:J371"/>
    <mergeCell ref="J372:J382"/>
    <mergeCell ref="J383:J389"/>
    <mergeCell ref="J390:J405"/>
    <mergeCell ref="J406:J413"/>
    <mergeCell ref="J610:J614"/>
    <mergeCell ref="J615:J621"/>
    <mergeCell ref="J622:J629"/>
    <mergeCell ref="J630:J637"/>
    <mergeCell ref="J638:J653"/>
    <mergeCell ref="J654:J661"/>
    <mergeCell ref="J552:J558"/>
    <mergeCell ref="J560:J570"/>
    <mergeCell ref="J572:J577"/>
    <mergeCell ref="J578:J583"/>
    <mergeCell ref="J592:J600"/>
    <mergeCell ref="J601:J609"/>
    <mergeCell ref="J584:J591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95" orientation="landscape" r:id="rId1"/>
  <headerFooter>
    <oddFooter>第 &amp;P 页，共 &amp;N 页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topLeftCell="A22" workbookViewId="0">
      <selection sqref="A1:K1"/>
    </sheetView>
  </sheetViews>
  <sheetFormatPr defaultRowHeight="13.5"/>
  <cols>
    <col min="1" max="1" width="9" style="274"/>
    <col min="2" max="4" width="9" style="195"/>
    <col min="5" max="5" width="11.25" style="195" customWidth="1"/>
    <col min="6" max="6" width="14.625" style="195" customWidth="1"/>
    <col min="7" max="9" width="9" style="195"/>
    <col min="10" max="10" width="10.875" style="275" customWidth="1"/>
    <col min="11" max="16384" width="9" style="195"/>
  </cols>
  <sheetData>
    <row r="1" spans="1:11" ht="32.1" customHeight="1">
      <c r="A1" s="941" t="s">
        <v>1343</v>
      </c>
      <c r="B1" s="941"/>
      <c r="C1" s="941"/>
      <c r="D1" s="941"/>
      <c r="E1" s="941"/>
      <c r="F1" s="941"/>
      <c r="G1" s="941"/>
      <c r="H1" s="941"/>
      <c r="I1" s="941"/>
      <c r="J1" s="941"/>
      <c r="K1" s="941"/>
    </row>
    <row r="2" spans="1:11" s="262" customFormat="1" ht="32.1" customHeight="1">
      <c r="A2" s="257" t="s">
        <v>12</v>
      </c>
      <c r="B2" s="257" t="s">
        <v>1303</v>
      </c>
      <c r="C2" s="257" t="s">
        <v>1304</v>
      </c>
      <c r="D2" s="257" t="s">
        <v>1305</v>
      </c>
      <c r="E2" s="258" t="s">
        <v>1306</v>
      </c>
      <c r="F2" s="259" t="s">
        <v>1307</v>
      </c>
      <c r="G2" s="257" t="s">
        <v>1</v>
      </c>
      <c r="H2" s="257" t="s">
        <v>1308</v>
      </c>
      <c r="I2" s="258" t="s">
        <v>1309</v>
      </c>
      <c r="J2" s="260" t="s">
        <v>1310</v>
      </c>
      <c r="K2" s="261" t="s">
        <v>18</v>
      </c>
    </row>
    <row r="3" spans="1:11" ht="32.1" customHeight="1">
      <c r="A3" s="942">
        <v>1</v>
      </c>
      <c r="B3" s="943" t="s">
        <v>246</v>
      </c>
      <c r="C3" s="943" t="s">
        <v>1344</v>
      </c>
      <c r="D3" s="945" t="s">
        <v>1312</v>
      </c>
      <c r="E3" s="276" t="s">
        <v>1345</v>
      </c>
      <c r="F3" s="277" t="s">
        <v>1346</v>
      </c>
      <c r="G3" s="277" t="s">
        <v>1347</v>
      </c>
      <c r="H3" s="277">
        <v>66</v>
      </c>
      <c r="I3" s="276">
        <v>72</v>
      </c>
      <c r="J3" s="278">
        <f t="shared" ref="J3:J20" si="0">H3*I3</f>
        <v>4752</v>
      </c>
      <c r="K3" s="279"/>
    </row>
    <row r="4" spans="1:11" ht="32.1" customHeight="1">
      <c r="A4" s="942"/>
      <c r="B4" s="943"/>
      <c r="C4" s="943"/>
      <c r="D4" s="945"/>
      <c r="E4" s="280"/>
      <c r="F4" s="277" t="s">
        <v>1348</v>
      </c>
      <c r="G4" s="277" t="s">
        <v>1330</v>
      </c>
      <c r="H4" s="277">
        <v>1</v>
      </c>
      <c r="I4" s="276">
        <v>3700</v>
      </c>
      <c r="J4" s="278">
        <f t="shared" si="0"/>
        <v>3700</v>
      </c>
      <c r="K4" s="279"/>
    </row>
    <row r="5" spans="1:11" ht="32.1" customHeight="1">
      <c r="A5" s="942"/>
      <c r="B5" s="943"/>
      <c r="C5" s="943"/>
      <c r="D5" s="945"/>
      <c r="E5" s="280"/>
      <c r="F5" s="277" t="s">
        <v>1349</v>
      </c>
      <c r="G5" s="277" t="s">
        <v>1330</v>
      </c>
      <c r="H5" s="277">
        <v>1</v>
      </c>
      <c r="I5" s="276">
        <v>16848</v>
      </c>
      <c r="J5" s="278">
        <f t="shared" si="0"/>
        <v>16848</v>
      </c>
      <c r="K5" s="281" t="s">
        <v>1350</v>
      </c>
    </row>
    <row r="6" spans="1:11" ht="32.1" customHeight="1">
      <c r="A6" s="942"/>
      <c r="B6" s="943"/>
      <c r="C6" s="943"/>
      <c r="D6" s="945"/>
      <c r="E6" s="280"/>
      <c r="F6" s="277" t="s">
        <v>1351</v>
      </c>
      <c r="G6" s="277" t="s">
        <v>1347</v>
      </c>
      <c r="H6" s="277">
        <v>66</v>
      </c>
      <c r="I6" s="276">
        <v>355</v>
      </c>
      <c r="J6" s="278">
        <f t="shared" si="0"/>
        <v>23430</v>
      </c>
      <c r="K6" s="281" t="s">
        <v>1352</v>
      </c>
    </row>
    <row r="7" spans="1:11" ht="32.1" customHeight="1">
      <c r="A7" s="942"/>
      <c r="B7" s="943"/>
      <c r="C7" s="943"/>
      <c r="D7" s="945"/>
      <c r="E7" s="280"/>
      <c r="F7" s="277" t="s">
        <v>1353</v>
      </c>
      <c r="G7" s="277" t="s">
        <v>1330</v>
      </c>
      <c r="H7" s="277">
        <v>1</v>
      </c>
      <c r="I7" s="276">
        <v>1500</v>
      </c>
      <c r="J7" s="278">
        <f t="shared" si="0"/>
        <v>1500</v>
      </c>
      <c r="K7" s="279"/>
    </row>
    <row r="8" spans="1:11" ht="32.1" customHeight="1">
      <c r="A8" s="942"/>
      <c r="B8" s="943"/>
      <c r="C8" s="943"/>
      <c r="D8" s="945"/>
      <c r="E8" s="276" t="s">
        <v>1354</v>
      </c>
      <c r="F8" s="277" t="s">
        <v>1355</v>
      </c>
      <c r="G8" s="277" t="s">
        <v>1356</v>
      </c>
      <c r="H8" s="277">
        <v>3</v>
      </c>
      <c r="I8" s="277">
        <v>2380</v>
      </c>
      <c r="J8" s="278">
        <f t="shared" si="0"/>
        <v>7140</v>
      </c>
      <c r="K8" s="282" t="s">
        <v>1357</v>
      </c>
    </row>
    <row r="9" spans="1:11" ht="32.1" customHeight="1">
      <c r="A9" s="942"/>
      <c r="B9" s="943"/>
      <c r="C9" s="943"/>
      <c r="D9" s="945"/>
      <c r="E9" s="280"/>
      <c r="F9" s="277" t="s">
        <v>1358</v>
      </c>
      <c r="G9" s="277" t="s">
        <v>1359</v>
      </c>
      <c r="H9" s="277">
        <v>1</v>
      </c>
      <c r="I9" s="277">
        <v>120</v>
      </c>
      <c r="J9" s="278">
        <f t="shared" si="0"/>
        <v>120</v>
      </c>
      <c r="K9" s="282" t="s">
        <v>1360</v>
      </c>
    </row>
    <row r="10" spans="1:11" ht="32.1" customHeight="1">
      <c r="A10" s="942"/>
      <c r="B10" s="943"/>
      <c r="C10" s="943"/>
      <c r="D10" s="945"/>
      <c r="E10" s="280"/>
      <c r="F10" s="277" t="s">
        <v>1361</v>
      </c>
      <c r="G10" s="277" t="s">
        <v>1362</v>
      </c>
      <c r="H10" s="277">
        <v>1</v>
      </c>
      <c r="I10" s="277">
        <v>90</v>
      </c>
      <c r="J10" s="278">
        <f t="shared" si="0"/>
        <v>90</v>
      </c>
      <c r="K10" s="282" t="s">
        <v>1363</v>
      </c>
    </row>
    <row r="11" spans="1:11" ht="32.1" customHeight="1">
      <c r="A11" s="942"/>
      <c r="B11" s="943"/>
      <c r="C11" s="943"/>
      <c r="D11" s="945"/>
      <c r="E11" s="280"/>
      <c r="F11" s="277" t="s">
        <v>1364</v>
      </c>
      <c r="G11" s="277" t="s">
        <v>1365</v>
      </c>
      <c r="H11" s="277">
        <v>1</v>
      </c>
      <c r="I11" s="277">
        <v>20</v>
      </c>
      <c r="J11" s="278">
        <f t="shared" si="0"/>
        <v>20</v>
      </c>
      <c r="K11" s="282" t="s">
        <v>1366</v>
      </c>
    </row>
    <row r="12" spans="1:11" ht="32.1" customHeight="1">
      <c r="A12" s="942"/>
      <c r="B12" s="943"/>
      <c r="C12" s="943"/>
      <c r="D12" s="945"/>
      <c r="E12" s="280"/>
      <c r="F12" s="277" t="s">
        <v>1367</v>
      </c>
      <c r="G12" s="277" t="s">
        <v>1362</v>
      </c>
      <c r="H12" s="277">
        <v>20</v>
      </c>
      <c r="I12" s="277">
        <v>35</v>
      </c>
      <c r="J12" s="278">
        <f t="shared" si="0"/>
        <v>700</v>
      </c>
      <c r="K12" s="282" t="s">
        <v>1368</v>
      </c>
    </row>
    <row r="13" spans="1:11" ht="32.1" customHeight="1">
      <c r="A13" s="942"/>
      <c r="B13" s="943"/>
      <c r="C13" s="943"/>
      <c r="D13" s="945"/>
      <c r="E13" s="280"/>
      <c r="F13" s="277" t="s">
        <v>1369</v>
      </c>
      <c r="G13" s="277" t="s">
        <v>1365</v>
      </c>
      <c r="H13" s="277">
        <v>20</v>
      </c>
      <c r="I13" s="277">
        <v>20</v>
      </c>
      <c r="J13" s="278">
        <f t="shared" si="0"/>
        <v>400</v>
      </c>
      <c r="K13" s="282" t="s">
        <v>1370</v>
      </c>
    </row>
    <row r="14" spans="1:11" ht="32.1" customHeight="1">
      <c r="A14" s="942"/>
      <c r="B14" s="943"/>
      <c r="C14" s="943"/>
      <c r="D14" s="945"/>
      <c r="E14" s="280"/>
      <c r="F14" s="277" t="s">
        <v>1371</v>
      </c>
      <c r="G14" s="277" t="s">
        <v>1372</v>
      </c>
      <c r="H14" s="277">
        <v>600</v>
      </c>
      <c r="I14" s="277">
        <v>1</v>
      </c>
      <c r="J14" s="278">
        <f t="shared" si="0"/>
        <v>600</v>
      </c>
      <c r="K14" s="282" t="s">
        <v>1373</v>
      </c>
    </row>
    <row r="15" spans="1:11" ht="32.1" customHeight="1">
      <c r="A15" s="942"/>
      <c r="B15" s="943"/>
      <c r="C15" s="943"/>
      <c r="D15" s="945"/>
      <c r="E15" s="280"/>
      <c r="F15" s="277" t="s">
        <v>1374</v>
      </c>
      <c r="G15" s="277" t="s">
        <v>1375</v>
      </c>
      <c r="H15" s="277">
        <v>12</v>
      </c>
      <c r="I15" s="277">
        <v>15</v>
      </c>
      <c r="J15" s="278">
        <f t="shared" si="0"/>
        <v>180</v>
      </c>
      <c r="K15" s="282" t="s">
        <v>1376</v>
      </c>
    </row>
    <row r="16" spans="1:11" ht="32.1" customHeight="1">
      <c r="A16" s="942"/>
      <c r="B16" s="943"/>
      <c r="C16" s="943"/>
      <c r="D16" s="945"/>
      <c r="E16" s="280"/>
      <c r="F16" s="277" t="s">
        <v>1377</v>
      </c>
      <c r="G16" s="277" t="s">
        <v>1375</v>
      </c>
      <c r="H16" s="277">
        <v>12</v>
      </c>
      <c r="I16" s="277">
        <v>18</v>
      </c>
      <c r="J16" s="278">
        <f t="shared" si="0"/>
        <v>216</v>
      </c>
      <c r="K16" s="282" t="s">
        <v>1376</v>
      </c>
    </row>
    <row r="17" spans="1:14" ht="32.1" customHeight="1">
      <c r="A17" s="942"/>
      <c r="B17" s="943"/>
      <c r="C17" s="943"/>
      <c r="D17" s="945"/>
      <c r="E17" s="280"/>
      <c r="F17" s="277" t="s">
        <v>1378</v>
      </c>
      <c r="G17" s="277" t="s">
        <v>1379</v>
      </c>
      <c r="H17" s="277">
        <v>10</v>
      </c>
      <c r="I17" s="277">
        <v>10</v>
      </c>
      <c r="J17" s="278">
        <f t="shared" si="0"/>
        <v>100</v>
      </c>
      <c r="K17" s="282" t="s">
        <v>1380</v>
      </c>
    </row>
    <row r="18" spans="1:14" ht="32.1" customHeight="1">
      <c r="A18" s="942"/>
      <c r="B18" s="943"/>
      <c r="C18" s="943"/>
      <c r="D18" s="945"/>
      <c r="E18" s="280"/>
      <c r="F18" s="277" t="s">
        <v>1381</v>
      </c>
      <c r="G18" s="277" t="s">
        <v>1382</v>
      </c>
      <c r="H18" s="277">
        <v>50</v>
      </c>
      <c r="I18" s="277">
        <v>0.8</v>
      </c>
      <c r="J18" s="278">
        <f t="shared" si="0"/>
        <v>40</v>
      </c>
      <c r="K18" s="282" t="s">
        <v>1383</v>
      </c>
    </row>
    <row r="19" spans="1:14" ht="32.1" customHeight="1">
      <c r="A19" s="942"/>
      <c r="B19" s="943"/>
      <c r="C19" s="943"/>
      <c r="D19" s="945"/>
      <c r="E19" s="280"/>
      <c r="F19" s="277" t="s">
        <v>1384</v>
      </c>
      <c r="G19" s="277" t="s">
        <v>1385</v>
      </c>
      <c r="H19" s="277">
        <v>1</v>
      </c>
      <c r="I19" s="277">
        <v>300</v>
      </c>
      <c r="J19" s="278">
        <f t="shared" si="0"/>
        <v>300</v>
      </c>
      <c r="K19" s="282" t="s">
        <v>1386</v>
      </c>
    </row>
    <row r="20" spans="1:14" ht="32.1" customHeight="1">
      <c r="A20" s="942"/>
      <c r="B20" s="943"/>
      <c r="C20" s="943"/>
      <c r="D20" s="945"/>
      <c r="E20" s="280"/>
      <c r="F20" s="277" t="s">
        <v>1387</v>
      </c>
      <c r="G20" s="277" t="s">
        <v>1382</v>
      </c>
      <c r="H20" s="277">
        <v>6</v>
      </c>
      <c r="I20" s="277">
        <v>500</v>
      </c>
      <c r="J20" s="278">
        <f t="shared" si="0"/>
        <v>3000</v>
      </c>
      <c r="K20" s="282" t="s">
        <v>1388</v>
      </c>
    </row>
    <row r="21" spans="1:14" ht="32.1" customHeight="1">
      <c r="A21" s="942"/>
      <c r="B21" s="943"/>
      <c r="C21" s="943"/>
      <c r="D21" s="945"/>
      <c r="E21" s="283"/>
      <c r="F21" s="280"/>
      <c r="G21" s="280"/>
      <c r="H21" s="280"/>
      <c r="I21" s="280"/>
      <c r="J21" s="278"/>
      <c r="K21" s="284"/>
    </row>
    <row r="22" spans="1:14" ht="32.1" customHeight="1">
      <c r="A22" s="942"/>
      <c r="B22" s="943"/>
      <c r="C22" s="943"/>
      <c r="D22" s="945"/>
      <c r="E22" s="267" t="s">
        <v>1332</v>
      </c>
      <c r="F22" s="263"/>
      <c r="G22" s="263"/>
      <c r="H22" s="263"/>
      <c r="I22" s="263"/>
      <c r="J22" s="268">
        <f>SUM(J3:J20)</f>
        <v>63136</v>
      </c>
      <c r="K22" s="269" t="s">
        <v>1333</v>
      </c>
    </row>
    <row r="23" spans="1:14" ht="32.1" customHeight="1">
      <c r="A23" s="942"/>
      <c r="B23" s="943"/>
      <c r="C23" s="943"/>
      <c r="D23" s="945"/>
      <c r="E23" s="267" t="s">
        <v>1334</v>
      </c>
      <c r="F23" s="263"/>
      <c r="G23" s="263"/>
      <c r="H23" s="263"/>
      <c r="I23" s="263"/>
      <c r="J23" s="268">
        <v>2090</v>
      </c>
      <c r="K23" s="270" t="s">
        <v>1335</v>
      </c>
      <c r="L23" s="285"/>
      <c r="M23" s="285"/>
      <c r="N23" s="286"/>
    </row>
    <row r="24" spans="1:14" ht="32.1" customHeight="1">
      <c r="A24" s="942"/>
      <c r="B24" s="943"/>
      <c r="C24" s="943"/>
      <c r="D24" s="945"/>
      <c r="E24" s="271" t="s">
        <v>1336</v>
      </c>
      <c r="F24" s="263"/>
      <c r="G24" s="263"/>
      <c r="H24" s="263"/>
      <c r="I24" s="263"/>
      <c r="J24" s="272"/>
      <c r="K24" s="272" t="s">
        <v>1337</v>
      </c>
    </row>
    <row r="25" spans="1:14" ht="32.1" customHeight="1">
      <c r="A25" s="942"/>
      <c r="B25" s="943"/>
      <c r="C25" s="943"/>
      <c r="D25" s="945"/>
      <c r="E25" s="271" t="s">
        <v>1338</v>
      </c>
      <c r="F25" s="263"/>
      <c r="G25" s="263"/>
      <c r="H25" s="263"/>
      <c r="I25" s="263"/>
      <c r="J25" s="272"/>
      <c r="K25" s="272" t="s">
        <v>1339</v>
      </c>
    </row>
    <row r="26" spans="1:14" ht="32.1" customHeight="1">
      <c r="A26" s="942"/>
      <c r="B26" s="943"/>
      <c r="C26" s="943"/>
      <c r="D26" s="945"/>
      <c r="E26" s="271" t="s">
        <v>1340</v>
      </c>
      <c r="F26" s="263"/>
      <c r="G26" s="263"/>
      <c r="H26" s="263"/>
      <c r="I26" s="263"/>
      <c r="J26" s="272"/>
      <c r="K26" s="272" t="s">
        <v>1341</v>
      </c>
    </row>
    <row r="27" spans="1:14" ht="32.1" customHeight="1">
      <c r="A27" s="942"/>
      <c r="B27" s="944"/>
      <c r="C27" s="944"/>
      <c r="D27" s="945"/>
      <c r="E27" s="267" t="s">
        <v>1342</v>
      </c>
      <c r="F27" s="263"/>
      <c r="G27" s="263"/>
      <c r="H27" s="263"/>
      <c r="I27" s="263"/>
      <c r="J27" s="268">
        <f>J22+J23</f>
        <v>65226</v>
      </c>
      <c r="K27" s="273"/>
    </row>
  </sheetData>
  <mergeCells count="5">
    <mergeCell ref="A1:K1"/>
    <mergeCell ref="A3:A27"/>
    <mergeCell ref="B3:B27"/>
    <mergeCell ref="C3:C27"/>
    <mergeCell ref="D3:D27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80" orientation="portrait" r:id="rId1"/>
  <headerFooter>
    <oddFooter>第 &amp;P 页，共 &amp;N 页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topLeftCell="A16" workbookViewId="0">
      <selection sqref="A1:XFD18"/>
    </sheetView>
  </sheetViews>
  <sheetFormatPr defaultRowHeight="13.5"/>
  <cols>
    <col min="1" max="1" width="9" style="274"/>
    <col min="2" max="4" width="9" style="195"/>
    <col min="5" max="5" width="12" style="195" customWidth="1"/>
    <col min="6" max="9" width="9" style="195"/>
    <col min="10" max="10" width="10.75" style="275" customWidth="1"/>
    <col min="11" max="16384" width="9" style="195"/>
  </cols>
  <sheetData>
    <row r="1" spans="1:11" ht="39.950000000000003" customHeight="1">
      <c r="A1" s="941" t="s">
        <v>1302</v>
      </c>
      <c r="B1" s="941"/>
      <c r="C1" s="941"/>
      <c r="D1" s="941"/>
      <c r="E1" s="941"/>
      <c r="F1" s="941"/>
      <c r="G1" s="941"/>
      <c r="H1" s="941"/>
      <c r="I1" s="941"/>
      <c r="J1" s="941"/>
      <c r="K1" s="941"/>
    </row>
    <row r="2" spans="1:11" s="262" customFormat="1" ht="39.950000000000003" customHeight="1">
      <c r="A2" s="257" t="s">
        <v>12</v>
      </c>
      <c r="B2" s="257" t="s">
        <v>1303</v>
      </c>
      <c r="C2" s="257" t="s">
        <v>1304</v>
      </c>
      <c r="D2" s="257" t="s">
        <v>1305</v>
      </c>
      <c r="E2" s="258" t="s">
        <v>1306</v>
      </c>
      <c r="F2" s="259" t="s">
        <v>1307</v>
      </c>
      <c r="G2" s="257" t="s">
        <v>1</v>
      </c>
      <c r="H2" s="257" t="s">
        <v>1308</v>
      </c>
      <c r="I2" s="258" t="s">
        <v>1309</v>
      </c>
      <c r="J2" s="260" t="s">
        <v>1310</v>
      </c>
      <c r="K2" s="261" t="s">
        <v>18</v>
      </c>
    </row>
    <row r="3" spans="1:11" ht="39.950000000000003" customHeight="1">
      <c r="A3" s="942">
        <v>1</v>
      </c>
      <c r="B3" s="943" t="s">
        <v>1020</v>
      </c>
      <c r="C3" s="943" t="s">
        <v>1311</v>
      </c>
      <c r="D3" s="945" t="s">
        <v>1312</v>
      </c>
      <c r="E3" s="263" t="s">
        <v>1313</v>
      </c>
      <c r="F3" s="263" t="s">
        <v>1314</v>
      </c>
      <c r="G3" s="263" t="s">
        <v>1315</v>
      </c>
      <c r="H3" s="263">
        <v>3980</v>
      </c>
      <c r="I3" s="263">
        <v>34</v>
      </c>
      <c r="J3" s="264">
        <f t="shared" ref="J3:J8" si="0">H3*I3</f>
        <v>135320</v>
      </c>
      <c r="K3" s="265" t="s">
        <v>1316</v>
      </c>
    </row>
    <row r="4" spans="1:11" ht="39.950000000000003" customHeight="1">
      <c r="A4" s="942"/>
      <c r="B4" s="943"/>
      <c r="C4" s="943"/>
      <c r="D4" s="945"/>
      <c r="E4" s="263"/>
      <c r="F4" s="263" t="s">
        <v>1317</v>
      </c>
      <c r="G4" s="263" t="s">
        <v>1315</v>
      </c>
      <c r="H4" s="263">
        <v>3200</v>
      </c>
      <c r="I4" s="263">
        <v>20</v>
      </c>
      <c r="J4" s="264">
        <f t="shared" si="0"/>
        <v>64000</v>
      </c>
      <c r="K4" s="265" t="s">
        <v>1318</v>
      </c>
    </row>
    <row r="5" spans="1:11" ht="39.950000000000003" customHeight="1">
      <c r="A5" s="942"/>
      <c r="B5" s="943"/>
      <c r="C5" s="943"/>
      <c r="D5" s="945"/>
      <c r="E5" s="263"/>
      <c r="F5" s="263" t="s">
        <v>1319</v>
      </c>
      <c r="G5" s="263" t="s">
        <v>1315</v>
      </c>
      <c r="H5" s="263">
        <v>1622</v>
      </c>
      <c r="I5" s="263">
        <v>70</v>
      </c>
      <c r="J5" s="264">
        <f t="shared" si="0"/>
        <v>113540</v>
      </c>
      <c r="K5" s="265" t="s">
        <v>1320</v>
      </c>
    </row>
    <row r="6" spans="1:11" ht="39.950000000000003" customHeight="1">
      <c r="A6" s="942"/>
      <c r="B6" s="943"/>
      <c r="C6" s="943"/>
      <c r="D6" s="945"/>
      <c r="E6" s="263"/>
      <c r="F6" s="263" t="s">
        <v>1321</v>
      </c>
      <c r="G6" s="263" t="s">
        <v>1315</v>
      </c>
      <c r="H6" s="263">
        <v>3980</v>
      </c>
      <c r="I6" s="263">
        <v>81.5</v>
      </c>
      <c r="J6" s="264">
        <f t="shared" si="0"/>
        <v>324370</v>
      </c>
      <c r="K6" s="265" t="s">
        <v>1322</v>
      </c>
    </row>
    <row r="7" spans="1:11" ht="39.950000000000003" customHeight="1">
      <c r="A7" s="942"/>
      <c r="B7" s="943"/>
      <c r="C7" s="943"/>
      <c r="D7" s="945"/>
      <c r="E7" s="263" t="s">
        <v>1323</v>
      </c>
      <c r="F7" s="263" t="s">
        <v>1324</v>
      </c>
      <c r="G7" s="263" t="s">
        <v>1315</v>
      </c>
      <c r="H7" s="263">
        <v>158</v>
      </c>
      <c r="I7" s="263">
        <v>20</v>
      </c>
      <c r="J7" s="264">
        <f t="shared" si="0"/>
        <v>3160</v>
      </c>
      <c r="K7" s="265" t="s">
        <v>1325</v>
      </c>
    </row>
    <row r="8" spans="1:11" ht="39.950000000000003" customHeight="1">
      <c r="A8" s="942"/>
      <c r="B8" s="943"/>
      <c r="C8" s="943"/>
      <c r="D8" s="945"/>
      <c r="E8" s="263"/>
      <c r="F8" s="263" t="s">
        <v>1326</v>
      </c>
      <c r="G8" s="263" t="s">
        <v>1315</v>
      </c>
      <c r="H8" s="263">
        <v>158</v>
      </c>
      <c r="I8" s="263">
        <v>537</v>
      </c>
      <c r="J8" s="264">
        <f t="shared" si="0"/>
        <v>84846</v>
      </c>
      <c r="K8" s="265" t="s">
        <v>1326</v>
      </c>
    </row>
    <row r="9" spans="1:11" ht="39.950000000000003" customHeight="1">
      <c r="A9" s="942"/>
      <c r="B9" s="943"/>
      <c r="C9" s="943"/>
      <c r="D9" s="945"/>
      <c r="E9" s="263"/>
      <c r="F9" s="263" t="s">
        <v>1327</v>
      </c>
      <c r="G9" s="263" t="s">
        <v>1315</v>
      </c>
      <c r="H9" s="263">
        <v>1272.33</v>
      </c>
      <c r="I9" s="263">
        <v>65</v>
      </c>
      <c r="J9" s="264">
        <v>82702</v>
      </c>
      <c r="K9" s="265" t="s">
        <v>1328</v>
      </c>
    </row>
    <row r="10" spans="1:11" ht="39.950000000000003" customHeight="1">
      <c r="A10" s="942"/>
      <c r="B10" s="943"/>
      <c r="C10" s="943"/>
      <c r="D10" s="945"/>
      <c r="E10" s="263" t="s">
        <v>1329</v>
      </c>
      <c r="F10" s="263"/>
      <c r="G10" s="263" t="s">
        <v>1330</v>
      </c>
      <c r="H10" s="263">
        <v>1</v>
      </c>
      <c r="I10" s="263"/>
      <c r="J10" s="266">
        <v>43656</v>
      </c>
      <c r="K10" s="265" t="s">
        <v>1329</v>
      </c>
    </row>
    <row r="11" spans="1:11" ht="39.950000000000003" customHeight="1">
      <c r="A11" s="942"/>
      <c r="B11" s="943"/>
      <c r="C11" s="943"/>
      <c r="D11" s="945"/>
      <c r="E11" s="263"/>
      <c r="F11" s="263"/>
      <c r="G11" s="263"/>
      <c r="H11" s="263"/>
      <c r="I11" s="263"/>
      <c r="J11" s="266"/>
      <c r="K11" s="265"/>
    </row>
    <row r="12" spans="1:11" ht="39.950000000000003" customHeight="1">
      <c r="A12" s="942"/>
      <c r="B12" s="943"/>
      <c r="C12" s="943"/>
      <c r="D12" s="945"/>
      <c r="E12" s="263"/>
      <c r="F12" s="263" t="s">
        <v>1331</v>
      </c>
      <c r="G12" s="263"/>
      <c r="H12" s="263"/>
      <c r="I12" s="263"/>
      <c r="J12" s="266"/>
      <c r="K12" s="265"/>
    </row>
    <row r="13" spans="1:11" ht="39.950000000000003" customHeight="1">
      <c r="A13" s="942"/>
      <c r="B13" s="943"/>
      <c r="C13" s="943"/>
      <c r="D13" s="945"/>
      <c r="E13" s="267" t="s">
        <v>1332</v>
      </c>
      <c r="F13" s="263"/>
      <c r="G13" s="263"/>
      <c r="H13" s="263"/>
      <c r="I13" s="263"/>
      <c r="J13" s="268">
        <f>SUM(J3:J10)</f>
        <v>851594</v>
      </c>
      <c r="K13" s="269" t="s">
        <v>1333</v>
      </c>
    </row>
    <row r="14" spans="1:11" ht="39.950000000000003" customHeight="1">
      <c r="A14" s="942"/>
      <c r="B14" s="943"/>
      <c r="C14" s="943"/>
      <c r="D14" s="945"/>
      <c r="E14" s="267" t="s">
        <v>1334</v>
      </c>
      <c r="F14" s="263"/>
      <c r="G14" s="263"/>
      <c r="H14" s="263"/>
      <c r="I14" s="263"/>
      <c r="J14" s="268">
        <f>28100</f>
        <v>28100</v>
      </c>
      <c r="K14" s="270" t="s">
        <v>1335</v>
      </c>
    </row>
    <row r="15" spans="1:11" ht="39.950000000000003" customHeight="1">
      <c r="A15" s="942"/>
      <c r="B15" s="943"/>
      <c r="C15" s="943"/>
      <c r="D15" s="945"/>
      <c r="E15" s="271" t="s">
        <v>1336</v>
      </c>
      <c r="F15" s="263"/>
      <c r="G15" s="263"/>
      <c r="H15" s="263"/>
      <c r="I15" s="263"/>
      <c r="J15" s="272"/>
      <c r="K15" s="272" t="s">
        <v>1337</v>
      </c>
    </row>
    <row r="16" spans="1:11" ht="39.950000000000003" customHeight="1">
      <c r="A16" s="942"/>
      <c r="B16" s="943"/>
      <c r="C16" s="943"/>
      <c r="D16" s="945"/>
      <c r="E16" s="271" t="s">
        <v>1338</v>
      </c>
      <c r="F16" s="263"/>
      <c r="G16" s="263"/>
      <c r="H16" s="263"/>
      <c r="I16" s="263"/>
      <c r="J16" s="272"/>
      <c r="K16" s="272" t="s">
        <v>1339</v>
      </c>
    </row>
    <row r="17" spans="1:11" ht="39.950000000000003" customHeight="1">
      <c r="A17" s="942"/>
      <c r="B17" s="943"/>
      <c r="C17" s="943"/>
      <c r="D17" s="945"/>
      <c r="E17" s="271" t="s">
        <v>1340</v>
      </c>
      <c r="F17" s="263"/>
      <c r="G17" s="263"/>
      <c r="H17" s="263"/>
      <c r="I17" s="263"/>
      <c r="J17" s="272"/>
      <c r="K17" s="272" t="s">
        <v>1341</v>
      </c>
    </row>
    <row r="18" spans="1:11" ht="39.950000000000003" customHeight="1">
      <c r="A18" s="942"/>
      <c r="B18" s="944"/>
      <c r="C18" s="944"/>
      <c r="D18" s="945"/>
      <c r="E18" s="267" t="s">
        <v>1342</v>
      </c>
      <c r="F18" s="263"/>
      <c r="G18" s="263"/>
      <c r="H18" s="263"/>
      <c r="I18" s="263"/>
      <c r="J18" s="268">
        <f>J13+J14</f>
        <v>879694</v>
      </c>
      <c r="K18" s="273"/>
    </row>
  </sheetData>
  <mergeCells count="5">
    <mergeCell ref="A1:K1"/>
    <mergeCell ref="A3:A18"/>
    <mergeCell ref="B3:B18"/>
    <mergeCell ref="C3:C18"/>
    <mergeCell ref="D3:D18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85" orientation="portrait" r:id="rId1"/>
  <headerFooter>
    <oddFooter>第 &amp;P 页，共 &amp;N 页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"/>
  <sheetViews>
    <sheetView topLeftCell="A28" workbookViewId="0">
      <selection activeCell="A13" sqref="A13:XFD13"/>
    </sheetView>
  </sheetViews>
  <sheetFormatPr defaultColWidth="9" defaultRowHeight="32.1" customHeight="1" outlineLevelRow="2"/>
  <cols>
    <col min="1" max="1" width="16.75" style="287" customWidth="1"/>
    <col min="2" max="2" width="11" style="287" customWidth="1"/>
    <col min="3" max="3" width="19.375" style="287" customWidth="1"/>
    <col min="4" max="4" width="15.875" style="288" customWidth="1"/>
    <col min="5" max="5" width="15.125" style="288" customWidth="1"/>
    <col min="6" max="6" width="15.75" style="288" customWidth="1"/>
    <col min="7" max="7" width="14.125" style="288" customWidth="1"/>
    <col min="8" max="8" width="13.25" style="288" customWidth="1"/>
    <col min="9" max="9" width="13.875" style="288" customWidth="1"/>
    <col min="10" max="10" width="14.125" style="288" customWidth="1"/>
    <col min="11" max="11" width="14.75" style="289" customWidth="1"/>
    <col min="12" max="12" width="15" style="287" hidden="1" customWidth="1"/>
    <col min="13" max="16384" width="9" style="287"/>
  </cols>
  <sheetData>
    <row r="1" spans="1:12" ht="32.1" customHeight="1">
      <c r="A1" s="946" t="s">
        <v>1389</v>
      </c>
      <c r="B1" s="946"/>
      <c r="C1" s="946"/>
      <c r="D1" s="946"/>
      <c r="E1" s="946"/>
      <c r="F1" s="946"/>
      <c r="G1" s="946"/>
      <c r="H1" s="946"/>
      <c r="I1" s="946"/>
      <c r="J1" s="946"/>
      <c r="K1" s="946"/>
    </row>
    <row r="2" spans="1:12" s="314" customFormat="1" ht="30.75" customHeight="1">
      <c r="A2" s="311" t="s">
        <v>632</v>
      </c>
      <c r="B2" s="311" t="s">
        <v>1671</v>
      </c>
      <c r="C2" s="311" t="s">
        <v>13</v>
      </c>
      <c r="D2" s="312" t="s">
        <v>1672</v>
      </c>
      <c r="E2" s="312" t="s">
        <v>1673</v>
      </c>
      <c r="F2" s="312" t="s">
        <v>1674</v>
      </c>
      <c r="G2" s="312" t="s">
        <v>1675</v>
      </c>
      <c r="H2" s="312" t="s">
        <v>1676</v>
      </c>
      <c r="I2" s="312" t="s">
        <v>1677</v>
      </c>
      <c r="J2" s="312" t="s">
        <v>1390</v>
      </c>
      <c r="K2" s="313" t="s">
        <v>1678</v>
      </c>
      <c r="L2" s="311" t="s">
        <v>18</v>
      </c>
    </row>
    <row r="3" spans="1:12" s="314" customFormat="1" ht="27.95" customHeight="1" outlineLevel="2">
      <c r="A3" s="311" t="s">
        <v>1391</v>
      </c>
      <c r="B3" s="311" t="s">
        <v>1072</v>
      </c>
      <c r="C3" s="311" t="s">
        <v>1392</v>
      </c>
      <c r="D3" s="315">
        <v>3605195.18</v>
      </c>
      <c r="E3" s="315">
        <v>3178359.25</v>
      </c>
      <c r="F3" s="315">
        <v>3167873.34</v>
      </c>
      <c r="G3" s="315">
        <v>3163117</v>
      </c>
      <c r="H3" s="315">
        <v>396352</v>
      </c>
      <c r="I3" s="315">
        <f>G3+H3</f>
        <v>3559469</v>
      </c>
      <c r="J3" s="315">
        <v>3566119.34</v>
      </c>
      <c r="K3" s="315">
        <f>I3-J3</f>
        <v>-6650.339999999851</v>
      </c>
      <c r="L3" s="311"/>
    </row>
    <row r="4" spans="1:12" s="314" customFormat="1" ht="27.95" customHeight="1" outlineLevel="1">
      <c r="A4" s="311"/>
      <c r="B4" s="316" t="s">
        <v>260</v>
      </c>
      <c r="C4" s="311"/>
      <c r="D4" s="315">
        <f t="shared" ref="D4:K4" si="0">SUBTOTAL(9,D3:D3)</f>
        <v>3605195.18</v>
      </c>
      <c r="E4" s="315">
        <f t="shared" si="0"/>
        <v>3178359.25</v>
      </c>
      <c r="F4" s="315">
        <f t="shared" si="0"/>
        <v>3167873.34</v>
      </c>
      <c r="G4" s="315">
        <f t="shared" si="0"/>
        <v>3163117</v>
      </c>
      <c r="H4" s="315">
        <f t="shared" si="0"/>
        <v>396352</v>
      </c>
      <c r="I4" s="315">
        <f t="shared" si="0"/>
        <v>3559469</v>
      </c>
      <c r="J4" s="315">
        <f t="shared" si="0"/>
        <v>3566119.34</v>
      </c>
      <c r="K4" s="315">
        <f t="shared" si="0"/>
        <v>-6650.339999999851</v>
      </c>
      <c r="L4" s="311"/>
    </row>
    <row r="5" spans="1:12" s="314" customFormat="1" ht="27.95" customHeight="1" outlineLevel="2">
      <c r="A5" s="317" t="s">
        <v>188</v>
      </c>
      <c r="B5" s="311" t="s">
        <v>1679</v>
      </c>
      <c r="C5" s="317" t="s">
        <v>1393</v>
      </c>
      <c r="D5" s="318">
        <v>1590435.01</v>
      </c>
      <c r="E5" s="318">
        <v>1375400</v>
      </c>
      <c r="F5" s="318">
        <v>1355000</v>
      </c>
      <c r="G5" s="318">
        <v>1353031.02</v>
      </c>
      <c r="H5" s="318">
        <v>179144</v>
      </c>
      <c r="I5" s="318">
        <f>G5+H5</f>
        <v>1532175.02</v>
      </c>
      <c r="J5" s="318">
        <v>1534646</v>
      </c>
      <c r="K5" s="318">
        <f>I5-J5</f>
        <v>-2470.9799999999814</v>
      </c>
      <c r="L5" s="311"/>
    </row>
    <row r="6" spans="1:12" s="314" customFormat="1" ht="27.95" customHeight="1" outlineLevel="2">
      <c r="A6" s="317" t="s">
        <v>1394</v>
      </c>
      <c r="B6" s="311" t="s">
        <v>1679</v>
      </c>
      <c r="C6" s="317" t="s">
        <v>1395</v>
      </c>
      <c r="D6" s="318">
        <v>273600</v>
      </c>
      <c r="E6" s="319">
        <v>217558</v>
      </c>
      <c r="F6" s="318">
        <v>205254</v>
      </c>
      <c r="G6" s="318">
        <v>205095</v>
      </c>
      <c r="H6" s="318">
        <v>48293</v>
      </c>
      <c r="I6" s="318">
        <f>G6+H6</f>
        <v>253388</v>
      </c>
      <c r="J6" s="318">
        <v>255838</v>
      </c>
      <c r="K6" s="318">
        <f>I6-J6</f>
        <v>-2450</v>
      </c>
      <c r="L6" s="311"/>
    </row>
    <row r="7" spans="1:12" s="314" customFormat="1" ht="27.95" customHeight="1" outlineLevel="2">
      <c r="A7" s="311" t="s">
        <v>1396</v>
      </c>
      <c r="B7" s="311" t="s">
        <v>1679</v>
      </c>
      <c r="C7" s="311" t="s">
        <v>1397</v>
      </c>
      <c r="D7" s="315">
        <v>182900</v>
      </c>
      <c r="E7" s="320">
        <v>164222.29999999999</v>
      </c>
      <c r="F7" s="315">
        <v>149335</v>
      </c>
      <c r="G7" s="315">
        <v>146938.10999999999</v>
      </c>
      <c r="H7" s="315">
        <v>15024</v>
      </c>
      <c r="I7" s="318">
        <f>G7+H7</f>
        <v>161962.10999999999</v>
      </c>
      <c r="J7" s="315">
        <v>167982</v>
      </c>
      <c r="K7" s="318">
        <f>I7-J7</f>
        <v>-6019.890000000014</v>
      </c>
      <c r="L7" s="311"/>
    </row>
    <row r="8" spans="1:12" s="314" customFormat="1" ht="27.95" customHeight="1" outlineLevel="2">
      <c r="A8" s="311" t="s">
        <v>1398</v>
      </c>
      <c r="B8" s="311" t="s">
        <v>1679</v>
      </c>
      <c r="C8" s="311" t="s">
        <v>1399</v>
      </c>
      <c r="D8" s="315">
        <v>883942.24</v>
      </c>
      <c r="E8" s="320">
        <v>746377</v>
      </c>
      <c r="F8" s="315">
        <v>682542</v>
      </c>
      <c r="G8" s="315">
        <v>678699</v>
      </c>
      <c r="H8" s="315">
        <v>110948</v>
      </c>
      <c r="I8" s="318">
        <f>G8+H8</f>
        <v>789647</v>
      </c>
      <c r="J8" s="315">
        <v>803542</v>
      </c>
      <c r="K8" s="318">
        <f>I8-J8</f>
        <v>-13895</v>
      </c>
      <c r="L8" s="311"/>
    </row>
    <row r="9" spans="1:12" s="314" customFormat="1" ht="27.95" customHeight="1" outlineLevel="1">
      <c r="A9" s="311"/>
      <c r="B9" s="321" t="s">
        <v>262</v>
      </c>
      <c r="C9" s="311"/>
      <c r="D9" s="315">
        <f t="shared" ref="D9:K9" si="1">SUBTOTAL(9,D5:D8)</f>
        <v>2930877.25</v>
      </c>
      <c r="E9" s="320">
        <f t="shared" si="1"/>
        <v>2503557.2999999998</v>
      </c>
      <c r="F9" s="315">
        <f t="shared" si="1"/>
        <v>2392131</v>
      </c>
      <c r="G9" s="315">
        <f t="shared" si="1"/>
        <v>2383763.13</v>
      </c>
      <c r="H9" s="315">
        <f t="shared" si="1"/>
        <v>353409</v>
      </c>
      <c r="I9" s="318">
        <f t="shared" si="1"/>
        <v>2737172.13</v>
      </c>
      <c r="J9" s="315">
        <f t="shared" si="1"/>
        <v>2762008</v>
      </c>
      <c r="K9" s="318">
        <f t="shared" si="1"/>
        <v>-24835.869999999995</v>
      </c>
      <c r="L9" s="311"/>
    </row>
    <row r="10" spans="1:12" s="314" customFormat="1" ht="27.95" customHeight="1" outlineLevel="2">
      <c r="A10" s="311" t="s">
        <v>1400</v>
      </c>
      <c r="B10" s="311" t="s">
        <v>1069</v>
      </c>
      <c r="C10" s="311" t="s">
        <v>1401</v>
      </c>
      <c r="D10" s="315">
        <v>343076.72</v>
      </c>
      <c r="E10" s="315">
        <v>306318.5</v>
      </c>
      <c r="F10" s="315">
        <v>305289</v>
      </c>
      <c r="G10" s="322">
        <v>304992.24</v>
      </c>
      <c r="H10" s="315">
        <v>36758.22</v>
      </c>
      <c r="I10" s="315">
        <f t="shared" ref="I10:I12" si="2">G10+H10</f>
        <v>341750.45999999996</v>
      </c>
      <c r="J10" s="315">
        <v>342047.22</v>
      </c>
      <c r="K10" s="315">
        <f t="shared" ref="K10:K12" si="3">I10-J10</f>
        <v>-296.76000000000931</v>
      </c>
      <c r="L10" s="311"/>
    </row>
    <row r="11" spans="1:12" s="314" customFormat="1" ht="27.95" customHeight="1" outlineLevel="2">
      <c r="A11" s="311" t="s">
        <v>1402</v>
      </c>
      <c r="B11" s="311" t="s">
        <v>1069</v>
      </c>
      <c r="C11" s="311" t="s">
        <v>1403</v>
      </c>
      <c r="D11" s="315">
        <v>495398.25</v>
      </c>
      <c r="E11" s="315">
        <v>426248.44</v>
      </c>
      <c r="F11" s="315">
        <v>424274</v>
      </c>
      <c r="G11" s="322">
        <v>422685.04</v>
      </c>
      <c r="H11" s="315">
        <v>51149.81</v>
      </c>
      <c r="I11" s="315">
        <f t="shared" si="2"/>
        <v>473834.85</v>
      </c>
      <c r="J11" s="315">
        <v>475423.81</v>
      </c>
      <c r="K11" s="315">
        <f t="shared" si="3"/>
        <v>-1588.960000000021</v>
      </c>
      <c r="L11" s="311"/>
    </row>
    <row r="12" spans="1:12" s="314" customFormat="1" ht="27.95" customHeight="1" outlineLevel="2">
      <c r="A12" s="311" t="s">
        <v>1404</v>
      </c>
      <c r="B12" s="311" t="s">
        <v>1069</v>
      </c>
      <c r="C12" s="311" t="s">
        <v>1405</v>
      </c>
      <c r="D12" s="315">
        <v>611598.4</v>
      </c>
      <c r="E12" s="315">
        <v>546070</v>
      </c>
      <c r="F12" s="315">
        <v>540358</v>
      </c>
      <c r="G12" s="322">
        <v>539049.81999999995</v>
      </c>
      <c r="H12" s="315">
        <v>65528.4</v>
      </c>
      <c r="I12" s="315">
        <f t="shared" si="2"/>
        <v>604578.22</v>
      </c>
      <c r="J12" s="315">
        <v>605886.4</v>
      </c>
      <c r="K12" s="315">
        <f t="shared" si="3"/>
        <v>-1308.1800000000512</v>
      </c>
      <c r="L12" s="311"/>
    </row>
    <row r="13" spans="1:12" s="314" customFormat="1" ht="27.95" customHeight="1" outlineLevel="1">
      <c r="A13" s="311"/>
      <c r="B13" s="321" t="s">
        <v>258</v>
      </c>
      <c r="C13" s="323"/>
      <c r="D13" s="324">
        <f t="shared" ref="D13:K13" si="4">SUBTOTAL(9,D10:D12)</f>
        <v>1450073.37</v>
      </c>
      <c r="E13" s="324">
        <f t="shared" si="4"/>
        <v>1278636.94</v>
      </c>
      <c r="F13" s="324">
        <f t="shared" si="4"/>
        <v>1269921</v>
      </c>
      <c r="G13" s="322">
        <f t="shared" si="4"/>
        <v>1266727.1000000001</v>
      </c>
      <c r="H13" s="315">
        <f t="shared" si="4"/>
        <v>153436.43</v>
      </c>
      <c r="I13" s="315">
        <f t="shared" si="4"/>
        <v>1420163.5299999998</v>
      </c>
      <c r="J13" s="315">
        <f t="shared" si="4"/>
        <v>1423357.4300000002</v>
      </c>
      <c r="K13" s="315">
        <f t="shared" si="4"/>
        <v>-3193.9000000000815</v>
      </c>
      <c r="L13" s="311"/>
    </row>
    <row r="14" spans="1:12" s="314" customFormat="1" ht="27.95" customHeight="1" outlineLevel="2">
      <c r="A14" s="317" t="s">
        <v>236</v>
      </c>
      <c r="B14" s="311" t="s">
        <v>1067</v>
      </c>
      <c r="C14" s="325" t="s">
        <v>1406</v>
      </c>
      <c r="D14" s="326">
        <v>2053262.92</v>
      </c>
      <c r="E14" s="326">
        <v>1739016</v>
      </c>
      <c r="F14" s="326">
        <v>1724053</v>
      </c>
      <c r="G14" s="315">
        <v>1715391.52</v>
      </c>
      <c r="H14" s="315">
        <v>279676</v>
      </c>
      <c r="I14" s="315">
        <f t="shared" ref="I14:I21" si="5">G14+H14</f>
        <v>1995067.52</v>
      </c>
      <c r="J14" s="315">
        <f>1642610+362394</f>
        <v>2005004</v>
      </c>
      <c r="K14" s="315">
        <f t="shared" ref="K14:K21" si="6">I14-J14</f>
        <v>-9936.4799999999814</v>
      </c>
      <c r="L14" s="311"/>
    </row>
    <row r="15" spans="1:12" s="314" customFormat="1" ht="27.95" customHeight="1" outlineLevel="2">
      <c r="A15" s="317" t="s">
        <v>1407</v>
      </c>
      <c r="B15" s="311" t="s">
        <v>1067</v>
      </c>
      <c r="C15" s="317" t="s">
        <v>1408</v>
      </c>
      <c r="D15" s="318">
        <v>1991045.65</v>
      </c>
      <c r="E15" s="318">
        <v>1710888.52</v>
      </c>
      <c r="F15" s="318">
        <v>1699400</v>
      </c>
      <c r="G15" s="315">
        <v>1671335</v>
      </c>
      <c r="H15" s="315">
        <v>252023</v>
      </c>
      <c r="I15" s="315">
        <f t="shared" si="5"/>
        <v>1923358</v>
      </c>
      <c r="J15" s="315">
        <f>1592837+359862</f>
        <v>1952699</v>
      </c>
      <c r="K15" s="315">
        <f t="shared" si="6"/>
        <v>-29341</v>
      </c>
      <c r="L15" s="311"/>
    </row>
    <row r="16" spans="1:12" s="314" customFormat="1" ht="27.95" customHeight="1" outlineLevel="2">
      <c r="A16" s="317" t="s">
        <v>263</v>
      </c>
      <c r="B16" s="311" t="s">
        <v>1067</v>
      </c>
      <c r="C16" s="317" t="s">
        <v>1409</v>
      </c>
      <c r="D16" s="318">
        <v>688279.2</v>
      </c>
      <c r="E16" s="318">
        <v>614535</v>
      </c>
      <c r="F16" s="318">
        <v>561985</v>
      </c>
      <c r="G16" s="315">
        <v>561187</v>
      </c>
      <c r="H16" s="315">
        <v>56618</v>
      </c>
      <c r="I16" s="315">
        <f t="shared" si="5"/>
        <v>617805</v>
      </c>
      <c r="J16" s="315">
        <f>550623+68708</f>
        <v>619331</v>
      </c>
      <c r="K16" s="315">
        <f t="shared" si="6"/>
        <v>-1526</v>
      </c>
      <c r="L16" s="311"/>
    </row>
    <row r="17" spans="1:12" s="314" customFormat="1" ht="27.95" customHeight="1" outlineLevel="2">
      <c r="A17" s="317" t="s">
        <v>1410</v>
      </c>
      <c r="B17" s="311" t="s">
        <v>1067</v>
      </c>
      <c r="C17" s="317" t="s">
        <v>1411</v>
      </c>
      <c r="D17" s="318">
        <v>539445.12</v>
      </c>
      <c r="E17" s="318">
        <v>446826</v>
      </c>
      <c r="F17" s="318">
        <v>406471</v>
      </c>
      <c r="G17" s="315">
        <v>406450.38</v>
      </c>
      <c r="H17" s="315">
        <v>75288</v>
      </c>
      <c r="I17" s="315">
        <f t="shared" si="5"/>
        <v>481738.38</v>
      </c>
      <c r="J17" s="315">
        <f>431556+50602</f>
        <v>482158</v>
      </c>
      <c r="K17" s="315">
        <f t="shared" si="6"/>
        <v>-419.61999999999534</v>
      </c>
      <c r="L17" s="311"/>
    </row>
    <row r="18" spans="1:12" s="314" customFormat="1" ht="27.95" customHeight="1" outlineLevel="2">
      <c r="A18" s="317" t="s">
        <v>1412</v>
      </c>
      <c r="B18" s="311" t="s">
        <v>1067</v>
      </c>
      <c r="C18" s="317" t="s">
        <v>1413</v>
      </c>
      <c r="D18" s="318">
        <v>542870.4</v>
      </c>
      <c r="E18" s="318">
        <v>457920</v>
      </c>
      <c r="F18" s="318">
        <v>417322</v>
      </c>
      <c r="G18" s="315">
        <v>416615</v>
      </c>
      <c r="H18" s="315">
        <v>70822</v>
      </c>
      <c r="I18" s="315">
        <f t="shared" si="5"/>
        <v>487437</v>
      </c>
      <c r="J18" s="315">
        <f>434296+54323</f>
        <v>488619</v>
      </c>
      <c r="K18" s="315">
        <f t="shared" si="6"/>
        <v>-1182</v>
      </c>
      <c r="L18" s="311"/>
    </row>
    <row r="19" spans="1:12" s="314" customFormat="1" ht="27.95" customHeight="1" outlineLevel="2">
      <c r="A19" s="317" t="s">
        <v>1414</v>
      </c>
      <c r="B19" s="311" t="s">
        <v>1067</v>
      </c>
      <c r="C19" s="317" t="s">
        <v>1415</v>
      </c>
      <c r="D19" s="318">
        <v>550188.80000000005</v>
      </c>
      <c r="E19" s="318">
        <v>491240</v>
      </c>
      <c r="F19" s="318">
        <v>446231</v>
      </c>
      <c r="G19" s="315">
        <v>443978.64</v>
      </c>
      <c r="H19" s="315">
        <v>46760</v>
      </c>
      <c r="I19" s="315">
        <f t="shared" si="5"/>
        <v>490738.64</v>
      </c>
      <c r="J19" s="315">
        <f>440151+53074</f>
        <v>493225</v>
      </c>
      <c r="K19" s="315">
        <f t="shared" si="6"/>
        <v>-2486.359999999986</v>
      </c>
      <c r="L19" s="311"/>
    </row>
    <row r="20" spans="1:12" s="314" customFormat="1" ht="27.95" customHeight="1" outlineLevel="1">
      <c r="A20" s="317"/>
      <c r="B20" s="321" t="s">
        <v>256</v>
      </c>
      <c r="C20" s="317"/>
      <c r="D20" s="318">
        <f t="shared" ref="D20:K20" si="7">SUBTOTAL(9,D14:D19)</f>
        <v>6365092.0899999999</v>
      </c>
      <c r="E20" s="318">
        <f t="shared" si="7"/>
        <v>5460425.5199999996</v>
      </c>
      <c r="F20" s="327">
        <f t="shared" si="7"/>
        <v>5255462</v>
      </c>
      <c r="G20" s="328">
        <f t="shared" si="7"/>
        <v>5214957.54</v>
      </c>
      <c r="H20" s="328">
        <f t="shared" si="7"/>
        <v>781187</v>
      </c>
      <c r="I20" s="328">
        <f t="shared" si="7"/>
        <v>5996144.5399999991</v>
      </c>
      <c r="J20" s="328">
        <f t="shared" si="7"/>
        <v>6041036</v>
      </c>
      <c r="K20" s="328">
        <f t="shared" si="7"/>
        <v>-44891.459999999963</v>
      </c>
      <c r="L20" s="329"/>
    </row>
    <row r="21" spans="1:12" s="314" customFormat="1" ht="27.95" customHeight="1" outlineLevel="2">
      <c r="A21" s="311" t="s">
        <v>1416</v>
      </c>
      <c r="B21" s="311" t="s">
        <v>1066</v>
      </c>
      <c r="C21" s="311" t="s">
        <v>1417</v>
      </c>
      <c r="D21" s="315">
        <v>571372.37</v>
      </c>
      <c r="E21" s="315">
        <v>510153.9</v>
      </c>
      <c r="F21" s="947">
        <v>536351</v>
      </c>
      <c r="G21" s="947">
        <v>535292.01</v>
      </c>
      <c r="H21" s="947">
        <f>37641+17667+16500+5580+6164+2000</f>
        <v>85552</v>
      </c>
      <c r="I21" s="947">
        <f t="shared" si="5"/>
        <v>620844.01</v>
      </c>
      <c r="J21" s="947">
        <f>538883+84612</f>
        <v>623495</v>
      </c>
      <c r="K21" s="947">
        <f t="shared" si="6"/>
        <v>-2650.9899999999907</v>
      </c>
      <c r="L21" s="949"/>
    </row>
    <row r="22" spans="1:12" s="314" customFormat="1" ht="27.95" customHeight="1" outlineLevel="2">
      <c r="A22" s="311" t="s">
        <v>1418</v>
      </c>
      <c r="B22" s="311" t="s">
        <v>1066</v>
      </c>
      <c r="C22" s="311" t="s">
        <v>1417</v>
      </c>
      <c r="D22" s="315">
        <v>102230.78</v>
      </c>
      <c r="E22" s="315">
        <v>76813.2</v>
      </c>
      <c r="F22" s="948"/>
      <c r="G22" s="948"/>
      <c r="H22" s="948"/>
      <c r="I22" s="948"/>
      <c r="J22" s="948"/>
      <c r="K22" s="948"/>
      <c r="L22" s="950"/>
    </row>
    <row r="23" spans="1:12" s="314" customFormat="1" ht="27.95" customHeight="1" outlineLevel="1">
      <c r="A23" s="311"/>
      <c r="B23" s="321" t="s">
        <v>255</v>
      </c>
      <c r="C23" s="329"/>
      <c r="D23" s="328">
        <f t="shared" ref="D23:K23" si="8">SUBTOTAL(9,D21:D22)</f>
        <v>673603.15</v>
      </c>
      <c r="E23" s="328">
        <f t="shared" si="8"/>
        <v>586967.1</v>
      </c>
      <c r="F23" s="330">
        <f t="shared" si="8"/>
        <v>536351</v>
      </c>
      <c r="G23" s="330">
        <f t="shared" si="8"/>
        <v>535292.01</v>
      </c>
      <c r="H23" s="330">
        <f t="shared" si="8"/>
        <v>85552</v>
      </c>
      <c r="I23" s="330">
        <f t="shared" si="8"/>
        <v>620844.01</v>
      </c>
      <c r="J23" s="330">
        <f t="shared" si="8"/>
        <v>623495</v>
      </c>
      <c r="K23" s="330">
        <f t="shared" si="8"/>
        <v>-2650.9899999999907</v>
      </c>
      <c r="L23" s="331"/>
    </row>
    <row r="24" spans="1:12" s="314" customFormat="1" ht="27.95" customHeight="1" outlineLevel="2">
      <c r="A24" s="332" t="s">
        <v>1014</v>
      </c>
      <c r="B24" s="311" t="s">
        <v>1680</v>
      </c>
      <c r="C24" s="354" t="s">
        <v>1419</v>
      </c>
      <c r="D24" s="951">
        <v>1223655</v>
      </c>
      <c r="E24" s="951">
        <v>1038978</v>
      </c>
      <c r="F24" s="954">
        <v>1032617</v>
      </c>
      <c r="G24" s="954">
        <v>1024383.77</v>
      </c>
      <c r="H24" s="954">
        <v>166111</v>
      </c>
      <c r="I24" s="954">
        <f t="shared" ref="I24:I29" si="9">G24+H24</f>
        <v>1190494.77</v>
      </c>
      <c r="J24" s="954">
        <f>220184+978924</f>
        <v>1199108</v>
      </c>
      <c r="K24" s="954">
        <f>I24-J24</f>
        <v>-8613.2299999999814</v>
      </c>
      <c r="L24" s="957"/>
    </row>
    <row r="25" spans="1:12" s="314" customFormat="1" ht="27.95" customHeight="1" outlineLevel="2">
      <c r="A25" s="332" t="s">
        <v>1015</v>
      </c>
      <c r="B25" s="311" t="s">
        <v>1680</v>
      </c>
      <c r="C25" s="355"/>
      <c r="D25" s="952"/>
      <c r="E25" s="952"/>
      <c r="F25" s="955"/>
      <c r="G25" s="955"/>
      <c r="H25" s="955"/>
      <c r="I25" s="955"/>
      <c r="J25" s="955"/>
      <c r="K25" s="955"/>
      <c r="L25" s="958"/>
    </row>
    <row r="26" spans="1:12" s="314" customFormat="1" ht="27.95" customHeight="1" outlineLevel="2">
      <c r="A26" s="332" t="s">
        <v>1013</v>
      </c>
      <c r="B26" s="311" t="s">
        <v>1680</v>
      </c>
      <c r="C26" s="355"/>
      <c r="D26" s="952"/>
      <c r="E26" s="952"/>
      <c r="F26" s="955"/>
      <c r="G26" s="955"/>
      <c r="H26" s="955"/>
      <c r="I26" s="955"/>
      <c r="J26" s="955"/>
      <c r="K26" s="955"/>
      <c r="L26" s="958"/>
    </row>
    <row r="27" spans="1:12" s="314" customFormat="1" ht="27.95" customHeight="1" outlineLevel="2">
      <c r="A27" s="332" t="s">
        <v>1420</v>
      </c>
      <c r="B27" s="311" t="s">
        <v>1680</v>
      </c>
      <c r="C27" s="356"/>
      <c r="D27" s="953"/>
      <c r="E27" s="953"/>
      <c r="F27" s="956"/>
      <c r="G27" s="956"/>
      <c r="H27" s="956"/>
      <c r="I27" s="956"/>
      <c r="J27" s="956"/>
      <c r="K27" s="956"/>
      <c r="L27" s="959"/>
    </row>
    <row r="28" spans="1:12" s="314" customFormat="1" ht="27.95" customHeight="1" outlineLevel="2">
      <c r="A28" s="332" t="s">
        <v>1421</v>
      </c>
      <c r="B28" s="311" t="s">
        <v>1680</v>
      </c>
      <c r="C28" s="332" t="s">
        <v>1422</v>
      </c>
      <c r="D28" s="320">
        <v>5666208</v>
      </c>
      <c r="E28" s="320">
        <v>4996644</v>
      </c>
      <c r="F28" s="333">
        <v>3234879</v>
      </c>
      <c r="G28" s="333">
        <v>3232645.25</v>
      </c>
      <c r="H28" s="333">
        <v>626447</v>
      </c>
      <c r="I28" s="333">
        <f t="shared" si="9"/>
        <v>3859092.25</v>
      </c>
      <c r="J28" s="333">
        <v>3861326</v>
      </c>
      <c r="K28" s="333">
        <v>-2233.75</v>
      </c>
      <c r="L28" s="332"/>
    </row>
    <row r="29" spans="1:12" s="314" customFormat="1" ht="27.95" customHeight="1" outlineLevel="2">
      <c r="A29" s="332" t="s">
        <v>1423</v>
      </c>
      <c r="B29" s="311" t="s">
        <v>1680</v>
      </c>
      <c r="C29" s="332" t="s">
        <v>1424</v>
      </c>
      <c r="D29" s="320">
        <v>1899295</v>
      </c>
      <c r="E29" s="320">
        <v>1669350</v>
      </c>
      <c r="F29" s="333">
        <v>1661030.91</v>
      </c>
      <c r="G29" s="333">
        <v>1627770.03</v>
      </c>
      <c r="H29" s="333">
        <v>223168</v>
      </c>
      <c r="I29" s="333">
        <f t="shared" si="9"/>
        <v>1850938.03</v>
      </c>
      <c r="J29" s="333">
        <f>1519436+365156.91</f>
        <v>1884592.91</v>
      </c>
      <c r="K29" s="333">
        <f>I29-J29</f>
        <v>-33654.879999999888</v>
      </c>
      <c r="L29" s="332"/>
    </row>
    <row r="30" spans="1:12" s="314" customFormat="1" ht="27.95" customHeight="1" outlineLevel="1">
      <c r="A30" s="332"/>
      <c r="B30" s="321" t="s">
        <v>257</v>
      </c>
      <c r="C30" s="334"/>
      <c r="D30" s="320">
        <f t="shared" ref="D30:K30" si="10">SUBTOTAL(9,D24:D29)</f>
        <v>8789158</v>
      </c>
      <c r="E30" s="320">
        <f t="shared" si="10"/>
        <v>7704972</v>
      </c>
      <c r="F30" s="335">
        <f t="shared" si="10"/>
        <v>5928526.9100000001</v>
      </c>
      <c r="G30" s="335">
        <f t="shared" si="10"/>
        <v>5884799.0499999998</v>
      </c>
      <c r="H30" s="335">
        <f t="shared" si="10"/>
        <v>1015726</v>
      </c>
      <c r="I30" s="335">
        <f t="shared" si="10"/>
        <v>6900525.0499999998</v>
      </c>
      <c r="J30" s="333">
        <f t="shared" si="10"/>
        <v>6945026.9100000001</v>
      </c>
      <c r="K30" s="333">
        <f t="shared" si="10"/>
        <v>-44501.85999999987</v>
      </c>
      <c r="L30" s="332"/>
    </row>
    <row r="31" spans="1:12" s="339" customFormat="1" ht="27.95" customHeight="1" outlineLevel="2">
      <c r="A31" s="336" t="s">
        <v>1425</v>
      </c>
      <c r="B31" s="311" t="s">
        <v>1073</v>
      </c>
      <c r="C31" s="337" t="s">
        <v>1426</v>
      </c>
      <c r="D31" s="318">
        <v>563680</v>
      </c>
      <c r="E31" s="318">
        <v>476500</v>
      </c>
      <c r="F31" s="338">
        <v>475423.12</v>
      </c>
      <c r="G31" s="338">
        <v>458144.94</v>
      </c>
      <c r="H31" s="338">
        <v>87180</v>
      </c>
      <c r="I31" s="338">
        <v>545324.93999999994</v>
      </c>
      <c r="J31" s="318">
        <v>552680</v>
      </c>
      <c r="K31" s="318">
        <v>-7355.06</v>
      </c>
      <c r="L31" s="311"/>
    </row>
    <row r="32" spans="1:12" s="339" customFormat="1" ht="27.95" customHeight="1" outlineLevel="2">
      <c r="A32" s="336" t="s">
        <v>1427</v>
      </c>
      <c r="B32" s="311" t="s">
        <v>1073</v>
      </c>
      <c r="C32" s="337" t="s">
        <v>1426</v>
      </c>
      <c r="D32" s="318">
        <v>453600</v>
      </c>
      <c r="E32" s="318">
        <v>405000</v>
      </c>
      <c r="F32" s="338">
        <v>367751.97</v>
      </c>
      <c r="G32" s="338">
        <v>367601.57</v>
      </c>
      <c r="H32" s="338">
        <v>48600</v>
      </c>
      <c r="I32" s="338">
        <v>416201.57</v>
      </c>
      <c r="J32" s="318">
        <v>439100</v>
      </c>
      <c r="K32" s="318">
        <v>-22898.43</v>
      </c>
      <c r="L32" s="311"/>
    </row>
    <row r="33" spans="1:12" s="339" customFormat="1" ht="27.95" customHeight="1" outlineLevel="2">
      <c r="A33" s="336" t="s">
        <v>246</v>
      </c>
      <c r="B33" s="311" t="s">
        <v>1073</v>
      </c>
      <c r="C33" s="337" t="s">
        <v>1428</v>
      </c>
      <c r="D33" s="318">
        <v>1349679.04</v>
      </c>
      <c r="E33" s="318">
        <v>1097392</v>
      </c>
      <c r="F33" s="318">
        <v>1055000</v>
      </c>
      <c r="G33" s="318">
        <v>1051730.03</v>
      </c>
      <c r="H33" s="318">
        <v>252287.04</v>
      </c>
      <c r="I33" s="318">
        <v>1304017.07</v>
      </c>
      <c r="J33" s="318">
        <v>1307287.04</v>
      </c>
      <c r="K33" s="318">
        <v>-3269.97</v>
      </c>
      <c r="L33" s="311"/>
    </row>
    <row r="34" spans="1:12" s="339" customFormat="1" ht="27.95" customHeight="1" outlineLevel="2">
      <c r="A34" s="336" t="s">
        <v>1429</v>
      </c>
      <c r="B34" s="311" t="s">
        <v>1073</v>
      </c>
      <c r="C34" s="337" t="s">
        <v>1430</v>
      </c>
      <c r="D34" s="960">
        <v>1726329.6</v>
      </c>
      <c r="E34" s="960">
        <v>1514580</v>
      </c>
      <c r="F34" s="960">
        <v>1497650.24</v>
      </c>
      <c r="G34" s="960">
        <v>1496858</v>
      </c>
      <c r="H34" s="960">
        <v>165131</v>
      </c>
      <c r="I34" s="960">
        <v>1661898</v>
      </c>
      <c r="J34" s="962">
        <v>1697229.6</v>
      </c>
      <c r="K34" s="964">
        <v>-35331.599999999999</v>
      </c>
      <c r="L34" s="311"/>
    </row>
    <row r="35" spans="1:12" s="339" customFormat="1" ht="27.95" customHeight="1" outlineLevel="2">
      <c r="A35" s="336" t="s">
        <v>1431</v>
      </c>
      <c r="B35" s="311" t="s">
        <v>1073</v>
      </c>
      <c r="C35" s="340" t="s">
        <v>1430</v>
      </c>
      <c r="D35" s="961"/>
      <c r="E35" s="961"/>
      <c r="F35" s="961"/>
      <c r="G35" s="961"/>
      <c r="H35" s="961"/>
      <c r="I35" s="961"/>
      <c r="J35" s="963"/>
      <c r="K35" s="965"/>
      <c r="L35" s="311"/>
    </row>
    <row r="36" spans="1:12" s="339" customFormat="1" ht="27.95" customHeight="1" outlineLevel="2">
      <c r="A36" s="336" t="s">
        <v>1432</v>
      </c>
      <c r="B36" s="311" t="s">
        <v>1073</v>
      </c>
      <c r="C36" s="337" t="s">
        <v>1433</v>
      </c>
      <c r="D36" s="338">
        <v>494560</v>
      </c>
      <c r="E36" s="338">
        <v>403000</v>
      </c>
      <c r="F36" s="338">
        <v>369218</v>
      </c>
      <c r="G36" s="338">
        <v>368042</v>
      </c>
      <c r="H36" s="341">
        <v>62380</v>
      </c>
      <c r="I36" s="338">
        <v>430422</v>
      </c>
      <c r="J36" s="342">
        <v>460778</v>
      </c>
      <c r="K36" s="343">
        <v>-30356</v>
      </c>
      <c r="L36" s="311"/>
    </row>
    <row r="37" spans="1:12" s="339" customFormat="1" ht="27.95" customHeight="1" outlineLevel="2">
      <c r="A37" s="336" t="s">
        <v>1434</v>
      </c>
      <c r="B37" s="311" t="s">
        <v>1073</v>
      </c>
      <c r="C37" s="337" t="s">
        <v>1435</v>
      </c>
      <c r="D37" s="338">
        <v>204960</v>
      </c>
      <c r="E37" s="338">
        <v>183000</v>
      </c>
      <c r="F37" s="338">
        <v>183000</v>
      </c>
      <c r="G37" s="338">
        <v>180200</v>
      </c>
      <c r="H37" s="338">
        <v>21600</v>
      </c>
      <c r="I37" s="338">
        <v>201800</v>
      </c>
      <c r="J37" s="342">
        <v>202160</v>
      </c>
      <c r="K37" s="343">
        <v>-360</v>
      </c>
      <c r="L37" s="311"/>
    </row>
    <row r="38" spans="1:12" s="339" customFormat="1" ht="27.95" customHeight="1" outlineLevel="2">
      <c r="A38" s="344" t="s">
        <v>251</v>
      </c>
      <c r="B38" s="329" t="s">
        <v>1073</v>
      </c>
      <c r="C38" s="345" t="s">
        <v>1436</v>
      </c>
      <c r="D38" s="346">
        <v>1125780.8</v>
      </c>
      <c r="E38" s="346">
        <v>951590</v>
      </c>
      <c r="F38" s="346">
        <v>943086</v>
      </c>
      <c r="G38" s="346">
        <v>942086</v>
      </c>
      <c r="H38" s="347">
        <v>136700.29999999999</v>
      </c>
      <c r="I38" s="346">
        <v>1078786.3</v>
      </c>
      <c r="J38" s="348">
        <v>1116276.8</v>
      </c>
      <c r="K38" s="347">
        <v>-37490.5</v>
      </c>
      <c r="L38" s="311"/>
    </row>
    <row r="39" spans="1:12" s="339" customFormat="1" ht="27.95" customHeight="1" outlineLevel="1">
      <c r="A39" s="349"/>
      <c r="B39" s="321" t="s">
        <v>261</v>
      </c>
      <c r="C39" s="350"/>
      <c r="D39" s="351">
        <f t="shared" ref="D39:K39" si="11">SUBTOTAL(9,D31:D38)</f>
        <v>5918589.4400000004</v>
      </c>
      <c r="E39" s="351">
        <f t="shared" si="11"/>
        <v>5031062</v>
      </c>
      <c r="F39" s="351">
        <f t="shared" si="11"/>
        <v>4891129.33</v>
      </c>
      <c r="G39" s="351">
        <f t="shared" si="11"/>
        <v>4864662.54</v>
      </c>
      <c r="H39" s="352">
        <f t="shared" si="11"/>
        <v>773878.34000000008</v>
      </c>
      <c r="I39" s="351">
        <f t="shared" si="11"/>
        <v>5638449.8799999999</v>
      </c>
      <c r="J39" s="351">
        <f t="shared" si="11"/>
        <v>5775511.4400000004</v>
      </c>
      <c r="K39" s="352">
        <f t="shared" si="11"/>
        <v>-137061.56</v>
      </c>
      <c r="L39" s="353"/>
    </row>
    <row r="40" spans="1:12" s="339" customFormat="1" ht="27.95" customHeight="1">
      <c r="A40" s="349"/>
      <c r="B40" s="321" t="s">
        <v>252</v>
      </c>
      <c r="C40" s="350"/>
      <c r="D40" s="351">
        <f t="shared" ref="D40:K40" si="12">SUBTOTAL(9,D3:D38)</f>
        <v>29732588.48</v>
      </c>
      <c r="E40" s="351">
        <f t="shared" si="12"/>
        <v>25743980.109999999</v>
      </c>
      <c r="F40" s="351">
        <f t="shared" si="12"/>
        <v>23441394.579999998</v>
      </c>
      <c r="G40" s="351">
        <f t="shared" si="12"/>
        <v>23313318.370000005</v>
      </c>
      <c r="H40" s="352">
        <f t="shared" si="12"/>
        <v>3559540.77</v>
      </c>
      <c r="I40" s="351">
        <f t="shared" si="12"/>
        <v>26872768.140000004</v>
      </c>
      <c r="J40" s="351">
        <f t="shared" si="12"/>
        <v>27136554.120000001</v>
      </c>
      <c r="K40" s="352">
        <f t="shared" si="12"/>
        <v>-263785.97999999975</v>
      </c>
      <c r="L40" s="353"/>
    </row>
  </sheetData>
  <mergeCells count="25">
    <mergeCell ref="I34:I35"/>
    <mergeCell ref="J34:J35"/>
    <mergeCell ref="K34:K35"/>
    <mergeCell ref="D34:D35"/>
    <mergeCell ref="E34:E35"/>
    <mergeCell ref="F34:F35"/>
    <mergeCell ref="G34:G35"/>
    <mergeCell ref="H34:H35"/>
    <mergeCell ref="L21:L22"/>
    <mergeCell ref="D24:D27"/>
    <mergeCell ref="E24:E27"/>
    <mergeCell ref="F24:F27"/>
    <mergeCell ref="G24:G27"/>
    <mergeCell ref="H24:H27"/>
    <mergeCell ref="I24:I27"/>
    <mergeCell ref="J24:J27"/>
    <mergeCell ref="K24:K27"/>
    <mergeCell ref="L24:L27"/>
    <mergeCell ref="A1:K1"/>
    <mergeCell ref="F21:F22"/>
    <mergeCell ref="G21:G22"/>
    <mergeCell ref="H21:H22"/>
    <mergeCell ref="I21:I22"/>
    <mergeCell ref="J21:J22"/>
    <mergeCell ref="K21:K22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Footer>第 &amp;P 页，共 &amp;N 页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workbookViewId="0">
      <selection activeCell="H4" sqref="H4"/>
    </sheetView>
  </sheetViews>
  <sheetFormatPr defaultRowHeight="13.5" outlineLevelRow="2"/>
  <cols>
    <col min="1" max="1" width="36.125" customWidth="1"/>
    <col min="4" max="4" width="12.25" customWidth="1"/>
    <col min="7" max="7" width="11.125" customWidth="1"/>
    <col min="8" max="8" width="15" customWidth="1"/>
  </cols>
  <sheetData>
    <row r="1" spans="1:8" ht="38.25" customHeight="1">
      <c r="A1" s="966" t="s">
        <v>2382</v>
      </c>
      <c r="B1" s="967"/>
      <c r="C1" s="967"/>
      <c r="D1" s="967"/>
      <c r="E1" s="967"/>
      <c r="F1" s="967"/>
      <c r="G1" s="967"/>
      <c r="H1" s="967"/>
    </row>
    <row r="2" spans="1:8" ht="20.100000000000001" customHeight="1">
      <c r="A2" s="715" t="s">
        <v>2383</v>
      </c>
      <c r="B2" s="716" t="s">
        <v>2384</v>
      </c>
      <c r="C2" s="717" t="s">
        <v>2385</v>
      </c>
      <c r="D2" s="716" t="s">
        <v>2386</v>
      </c>
      <c r="E2" s="718" t="s">
        <v>2387</v>
      </c>
      <c r="F2" s="719" t="s">
        <v>2388</v>
      </c>
      <c r="G2" s="720" t="s">
        <v>2389</v>
      </c>
      <c r="H2" s="721" t="s">
        <v>2390</v>
      </c>
    </row>
    <row r="3" spans="1:8" ht="20.100000000000001" customHeight="1" outlineLevel="2">
      <c r="A3" s="722" t="s">
        <v>2391</v>
      </c>
      <c r="B3" s="723" t="s">
        <v>2392</v>
      </c>
      <c r="C3" s="724" t="s">
        <v>2393</v>
      </c>
      <c r="D3" s="724" t="s">
        <v>2394</v>
      </c>
      <c r="E3" s="724">
        <v>2</v>
      </c>
      <c r="F3" s="725" t="s">
        <v>2395</v>
      </c>
      <c r="G3" s="726">
        <v>52500</v>
      </c>
      <c r="H3" s="727">
        <v>105000</v>
      </c>
    </row>
    <row r="4" spans="1:8" ht="20.100000000000001" customHeight="1" outlineLevel="2">
      <c r="A4" s="728" t="s">
        <v>2396</v>
      </c>
      <c r="B4" s="723" t="s">
        <v>2392</v>
      </c>
      <c r="C4" s="729" t="s">
        <v>2397</v>
      </c>
      <c r="D4" s="730" t="s">
        <v>2398</v>
      </c>
      <c r="E4" s="730">
        <v>2</v>
      </c>
      <c r="F4" s="725" t="s">
        <v>2395</v>
      </c>
      <c r="G4" s="726">
        <v>52500</v>
      </c>
      <c r="H4" s="727">
        <v>105000</v>
      </c>
    </row>
    <row r="5" spans="1:8" ht="20.100000000000001" customHeight="1" outlineLevel="2">
      <c r="A5" s="731" t="s">
        <v>2399</v>
      </c>
      <c r="B5" s="723" t="s">
        <v>2392</v>
      </c>
      <c r="C5" s="732" t="s">
        <v>2400</v>
      </c>
      <c r="D5" s="733" t="s">
        <v>2398</v>
      </c>
      <c r="E5" s="733">
        <v>5</v>
      </c>
      <c r="F5" s="734" t="s">
        <v>2401</v>
      </c>
      <c r="G5" s="726">
        <v>52500</v>
      </c>
      <c r="H5" s="727">
        <v>262500</v>
      </c>
    </row>
    <row r="6" spans="1:8" ht="20.100000000000001" customHeight="1" outlineLevel="1">
      <c r="A6" s="731"/>
      <c r="B6" s="733"/>
      <c r="C6" s="732"/>
      <c r="D6" s="735" t="s">
        <v>946</v>
      </c>
      <c r="E6" s="733"/>
      <c r="F6" s="734"/>
      <c r="G6" s="726"/>
      <c r="H6" s="727">
        <f>SUBTOTAL(9,H3:H5)</f>
        <v>472500</v>
      </c>
    </row>
    <row r="7" spans="1:8" ht="20.100000000000001" customHeight="1" outlineLevel="2">
      <c r="A7" s="731" t="s">
        <v>2402</v>
      </c>
      <c r="B7" s="736" t="s">
        <v>2403</v>
      </c>
      <c r="C7" s="732" t="s">
        <v>2400</v>
      </c>
      <c r="D7" s="733" t="s">
        <v>2404</v>
      </c>
      <c r="E7" s="733">
        <v>5</v>
      </c>
      <c r="F7" s="734" t="s">
        <v>2401</v>
      </c>
      <c r="G7" s="726">
        <v>52500</v>
      </c>
      <c r="H7" s="727">
        <v>262500</v>
      </c>
    </row>
    <row r="8" spans="1:8" ht="20.100000000000001" customHeight="1" outlineLevel="1">
      <c r="A8" s="731"/>
      <c r="B8" s="733"/>
      <c r="C8" s="732"/>
      <c r="D8" s="735" t="s">
        <v>949</v>
      </c>
      <c r="E8" s="733"/>
      <c r="F8" s="734"/>
      <c r="G8" s="726"/>
      <c r="H8" s="727">
        <f>SUBTOTAL(9,H7:H7)</f>
        <v>262500</v>
      </c>
    </row>
    <row r="9" spans="1:8" ht="20.100000000000001" customHeight="1" outlineLevel="2">
      <c r="A9" s="722" t="s">
        <v>2405</v>
      </c>
      <c r="B9" s="723" t="s">
        <v>2392</v>
      </c>
      <c r="C9" s="724" t="s">
        <v>2406</v>
      </c>
      <c r="D9" s="724" t="s">
        <v>2407</v>
      </c>
      <c r="E9" s="724">
        <v>2</v>
      </c>
      <c r="F9" s="725" t="s">
        <v>2395</v>
      </c>
      <c r="G9" s="726">
        <v>52500</v>
      </c>
      <c r="H9" s="727">
        <v>105000</v>
      </c>
    </row>
    <row r="10" spans="1:8" ht="20.100000000000001" customHeight="1" outlineLevel="2">
      <c r="A10" s="728" t="s">
        <v>2408</v>
      </c>
      <c r="B10" s="737" t="s">
        <v>2403</v>
      </c>
      <c r="C10" s="729" t="s">
        <v>2397</v>
      </c>
      <c r="D10" s="730" t="s">
        <v>2409</v>
      </c>
      <c r="E10" s="730">
        <v>2</v>
      </c>
      <c r="F10" s="725" t="s">
        <v>2395</v>
      </c>
      <c r="G10" s="726">
        <v>52500</v>
      </c>
      <c r="H10" s="727">
        <v>105000</v>
      </c>
    </row>
    <row r="11" spans="1:8" ht="20.100000000000001" customHeight="1" outlineLevel="2">
      <c r="A11" s="722" t="s">
        <v>2410</v>
      </c>
      <c r="B11" s="724" t="s">
        <v>2411</v>
      </c>
      <c r="C11" s="724" t="s">
        <v>2393</v>
      </c>
      <c r="D11" s="724" t="s">
        <v>2407</v>
      </c>
      <c r="E11" s="724">
        <v>2</v>
      </c>
      <c r="F11" s="725" t="s">
        <v>2395</v>
      </c>
      <c r="G11" s="726">
        <v>52500</v>
      </c>
      <c r="H11" s="727">
        <v>105000</v>
      </c>
    </row>
    <row r="12" spans="1:8" ht="20.100000000000001" customHeight="1" outlineLevel="1">
      <c r="A12" s="722"/>
      <c r="B12" s="724"/>
      <c r="C12" s="724"/>
      <c r="D12" s="717" t="s">
        <v>951</v>
      </c>
      <c r="E12" s="724"/>
      <c r="F12" s="725"/>
      <c r="G12" s="726"/>
      <c r="H12" s="727">
        <f>SUBTOTAL(9,H9:H11)</f>
        <v>315000</v>
      </c>
    </row>
    <row r="13" spans="1:8" ht="20.100000000000001" customHeight="1" outlineLevel="2">
      <c r="A13" s="722" t="s">
        <v>2412</v>
      </c>
      <c r="B13" s="723" t="s">
        <v>2392</v>
      </c>
      <c r="C13" s="724" t="s">
        <v>2393</v>
      </c>
      <c r="D13" s="724" t="s">
        <v>2413</v>
      </c>
      <c r="E13" s="724">
        <v>2</v>
      </c>
      <c r="F13" s="725" t="s">
        <v>2395</v>
      </c>
      <c r="G13" s="726">
        <v>52500</v>
      </c>
      <c r="H13" s="727">
        <v>105000</v>
      </c>
    </row>
    <row r="14" spans="1:8" ht="20.100000000000001" customHeight="1" outlineLevel="2">
      <c r="A14" s="722" t="s">
        <v>2414</v>
      </c>
      <c r="B14" s="723" t="s">
        <v>2392</v>
      </c>
      <c r="C14" s="724" t="s">
        <v>2393</v>
      </c>
      <c r="D14" s="724" t="s">
        <v>2413</v>
      </c>
      <c r="E14" s="724">
        <v>2</v>
      </c>
      <c r="F14" s="725" t="s">
        <v>2395</v>
      </c>
      <c r="G14" s="726">
        <v>52500</v>
      </c>
      <c r="H14" s="727">
        <v>105000</v>
      </c>
    </row>
    <row r="15" spans="1:8" ht="20.100000000000001" customHeight="1" outlineLevel="2">
      <c r="A15" s="728" t="s">
        <v>2415</v>
      </c>
      <c r="B15" s="737" t="s">
        <v>2403</v>
      </c>
      <c r="C15" s="729" t="s">
        <v>2416</v>
      </c>
      <c r="D15" s="730" t="s">
        <v>2417</v>
      </c>
      <c r="E15" s="730">
        <v>2</v>
      </c>
      <c r="F15" s="725" t="s">
        <v>2395</v>
      </c>
      <c r="G15" s="726">
        <v>52500</v>
      </c>
      <c r="H15" s="727">
        <v>105000</v>
      </c>
    </row>
    <row r="16" spans="1:8" ht="20.100000000000001" customHeight="1" outlineLevel="2">
      <c r="A16" s="728" t="s">
        <v>2418</v>
      </c>
      <c r="B16" s="737" t="s">
        <v>2403</v>
      </c>
      <c r="C16" s="729" t="s">
        <v>2397</v>
      </c>
      <c r="D16" s="730" t="s">
        <v>2417</v>
      </c>
      <c r="E16" s="730">
        <v>1</v>
      </c>
      <c r="F16" s="725" t="s">
        <v>2395</v>
      </c>
      <c r="G16" s="726">
        <v>52500</v>
      </c>
      <c r="H16" s="727">
        <v>52500</v>
      </c>
    </row>
    <row r="17" spans="1:9" ht="20.100000000000001" customHeight="1" outlineLevel="2">
      <c r="A17" s="728" t="s">
        <v>2419</v>
      </c>
      <c r="B17" s="737" t="s">
        <v>2403</v>
      </c>
      <c r="C17" s="729" t="s">
        <v>2397</v>
      </c>
      <c r="D17" s="730" t="s">
        <v>2417</v>
      </c>
      <c r="E17" s="730">
        <v>2</v>
      </c>
      <c r="F17" s="725" t="s">
        <v>2395</v>
      </c>
      <c r="G17" s="726">
        <v>52500</v>
      </c>
      <c r="H17" s="727">
        <v>105000</v>
      </c>
    </row>
    <row r="18" spans="1:9" ht="20.100000000000001" customHeight="1" outlineLevel="2">
      <c r="A18" s="728" t="s">
        <v>2420</v>
      </c>
      <c r="B18" s="737" t="s">
        <v>2403</v>
      </c>
      <c r="C18" s="729" t="s">
        <v>2416</v>
      </c>
      <c r="D18" s="730" t="s">
        <v>2417</v>
      </c>
      <c r="E18" s="730">
        <v>1</v>
      </c>
      <c r="F18" s="725" t="s">
        <v>2395</v>
      </c>
      <c r="G18" s="726">
        <v>52500</v>
      </c>
      <c r="H18" s="727">
        <v>52500</v>
      </c>
    </row>
    <row r="19" spans="1:9" ht="20.100000000000001" customHeight="1" outlineLevel="2">
      <c r="A19" s="722" t="s">
        <v>2421</v>
      </c>
      <c r="B19" s="724" t="s">
        <v>2411</v>
      </c>
      <c r="C19" s="724" t="s">
        <v>2393</v>
      </c>
      <c r="D19" s="724" t="s">
        <v>2413</v>
      </c>
      <c r="E19" s="724">
        <v>2</v>
      </c>
      <c r="F19" s="725" t="s">
        <v>2395</v>
      </c>
      <c r="G19" s="726">
        <v>52500</v>
      </c>
      <c r="H19" s="727">
        <v>105000</v>
      </c>
    </row>
    <row r="20" spans="1:9" ht="20.100000000000001" customHeight="1" outlineLevel="1">
      <c r="A20" s="722"/>
      <c r="B20" s="724"/>
      <c r="C20" s="724"/>
      <c r="D20" s="717" t="s">
        <v>952</v>
      </c>
      <c r="E20" s="724"/>
      <c r="F20" s="725"/>
      <c r="G20" s="726"/>
      <c r="H20" s="727">
        <f>SUBTOTAL(9,H13:H19)</f>
        <v>630000</v>
      </c>
    </row>
    <row r="21" spans="1:9" ht="20.100000000000001" customHeight="1" outlineLevel="2">
      <c r="A21" s="731" t="s">
        <v>2422</v>
      </c>
      <c r="B21" s="736" t="s">
        <v>2403</v>
      </c>
      <c r="C21" s="732" t="s">
        <v>2400</v>
      </c>
      <c r="D21" s="733" t="s">
        <v>2423</v>
      </c>
      <c r="E21" s="733">
        <v>5</v>
      </c>
      <c r="F21" s="734" t="s">
        <v>2424</v>
      </c>
      <c r="G21" s="726">
        <v>52500</v>
      </c>
      <c r="H21" s="727">
        <v>262500</v>
      </c>
    </row>
    <row r="22" spans="1:9" ht="20.100000000000001" customHeight="1" outlineLevel="2">
      <c r="A22" s="731" t="s">
        <v>2425</v>
      </c>
      <c r="B22" s="736" t="s">
        <v>2403</v>
      </c>
      <c r="C22" s="732" t="s">
        <v>2397</v>
      </c>
      <c r="D22" s="733" t="s">
        <v>2423</v>
      </c>
      <c r="E22" s="733">
        <v>5</v>
      </c>
      <c r="F22" s="734" t="s">
        <v>2401</v>
      </c>
      <c r="G22" s="726">
        <v>52500</v>
      </c>
      <c r="H22" s="727">
        <v>0</v>
      </c>
      <c r="I22" t="s">
        <v>2439</v>
      </c>
    </row>
    <row r="23" spans="1:9" ht="20.100000000000001" customHeight="1" outlineLevel="1">
      <c r="A23" s="731"/>
      <c r="B23" s="733"/>
      <c r="C23" s="732"/>
      <c r="D23" s="735" t="s">
        <v>948</v>
      </c>
      <c r="E23" s="733"/>
      <c r="F23" s="734"/>
      <c r="G23" s="726"/>
      <c r="H23" s="727">
        <f>SUBTOTAL(9,H21:H22)</f>
        <v>262500</v>
      </c>
    </row>
    <row r="24" spans="1:9" ht="20.100000000000001" customHeight="1" outlineLevel="2">
      <c r="A24" s="731" t="s">
        <v>2426</v>
      </c>
      <c r="B24" s="736" t="s">
        <v>2403</v>
      </c>
      <c r="C24" s="732" t="s">
        <v>2400</v>
      </c>
      <c r="D24" s="733" t="s">
        <v>2427</v>
      </c>
      <c r="E24" s="733">
        <v>5</v>
      </c>
      <c r="F24" s="738" t="s">
        <v>2424</v>
      </c>
      <c r="G24" s="726">
        <v>52500</v>
      </c>
      <c r="H24" s="739">
        <v>262500</v>
      </c>
    </row>
    <row r="25" spans="1:9" ht="20.100000000000001" customHeight="1" outlineLevel="1">
      <c r="A25" s="731"/>
      <c r="B25" s="736"/>
      <c r="C25" s="732"/>
      <c r="D25" s="735" t="s">
        <v>947</v>
      </c>
      <c r="E25" s="733"/>
      <c r="F25" s="738"/>
      <c r="G25" s="726"/>
      <c r="H25" s="739">
        <f>SUBTOTAL(9,H24:H24)</f>
        <v>262500</v>
      </c>
    </row>
    <row r="26" spans="1:9" ht="20.100000000000001" customHeight="1" outlineLevel="2">
      <c r="A26" s="722" t="s">
        <v>2428</v>
      </c>
      <c r="B26" s="723" t="s">
        <v>2392</v>
      </c>
      <c r="C26" s="724" t="s">
        <v>2393</v>
      </c>
      <c r="D26" s="724" t="s">
        <v>2429</v>
      </c>
      <c r="E26" s="724">
        <v>2</v>
      </c>
      <c r="F26" s="725" t="s">
        <v>2395</v>
      </c>
      <c r="G26" s="726">
        <v>52500</v>
      </c>
      <c r="H26" s="727">
        <v>105000</v>
      </c>
    </row>
    <row r="27" spans="1:9" ht="20.100000000000001" customHeight="1" outlineLevel="2">
      <c r="A27" s="722" t="s">
        <v>2430</v>
      </c>
      <c r="B27" s="723" t="s">
        <v>2392</v>
      </c>
      <c r="C27" s="724" t="s">
        <v>2393</v>
      </c>
      <c r="D27" s="724" t="s">
        <v>2429</v>
      </c>
      <c r="E27" s="724">
        <v>2</v>
      </c>
      <c r="F27" s="725" t="s">
        <v>2395</v>
      </c>
      <c r="G27" s="726">
        <v>52500</v>
      </c>
      <c r="H27" s="727">
        <v>105000</v>
      </c>
    </row>
    <row r="28" spans="1:9" ht="20.100000000000001" customHeight="1" outlineLevel="2">
      <c r="A28" s="722" t="s">
        <v>2431</v>
      </c>
      <c r="B28" s="723" t="s">
        <v>2392</v>
      </c>
      <c r="C28" s="724" t="s">
        <v>2393</v>
      </c>
      <c r="D28" s="724" t="s">
        <v>2429</v>
      </c>
      <c r="E28" s="724">
        <v>2</v>
      </c>
      <c r="F28" s="725" t="s">
        <v>2395</v>
      </c>
      <c r="G28" s="726">
        <v>52500</v>
      </c>
      <c r="H28" s="727">
        <v>105000</v>
      </c>
    </row>
    <row r="29" spans="1:9" ht="20.100000000000001" customHeight="1" outlineLevel="2">
      <c r="A29" s="722" t="s">
        <v>2432</v>
      </c>
      <c r="B29" s="723" t="s">
        <v>2392</v>
      </c>
      <c r="C29" s="724" t="s">
        <v>2433</v>
      </c>
      <c r="D29" s="724" t="s">
        <v>2429</v>
      </c>
      <c r="E29" s="724">
        <v>2</v>
      </c>
      <c r="F29" s="725" t="s">
        <v>2395</v>
      </c>
      <c r="G29" s="726">
        <v>52500</v>
      </c>
      <c r="H29" s="727">
        <v>105000</v>
      </c>
    </row>
    <row r="30" spans="1:9" ht="20.100000000000001" customHeight="1" outlineLevel="2">
      <c r="A30" s="731" t="s">
        <v>2434</v>
      </c>
      <c r="B30" s="736" t="s">
        <v>2403</v>
      </c>
      <c r="C30" s="732" t="s">
        <v>2400</v>
      </c>
      <c r="D30" s="733" t="s">
        <v>2435</v>
      </c>
      <c r="E30" s="733">
        <v>-5</v>
      </c>
      <c r="F30" s="738" t="s">
        <v>2436</v>
      </c>
      <c r="G30" s="726">
        <v>52500</v>
      </c>
      <c r="H30" s="739">
        <v>-262500</v>
      </c>
    </row>
    <row r="31" spans="1:9" ht="20.100000000000001" customHeight="1" outlineLevel="1">
      <c r="A31" s="731"/>
      <c r="B31" s="733"/>
      <c r="C31" s="732"/>
      <c r="D31" s="735" t="s">
        <v>950</v>
      </c>
      <c r="E31" s="733"/>
      <c r="F31" s="738"/>
      <c r="G31" s="726"/>
      <c r="H31" s="739">
        <f>SUBTOTAL(9,H26:H30)</f>
        <v>157500</v>
      </c>
    </row>
    <row r="32" spans="1:9" ht="20.100000000000001" customHeight="1">
      <c r="A32" s="731"/>
      <c r="B32" s="733"/>
      <c r="C32" s="732"/>
      <c r="D32" s="735" t="s">
        <v>252</v>
      </c>
      <c r="E32" s="733"/>
      <c r="F32" s="738"/>
      <c r="G32" s="726"/>
      <c r="H32" s="739">
        <f>SUBTOTAL(9,H3:H30)</f>
        <v>2362500</v>
      </c>
    </row>
  </sheetData>
  <mergeCells count="1">
    <mergeCell ref="A1:H1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workbookViewId="0">
      <selection activeCell="A4" sqref="A4:XFD72"/>
    </sheetView>
  </sheetViews>
  <sheetFormatPr defaultRowHeight="11.25"/>
  <cols>
    <col min="1" max="1" width="5.25" style="13" customWidth="1"/>
    <col min="2" max="2" width="24.125" style="1" customWidth="1"/>
    <col min="3" max="3" width="9" style="1"/>
    <col min="4" max="4" width="9" style="14"/>
    <col min="5" max="10" width="12.625" style="1" customWidth="1"/>
    <col min="11" max="16384" width="9" style="1"/>
  </cols>
  <sheetData>
    <row r="1" spans="1:11" ht="20.100000000000001" customHeight="1">
      <c r="A1" s="789" t="s">
        <v>828</v>
      </c>
      <c r="B1" s="790"/>
      <c r="C1" s="790"/>
      <c r="D1" s="790"/>
      <c r="E1" s="790"/>
      <c r="F1" s="790"/>
      <c r="G1" s="790"/>
      <c r="H1" s="790"/>
      <c r="I1" s="790"/>
      <c r="J1" s="790"/>
      <c r="K1" s="790"/>
    </row>
    <row r="2" spans="1:11" ht="24.75" customHeight="1">
      <c r="A2" s="791" t="s">
        <v>12</v>
      </c>
      <c r="B2" s="791" t="s">
        <v>13</v>
      </c>
      <c r="C2" s="791" t="s">
        <v>14</v>
      </c>
      <c r="D2" s="791" t="s">
        <v>15</v>
      </c>
      <c r="E2" s="33" t="s">
        <v>165</v>
      </c>
      <c r="F2" s="33" t="s">
        <v>166</v>
      </c>
      <c r="G2" s="33" t="s">
        <v>167</v>
      </c>
      <c r="H2" s="33" t="s">
        <v>168</v>
      </c>
      <c r="I2" s="33" t="s">
        <v>169</v>
      </c>
      <c r="J2" s="791" t="s">
        <v>17</v>
      </c>
      <c r="K2" s="791" t="s">
        <v>18</v>
      </c>
    </row>
    <row r="3" spans="1:11" ht="15" customHeight="1">
      <c r="A3" s="792"/>
      <c r="B3" s="792"/>
      <c r="C3" s="792"/>
      <c r="D3" s="792"/>
      <c r="E3" s="33" t="s">
        <v>463</v>
      </c>
      <c r="F3" s="33" t="s">
        <v>460</v>
      </c>
      <c r="G3" s="33" t="s">
        <v>460</v>
      </c>
      <c r="H3" s="33" t="s">
        <v>460</v>
      </c>
      <c r="I3" s="33" t="s">
        <v>461</v>
      </c>
      <c r="J3" s="792"/>
      <c r="K3" s="792"/>
    </row>
    <row r="4" spans="1:11" ht="14.1" customHeight="1">
      <c r="A4" s="35" t="s">
        <v>19</v>
      </c>
      <c r="B4" s="36" t="s">
        <v>20</v>
      </c>
      <c r="C4" s="36"/>
      <c r="D4" s="37" t="s">
        <v>21</v>
      </c>
      <c r="E4" s="38">
        <f>E5+E32+E37</f>
        <v>29428462.449999999</v>
      </c>
      <c r="F4" s="38">
        <f>F5+F32+F37</f>
        <v>6190005</v>
      </c>
      <c r="G4" s="38">
        <f>G5+G32+G37</f>
        <v>12201530.120000001</v>
      </c>
      <c r="H4" s="38">
        <f>H5+H32+H37</f>
        <v>19272919.93</v>
      </c>
      <c r="I4" s="38">
        <f>I5+I32+I37</f>
        <v>1745382.85</v>
      </c>
      <c r="J4" s="38">
        <f t="shared" ref="J4:J67" si="0">SUM(E4:I4)</f>
        <v>68838300.350000009</v>
      </c>
      <c r="K4" s="39"/>
    </row>
    <row r="5" spans="1:11" ht="14.1" customHeight="1">
      <c r="A5" s="35" t="s">
        <v>22</v>
      </c>
      <c r="B5" s="36" t="s">
        <v>0</v>
      </c>
      <c r="C5" s="36"/>
      <c r="D5" s="37" t="s">
        <v>21</v>
      </c>
      <c r="E5" s="38">
        <f>E6+E9+E13+E16+E21+E26+E28+E30+E31</f>
        <v>23613861.379999999</v>
      </c>
      <c r="F5" s="38">
        <f>F6+F9+F13+F16+F21+F26+F28+F30+F31</f>
        <v>4964260</v>
      </c>
      <c r="G5" s="38">
        <f>G6+G9+G13+G16+G21+G26+G28+G30+G31</f>
        <v>10438990.050000001</v>
      </c>
      <c r="H5" s="38">
        <f>H6+H9+H13+H16+H21+H26+H28+H30+H31</f>
        <v>16289555.440000001</v>
      </c>
      <c r="I5" s="38">
        <f>I6+I9+I13+I16+I21+I26+I28+I30+I31</f>
        <v>1514645.7100000002</v>
      </c>
      <c r="J5" s="38">
        <f t="shared" si="0"/>
        <v>56821312.580000006</v>
      </c>
      <c r="K5" s="39"/>
    </row>
    <row r="6" spans="1:11" ht="14.1" customHeight="1">
      <c r="A6" s="35" t="s">
        <v>23</v>
      </c>
      <c r="B6" s="36" t="s">
        <v>24</v>
      </c>
      <c r="C6" s="36"/>
      <c r="D6" s="37" t="s">
        <v>21</v>
      </c>
      <c r="E6" s="38">
        <f>E7+E8</f>
        <v>3376074.5300000003</v>
      </c>
      <c r="F6" s="38">
        <f>F7+F8</f>
        <v>778800</v>
      </c>
      <c r="G6" s="38">
        <f>G7+G8</f>
        <v>1425319.2000000002</v>
      </c>
      <c r="H6" s="38">
        <f>H7+H8</f>
        <v>2050000</v>
      </c>
      <c r="I6" s="38">
        <f>I7+I8</f>
        <v>196776</v>
      </c>
      <c r="J6" s="38">
        <f t="shared" si="0"/>
        <v>7826969.7300000004</v>
      </c>
      <c r="K6" s="39"/>
    </row>
    <row r="7" spans="1:11" ht="14.1" customHeight="1">
      <c r="A7" s="35" t="s">
        <v>25</v>
      </c>
      <c r="B7" s="36" t="s">
        <v>26</v>
      </c>
      <c r="C7" s="36" t="s">
        <v>27</v>
      </c>
      <c r="D7" s="37" t="s">
        <v>28</v>
      </c>
      <c r="E7" s="40">
        <v>1802091.53</v>
      </c>
      <c r="F7" s="40">
        <v>403200</v>
      </c>
      <c r="G7" s="40">
        <v>857306.4</v>
      </c>
      <c r="H7" s="40">
        <v>1300000</v>
      </c>
      <c r="I7" s="40">
        <v>84348</v>
      </c>
      <c r="J7" s="38">
        <f t="shared" si="0"/>
        <v>4446945.93</v>
      </c>
      <c r="K7" s="41"/>
    </row>
    <row r="8" spans="1:11" ht="14.1" customHeight="1">
      <c r="A8" s="35" t="s">
        <v>29</v>
      </c>
      <c r="B8" s="36" t="s">
        <v>30</v>
      </c>
      <c r="C8" s="36" t="s">
        <v>27</v>
      </c>
      <c r="D8" s="37" t="s">
        <v>28</v>
      </c>
      <c r="E8" s="40">
        <v>1573983</v>
      </c>
      <c r="F8" s="40">
        <v>375600</v>
      </c>
      <c r="G8" s="40">
        <v>568012.80000000005</v>
      </c>
      <c r="H8" s="40">
        <v>750000</v>
      </c>
      <c r="I8" s="40">
        <v>112428</v>
      </c>
      <c r="J8" s="38">
        <f t="shared" si="0"/>
        <v>3380023.8</v>
      </c>
      <c r="K8" s="39"/>
    </row>
    <row r="9" spans="1:11" ht="14.1" customHeight="1">
      <c r="A9" s="35" t="s">
        <v>31</v>
      </c>
      <c r="B9" s="36" t="s">
        <v>32</v>
      </c>
      <c r="C9" s="36"/>
      <c r="D9" s="37" t="s">
        <v>21</v>
      </c>
      <c r="E9" s="38">
        <f>E10+E11</f>
        <v>348694</v>
      </c>
      <c r="F9" s="38">
        <f>F10+F11</f>
        <v>85900</v>
      </c>
      <c r="G9" s="38">
        <f>G10+G11</f>
        <v>171180</v>
      </c>
      <c r="H9" s="38">
        <f>H10+H11</f>
        <v>271480</v>
      </c>
      <c r="I9" s="38">
        <f>I10+I11</f>
        <v>21480</v>
      </c>
      <c r="J9" s="38">
        <f t="shared" si="0"/>
        <v>898734</v>
      </c>
      <c r="K9" s="39"/>
    </row>
    <row r="10" spans="1:11" ht="14.1" customHeight="1">
      <c r="A10" s="35" t="s">
        <v>33</v>
      </c>
      <c r="B10" s="36" t="s">
        <v>34</v>
      </c>
      <c r="C10" s="36" t="s">
        <v>27</v>
      </c>
      <c r="D10" s="37" t="s">
        <v>28</v>
      </c>
      <c r="E10" s="40">
        <v>5494</v>
      </c>
      <c r="F10" s="40">
        <v>6700</v>
      </c>
      <c r="G10" s="40">
        <v>2220</v>
      </c>
      <c r="H10" s="40">
        <v>2200</v>
      </c>
      <c r="I10" s="40">
        <v>360</v>
      </c>
      <c r="J10" s="51">
        <f t="shared" si="0"/>
        <v>16974</v>
      </c>
      <c r="K10" s="39"/>
    </row>
    <row r="11" spans="1:11" ht="14.1" customHeight="1">
      <c r="A11" s="35" t="s">
        <v>35</v>
      </c>
      <c r="B11" s="36" t="s">
        <v>36</v>
      </c>
      <c r="C11" s="36"/>
      <c r="D11" s="37" t="s">
        <v>21</v>
      </c>
      <c r="E11" s="38">
        <f>E12</f>
        <v>343200</v>
      </c>
      <c r="F11" s="38">
        <f>F12</f>
        <v>79200</v>
      </c>
      <c r="G11" s="38">
        <f>G12</f>
        <v>168960</v>
      </c>
      <c r="H11" s="38">
        <f>H12</f>
        <v>269280</v>
      </c>
      <c r="I11" s="38">
        <f>I12</f>
        <v>21120</v>
      </c>
      <c r="J11" s="38">
        <f t="shared" si="0"/>
        <v>881760</v>
      </c>
      <c r="K11" s="39"/>
    </row>
    <row r="12" spans="1:11" s="2" customFormat="1" ht="14.1" customHeight="1">
      <c r="A12" s="35" t="s">
        <v>37</v>
      </c>
      <c r="B12" s="42" t="s">
        <v>195</v>
      </c>
      <c r="C12" s="42" t="s">
        <v>27</v>
      </c>
      <c r="D12" s="39" t="s">
        <v>21</v>
      </c>
      <c r="E12" s="38">
        <f>440*12*E60</f>
        <v>343200</v>
      </c>
      <c r="F12" s="38">
        <f>440*12*F60</f>
        <v>79200</v>
      </c>
      <c r="G12" s="38">
        <f>440*12*G60</f>
        <v>168960</v>
      </c>
      <c r="H12" s="38">
        <f>440*12*H60</f>
        <v>269280</v>
      </c>
      <c r="I12" s="38">
        <f>440*12*I60</f>
        <v>21120</v>
      </c>
      <c r="J12" s="38">
        <f t="shared" si="0"/>
        <v>881760</v>
      </c>
      <c r="K12" s="39"/>
    </row>
    <row r="13" spans="1:11" ht="14.1" customHeight="1">
      <c r="A13" s="35" t="s">
        <v>39</v>
      </c>
      <c r="B13" s="36" t="s">
        <v>40</v>
      </c>
      <c r="C13" s="36"/>
      <c r="D13" s="37" t="s">
        <v>41</v>
      </c>
      <c r="E13" s="38">
        <f>E14+E15</f>
        <v>149338.28</v>
      </c>
      <c r="F13" s="38">
        <f>F14+F15</f>
        <v>33000</v>
      </c>
      <c r="G13" s="38">
        <f>G14+G15</f>
        <v>72550.28</v>
      </c>
      <c r="H13" s="38">
        <f>H14+H15</f>
        <v>112857.14</v>
      </c>
      <c r="I13" s="38">
        <f>I14+I15</f>
        <v>10628.58</v>
      </c>
      <c r="J13" s="38">
        <f t="shared" si="0"/>
        <v>378374.28</v>
      </c>
      <c r="K13" s="39"/>
    </row>
    <row r="14" spans="1:11" s="2" customFormat="1" ht="14.1" customHeight="1">
      <c r="A14" s="35" t="s">
        <v>42</v>
      </c>
      <c r="B14" s="42" t="s">
        <v>275</v>
      </c>
      <c r="C14" s="42" t="s">
        <v>27</v>
      </c>
      <c r="D14" s="39" t="s">
        <v>43</v>
      </c>
      <c r="E14" s="38">
        <f>ROUND(E30/0.07*0.005,2)</f>
        <v>74669.14</v>
      </c>
      <c r="F14" s="38">
        <f>ROUND(F30/0.07*0.005,2)</f>
        <v>16500</v>
      </c>
      <c r="G14" s="38">
        <f>ROUND(G30/0.07*0.005,2)</f>
        <v>36275.14</v>
      </c>
      <c r="H14" s="38">
        <f>ROUND(H30/0.07*0.005,2)</f>
        <v>56428.57</v>
      </c>
      <c r="I14" s="38">
        <f>ROUND(I30/0.07*0.005,2)</f>
        <v>5314.29</v>
      </c>
      <c r="J14" s="38">
        <f t="shared" si="0"/>
        <v>189187.14</v>
      </c>
      <c r="K14" s="39"/>
    </row>
    <row r="15" spans="1:11" s="2" customFormat="1" ht="14.1" customHeight="1">
      <c r="A15" s="35" t="s">
        <v>44</v>
      </c>
      <c r="B15" s="42" t="s">
        <v>196</v>
      </c>
      <c r="C15" s="42" t="s">
        <v>27</v>
      </c>
      <c r="D15" s="39" t="s">
        <v>43</v>
      </c>
      <c r="E15" s="38">
        <f>ROUND(E30/0.07*0.005,2)</f>
        <v>74669.14</v>
      </c>
      <c r="F15" s="38">
        <f>ROUND(F30/0.07*0.005,2)</f>
        <v>16500</v>
      </c>
      <c r="G15" s="38">
        <f>ROUND(G30/0.07*0.005,2)</f>
        <v>36275.14</v>
      </c>
      <c r="H15" s="38">
        <f>ROUND(H30/0.07*0.005,2)</f>
        <v>56428.57</v>
      </c>
      <c r="I15" s="38">
        <f>ROUND(I30/0.07*0.005,2)</f>
        <v>5314.29</v>
      </c>
      <c r="J15" s="38">
        <f t="shared" si="0"/>
        <v>189187.14</v>
      </c>
      <c r="K15" s="39"/>
    </row>
    <row r="16" spans="1:11" ht="14.1" customHeight="1">
      <c r="A16" s="35" t="s">
        <v>46</v>
      </c>
      <c r="B16" s="36" t="s">
        <v>47</v>
      </c>
      <c r="C16" s="36"/>
      <c r="D16" s="37" t="s">
        <v>21</v>
      </c>
      <c r="E16" s="38">
        <f>E17+E18+E19+E20</f>
        <v>13168870</v>
      </c>
      <c r="F16" s="38">
        <f>F17+F18+F19+F20</f>
        <v>2614560</v>
      </c>
      <c r="G16" s="38">
        <f>G17+G18+G19+G20</f>
        <v>5577728</v>
      </c>
      <c r="H16" s="38">
        <f>H17+H18+H19+H20</f>
        <v>8889504</v>
      </c>
      <c r="I16" s="38">
        <f>I17+I18+I19+I20</f>
        <v>818104</v>
      </c>
      <c r="J16" s="38">
        <f t="shared" si="0"/>
        <v>31068766</v>
      </c>
      <c r="K16" s="39"/>
    </row>
    <row r="17" spans="1:11" ht="14.1" customHeight="1">
      <c r="A17" s="35" t="s">
        <v>48</v>
      </c>
      <c r="B17" s="43" t="s">
        <v>49</v>
      </c>
      <c r="C17" s="43" t="s">
        <v>27</v>
      </c>
      <c r="D17" s="44" t="s">
        <v>197</v>
      </c>
      <c r="E17" s="45">
        <v>11879736</v>
      </c>
      <c r="F17" s="45">
        <v>2524560</v>
      </c>
      <c r="G17" s="45">
        <v>5125512</v>
      </c>
      <c r="H17" s="45">
        <v>8283504</v>
      </c>
      <c r="I17" s="45">
        <v>794104</v>
      </c>
      <c r="J17" s="51">
        <f t="shared" si="0"/>
        <v>28607416</v>
      </c>
      <c r="K17" s="44"/>
    </row>
    <row r="18" spans="1:11" ht="14.1" customHeight="1">
      <c r="A18" s="35" t="s">
        <v>51</v>
      </c>
      <c r="B18" s="43" t="s">
        <v>52</v>
      </c>
      <c r="C18" s="43" t="s">
        <v>27</v>
      </c>
      <c r="D18" s="44" t="s">
        <v>53</v>
      </c>
      <c r="E18" s="45">
        <v>249134</v>
      </c>
      <c r="F18" s="45"/>
      <c r="G18" s="45">
        <v>260216</v>
      </c>
      <c r="H18" s="45">
        <v>300000</v>
      </c>
      <c r="I18" s="45"/>
      <c r="J18" s="51">
        <f t="shared" si="0"/>
        <v>809350</v>
      </c>
      <c r="K18" s="44"/>
    </row>
    <row r="19" spans="1:11" ht="14.1" customHeight="1">
      <c r="A19" s="35" t="s">
        <v>54</v>
      </c>
      <c r="B19" s="43" t="s">
        <v>198</v>
      </c>
      <c r="C19" s="43" t="s">
        <v>27</v>
      </c>
      <c r="D19" s="37" t="s">
        <v>21</v>
      </c>
      <c r="E19" s="46">
        <f>E60*500*12</f>
        <v>390000</v>
      </c>
      <c r="F19" s="46">
        <f>F60*500*12</f>
        <v>90000</v>
      </c>
      <c r="G19" s="46">
        <f>G60*500*12</f>
        <v>192000</v>
      </c>
      <c r="H19" s="46">
        <f>H60*500*12</f>
        <v>306000</v>
      </c>
      <c r="I19" s="46">
        <f>I60*500*12</f>
        <v>24000</v>
      </c>
      <c r="J19" s="38">
        <f t="shared" si="0"/>
        <v>1002000</v>
      </c>
      <c r="K19" s="44"/>
    </row>
    <row r="20" spans="1:11" ht="14.1" customHeight="1">
      <c r="A20" s="35" t="s">
        <v>56</v>
      </c>
      <c r="B20" s="43" t="s">
        <v>199</v>
      </c>
      <c r="C20" s="43" t="s">
        <v>27</v>
      </c>
      <c r="D20" s="37" t="s">
        <v>28</v>
      </c>
      <c r="E20" s="45">
        <v>650000</v>
      </c>
      <c r="F20" s="45"/>
      <c r="G20" s="45"/>
      <c r="H20" s="45"/>
      <c r="I20" s="45"/>
      <c r="J20" s="38">
        <f t="shared" si="0"/>
        <v>650000</v>
      </c>
      <c r="K20" s="44"/>
    </row>
    <row r="21" spans="1:11" ht="14.1" customHeight="1">
      <c r="A21" s="35" t="s">
        <v>58</v>
      </c>
      <c r="B21" s="36" t="s">
        <v>59</v>
      </c>
      <c r="C21" s="36"/>
      <c r="D21" s="44" t="s">
        <v>21</v>
      </c>
      <c r="E21" s="46">
        <f>E22+E23</f>
        <v>1941397.71</v>
      </c>
      <c r="F21" s="46">
        <f>F22+F23</f>
        <v>429000</v>
      </c>
      <c r="G21" s="46">
        <f>G22+G23</f>
        <v>943153.71</v>
      </c>
      <c r="H21" s="46">
        <f>H22+H23</f>
        <v>1467142.87</v>
      </c>
      <c r="I21" s="46">
        <f>I22+I23</f>
        <v>138171.41999999998</v>
      </c>
      <c r="J21" s="38">
        <f t="shared" si="0"/>
        <v>4918865.71</v>
      </c>
      <c r="K21" s="44"/>
    </row>
    <row r="22" spans="1:11" ht="14.1" customHeight="1">
      <c r="A22" s="35" t="s">
        <v>60</v>
      </c>
      <c r="B22" s="36" t="s">
        <v>276</v>
      </c>
      <c r="C22" s="36" t="s">
        <v>61</v>
      </c>
      <c r="D22" s="44" t="s">
        <v>21</v>
      </c>
      <c r="E22" s="46">
        <f>ROUND(E30/0.07*0.09,2)</f>
        <v>1344044.57</v>
      </c>
      <c r="F22" s="46">
        <f>ROUND(F30/0.07*0.09,2)</f>
        <v>297000</v>
      </c>
      <c r="G22" s="46">
        <f>ROUND(G30/0.07*0.09,2)</f>
        <v>652952.56999999995</v>
      </c>
      <c r="H22" s="46">
        <f>ROUND(H30/0.07*0.09,2)</f>
        <v>1015714.29</v>
      </c>
      <c r="I22" s="46">
        <f>ROUND(I30/0.07*0.09,2)</f>
        <v>95657.14</v>
      </c>
      <c r="J22" s="38">
        <f t="shared" si="0"/>
        <v>3405368.5700000003</v>
      </c>
      <c r="K22" s="44"/>
    </row>
    <row r="23" spans="1:11" ht="14.1" customHeight="1">
      <c r="A23" s="35" t="s">
        <v>62</v>
      </c>
      <c r="B23" s="36" t="s">
        <v>200</v>
      </c>
      <c r="C23" s="36" t="s">
        <v>61</v>
      </c>
      <c r="D23" s="44" t="s">
        <v>43</v>
      </c>
      <c r="E23" s="46">
        <f>E24+E25</f>
        <v>597353.14</v>
      </c>
      <c r="F23" s="46">
        <f>F24+F25</f>
        <v>132000</v>
      </c>
      <c r="G23" s="46">
        <f>G24+G25</f>
        <v>290201.14</v>
      </c>
      <c r="H23" s="46">
        <f>H24+H25</f>
        <v>451428.58</v>
      </c>
      <c r="I23" s="46">
        <f>I24+I25</f>
        <v>42514.28</v>
      </c>
      <c r="J23" s="38">
        <f t="shared" si="0"/>
        <v>1513497.1400000001</v>
      </c>
      <c r="K23" s="44"/>
    </row>
    <row r="24" spans="1:11" ht="14.1" customHeight="1">
      <c r="A24" s="35" t="s">
        <v>64</v>
      </c>
      <c r="B24" s="36" t="s">
        <v>277</v>
      </c>
      <c r="C24" s="36" t="s">
        <v>61</v>
      </c>
      <c r="D24" s="44" t="s">
        <v>43</v>
      </c>
      <c r="E24" s="46">
        <f>ROUND(E30/0.07*0.02,2)</f>
        <v>298676.57</v>
      </c>
      <c r="F24" s="46">
        <f>ROUND(F30/0.07*0.02,2)</f>
        <v>66000</v>
      </c>
      <c r="G24" s="46">
        <f>ROUND(G30/0.07*0.02,2)</f>
        <v>145100.57</v>
      </c>
      <c r="H24" s="46">
        <f>ROUND(H30/0.07*0.02,2)</f>
        <v>225714.29</v>
      </c>
      <c r="I24" s="46">
        <f>ROUND(I30/0.07*0.02,2)</f>
        <v>21257.14</v>
      </c>
      <c r="J24" s="38">
        <f t="shared" si="0"/>
        <v>756748.57000000007</v>
      </c>
      <c r="K24" s="44"/>
    </row>
    <row r="25" spans="1:11" ht="14.1" customHeight="1">
      <c r="A25" s="35" t="s">
        <v>65</v>
      </c>
      <c r="B25" s="36" t="s">
        <v>278</v>
      </c>
      <c r="C25" s="36" t="s">
        <v>61</v>
      </c>
      <c r="D25" s="44" t="s">
        <v>43</v>
      </c>
      <c r="E25" s="46">
        <f>ROUND(E30/0.07*0.02,2)</f>
        <v>298676.57</v>
      </c>
      <c r="F25" s="46">
        <f>ROUND(F30/0.07*0.02,2)</f>
        <v>66000</v>
      </c>
      <c r="G25" s="46">
        <f>ROUND(G30/0.07*0.02,2)</f>
        <v>145100.57</v>
      </c>
      <c r="H25" s="46">
        <f>ROUND(H30/0.07*0.02,2)</f>
        <v>225714.29</v>
      </c>
      <c r="I25" s="46">
        <f>ROUND(I30/0.07*0.02,2)</f>
        <v>21257.14</v>
      </c>
      <c r="J25" s="38">
        <f t="shared" si="0"/>
        <v>756748.57000000007</v>
      </c>
      <c r="K25" s="44"/>
    </row>
    <row r="26" spans="1:11" ht="14.1" customHeight="1">
      <c r="A26" s="35" t="s">
        <v>66</v>
      </c>
      <c r="B26" s="36" t="s">
        <v>67</v>
      </c>
      <c r="C26" s="36"/>
      <c r="D26" s="37" t="s">
        <v>21</v>
      </c>
      <c r="E26" s="38">
        <f>E27</f>
        <v>2389412.5699999998</v>
      </c>
      <c r="F26" s="38">
        <f>F27</f>
        <v>528000</v>
      </c>
      <c r="G26" s="38">
        <f>G27</f>
        <v>1160804.57</v>
      </c>
      <c r="H26" s="38">
        <f>H27</f>
        <v>1805714.29</v>
      </c>
      <c r="I26" s="38">
        <f>I27</f>
        <v>170057.14</v>
      </c>
      <c r="J26" s="38">
        <f t="shared" si="0"/>
        <v>6053988.5699999994</v>
      </c>
      <c r="K26" s="39"/>
    </row>
    <row r="27" spans="1:11" s="2" customFormat="1" ht="14.1" customHeight="1">
      <c r="A27" s="35" t="s">
        <v>68</v>
      </c>
      <c r="B27" s="42" t="s">
        <v>201</v>
      </c>
      <c r="C27" s="42" t="s">
        <v>70</v>
      </c>
      <c r="D27" s="39" t="s">
        <v>43</v>
      </c>
      <c r="E27" s="38">
        <f>ROUND(E30/0.07*0.16,2)</f>
        <v>2389412.5699999998</v>
      </c>
      <c r="F27" s="38">
        <f>ROUND(F30/0.07*0.16,2)</f>
        <v>528000</v>
      </c>
      <c r="G27" s="38">
        <f>ROUND(G30/0.07*0.16,2)</f>
        <v>1160804.57</v>
      </c>
      <c r="H27" s="38">
        <f>ROUND(H30/0.07*0.16,2)</f>
        <v>1805714.29</v>
      </c>
      <c r="I27" s="38">
        <f>ROUND(I30/0.07*0.16,2)</f>
        <v>170057.14</v>
      </c>
      <c r="J27" s="38">
        <f t="shared" si="0"/>
        <v>6053988.5699999994</v>
      </c>
      <c r="K27" s="39"/>
    </row>
    <row r="28" spans="1:11" ht="14.1" customHeight="1">
      <c r="A28" s="35" t="s">
        <v>71</v>
      </c>
      <c r="B28" s="36" t="s">
        <v>72</v>
      </c>
      <c r="C28" s="36"/>
      <c r="D28" s="37" t="s">
        <v>21</v>
      </c>
      <c r="E28" s="38">
        <f>E29</f>
        <v>1194706.29</v>
      </c>
      <c r="F28" s="38">
        <f>F29</f>
        <v>264000</v>
      </c>
      <c r="G28" s="38">
        <f>G29</f>
        <v>580402.29</v>
      </c>
      <c r="H28" s="38">
        <f>H29</f>
        <v>902857.14</v>
      </c>
      <c r="I28" s="38">
        <f>I29</f>
        <v>85028.57</v>
      </c>
      <c r="J28" s="38">
        <f t="shared" si="0"/>
        <v>3026994.29</v>
      </c>
      <c r="K28" s="39"/>
    </row>
    <row r="29" spans="1:11" s="2" customFormat="1" ht="14.1" customHeight="1">
      <c r="A29" s="35" t="s">
        <v>73</v>
      </c>
      <c r="B29" s="42" t="s">
        <v>74</v>
      </c>
      <c r="C29" s="42" t="s">
        <v>75</v>
      </c>
      <c r="D29" s="39" t="s">
        <v>43</v>
      </c>
      <c r="E29" s="38">
        <f>ROUND(E30/0.07*0.08,2)</f>
        <v>1194706.29</v>
      </c>
      <c r="F29" s="38">
        <f>ROUND(F30/0.07*0.08,2)</f>
        <v>264000</v>
      </c>
      <c r="G29" s="38">
        <f>ROUND(G30/0.07*0.08,2)</f>
        <v>580402.29</v>
      </c>
      <c r="H29" s="38">
        <f>ROUND(H30/0.07*0.08,2)</f>
        <v>902857.14</v>
      </c>
      <c r="I29" s="38">
        <f>ROUND(I30/0.07*0.08,2)</f>
        <v>85028.57</v>
      </c>
      <c r="J29" s="38">
        <f t="shared" si="0"/>
        <v>3026994.29</v>
      </c>
      <c r="K29" s="39"/>
    </row>
    <row r="30" spans="1:11" ht="14.1" customHeight="1">
      <c r="A30" s="35" t="s">
        <v>76</v>
      </c>
      <c r="B30" s="36" t="s">
        <v>202</v>
      </c>
      <c r="C30" s="36" t="s">
        <v>78</v>
      </c>
      <c r="D30" s="37" t="s">
        <v>28</v>
      </c>
      <c r="E30" s="45">
        <v>1045368</v>
      </c>
      <c r="F30" s="45">
        <v>231000</v>
      </c>
      <c r="G30" s="45">
        <v>507852</v>
      </c>
      <c r="H30" s="45">
        <v>790000</v>
      </c>
      <c r="I30" s="45">
        <v>74400</v>
      </c>
      <c r="J30" s="38">
        <f t="shared" si="0"/>
        <v>2648620</v>
      </c>
      <c r="K30" s="44"/>
    </row>
    <row r="31" spans="1:11" ht="14.1" customHeight="1">
      <c r="A31" s="35" t="s">
        <v>80</v>
      </c>
      <c r="B31" s="36" t="s">
        <v>203</v>
      </c>
      <c r="C31" s="43" t="s">
        <v>27</v>
      </c>
      <c r="D31" s="39" t="s">
        <v>204</v>
      </c>
      <c r="E31" s="45"/>
      <c r="F31" s="45"/>
      <c r="G31" s="45"/>
      <c r="H31" s="45"/>
      <c r="I31" s="45"/>
      <c r="J31" s="38">
        <f t="shared" si="0"/>
        <v>0</v>
      </c>
      <c r="K31" s="44"/>
    </row>
    <row r="32" spans="1:11" ht="14.1" customHeight="1">
      <c r="A32" s="35" t="s">
        <v>83</v>
      </c>
      <c r="B32" s="36" t="s">
        <v>84</v>
      </c>
      <c r="C32" s="36"/>
      <c r="D32" s="37" t="s">
        <v>21</v>
      </c>
      <c r="E32" s="38">
        <f>E33+E35</f>
        <v>1371935</v>
      </c>
      <c r="F32" s="38">
        <f>F33+F35</f>
        <v>136860</v>
      </c>
      <c r="G32" s="38">
        <f>G33+G35</f>
        <v>51420</v>
      </c>
      <c r="H32" s="38">
        <f>H33+H35</f>
        <v>30600</v>
      </c>
      <c r="I32" s="38">
        <f>I33+I35</f>
        <v>0</v>
      </c>
      <c r="J32" s="38">
        <f t="shared" si="0"/>
        <v>1590815</v>
      </c>
      <c r="K32" s="39"/>
    </row>
    <row r="33" spans="1:11" ht="14.1" customHeight="1">
      <c r="A33" s="35" t="s">
        <v>85</v>
      </c>
      <c r="B33" s="36" t="s">
        <v>205</v>
      </c>
      <c r="C33" s="36" t="s">
        <v>87</v>
      </c>
      <c r="D33" s="44" t="s">
        <v>206</v>
      </c>
      <c r="E33" s="46">
        <f>E34</f>
        <v>1367585</v>
      </c>
      <c r="F33" s="46">
        <f>F34</f>
        <v>134340</v>
      </c>
      <c r="G33" s="46">
        <f>G34</f>
        <v>48180</v>
      </c>
      <c r="H33" s="46">
        <f>H34</f>
        <v>28800</v>
      </c>
      <c r="I33" s="46">
        <f>I34</f>
        <v>0</v>
      </c>
      <c r="J33" s="38">
        <f t="shared" si="0"/>
        <v>1578905</v>
      </c>
      <c r="K33" s="44"/>
    </row>
    <row r="34" spans="1:11" ht="14.1" customHeight="1">
      <c r="A34" s="35" t="s">
        <v>89</v>
      </c>
      <c r="B34" s="36" t="s">
        <v>207</v>
      </c>
      <c r="C34" s="36" t="s">
        <v>87</v>
      </c>
      <c r="D34" s="44" t="s">
        <v>206</v>
      </c>
      <c r="E34" s="40">
        <v>1367585</v>
      </c>
      <c r="F34" s="40">
        <v>134340</v>
      </c>
      <c r="G34" s="40">
        <v>48180</v>
      </c>
      <c r="H34" s="40">
        <f>2400*12</f>
        <v>28800</v>
      </c>
      <c r="I34" s="40"/>
      <c r="J34" s="38">
        <f t="shared" si="0"/>
        <v>1578905</v>
      </c>
      <c r="K34" s="39"/>
    </row>
    <row r="35" spans="1:11" ht="14.1" customHeight="1">
      <c r="A35" s="35" t="s">
        <v>91</v>
      </c>
      <c r="B35" s="36" t="s">
        <v>92</v>
      </c>
      <c r="C35" s="36"/>
      <c r="D35" s="37" t="s">
        <v>21</v>
      </c>
      <c r="E35" s="38">
        <f>E36</f>
        <v>4350</v>
      </c>
      <c r="F35" s="38">
        <f>F36</f>
        <v>2520</v>
      </c>
      <c r="G35" s="38">
        <f>G36</f>
        <v>3240</v>
      </c>
      <c r="H35" s="38">
        <f>H36</f>
        <v>1800</v>
      </c>
      <c r="I35" s="38">
        <f>I36</f>
        <v>0</v>
      </c>
      <c r="J35" s="38">
        <f t="shared" si="0"/>
        <v>11910</v>
      </c>
      <c r="K35" s="39"/>
    </row>
    <row r="36" spans="1:11" ht="14.1" customHeight="1">
      <c r="A36" s="35" t="s">
        <v>93</v>
      </c>
      <c r="B36" s="36" t="s">
        <v>94</v>
      </c>
      <c r="C36" s="36" t="s">
        <v>27</v>
      </c>
      <c r="D36" s="37" t="s">
        <v>28</v>
      </c>
      <c r="E36" s="40">
        <v>4350</v>
      </c>
      <c r="F36" s="40">
        <f>210*12</f>
        <v>2520</v>
      </c>
      <c r="G36" s="40">
        <v>3240</v>
      </c>
      <c r="H36" s="40">
        <v>1800</v>
      </c>
      <c r="I36" s="40"/>
      <c r="J36" s="38">
        <f t="shared" si="0"/>
        <v>11910</v>
      </c>
      <c r="K36" s="39"/>
    </row>
    <row r="37" spans="1:11" ht="14.1" customHeight="1">
      <c r="A37" s="35" t="s">
        <v>95</v>
      </c>
      <c r="B37" s="36" t="s">
        <v>98</v>
      </c>
      <c r="C37" s="36"/>
      <c r="D37" s="37" t="s">
        <v>21</v>
      </c>
      <c r="E37" s="38">
        <f>E38+E40+E42+E44+E46+E49+E51+E53+E55+E57</f>
        <v>4442666.07</v>
      </c>
      <c r="F37" s="38">
        <f>F38+F40+F42+F44+F46+F49+F51+F53+F55+F57</f>
        <v>1088885</v>
      </c>
      <c r="G37" s="38">
        <f>G38+G40+G42+G44+G46+G49+G51+G53+G55+G57</f>
        <v>1711120.07</v>
      </c>
      <c r="H37" s="38">
        <f>H38+H40+H42+H44+H46+H49+H51+H53+H55+H57</f>
        <v>2952764.49</v>
      </c>
      <c r="I37" s="38">
        <f>I38+I40+I42+I44+I46+I49+I51+I53+I55+I57</f>
        <v>230737.14</v>
      </c>
      <c r="J37" s="38">
        <f t="shared" si="0"/>
        <v>10426172.770000001</v>
      </c>
      <c r="K37" s="39"/>
    </row>
    <row r="38" spans="1:11" ht="14.1" customHeight="1">
      <c r="A38" s="35" t="s">
        <v>96</v>
      </c>
      <c r="B38" s="36" t="s">
        <v>100</v>
      </c>
      <c r="C38" s="36"/>
      <c r="D38" s="37" t="s">
        <v>101</v>
      </c>
      <c r="E38" s="40">
        <f>1035*3210</f>
        <v>3322350</v>
      </c>
      <c r="F38" s="40">
        <f>2860*300</f>
        <v>858000</v>
      </c>
      <c r="G38" s="40">
        <f>408*3060</f>
        <v>1248480</v>
      </c>
      <c r="H38" s="40">
        <f>751*2860</f>
        <v>2147860</v>
      </c>
      <c r="I38" s="40">
        <v>89600</v>
      </c>
      <c r="J38" s="38">
        <f t="shared" si="0"/>
        <v>7666290</v>
      </c>
      <c r="K38" s="39"/>
    </row>
    <row r="39" spans="1:11" ht="14.1" customHeight="1">
      <c r="A39" s="35" t="s">
        <v>97</v>
      </c>
      <c r="B39" s="36" t="s">
        <v>208</v>
      </c>
      <c r="C39" s="36" t="s">
        <v>27</v>
      </c>
      <c r="D39" s="47" t="s">
        <v>209</v>
      </c>
      <c r="E39" s="40">
        <f>E38*0.05</f>
        <v>166117.5</v>
      </c>
      <c r="F39" s="40">
        <f>125*2860*5%</f>
        <v>17875</v>
      </c>
      <c r="G39" s="40">
        <f>408*3060*5%</f>
        <v>62424</v>
      </c>
      <c r="H39" s="40">
        <f>H38*5%</f>
        <v>107393</v>
      </c>
      <c r="I39" s="40">
        <v>3360</v>
      </c>
      <c r="J39" s="38">
        <f t="shared" si="0"/>
        <v>357169.5</v>
      </c>
      <c r="K39" s="39"/>
    </row>
    <row r="40" spans="1:11" ht="14.1" customHeight="1">
      <c r="A40" s="35" t="s">
        <v>99</v>
      </c>
      <c r="B40" s="36" t="s">
        <v>107</v>
      </c>
      <c r="C40" s="36"/>
      <c r="D40" s="37"/>
      <c r="E40" s="38">
        <f>E41</f>
        <v>26000</v>
      </c>
      <c r="F40" s="38">
        <f>F41</f>
        <v>6000</v>
      </c>
      <c r="G40" s="38">
        <f>G41</f>
        <v>12800</v>
      </c>
      <c r="H40" s="38">
        <f>H41</f>
        <v>20400</v>
      </c>
      <c r="I40" s="38">
        <f>I41</f>
        <v>1600</v>
      </c>
      <c r="J40" s="38">
        <f t="shared" si="0"/>
        <v>66800</v>
      </c>
      <c r="K40" s="39"/>
    </row>
    <row r="41" spans="1:11" s="2" customFormat="1" ht="14.1" customHeight="1">
      <c r="A41" s="35" t="s">
        <v>102</v>
      </c>
      <c r="B41" s="42" t="s">
        <v>109</v>
      </c>
      <c r="C41" s="42" t="s">
        <v>27</v>
      </c>
      <c r="D41" s="48" t="s">
        <v>110</v>
      </c>
      <c r="E41" s="38">
        <f>E60*400</f>
        <v>26000</v>
      </c>
      <c r="F41" s="38">
        <f>F60*400</f>
        <v>6000</v>
      </c>
      <c r="G41" s="38">
        <f>G60*400</f>
        <v>12800</v>
      </c>
      <c r="H41" s="38">
        <f>H60*400</f>
        <v>20400</v>
      </c>
      <c r="I41" s="38">
        <f>I60*400</f>
        <v>1600</v>
      </c>
      <c r="J41" s="38">
        <f t="shared" si="0"/>
        <v>66800</v>
      </c>
      <c r="K41" s="39"/>
    </row>
    <row r="42" spans="1:11" ht="14.1" customHeight="1">
      <c r="A42" s="35" t="s">
        <v>106</v>
      </c>
      <c r="B42" s="36" t="s">
        <v>112</v>
      </c>
      <c r="C42" s="36"/>
      <c r="D42" s="37" t="s">
        <v>21</v>
      </c>
      <c r="E42" s="38">
        <f>E43</f>
        <v>100471.5</v>
      </c>
      <c r="F42" s="38">
        <f>F43</f>
        <v>22725</v>
      </c>
      <c r="G42" s="38">
        <f>G43</f>
        <v>86839.5</v>
      </c>
      <c r="H42" s="38">
        <f>H43</f>
        <v>224590.2</v>
      </c>
      <c r="I42" s="38">
        <f>I43</f>
        <v>45000</v>
      </c>
      <c r="J42" s="38">
        <f t="shared" si="0"/>
        <v>479626.2</v>
      </c>
      <c r="K42" s="39"/>
    </row>
    <row r="43" spans="1:11" s="2" customFormat="1" ht="14.1" customHeight="1">
      <c r="A43" s="35" t="s">
        <v>108</v>
      </c>
      <c r="B43" s="42" t="s">
        <v>114</v>
      </c>
      <c r="C43" s="42" t="s">
        <v>27</v>
      </c>
      <c r="D43" s="48" t="s">
        <v>115</v>
      </c>
      <c r="E43" s="38">
        <f>E71*15</f>
        <v>100471.5</v>
      </c>
      <c r="F43" s="38">
        <f>F71*15</f>
        <v>22725</v>
      </c>
      <c r="G43" s="38">
        <f>G71*15</f>
        <v>86839.5</v>
      </c>
      <c r="H43" s="38">
        <f>H71*15</f>
        <v>224590.2</v>
      </c>
      <c r="I43" s="38">
        <f>I71*15</f>
        <v>45000</v>
      </c>
      <c r="J43" s="38">
        <f t="shared" si="0"/>
        <v>479626.2</v>
      </c>
      <c r="K43" s="39"/>
    </row>
    <row r="44" spans="1:11" ht="14.1" customHeight="1">
      <c r="A44" s="35" t="s">
        <v>111</v>
      </c>
      <c r="B44" s="36" t="s">
        <v>117</v>
      </c>
      <c r="C44" s="36"/>
      <c r="D44" s="37" t="s">
        <v>21</v>
      </c>
      <c r="E44" s="38">
        <f>E45</f>
        <v>40528</v>
      </c>
      <c r="F44" s="38">
        <f>F45</f>
        <v>1600</v>
      </c>
      <c r="G44" s="38">
        <f>G45</f>
        <v>28000</v>
      </c>
      <c r="H44" s="38">
        <f>H45</f>
        <v>66440</v>
      </c>
      <c r="I44" s="38">
        <f>I45</f>
        <v>24000</v>
      </c>
      <c r="J44" s="38">
        <f t="shared" si="0"/>
        <v>160568</v>
      </c>
      <c r="K44" s="39"/>
    </row>
    <row r="45" spans="1:11" s="2" customFormat="1" ht="14.1" customHeight="1">
      <c r="A45" s="35" t="s">
        <v>113</v>
      </c>
      <c r="B45" s="42" t="s">
        <v>119</v>
      </c>
      <c r="C45" s="42" t="s">
        <v>27</v>
      </c>
      <c r="D45" s="48" t="s">
        <v>120</v>
      </c>
      <c r="E45" s="38">
        <f>E72*8</f>
        <v>40528</v>
      </c>
      <c r="F45" s="38">
        <f>F72*8</f>
        <v>1600</v>
      </c>
      <c r="G45" s="38">
        <f>G72*8</f>
        <v>28000</v>
      </c>
      <c r="H45" s="38">
        <f>H72*8</f>
        <v>66440</v>
      </c>
      <c r="I45" s="38">
        <f>I72*8</f>
        <v>24000</v>
      </c>
      <c r="J45" s="38">
        <f t="shared" si="0"/>
        <v>160568</v>
      </c>
      <c r="K45" s="39"/>
    </row>
    <row r="46" spans="1:11" ht="14.1" customHeight="1">
      <c r="A46" s="35" t="s">
        <v>116</v>
      </c>
      <c r="B46" s="36" t="s">
        <v>210</v>
      </c>
      <c r="C46" s="36"/>
      <c r="D46" s="37" t="s">
        <v>21</v>
      </c>
      <c r="E46" s="38">
        <f>E47+E48</f>
        <v>591840</v>
      </c>
      <c r="F46" s="38">
        <f>F47+F48</f>
        <v>99360</v>
      </c>
      <c r="G46" s="38">
        <f>G47+G48</f>
        <v>151200</v>
      </c>
      <c r="H46" s="38">
        <f>H47+H48</f>
        <v>228960</v>
      </c>
      <c r="I46" s="38">
        <f>I47+I48</f>
        <v>17280</v>
      </c>
      <c r="J46" s="38">
        <f t="shared" si="0"/>
        <v>1088640</v>
      </c>
      <c r="K46" s="39"/>
    </row>
    <row r="47" spans="1:11" s="2" customFormat="1" ht="14.1" customHeight="1">
      <c r="A47" s="35" t="s">
        <v>118</v>
      </c>
      <c r="B47" s="42" t="s">
        <v>211</v>
      </c>
      <c r="C47" s="42" t="s">
        <v>27</v>
      </c>
      <c r="D47" s="48" t="s">
        <v>124</v>
      </c>
      <c r="E47" s="38">
        <f>E60*4320</f>
        <v>280800</v>
      </c>
      <c r="F47" s="38">
        <f>F60*4320</f>
        <v>64800</v>
      </c>
      <c r="G47" s="38">
        <f>G60*4320</f>
        <v>138240</v>
      </c>
      <c r="H47" s="38">
        <f>H60*4320</f>
        <v>220320</v>
      </c>
      <c r="I47" s="38">
        <f>I60*4320</f>
        <v>17280</v>
      </c>
      <c r="J47" s="38">
        <f t="shared" si="0"/>
        <v>721440</v>
      </c>
      <c r="K47" s="39"/>
    </row>
    <row r="48" spans="1:11" s="2" customFormat="1" ht="14.1" customHeight="1">
      <c r="A48" s="35" t="s">
        <v>121</v>
      </c>
      <c r="B48" s="42" t="s">
        <v>212</v>
      </c>
      <c r="C48" s="42" t="s">
        <v>27</v>
      </c>
      <c r="D48" s="48" t="s">
        <v>213</v>
      </c>
      <c r="E48" s="38">
        <f>E70*4320</f>
        <v>311040</v>
      </c>
      <c r="F48" s="38">
        <f>F70*4320</f>
        <v>34560</v>
      </c>
      <c r="G48" s="38">
        <f>G70*4320</f>
        <v>12960</v>
      </c>
      <c r="H48" s="38">
        <f>H70*4320</f>
        <v>8640</v>
      </c>
      <c r="I48" s="38">
        <f>I70*4320</f>
        <v>0</v>
      </c>
      <c r="J48" s="38">
        <f t="shared" si="0"/>
        <v>367200</v>
      </c>
      <c r="K48" s="39"/>
    </row>
    <row r="49" spans="1:11" ht="14.1" customHeight="1">
      <c r="A49" s="35" t="s">
        <v>123</v>
      </c>
      <c r="B49" s="36" t="s">
        <v>214</v>
      </c>
      <c r="C49" s="36"/>
      <c r="D49" s="37" t="s">
        <v>21</v>
      </c>
      <c r="E49" s="38">
        <f>E50</f>
        <v>298676.57</v>
      </c>
      <c r="F49" s="38">
        <f>F50</f>
        <v>66000</v>
      </c>
      <c r="G49" s="38">
        <f>G50</f>
        <v>145100.57</v>
      </c>
      <c r="H49" s="38">
        <f>H50</f>
        <v>225714.29</v>
      </c>
      <c r="I49" s="38">
        <f>I50</f>
        <v>21257.14</v>
      </c>
      <c r="J49" s="38">
        <f t="shared" si="0"/>
        <v>756748.57000000007</v>
      </c>
      <c r="K49" s="39"/>
    </row>
    <row r="50" spans="1:11" s="2" customFormat="1" ht="14.1" customHeight="1">
      <c r="A50" s="35" t="s">
        <v>125</v>
      </c>
      <c r="B50" s="42" t="s">
        <v>129</v>
      </c>
      <c r="C50" s="42" t="s">
        <v>27</v>
      </c>
      <c r="D50" s="39" t="s">
        <v>43</v>
      </c>
      <c r="E50" s="38">
        <f>ROUND(E30/0.07*0.02,2)</f>
        <v>298676.57</v>
      </c>
      <c r="F50" s="38">
        <f>ROUND(F30/0.07*0.02,2)</f>
        <v>66000</v>
      </c>
      <c r="G50" s="38">
        <f>ROUND(G30/0.07*0.02,2)</f>
        <v>145100.57</v>
      </c>
      <c r="H50" s="38">
        <f>ROUND(H30/0.07*0.02,2)</f>
        <v>225714.29</v>
      </c>
      <c r="I50" s="38">
        <f>ROUND(I30/0.07*0.02,2)</f>
        <v>21257.14</v>
      </c>
      <c r="J50" s="38">
        <f t="shared" si="0"/>
        <v>756748.57000000007</v>
      </c>
      <c r="K50" s="39"/>
    </row>
    <row r="51" spans="1:11" ht="14.1" customHeight="1">
      <c r="A51" s="35" t="s">
        <v>126</v>
      </c>
      <c r="B51" s="36" t="s">
        <v>215</v>
      </c>
      <c r="C51" s="36"/>
      <c r="D51" s="37" t="s">
        <v>21</v>
      </c>
      <c r="E51" s="38">
        <f>E52</f>
        <v>32000</v>
      </c>
      <c r="F51" s="38">
        <f>F52</f>
        <v>0</v>
      </c>
      <c r="G51" s="38">
        <f>G52</f>
        <v>0</v>
      </c>
      <c r="H51" s="38">
        <f>H52</f>
        <v>0</v>
      </c>
      <c r="I51" s="38">
        <f>I52</f>
        <v>0</v>
      </c>
      <c r="J51" s="38">
        <f t="shared" si="0"/>
        <v>32000</v>
      </c>
      <c r="K51" s="39"/>
    </row>
    <row r="52" spans="1:11" ht="14.1" customHeight="1">
      <c r="A52" s="35" t="s">
        <v>128</v>
      </c>
      <c r="B52" s="36" t="s">
        <v>132</v>
      </c>
      <c r="C52" s="36" t="s">
        <v>27</v>
      </c>
      <c r="D52" s="47" t="s">
        <v>133</v>
      </c>
      <c r="E52" s="40">
        <v>32000</v>
      </c>
      <c r="F52" s="40"/>
      <c r="G52" s="40"/>
      <c r="H52" s="40"/>
      <c r="I52" s="40"/>
      <c r="J52" s="38">
        <f t="shared" si="0"/>
        <v>32000</v>
      </c>
      <c r="K52" s="39"/>
    </row>
    <row r="53" spans="1:11" ht="14.1" customHeight="1">
      <c r="A53" s="35" t="s">
        <v>130</v>
      </c>
      <c r="B53" s="36" t="s">
        <v>287</v>
      </c>
      <c r="C53" s="36"/>
      <c r="D53" s="37" t="s">
        <v>21</v>
      </c>
      <c r="E53" s="38">
        <f>E54</f>
        <v>28800</v>
      </c>
      <c r="F53" s="38">
        <f>F54</f>
        <v>3200</v>
      </c>
      <c r="G53" s="38">
        <f>G54</f>
        <v>1200</v>
      </c>
      <c r="H53" s="38">
        <f>H54</f>
        <v>800</v>
      </c>
      <c r="I53" s="38">
        <f>I54</f>
        <v>0</v>
      </c>
      <c r="J53" s="38">
        <f t="shared" si="0"/>
        <v>34000</v>
      </c>
      <c r="K53" s="39"/>
    </row>
    <row r="54" spans="1:11" s="2" customFormat="1" ht="14.1" customHeight="1">
      <c r="A54" s="35" t="s">
        <v>131</v>
      </c>
      <c r="B54" s="42" t="s">
        <v>288</v>
      </c>
      <c r="C54" s="42" t="s">
        <v>27</v>
      </c>
      <c r="D54" s="48" t="s">
        <v>216</v>
      </c>
      <c r="E54" s="38">
        <f>E70*400</f>
        <v>28800</v>
      </c>
      <c r="F54" s="38">
        <f>F70*400</f>
        <v>3200</v>
      </c>
      <c r="G54" s="38">
        <f>G70*400</f>
        <v>1200</v>
      </c>
      <c r="H54" s="38">
        <f>H70*400</f>
        <v>800</v>
      </c>
      <c r="I54" s="38">
        <f>I70*400</f>
        <v>0</v>
      </c>
      <c r="J54" s="38">
        <f t="shared" si="0"/>
        <v>34000</v>
      </c>
      <c r="K54" s="39"/>
    </row>
    <row r="55" spans="1:11" s="2" customFormat="1" ht="14.1" customHeight="1">
      <c r="A55" s="35" t="s">
        <v>134</v>
      </c>
      <c r="B55" s="36" t="s">
        <v>281</v>
      </c>
      <c r="C55" s="42"/>
      <c r="D55" s="48"/>
      <c r="E55" s="38">
        <f>E56</f>
        <v>2000</v>
      </c>
      <c r="F55" s="38">
        <f>F56</f>
        <v>0</v>
      </c>
      <c r="G55" s="38">
        <f>G56</f>
        <v>5500</v>
      </c>
      <c r="H55" s="38">
        <f>H56</f>
        <v>6000</v>
      </c>
      <c r="I55" s="38">
        <f>I56</f>
        <v>0</v>
      </c>
      <c r="J55" s="38">
        <f t="shared" si="0"/>
        <v>13500</v>
      </c>
      <c r="K55" s="39"/>
    </row>
    <row r="56" spans="1:11" ht="14.1" customHeight="1">
      <c r="A56" s="35" t="s">
        <v>135</v>
      </c>
      <c r="B56" s="36" t="s">
        <v>282</v>
      </c>
      <c r="C56" s="36" t="s">
        <v>27</v>
      </c>
      <c r="D56" s="47" t="s">
        <v>140</v>
      </c>
      <c r="E56" s="49">
        <v>2000</v>
      </c>
      <c r="F56" s="49"/>
      <c r="G56" s="49">
        <v>5500</v>
      </c>
      <c r="H56" s="49">
        <v>6000</v>
      </c>
      <c r="I56" s="49"/>
      <c r="J56" s="38">
        <f t="shared" si="0"/>
        <v>13500</v>
      </c>
      <c r="K56" s="44"/>
    </row>
    <row r="57" spans="1:11" ht="14.1" customHeight="1">
      <c r="A57" s="35" t="s">
        <v>136</v>
      </c>
      <c r="B57" s="36" t="s">
        <v>283</v>
      </c>
      <c r="C57" s="36"/>
      <c r="D57" s="37" t="s">
        <v>21</v>
      </c>
      <c r="E57" s="38">
        <f>E58</f>
        <v>0</v>
      </c>
      <c r="F57" s="38">
        <f>F58</f>
        <v>32000</v>
      </c>
      <c r="G57" s="38">
        <f>G58</f>
        <v>32000</v>
      </c>
      <c r="H57" s="38">
        <f>H58</f>
        <v>32000</v>
      </c>
      <c r="I57" s="38">
        <f>I58</f>
        <v>32000</v>
      </c>
      <c r="J57" s="38">
        <f t="shared" si="0"/>
        <v>128000</v>
      </c>
      <c r="K57" s="39"/>
    </row>
    <row r="58" spans="1:11" ht="14.1" customHeight="1" thickBot="1">
      <c r="A58" s="35" t="s">
        <v>139</v>
      </c>
      <c r="B58" s="4" t="s">
        <v>143</v>
      </c>
      <c r="C58" s="36" t="s">
        <v>27</v>
      </c>
      <c r="D58" s="5" t="s">
        <v>217</v>
      </c>
      <c r="E58" s="6"/>
      <c r="F58" s="6">
        <v>32000</v>
      </c>
      <c r="G58" s="6">
        <v>32000</v>
      </c>
      <c r="H58" s="6">
        <v>32000</v>
      </c>
      <c r="I58" s="6">
        <v>32000</v>
      </c>
      <c r="J58" s="38">
        <f t="shared" si="0"/>
        <v>128000</v>
      </c>
      <c r="K58" s="8"/>
    </row>
    <row r="59" spans="1:11" ht="14.1" customHeight="1" thickTop="1">
      <c r="A59" s="35" t="s">
        <v>141</v>
      </c>
      <c r="B59" s="9" t="s">
        <v>145</v>
      </c>
      <c r="C59" s="9"/>
      <c r="D59" s="10"/>
      <c r="E59" s="11"/>
      <c r="F59" s="11"/>
      <c r="G59" s="11"/>
      <c r="H59" s="11"/>
      <c r="I59" s="11"/>
      <c r="J59" s="38">
        <f t="shared" si="0"/>
        <v>0</v>
      </c>
      <c r="K59" s="12"/>
    </row>
    <row r="60" spans="1:11" ht="14.1" customHeight="1">
      <c r="A60" s="35" t="s">
        <v>142</v>
      </c>
      <c r="B60" s="36" t="s">
        <v>147</v>
      </c>
      <c r="C60" s="36"/>
      <c r="D60" s="37" t="s">
        <v>285</v>
      </c>
      <c r="E60" s="38">
        <f>E61+E62+E63+E64</f>
        <v>65</v>
      </c>
      <c r="F60" s="38">
        <f>F61+F62+F63+F64</f>
        <v>15</v>
      </c>
      <c r="G60" s="38">
        <f>G61+G62+G63+G64</f>
        <v>32</v>
      </c>
      <c r="H60" s="38">
        <f>H61+H62+H63+H64</f>
        <v>51</v>
      </c>
      <c r="I60" s="38">
        <f>I61+I62+I63+I64</f>
        <v>4</v>
      </c>
      <c r="J60" s="38">
        <f t="shared" si="0"/>
        <v>167</v>
      </c>
      <c r="K60" s="39"/>
    </row>
    <row r="61" spans="1:11" ht="14.1" customHeight="1">
      <c r="A61" s="35" t="s">
        <v>144</v>
      </c>
      <c r="B61" s="50" t="s">
        <v>149</v>
      </c>
      <c r="C61" s="50"/>
      <c r="D61" s="44"/>
      <c r="E61" s="45"/>
      <c r="F61" s="45"/>
      <c r="G61" s="45"/>
      <c r="H61" s="45"/>
      <c r="I61" s="45"/>
      <c r="J61" s="38">
        <f t="shared" si="0"/>
        <v>0</v>
      </c>
      <c r="K61" s="39"/>
    </row>
    <row r="62" spans="1:11" ht="14.1" customHeight="1">
      <c r="A62" s="35" t="s">
        <v>146</v>
      </c>
      <c r="B62" s="50" t="s">
        <v>151</v>
      </c>
      <c r="C62" s="50"/>
      <c r="D62" s="37"/>
      <c r="E62" s="40">
        <v>65</v>
      </c>
      <c r="F62" s="40"/>
      <c r="G62" s="40"/>
      <c r="H62" s="40"/>
      <c r="I62" s="40"/>
      <c r="J62" s="38">
        <f t="shared" si="0"/>
        <v>65</v>
      </c>
      <c r="K62" s="39"/>
    </row>
    <row r="63" spans="1:11" ht="14.1" customHeight="1">
      <c r="A63" s="35" t="s">
        <v>148</v>
      </c>
      <c r="B63" s="50" t="s">
        <v>153</v>
      </c>
      <c r="C63" s="50"/>
      <c r="D63" s="44"/>
      <c r="E63" s="45"/>
      <c r="F63" s="45">
        <v>15</v>
      </c>
      <c r="G63" s="45">
        <v>32</v>
      </c>
      <c r="H63" s="45">
        <v>51</v>
      </c>
      <c r="I63" s="45"/>
      <c r="J63" s="38">
        <f t="shared" si="0"/>
        <v>98</v>
      </c>
      <c r="K63" s="39"/>
    </row>
    <row r="64" spans="1:11" ht="14.1" customHeight="1">
      <c r="A64" s="35" t="s">
        <v>150</v>
      </c>
      <c r="B64" s="50" t="s">
        <v>155</v>
      </c>
      <c r="C64" s="50"/>
      <c r="D64" s="44"/>
      <c r="E64" s="45"/>
      <c r="F64" s="45"/>
      <c r="G64" s="45"/>
      <c r="H64" s="45"/>
      <c r="I64" s="45">
        <v>4</v>
      </c>
      <c r="J64" s="38">
        <f t="shared" si="0"/>
        <v>4</v>
      </c>
      <c r="K64" s="39"/>
    </row>
    <row r="65" spans="1:11" ht="14.1" customHeight="1">
      <c r="A65" s="35" t="s">
        <v>152</v>
      </c>
      <c r="B65" s="36" t="s">
        <v>157</v>
      </c>
      <c r="C65" s="36"/>
      <c r="D65" s="37" t="s">
        <v>286</v>
      </c>
      <c r="E65" s="38">
        <f>E66+E67+E68+E69</f>
        <v>1035</v>
      </c>
      <c r="F65" s="38">
        <f>F66+F67+F68+F69</f>
        <v>125</v>
      </c>
      <c r="G65" s="38">
        <f>G66+G67+G68+G69</f>
        <v>408</v>
      </c>
      <c r="H65" s="38">
        <f>H66+H67+H68+H69</f>
        <v>751</v>
      </c>
      <c r="I65" s="38">
        <f>I66+I67+I68+I69</f>
        <v>0</v>
      </c>
      <c r="J65" s="38">
        <f t="shared" si="0"/>
        <v>2319</v>
      </c>
      <c r="K65" s="39"/>
    </row>
    <row r="66" spans="1:11" ht="14.1" customHeight="1">
      <c r="A66" s="35" t="s">
        <v>154</v>
      </c>
      <c r="B66" s="50" t="s">
        <v>149</v>
      </c>
      <c r="C66" s="50"/>
      <c r="D66" s="44"/>
      <c r="E66" s="45"/>
      <c r="F66" s="45"/>
      <c r="G66" s="45"/>
      <c r="H66" s="45"/>
      <c r="I66" s="45"/>
      <c r="J66" s="38">
        <f t="shared" si="0"/>
        <v>0</v>
      </c>
      <c r="K66" s="39"/>
    </row>
    <row r="67" spans="1:11" ht="14.1" customHeight="1">
      <c r="A67" s="35" t="s">
        <v>156</v>
      </c>
      <c r="B67" s="50" t="s">
        <v>151</v>
      </c>
      <c r="C67" s="50"/>
      <c r="D67" s="37"/>
      <c r="E67" s="40">
        <v>1035</v>
      </c>
      <c r="F67" s="40"/>
      <c r="G67" s="40"/>
      <c r="H67" s="40"/>
      <c r="I67" s="40"/>
      <c r="J67" s="38">
        <f t="shared" si="0"/>
        <v>1035</v>
      </c>
      <c r="K67" s="39"/>
    </row>
    <row r="68" spans="1:11" ht="14.1" customHeight="1">
      <c r="A68" s="35" t="s">
        <v>158</v>
      </c>
      <c r="B68" s="50" t="s">
        <v>153</v>
      </c>
      <c r="C68" s="50"/>
      <c r="D68" s="44"/>
      <c r="E68" s="45"/>
      <c r="F68" s="45">
        <v>125</v>
      </c>
      <c r="G68" s="45">
        <v>408</v>
      </c>
      <c r="H68" s="45">
        <v>751</v>
      </c>
      <c r="I68" s="45"/>
      <c r="J68" s="38">
        <f t="shared" ref="J68:J72" si="1">SUM(E68:I68)</f>
        <v>1284</v>
      </c>
      <c r="K68" s="39"/>
    </row>
    <row r="69" spans="1:11" ht="14.1" customHeight="1">
      <c r="A69" s="35" t="s">
        <v>159</v>
      </c>
      <c r="B69" s="50" t="s">
        <v>155</v>
      </c>
      <c r="C69" s="50"/>
      <c r="D69" s="44"/>
      <c r="E69" s="45"/>
      <c r="F69" s="45"/>
      <c r="G69" s="45"/>
      <c r="H69" s="45"/>
      <c r="I69" s="45"/>
      <c r="J69" s="38">
        <f t="shared" si="1"/>
        <v>0</v>
      </c>
      <c r="K69" s="39"/>
    </row>
    <row r="70" spans="1:11" ht="14.1" customHeight="1">
      <c r="A70" s="35" t="s">
        <v>160</v>
      </c>
      <c r="B70" s="36" t="s">
        <v>218</v>
      </c>
      <c r="C70" s="36"/>
      <c r="D70" s="37"/>
      <c r="E70" s="40">
        <v>72</v>
      </c>
      <c r="F70" s="40">
        <v>8</v>
      </c>
      <c r="G70" s="40">
        <v>3</v>
      </c>
      <c r="H70" s="40">
        <v>2</v>
      </c>
      <c r="I70" s="40"/>
      <c r="J70" s="38">
        <f t="shared" si="1"/>
        <v>85</v>
      </c>
      <c r="K70" s="39"/>
    </row>
    <row r="71" spans="1:11" ht="14.1" customHeight="1">
      <c r="A71" s="35" t="s">
        <v>161</v>
      </c>
      <c r="B71" s="50" t="s">
        <v>219</v>
      </c>
      <c r="C71" s="50"/>
      <c r="D71" s="47"/>
      <c r="E71" s="40">
        <v>6698.1</v>
      </c>
      <c r="F71" s="40">
        <v>1515</v>
      </c>
      <c r="G71" s="40">
        <v>5789.3</v>
      </c>
      <c r="H71" s="40">
        <v>14972.68</v>
      </c>
      <c r="I71" s="40">
        <v>3000</v>
      </c>
      <c r="J71" s="38">
        <f t="shared" si="1"/>
        <v>31975.08</v>
      </c>
      <c r="K71" s="39"/>
    </row>
    <row r="72" spans="1:11" ht="14.1" customHeight="1">
      <c r="A72" s="35" t="s">
        <v>162</v>
      </c>
      <c r="B72" s="50" t="s">
        <v>220</v>
      </c>
      <c r="C72" s="50"/>
      <c r="D72" s="47"/>
      <c r="E72" s="40">
        <v>5066</v>
      </c>
      <c r="F72" s="40">
        <v>200</v>
      </c>
      <c r="G72" s="40">
        <v>3500</v>
      </c>
      <c r="H72" s="40">
        <v>8305</v>
      </c>
      <c r="I72" s="40">
        <v>3000</v>
      </c>
      <c r="J72" s="38">
        <f t="shared" si="1"/>
        <v>20071</v>
      </c>
      <c r="K72" s="39"/>
    </row>
    <row r="73" spans="1:11">
      <c r="E73" s="1">
        <f t="shared" ref="E73:J73" si="2">E5/E60</f>
        <v>363290.17507692304</v>
      </c>
      <c r="F73" s="1">
        <f t="shared" si="2"/>
        <v>330950.66666666669</v>
      </c>
      <c r="G73" s="1">
        <f t="shared" si="2"/>
        <v>326218.43906250002</v>
      </c>
      <c r="H73" s="1">
        <f t="shared" si="2"/>
        <v>319403.04784313729</v>
      </c>
      <c r="I73" s="1">
        <f t="shared" si="2"/>
        <v>378661.42750000005</v>
      </c>
      <c r="J73" s="1">
        <f t="shared" si="2"/>
        <v>340247.38071856293</v>
      </c>
    </row>
    <row r="74" spans="1:11">
      <c r="E74" s="1">
        <f t="shared" ref="E74:J74" si="3">E34/E70</f>
        <v>18994.236111111109</v>
      </c>
      <c r="F74" s="1">
        <f t="shared" si="3"/>
        <v>16792.5</v>
      </c>
      <c r="G74" s="1">
        <f t="shared" si="3"/>
        <v>16060</v>
      </c>
      <c r="H74" s="1">
        <f t="shared" si="3"/>
        <v>14400</v>
      </c>
      <c r="I74" s="1" t="e">
        <f t="shared" si="3"/>
        <v>#DIV/0!</v>
      </c>
      <c r="J74" s="1">
        <f t="shared" si="3"/>
        <v>18575.352941176472</v>
      </c>
    </row>
  </sheetData>
  <protectedRanges>
    <protectedRange password="E9C1" sqref="D30 C31 A5:D6 B7:D29 A2:K2 J5:K72 B32:D72 A7:A72 A4:K4 A3:D3 J3:K3" name="区域1_1"/>
    <protectedRange password="E9C1" sqref="B30:C30 B31" name="区域1_1_1"/>
    <protectedRange password="E9C1" sqref="D31" name="区域1_2"/>
    <protectedRange password="E9C1" sqref="F3:H3" name="区域1_1_2"/>
  </protectedRanges>
  <mergeCells count="7">
    <mergeCell ref="A1:K1"/>
    <mergeCell ref="A2:A3"/>
    <mergeCell ref="B2:B3"/>
    <mergeCell ref="C2:C3"/>
    <mergeCell ref="D2:D3"/>
    <mergeCell ref="J2:J3"/>
    <mergeCell ref="K2:K3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85" orientation="landscape" r:id="rId1"/>
  <headerFooter>
    <oddFooter>第 &amp;P 页，共 &amp;N 页</oddFooter>
  </headerFooter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"/>
  <sheetViews>
    <sheetView tabSelected="1" workbookViewId="0">
      <selection sqref="A1:C1"/>
    </sheetView>
  </sheetViews>
  <sheetFormatPr defaultColWidth="9" defaultRowHeight="13.5"/>
  <cols>
    <col min="1" max="1" width="10.625" style="781" customWidth="1"/>
    <col min="2" max="2" width="30.625" style="786" customWidth="1"/>
    <col min="3" max="3" width="30.625" style="781" customWidth="1"/>
    <col min="4" max="4" width="20.5" style="781" bestFit="1" customWidth="1"/>
    <col min="5" max="5" width="18.625" style="781" hidden="1" customWidth="1"/>
    <col min="6" max="6" width="18.375" style="781" bestFit="1" customWidth="1"/>
    <col min="7" max="7" width="14.375" style="781" hidden="1" customWidth="1"/>
    <col min="8" max="8" width="14.25" style="781" hidden="1" customWidth="1"/>
    <col min="9" max="252" width="9" style="781"/>
    <col min="253" max="253" width="6.625" style="781" customWidth="1"/>
    <col min="254" max="255" width="21.625" style="781" customWidth="1"/>
    <col min="256" max="256" width="16.125" style="781" bestFit="1" customWidth="1"/>
    <col min="257" max="257" width="13.875" style="781" bestFit="1" customWidth="1"/>
    <col min="258" max="258" width="17.25" style="781" bestFit="1" customWidth="1"/>
    <col min="259" max="260" width="20.5" style="781" bestFit="1" customWidth="1"/>
    <col min="261" max="261" width="0" style="781" hidden="1" customWidth="1"/>
    <col min="262" max="262" width="18.375" style="781" bestFit="1" customWidth="1"/>
    <col min="263" max="264" width="0" style="781" hidden="1" customWidth="1"/>
    <col min="265" max="508" width="9" style="781"/>
    <col min="509" max="509" width="6.625" style="781" customWidth="1"/>
    <col min="510" max="511" width="21.625" style="781" customWidth="1"/>
    <col min="512" max="512" width="16.125" style="781" bestFit="1" customWidth="1"/>
    <col min="513" max="513" width="13.875" style="781" bestFit="1" customWidth="1"/>
    <col min="514" max="514" width="17.25" style="781" bestFit="1" customWidth="1"/>
    <col min="515" max="516" width="20.5" style="781" bestFit="1" customWidth="1"/>
    <col min="517" max="517" width="0" style="781" hidden="1" customWidth="1"/>
    <col min="518" max="518" width="18.375" style="781" bestFit="1" customWidth="1"/>
    <col min="519" max="520" width="0" style="781" hidden="1" customWidth="1"/>
    <col min="521" max="764" width="9" style="781"/>
    <col min="765" max="765" width="6.625" style="781" customWidth="1"/>
    <col min="766" max="767" width="21.625" style="781" customWidth="1"/>
    <col min="768" max="768" width="16.125" style="781" bestFit="1" customWidth="1"/>
    <col min="769" max="769" width="13.875" style="781" bestFit="1" customWidth="1"/>
    <col min="770" max="770" width="17.25" style="781" bestFit="1" customWidth="1"/>
    <col min="771" max="772" width="20.5" style="781" bestFit="1" customWidth="1"/>
    <col min="773" max="773" width="0" style="781" hidden="1" customWidth="1"/>
    <col min="774" max="774" width="18.375" style="781" bestFit="1" customWidth="1"/>
    <col min="775" max="776" width="0" style="781" hidden="1" customWidth="1"/>
    <col min="777" max="1020" width="9" style="781"/>
    <col min="1021" max="1021" width="6.625" style="781" customWidth="1"/>
    <col min="1022" max="1023" width="21.625" style="781" customWidth="1"/>
    <col min="1024" max="1024" width="16.125" style="781" bestFit="1" customWidth="1"/>
    <col min="1025" max="1025" width="13.875" style="781" bestFit="1" customWidth="1"/>
    <col min="1026" max="1026" width="17.25" style="781" bestFit="1" customWidth="1"/>
    <col min="1027" max="1028" width="20.5" style="781" bestFit="1" customWidth="1"/>
    <col min="1029" max="1029" width="0" style="781" hidden="1" customWidth="1"/>
    <col min="1030" max="1030" width="18.375" style="781" bestFit="1" customWidth="1"/>
    <col min="1031" max="1032" width="0" style="781" hidden="1" customWidth="1"/>
    <col min="1033" max="1276" width="9" style="781"/>
    <col min="1277" max="1277" width="6.625" style="781" customWidth="1"/>
    <col min="1278" max="1279" width="21.625" style="781" customWidth="1"/>
    <col min="1280" max="1280" width="16.125" style="781" bestFit="1" customWidth="1"/>
    <col min="1281" max="1281" width="13.875" style="781" bestFit="1" customWidth="1"/>
    <col min="1282" max="1282" width="17.25" style="781" bestFit="1" customWidth="1"/>
    <col min="1283" max="1284" width="20.5" style="781" bestFit="1" customWidth="1"/>
    <col min="1285" max="1285" width="0" style="781" hidden="1" customWidth="1"/>
    <col min="1286" max="1286" width="18.375" style="781" bestFit="1" customWidth="1"/>
    <col min="1287" max="1288" width="0" style="781" hidden="1" customWidth="1"/>
    <col min="1289" max="1532" width="9" style="781"/>
    <col min="1533" max="1533" width="6.625" style="781" customWidth="1"/>
    <col min="1534" max="1535" width="21.625" style="781" customWidth="1"/>
    <col min="1536" max="1536" width="16.125" style="781" bestFit="1" customWidth="1"/>
    <col min="1537" max="1537" width="13.875" style="781" bestFit="1" customWidth="1"/>
    <col min="1538" max="1538" width="17.25" style="781" bestFit="1" customWidth="1"/>
    <col min="1539" max="1540" width="20.5" style="781" bestFit="1" customWidth="1"/>
    <col min="1541" max="1541" width="0" style="781" hidden="1" customWidth="1"/>
    <col min="1542" max="1542" width="18.375" style="781" bestFit="1" customWidth="1"/>
    <col min="1543" max="1544" width="0" style="781" hidden="1" customWidth="1"/>
    <col min="1545" max="1788" width="9" style="781"/>
    <col min="1789" max="1789" width="6.625" style="781" customWidth="1"/>
    <col min="1790" max="1791" width="21.625" style="781" customWidth="1"/>
    <col min="1792" max="1792" width="16.125" style="781" bestFit="1" customWidth="1"/>
    <col min="1793" max="1793" width="13.875" style="781" bestFit="1" customWidth="1"/>
    <col min="1794" max="1794" width="17.25" style="781" bestFit="1" customWidth="1"/>
    <col min="1795" max="1796" width="20.5" style="781" bestFit="1" customWidth="1"/>
    <col min="1797" max="1797" width="0" style="781" hidden="1" customWidth="1"/>
    <col min="1798" max="1798" width="18.375" style="781" bestFit="1" customWidth="1"/>
    <col min="1799" max="1800" width="0" style="781" hidden="1" customWidth="1"/>
    <col min="1801" max="2044" width="9" style="781"/>
    <col min="2045" max="2045" width="6.625" style="781" customWidth="1"/>
    <col min="2046" max="2047" width="21.625" style="781" customWidth="1"/>
    <col min="2048" max="2048" width="16.125" style="781" bestFit="1" customWidth="1"/>
    <col min="2049" max="2049" width="13.875" style="781" bestFit="1" customWidth="1"/>
    <col min="2050" max="2050" width="17.25" style="781" bestFit="1" customWidth="1"/>
    <col min="2051" max="2052" width="20.5" style="781" bestFit="1" customWidth="1"/>
    <col min="2053" max="2053" width="0" style="781" hidden="1" customWidth="1"/>
    <col min="2054" max="2054" width="18.375" style="781" bestFit="1" customWidth="1"/>
    <col min="2055" max="2056" width="0" style="781" hidden="1" customWidth="1"/>
    <col min="2057" max="2300" width="9" style="781"/>
    <col min="2301" max="2301" width="6.625" style="781" customWidth="1"/>
    <col min="2302" max="2303" width="21.625" style="781" customWidth="1"/>
    <col min="2304" max="2304" width="16.125" style="781" bestFit="1" customWidth="1"/>
    <col min="2305" max="2305" width="13.875" style="781" bestFit="1" customWidth="1"/>
    <col min="2306" max="2306" width="17.25" style="781" bestFit="1" customWidth="1"/>
    <col min="2307" max="2308" width="20.5" style="781" bestFit="1" customWidth="1"/>
    <col min="2309" max="2309" width="0" style="781" hidden="1" customWidth="1"/>
    <col min="2310" max="2310" width="18.375" style="781" bestFit="1" customWidth="1"/>
    <col min="2311" max="2312" width="0" style="781" hidden="1" customWidth="1"/>
    <col min="2313" max="2556" width="9" style="781"/>
    <col min="2557" max="2557" width="6.625" style="781" customWidth="1"/>
    <col min="2558" max="2559" width="21.625" style="781" customWidth="1"/>
    <col min="2560" max="2560" width="16.125" style="781" bestFit="1" customWidth="1"/>
    <col min="2561" max="2561" width="13.875" style="781" bestFit="1" customWidth="1"/>
    <col min="2562" max="2562" width="17.25" style="781" bestFit="1" customWidth="1"/>
    <col min="2563" max="2564" width="20.5" style="781" bestFit="1" customWidth="1"/>
    <col min="2565" max="2565" width="0" style="781" hidden="1" customWidth="1"/>
    <col min="2566" max="2566" width="18.375" style="781" bestFit="1" customWidth="1"/>
    <col min="2567" max="2568" width="0" style="781" hidden="1" customWidth="1"/>
    <col min="2569" max="2812" width="9" style="781"/>
    <col min="2813" max="2813" width="6.625" style="781" customWidth="1"/>
    <col min="2814" max="2815" width="21.625" style="781" customWidth="1"/>
    <col min="2816" max="2816" width="16.125" style="781" bestFit="1" customWidth="1"/>
    <col min="2817" max="2817" width="13.875" style="781" bestFit="1" customWidth="1"/>
    <col min="2818" max="2818" width="17.25" style="781" bestFit="1" customWidth="1"/>
    <col min="2819" max="2820" width="20.5" style="781" bestFit="1" customWidth="1"/>
    <col min="2821" max="2821" width="0" style="781" hidden="1" customWidth="1"/>
    <col min="2822" max="2822" width="18.375" style="781" bestFit="1" customWidth="1"/>
    <col min="2823" max="2824" width="0" style="781" hidden="1" customWidth="1"/>
    <col min="2825" max="3068" width="9" style="781"/>
    <col min="3069" max="3069" width="6.625" style="781" customWidth="1"/>
    <col min="3070" max="3071" width="21.625" style="781" customWidth="1"/>
    <col min="3072" max="3072" width="16.125" style="781" bestFit="1" customWidth="1"/>
    <col min="3073" max="3073" width="13.875" style="781" bestFit="1" customWidth="1"/>
    <col min="3074" max="3074" width="17.25" style="781" bestFit="1" customWidth="1"/>
    <col min="3075" max="3076" width="20.5" style="781" bestFit="1" customWidth="1"/>
    <col min="3077" max="3077" width="0" style="781" hidden="1" customWidth="1"/>
    <col min="3078" max="3078" width="18.375" style="781" bestFit="1" customWidth="1"/>
    <col min="3079" max="3080" width="0" style="781" hidden="1" customWidth="1"/>
    <col min="3081" max="3324" width="9" style="781"/>
    <col min="3325" max="3325" width="6.625" style="781" customWidth="1"/>
    <col min="3326" max="3327" width="21.625" style="781" customWidth="1"/>
    <col min="3328" max="3328" width="16.125" style="781" bestFit="1" customWidth="1"/>
    <col min="3329" max="3329" width="13.875" style="781" bestFit="1" customWidth="1"/>
    <col min="3330" max="3330" width="17.25" style="781" bestFit="1" customWidth="1"/>
    <col min="3331" max="3332" width="20.5" style="781" bestFit="1" customWidth="1"/>
    <col min="3333" max="3333" width="0" style="781" hidden="1" customWidth="1"/>
    <col min="3334" max="3334" width="18.375" style="781" bestFit="1" customWidth="1"/>
    <col min="3335" max="3336" width="0" style="781" hidden="1" customWidth="1"/>
    <col min="3337" max="3580" width="9" style="781"/>
    <col min="3581" max="3581" width="6.625" style="781" customWidth="1"/>
    <col min="3582" max="3583" width="21.625" style="781" customWidth="1"/>
    <col min="3584" max="3584" width="16.125" style="781" bestFit="1" customWidth="1"/>
    <col min="3585" max="3585" width="13.875" style="781" bestFit="1" customWidth="1"/>
    <col min="3586" max="3586" width="17.25" style="781" bestFit="1" customWidth="1"/>
    <col min="3587" max="3588" width="20.5" style="781" bestFit="1" customWidth="1"/>
    <col min="3589" max="3589" width="0" style="781" hidden="1" customWidth="1"/>
    <col min="3590" max="3590" width="18.375" style="781" bestFit="1" customWidth="1"/>
    <col min="3591" max="3592" width="0" style="781" hidden="1" customWidth="1"/>
    <col min="3593" max="3836" width="9" style="781"/>
    <col min="3837" max="3837" width="6.625" style="781" customWidth="1"/>
    <col min="3838" max="3839" width="21.625" style="781" customWidth="1"/>
    <col min="3840" max="3840" width="16.125" style="781" bestFit="1" customWidth="1"/>
    <col min="3841" max="3841" width="13.875" style="781" bestFit="1" customWidth="1"/>
    <col min="3842" max="3842" width="17.25" style="781" bestFit="1" customWidth="1"/>
    <col min="3843" max="3844" width="20.5" style="781" bestFit="1" customWidth="1"/>
    <col min="3845" max="3845" width="0" style="781" hidden="1" customWidth="1"/>
    <col min="3846" max="3846" width="18.375" style="781" bestFit="1" customWidth="1"/>
    <col min="3847" max="3848" width="0" style="781" hidden="1" customWidth="1"/>
    <col min="3849" max="4092" width="9" style="781"/>
    <col min="4093" max="4093" width="6.625" style="781" customWidth="1"/>
    <col min="4094" max="4095" width="21.625" style="781" customWidth="1"/>
    <col min="4096" max="4096" width="16.125" style="781" bestFit="1" customWidth="1"/>
    <col min="4097" max="4097" width="13.875" style="781" bestFit="1" customWidth="1"/>
    <col min="4098" max="4098" width="17.25" style="781" bestFit="1" customWidth="1"/>
    <col min="4099" max="4100" width="20.5" style="781" bestFit="1" customWidth="1"/>
    <col min="4101" max="4101" width="0" style="781" hidden="1" customWidth="1"/>
    <col min="4102" max="4102" width="18.375" style="781" bestFit="1" customWidth="1"/>
    <col min="4103" max="4104" width="0" style="781" hidden="1" customWidth="1"/>
    <col min="4105" max="4348" width="9" style="781"/>
    <col min="4349" max="4349" width="6.625" style="781" customWidth="1"/>
    <col min="4350" max="4351" width="21.625" style="781" customWidth="1"/>
    <col min="4352" max="4352" width="16.125" style="781" bestFit="1" customWidth="1"/>
    <col min="4353" max="4353" width="13.875" style="781" bestFit="1" customWidth="1"/>
    <col min="4354" max="4354" width="17.25" style="781" bestFit="1" customWidth="1"/>
    <col min="4355" max="4356" width="20.5" style="781" bestFit="1" customWidth="1"/>
    <col min="4357" max="4357" width="0" style="781" hidden="1" customWidth="1"/>
    <col min="4358" max="4358" width="18.375" style="781" bestFit="1" customWidth="1"/>
    <col min="4359" max="4360" width="0" style="781" hidden="1" customWidth="1"/>
    <col min="4361" max="4604" width="9" style="781"/>
    <col min="4605" max="4605" width="6.625" style="781" customWidth="1"/>
    <col min="4606" max="4607" width="21.625" style="781" customWidth="1"/>
    <col min="4608" max="4608" width="16.125" style="781" bestFit="1" customWidth="1"/>
    <col min="4609" max="4609" width="13.875" style="781" bestFit="1" customWidth="1"/>
    <col min="4610" max="4610" width="17.25" style="781" bestFit="1" customWidth="1"/>
    <col min="4611" max="4612" width="20.5" style="781" bestFit="1" customWidth="1"/>
    <col min="4613" max="4613" width="0" style="781" hidden="1" customWidth="1"/>
    <col min="4614" max="4614" width="18.375" style="781" bestFit="1" customWidth="1"/>
    <col min="4615" max="4616" width="0" style="781" hidden="1" customWidth="1"/>
    <col min="4617" max="4860" width="9" style="781"/>
    <col min="4861" max="4861" width="6.625" style="781" customWidth="1"/>
    <col min="4862" max="4863" width="21.625" style="781" customWidth="1"/>
    <col min="4864" max="4864" width="16.125" style="781" bestFit="1" customWidth="1"/>
    <col min="4865" max="4865" width="13.875" style="781" bestFit="1" customWidth="1"/>
    <col min="4866" max="4866" width="17.25" style="781" bestFit="1" customWidth="1"/>
    <col min="4867" max="4868" width="20.5" style="781" bestFit="1" customWidth="1"/>
    <col min="4869" max="4869" width="0" style="781" hidden="1" customWidth="1"/>
    <col min="4870" max="4870" width="18.375" style="781" bestFit="1" customWidth="1"/>
    <col min="4871" max="4872" width="0" style="781" hidden="1" customWidth="1"/>
    <col min="4873" max="5116" width="9" style="781"/>
    <col min="5117" max="5117" width="6.625" style="781" customWidth="1"/>
    <col min="5118" max="5119" width="21.625" style="781" customWidth="1"/>
    <col min="5120" max="5120" width="16.125" style="781" bestFit="1" customWidth="1"/>
    <col min="5121" max="5121" width="13.875" style="781" bestFit="1" customWidth="1"/>
    <col min="5122" max="5122" width="17.25" style="781" bestFit="1" customWidth="1"/>
    <col min="5123" max="5124" width="20.5" style="781" bestFit="1" customWidth="1"/>
    <col min="5125" max="5125" width="0" style="781" hidden="1" customWidth="1"/>
    <col min="5126" max="5126" width="18.375" style="781" bestFit="1" customWidth="1"/>
    <col min="5127" max="5128" width="0" style="781" hidden="1" customWidth="1"/>
    <col min="5129" max="5372" width="9" style="781"/>
    <col min="5373" max="5373" width="6.625" style="781" customWidth="1"/>
    <col min="5374" max="5375" width="21.625" style="781" customWidth="1"/>
    <col min="5376" max="5376" width="16.125" style="781" bestFit="1" customWidth="1"/>
    <col min="5377" max="5377" width="13.875" style="781" bestFit="1" customWidth="1"/>
    <col min="5378" max="5378" width="17.25" style="781" bestFit="1" customWidth="1"/>
    <col min="5379" max="5380" width="20.5" style="781" bestFit="1" customWidth="1"/>
    <col min="5381" max="5381" width="0" style="781" hidden="1" customWidth="1"/>
    <col min="5382" max="5382" width="18.375" style="781" bestFit="1" customWidth="1"/>
    <col min="5383" max="5384" width="0" style="781" hidden="1" customWidth="1"/>
    <col min="5385" max="5628" width="9" style="781"/>
    <col min="5629" max="5629" width="6.625" style="781" customWidth="1"/>
    <col min="5630" max="5631" width="21.625" style="781" customWidth="1"/>
    <col min="5632" max="5632" width="16.125" style="781" bestFit="1" customWidth="1"/>
    <col min="5633" max="5633" width="13.875" style="781" bestFit="1" customWidth="1"/>
    <col min="5634" max="5634" width="17.25" style="781" bestFit="1" customWidth="1"/>
    <col min="5635" max="5636" width="20.5" style="781" bestFit="1" customWidth="1"/>
    <col min="5637" max="5637" width="0" style="781" hidden="1" customWidth="1"/>
    <col min="5638" max="5638" width="18.375" style="781" bestFit="1" customWidth="1"/>
    <col min="5639" max="5640" width="0" style="781" hidden="1" customWidth="1"/>
    <col min="5641" max="5884" width="9" style="781"/>
    <col min="5885" max="5885" width="6.625" style="781" customWidth="1"/>
    <col min="5886" max="5887" width="21.625" style="781" customWidth="1"/>
    <col min="5888" max="5888" width="16.125" style="781" bestFit="1" customWidth="1"/>
    <col min="5889" max="5889" width="13.875" style="781" bestFit="1" customWidth="1"/>
    <col min="5890" max="5890" width="17.25" style="781" bestFit="1" customWidth="1"/>
    <col min="5891" max="5892" width="20.5" style="781" bestFit="1" customWidth="1"/>
    <col min="5893" max="5893" width="0" style="781" hidden="1" customWidth="1"/>
    <col min="5894" max="5894" width="18.375" style="781" bestFit="1" customWidth="1"/>
    <col min="5895" max="5896" width="0" style="781" hidden="1" customWidth="1"/>
    <col min="5897" max="6140" width="9" style="781"/>
    <col min="6141" max="6141" width="6.625" style="781" customWidth="1"/>
    <col min="6142" max="6143" width="21.625" style="781" customWidth="1"/>
    <col min="6144" max="6144" width="16.125" style="781" bestFit="1" customWidth="1"/>
    <col min="6145" max="6145" width="13.875" style="781" bestFit="1" customWidth="1"/>
    <col min="6146" max="6146" width="17.25" style="781" bestFit="1" customWidth="1"/>
    <col min="6147" max="6148" width="20.5" style="781" bestFit="1" customWidth="1"/>
    <col min="6149" max="6149" width="0" style="781" hidden="1" customWidth="1"/>
    <col min="6150" max="6150" width="18.375" style="781" bestFit="1" customWidth="1"/>
    <col min="6151" max="6152" width="0" style="781" hidden="1" customWidth="1"/>
    <col min="6153" max="6396" width="9" style="781"/>
    <col min="6397" max="6397" width="6.625" style="781" customWidth="1"/>
    <col min="6398" max="6399" width="21.625" style="781" customWidth="1"/>
    <col min="6400" max="6400" width="16.125" style="781" bestFit="1" customWidth="1"/>
    <col min="6401" max="6401" width="13.875" style="781" bestFit="1" customWidth="1"/>
    <col min="6402" max="6402" width="17.25" style="781" bestFit="1" customWidth="1"/>
    <col min="6403" max="6404" width="20.5" style="781" bestFit="1" customWidth="1"/>
    <col min="6405" max="6405" width="0" style="781" hidden="1" customWidth="1"/>
    <col min="6406" max="6406" width="18.375" style="781" bestFit="1" customWidth="1"/>
    <col min="6407" max="6408" width="0" style="781" hidden="1" customWidth="1"/>
    <col min="6409" max="6652" width="9" style="781"/>
    <col min="6653" max="6653" width="6.625" style="781" customWidth="1"/>
    <col min="6654" max="6655" width="21.625" style="781" customWidth="1"/>
    <col min="6656" max="6656" width="16.125" style="781" bestFit="1" customWidth="1"/>
    <col min="6657" max="6657" width="13.875" style="781" bestFit="1" customWidth="1"/>
    <col min="6658" max="6658" width="17.25" style="781" bestFit="1" customWidth="1"/>
    <col min="6659" max="6660" width="20.5" style="781" bestFit="1" customWidth="1"/>
    <col min="6661" max="6661" width="0" style="781" hidden="1" customWidth="1"/>
    <col min="6662" max="6662" width="18.375" style="781" bestFit="1" customWidth="1"/>
    <col min="6663" max="6664" width="0" style="781" hidden="1" customWidth="1"/>
    <col min="6665" max="6908" width="9" style="781"/>
    <col min="6909" max="6909" width="6.625" style="781" customWidth="1"/>
    <col min="6910" max="6911" width="21.625" style="781" customWidth="1"/>
    <col min="6912" max="6912" width="16.125" style="781" bestFit="1" customWidth="1"/>
    <col min="6913" max="6913" width="13.875" style="781" bestFit="1" customWidth="1"/>
    <col min="6914" max="6914" width="17.25" style="781" bestFit="1" customWidth="1"/>
    <col min="6915" max="6916" width="20.5" style="781" bestFit="1" customWidth="1"/>
    <col min="6917" max="6917" width="0" style="781" hidden="1" customWidth="1"/>
    <col min="6918" max="6918" width="18.375" style="781" bestFit="1" customWidth="1"/>
    <col min="6919" max="6920" width="0" style="781" hidden="1" customWidth="1"/>
    <col min="6921" max="7164" width="9" style="781"/>
    <col min="7165" max="7165" width="6.625" style="781" customWidth="1"/>
    <col min="7166" max="7167" width="21.625" style="781" customWidth="1"/>
    <col min="7168" max="7168" width="16.125" style="781" bestFit="1" customWidth="1"/>
    <col min="7169" max="7169" width="13.875" style="781" bestFit="1" customWidth="1"/>
    <col min="7170" max="7170" width="17.25" style="781" bestFit="1" customWidth="1"/>
    <col min="7171" max="7172" width="20.5" style="781" bestFit="1" customWidth="1"/>
    <col min="7173" max="7173" width="0" style="781" hidden="1" customWidth="1"/>
    <col min="7174" max="7174" width="18.375" style="781" bestFit="1" customWidth="1"/>
    <col min="7175" max="7176" width="0" style="781" hidden="1" customWidth="1"/>
    <col min="7177" max="7420" width="9" style="781"/>
    <col min="7421" max="7421" width="6.625" style="781" customWidth="1"/>
    <col min="7422" max="7423" width="21.625" style="781" customWidth="1"/>
    <col min="7424" max="7424" width="16.125" style="781" bestFit="1" customWidth="1"/>
    <col min="7425" max="7425" width="13.875" style="781" bestFit="1" customWidth="1"/>
    <col min="7426" max="7426" width="17.25" style="781" bestFit="1" customWidth="1"/>
    <col min="7427" max="7428" width="20.5" style="781" bestFit="1" customWidth="1"/>
    <col min="7429" max="7429" width="0" style="781" hidden="1" customWidth="1"/>
    <col min="7430" max="7430" width="18.375" style="781" bestFit="1" customWidth="1"/>
    <col min="7431" max="7432" width="0" style="781" hidden="1" customWidth="1"/>
    <col min="7433" max="7676" width="9" style="781"/>
    <col min="7677" max="7677" width="6.625" style="781" customWidth="1"/>
    <col min="7678" max="7679" width="21.625" style="781" customWidth="1"/>
    <col min="7680" max="7680" width="16.125" style="781" bestFit="1" customWidth="1"/>
    <col min="7681" max="7681" width="13.875" style="781" bestFit="1" customWidth="1"/>
    <col min="7682" max="7682" width="17.25" style="781" bestFit="1" customWidth="1"/>
    <col min="7683" max="7684" width="20.5" style="781" bestFit="1" customWidth="1"/>
    <col min="7685" max="7685" width="0" style="781" hidden="1" customWidth="1"/>
    <col min="7686" max="7686" width="18.375" style="781" bestFit="1" customWidth="1"/>
    <col min="7687" max="7688" width="0" style="781" hidden="1" customWidth="1"/>
    <col min="7689" max="7932" width="9" style="781"/>
    <col min="7933" max="7933" width="6.625" style="781" customWidth="1"/>
    <col min="7934" max="7935" width="21.625" style="781" customWidth="1"/>
    <col min="7936" max="7936" width="16.125" style="781" bestFit="1" customWidth="1"/>
    <col min="7937" max="7937" width="13.875" style="781" bestFit="1" customWidth="1"/>
    <col min="7938" max="7938" width="17.25" style="781" bestFit="1" customWidth="1"/>
    <col min="7939" max="7940" width="20.5" style="781" bestFit="1" customWidth="1"/>
    <col min="7941" max="7941" width="0" style="781" hidden="1" customWidth="1"/>
    <col min="7942" max="7942" width="18.375" style="781" bestFit="1" customWidth="1"/>
    <col min="7943" max="7944" width="0" style="781" hidden="1" customWidth="1"/>
    <col min="7945" max="8188" width="9" style="781"/>
    <col min="8189" max="8189" width="6.625" style="781" customWidth="1"/>
    <col min="8190" max="8191" width="21.625" style="781" customWidth="1"/>
    <col min="8192" max="8192" width="16.125" style="781" bestFit="1" customWidth="1"/>
    <col min="8193" max="8193" width="13.875" style="781" bestFit="1" customWidth="1"/>
    <col min="8194" max="8194" width="17.25" style="781" bestFit="1" customWidth="1"/>
    <col min="8195" max="8196" width="20.5" style="781" bestFit="1" customWidth="1"/>
    <col min="8197" max="8197" width="0" style="781" hidden="1" customWidth="1"/>
    <col min="8198" max="8198" width="18.375" style="781" bestFit="1" customWidth="1"/>
    <col min="8199" max="8200" width="0" style="781" hidden="1" customWidth="1"/>
    <col min="8201" max="8444" width="9" style="781"/>
    <col min="8445" max="8445" width="6.625" style="781" customWidth="1"/>
    <col min="8446" max="8447" width="21.625" style="781" customWidth="1"/>
    <col min="8448" max="8448" width="16.125" style="781" bestFit="1" customWidth="1"/>
    <col min="8449" max="8449" width="13.875" style="781" bestFit="1" customWidth="1"/>
    <col min="8450" max="8450" width="17.25" style="781" bestFit="1" customWidth="1"/>
    <col min="8451" max="8452" width="20.5" style="781" bestFit="1" customWidth="1"/>
    <col min="8453" max="8453" width="0" style="781" hidden="1" customWidth="1"/>
    <col min="8454" max="8454" width="18.375" style="781" bestFit="1" customWidth="1"/>
    <col min="8455" max="8456" width="0" style="781" hidden="1" customWidth="1"/>
    <col min="8457" max="8700" width="9" style="781"/>
    <col min="8701" max="8701" width="6.625" style="781" customWidth="1"/>
    <col min="8702" max="8703" width="21.625" style="781" customWidth="1"/>
    <col min="8704" max="8704" width="16.125" style="781" bestFit="1" customWidth="1"/>
    <col min="8705" max="8705" width="13.875" style="781" bestFit="1" customWidth="1"/>
    <col min="8706" max="8706" width="17.25" style="781" bestFit="1" customWidth="1"/>
    <col min="8707" max="8708" width="20.5" style="781" bestFit="1" customWidth="1"/>
    <col min="8709" max="8709" width="0" style="781" hidden="1" customWidth="1"/>
    <col min="8710" max="8710" width="18.375" style="781" bestFit="1" customWidth="1"/>
    <col min="8711" max="8712" width="0" style="781" hidden="1" customWidth="1"/>
    <col min="8713" max="8956" width="9" style="781"/>
    <col min="8957" max="8957" width="6.625" style="781" customWidth="1"/>
    <col min="8958" max="8959" width="21.625" style="781" customWidth="1"/>
    <col min="8960" max="8960" width="16.125" style="781" bestFit="1" customWidth="1"/>
    <col min="8961" max="8961" width="13.875" style="781" bestFit="1" customWidth="1"/>
    <col min="8962" max="8962" width="17.25" style="781" bestFit="1" customWidth="1"/>
    <col min="8963" max="8964" width="20.5" style="781" bestFit="1" customWidth="1"/>
    <col min="8965" max="8965" width="0" style="781" hidden="1" customWidth="1"/>
    <col min="8966" max="8966" width="18.375" style="781" bestFit="1" customWidth="1"/>
    <col min="8967" max="8968" width="0" style="781" hidden="1" customWidth="1"/>
    <col min="8969" max="9212" width="9" style="781"/>
    <col min="9213" max="9213" width="6.625" style="781" customWidth="1"/>
    <col min="9214" max="9215" width="21.625" style="781" customWidth="1"/>
    <col min="9216" max="9216" width="16.125" style="781" bestFit="1" customWidth="1"/>
    <col min="9217" max="9217" width="13.875" style="781" bestFit="1" customWidth="1"/>
    <col min="9218" max="9218" width="17.25" style="781" bestFit="1" customWidth="1"/>
    <col min="9219" max="9220" width="20.5" style="781" bestFit="1" customWidth="1"/>
    <col min="9221" max="9221" width="0" style="781" hidden="1" customWidth="1"/>
    <col min="9222" max="9222" width="18.375" style="781" bestFit="1" customWidth="1"/>
    <col min="9223" max="9224" width="0" style="781" hidden="1" customWidth="1"/>
    <col min="9225" max="9468" width="9" style="781"/>
    <col min="9469" max="9469" width="6.625" style="781" customWidth="1"/>
    <col min="9470" max="9471" width="21.625" style="781" customWidth="1"/>
    <col min="9472" max="9472" width="16.125" style="781" bestFit="1" customWidth="1"/>
    <col min="9473" max="9473" width="13.875" style="781" bestFit="1" customWidth="1"/>
    <col min="9474" max="9474" width="17.25" style="781" bestFit="1" customWidth="1"/>
    <col min="9475" max="9476" width="20.5" style="781" bestFit="1" customWidth="1"/>
    <col min="9477" max="9477" width="0" style="781" hidden="1" customWidth="1"/>
    <col min="9478" max="9478" width="18.375" style="781" bestFit="1" customWidth="1"/>
    <col min="9479" max="9480" width="0" style="781" hidden="1" customWidth="1"/>
    <col min="9481" max="9724" width="9" style="781"/>
    <col min="9725" max="9725" width="6.625" style="781" customWidth="1"/>
    <col min="9726" max="9727" width="21.625" style="781" customWidth="1"/>
    <col min="9728" max="9728" width="16.125" style="781" bestFit="1" customWidth="1"/>
    <col min="9729" max="9729" width="13.875" style="781" bestFit="1" customWidth="1"/>
    <col min="9730" max="9730" width="17.25" style="781" bestFit="1" customWidth="1"/>
    <col min="9731" max="9732" width="20.5" style="781" bestFit="1" customWidth="1"/>
    <col min="9733" max="9733" width="0" style="781" hidden="1" customWidth="1"/>
    <col min="9734" max="9734" width="18.375" style="781" bestFit="1" customWidth="1"/>
    <col min="9735" max="9736" width="0" style="781" hidden="1" customWidth="1"/>
    <col min="9737" max="9980" width="9" style="781"/>
    <col min="9981" max="9981" width="6.625" style="781" customWidth="1"/>
    <col min="9982" max="9983" width="21.625" style="781" customWidth="1"/>
    <col min="9984" max="9984" width="16.125" style="781" bestFit="1" customWidth="1"/>
    <col min="9985" max="9985" width="13.875" style="781" bestFit="1" customWidth="1"/>
    <col min="9986" max="9986" width="17.25" style="781" bestFit="1" customWidth="1"/>
    <col min="9987" max="9988" width="20.5" style="781" bestFit="1" customWidth="1"/>
    <col min="9989" max="9989" width="0" style="781" hidden="1" customWidth="1"/>
    <col min="9990" max="9990" width="18.375" style="781" bestFit="1" customWidth="1"/>
    <col min="9991" max="9992" width="0" style="781" hidden="1" customWidth="1"/>
    <col min="9993" max="10236" width="9" style="781"/>
    <col min="10237" max="10237" width="6.625" style="781" customWidth="1"/>
    <col min="10238" max="10239" width="21.625" style="781" customWidth="1"/>
    <col min="10240" max="10240" width="16.125" style="781" bestFit="1" customWidth="1"/>
    <col min="10241" max="10241" width="13.875" style="781" bestFit="1" customWidth="1"/>
    <col min="10242" max="10242" width="17.25" style="781" bestFit="1" customWidth="1"/>
    <col min="10243" max="10244" width="20.5" style="781" bestFit="1" customWidth="1"/>
    <col min="10245" max="10245" width="0" style="781" hidden="1" customWidth="1"/>
    <col min="10246" max="10246" width="18.375" style="781" bestFit="1" customWidth="1"/>
    <col min="10247" max="10248" width="0" style="781" hidden="1" customWidth="1"/>
    <col min="10249" max="10492" width="9" style="781"/>
    <col min="10493" max="10493" width="6.625" style="781" customWidth="1"/>
    <col min="10494" max="10495" width="21.625" style="781" customWidth="1"/>
    <col min="10496" max="10496" width="16.125" style="781" bestFit="1" customWidth="1"/>
    <col min="10497" max="10497" width="13.875" style="781" bestFit="1" customWidth="1"/>
    <col min="10498" max="10498" width="17.25" style="781" bestFit="1" customWidth="1"/>
    <col min="10499" max="10500" width="20.5" style="781" bestFit="1" customWidth="1"/>
    <col min="10501" max="10501" width="0" style="781" hidden="1" customWidth="1"/>
    <col min="10502" max="10502" width="18.375" style="781" bestFit="1" customWidth="1"/>
    <col min="10503" max="10504" width="0" style="781" hidden="1" customWidth="1"/>
    <col min="10505" max="10748" width="9" style="781"/>
    <col min="10749" max="10749" width="6.625" style="781" customWidth="1"/>
    <col min="10750" max="10751" width="21.625" style="781" customWidth="1"/>
    <col min="10752" max="10752" width="16.125" style="781" bestFit="1" customWidth="1"/>
    <col min="10753" max="10753" width="13.875" style="781" bestFit="1" customWidth="1"/>
    <col min="10754" max="10754" width="17.25" style="781" bestFit="1" customWidth="1"/>
    <col min="10755" max="10756" width="20.5" style="781" bestFit="1" customWidth="1"/>
    <col min="10757" max="10757" width="0" style="781" hidden="1" customWidth="1"/>
    <col min="10758" max="10758" width="18.375" style="781" bestFit="1" customWidth="1"/>
    <col min="10759" max="10760" width="0" style="781" hidden="1" customWidth="1"/>
    <col min="10761" max="11004" width="9" style="781"/>
    <col min="11005" max="11005" width="6.625" style="781" customWidth="1"/>
    <col min="11006" max="11007" width="21.625" style="781" customWidth="1"/>
    <col min="11008" max="11008" width="16.125" style="781" bestFit="1" customWidth="1"/>
    <col min="11009" max="11009" width="13.875" style="781" bestFit="1" customWidth="1"/>
    <col min="11010" max="11010" width="17.25" style="781" bestFit="1" customWidth="1"/>
    <col min="11011" max="11012" width="20.5" style="781" bestFit="1" customWidth="1"/>
    <col min="11013" max="11013" width="0" style="781" hidden="1" customWidth="1"/>
    <col min="11014" max="11014" width="18.375" style="781" bestFit="1" customWidth="1"/>
    <col min="11015" max="11016" width="0" style="781" hidden="1" customWidth="1"/>
    <col min="11017" max="11260" width="9" style="781"/>
    <col min="11261" max="11261" width="6.625" style="781" customWidth="1"/>
    <col min="11262" max="11263" width="21.625" style="781" customWidth="1"/>
    <col min="11264" max="11264" width="16.125" style="781" bestFit="1" customWidth="1"/>
    <col min="11265" max="11265" width="13.875" style="781" bestFit="1" customWidth="1"/>
    <col min="11266" max="11266" width="17.25" style="781" bestFit="1" customWidth="1"/>
    <col min="11267" max="11268" width="20.5" style="781" bestFit="1" customWidth="1"/>
    <col min="11269" max="11269" width="0" style="781" hidden="1" customWidth="1"/>
    <col min="11270" max="11270" width="18.375" style="781" bestFit="1" customWidth="1"/>
    <col min="11271" max="11272" width="0" style="781" hidden="1" customWidth="1"/>
    <col min="11273" max="11516" width="9" style="781"/>
    <col min="11517" max="11517" width="6.625" style="781" customWidth="1"/>
    <col min="11518" max="11519" width="21.625" style="781" customWidth="1"/>
    <col min="11520" max="11520" width="16.125" style="781" bestFit="1" customWidth="1"/>
    <col min="11521" max="11521" width="13.875" style="781" bestFit="1" customWidth="1"/>
    <col min="11522" max="11522" width="17.25" style="781" bestFit="1" customWidth="1"/>
    <col min="11523" max="11524" width="20.5" style="781" bestFit="1" customWidth="1"/>
    <col min="11525" max="11525" width="0" style="781" hidden="1" customWidth="1"/>
    <col min="11526" max="11526" width="18.375" style="781" bestFit="1" customWidth="1"/>
    <col min="11527" max="11528" width="0" style="781" hidden="1" customWidth="1"/>
    <col min="11529" max="11772" width="9" style="781"/>
    <col min="11773" max="11773" width="6.625" style="781" customWidth="1"/>
    <col min="11774" max="11775" width="21.625" style="781" customWidth="1"/>
    <col min="11776" max="11776" width="16.125" style="781" bestFit="1" customWidth="1"/>
    <col min="11777" max="11777" width="13.875" style="781" bestFit="1" customWidth="1"/>
    <col min="11778" max="11778" width="17.25" style="781" bestFit="1" customWidth="1"/>
    <col min="11779" max="11780" width="20.5" style="781" bestFit="1" customWidth="1"/>
    <col min="11781" max="11781" width="0" style="781" hidden="1" customWidth="1"/>
    <col min="11782" max="11782" width="18.375" style="781" bestFit="1" customWidth="1"/>
    <col min="11783" max="11784" width="0" style="781" hidden="1" customWidth="1"/>
    <col min="11785" max="12028" width="9" style="781"/>
    <col min="12029" max="12029" width="6.625" style="781" customWidth="1"/>
    <col min="12030" max="12031" width="21.625" style="781" customWidth="1"/>
    <col min="12032" max="12032" width="16.125" style="781" bestFit="1" customWidth="1"/>
    <col min="12033" max="12033" width="13.875" style="781" bestFit="1" customWidth="1"/>
    <col min="12034" max="12034" width="17.25" style="781" bestFit="1" customWidth="1"/>
    <col min="12035" max="12036" width="20.5" style="781" bestFit="1" customWidth="1"/>
    <col min="12037" max="12037" width="0" style="781" hidden="1" customWidth="1"/>
    <col min="12038" max="12038" width="18.375" style="781" bestFit="1" customWidth="1"/>
    <col min="12039" max="12040" width="0" style="781" hidden="1" customWidth="1"/>
    <col min="12041" max="12284" width="9" style="781"/>
    <col min="12285" max="12285" width="6.625" style="781" customWidth="1"/>
    <col min="12286" max="12287" width="21.625" style="781" customWidth="1"/>
    <col min="12288" max="12288" width="16.125" style="781" bestFit="1" customWidth="1"/>
    <col min="12289" max="12289" width="13.875" style="781" bestFit="1" customWidth="1"/>
    <col min="12290" max="12290" width="17.25" style="781" bestFit="1" customWidth="1"/>
    <col min="12291" max="12292" width="20.5" style="781" bestFit="1" customWidth="1"/>
    <col min="12293" max="12293" width="0" style="781" hidden="1" customWidth="1"/>
    <col min="12294" max="12294" width="18.375" style="781" bestFit="1" customWidth="1"/>
    <col min="12295" max="12296" width="0" style="781" hidden="1" customWidth="1"/>
    <col min="12297" max="12540" width="9" style="781"/>
    <col min="12541" max="12541" width="6.625" style="781" customWidth="1"/>
    <col min="12542" max="12543" width="21.625" style="781" customWidth="1"/>
    <col min="12544" max="12544" width="16.125" style="781" bestFit="1" customWidth="1"/>
    <col min="12545" max="12545" width="13.875" style="781" bestFit="1" customWidth="1"/>
    <col min="12546" max="12546" width="17.25" style="781" bestFit="1" customWidth="1"/>
    <col min="12547" max="12548" width="20.5" style="781" bestFit="1" customWidth="1"/>
    <col min="12549" max="12549" width="0" style="781" hidden="1" customWidth="1"/>
    <col min="12550" max="12550" width="18.375" style="781" bestFit="1" customWidth="1"/>
    <col min="12551" max="12552" width="0" style="781" hidden="1" customWidth="1"/>
    <col min="12553" max="12796" width="9" style="781"/>
    <col min="12797" max="12797" width="6.625" style="781" customWidth="1"/>
    <col min="12798" max="12799" width="21.625" style="781" customWidth="1"/>
    <col min="12800" max="12800" width="16.125" style="781" bestFit="1" customWidth="1"/>
    <col min="12801" max="12801" width="13.875" style="781" bestFit="1" customWidth="1"/>
    <col min="12802" max="12802" width="17.25" style="781" bestFit="1" customWidth="1"/>
    <col min="12803" max="12804" width="20.5" style="781" bestFit="1" customWidth="1"/>
    <col min="12805" max="12805" width="0" style="781" hidden="1" customWidth="1"/>
    <col min="12806" max="12806" width="18.375" style="781" bestFit="1" customWidth="1"/>
    <col min="12807" max="12808" width="0" style="781" hidden="1" customWidth="1"/>
    <col min="12809" max="13052" width="9" style="781"/>
    <col min="13053" max="13053" width="6.625" style="781" customWidth="1"/>
    <col min="13054" max="13055" width="21.625" style="781" customWidth="1"/>
    <col min="13056" max="13056" width="16.125" style="781" bestFit="1" customWidth="1"/>
    <col min="13057" max="13057" width="13.875" style="781" bestFit="1" customWidth="1"/>
    <col min="13058" max="13058" width="17.25" style="781" bestFit="1" customWidth="1"/>
    <col min="13059" max="13060" width="20.5" style="781" bestFit="1" customWidth="1"/>
    <col min="13061" max="13061" width="0" style="781" hidden="1" customWidth="1"/>
    <col min="13062" max="13062" width="18.375" style="781" bestFit="1" customWidth="1"/>
    <col min="13063" max="13064" width="0" style="781" hidden="1" customWidth="1"/>
    <col min="13065" max="13308" width="9" style="781"/>
    <col min="13309" max="13309" width="6.625" style="781" customWidth="1"/>
    <col min="13310" max="13311" width="21.625" style="781" customWidth="1"/>
    <col min="13312" max="13312" width="16.125" style="781" bestFit="1" customWidth="1"/>
    <col min="13313" max="13313" width="13.875" style="781" bestFit="1" customWidth="1"/>
    <col min="13314" max="13314" width="17.25" style="781" bestFit="1" customWidth="1"/>
    <col min="13315" max="13316" width="20.5" style="781" bestFit="1" customWidth="1"/>
    <col min="13317" max="13317" width="0" style="781" hidden="1" customWidth="1"/>
    <col min="13318" max="13318" width="18.375" style="781" bestFit="1" customWidth="1"/>
    <col min="13319" max="13320" width="0" style="781" hidden="1" customWidth="1"/>
    <col min="13321" max="13564" width="9" style="781"/>
    <col min="13565" max="13565" width="6.625" style="781" customWidth="1"/>
    <col min="13566" max="13567" width="21.625" style="781" customWidth="1"/>
    <col min="13568" max="13568" width="16.125" style="781" bestFit="1" customWidth="1"/>
    <col min="13569" max="13569" width="13.875" style="781" bestFit="1" customWidth="1"/>
    <col min="13570" max="13570" width="17.25" style="781" bestFit="1" customWidth="1"/>
    <col min="13571" max="13572" width="20.5" style="781" bestFit="1" customWidth="1"/>
    <col min="13573" max="13573" width="0" style="781" hidden="1" customWidth="1"/>
    <col min="13574" max="13574" width="18.375" style="781" bestFit="1" customWidth="1"/>
    <col min="13575" max="13576" width="0" style="781" hidden="1" customWidth="1"/>
    <col min="13577" max="13820" width="9" style="781"/>
    <col min="13821" max="13821" width="6.625" style="781" customWidth="1"/>
    <col min="13822" max="13823" width="21.625" style="781" customWidth="1"/>
    <col min="13824" max="13824" width="16.125" style="781" bestFit="1" customWidth="1"/>
    <col min="13825" max="13825" width="13.875" style="781" bestFit="1" customWidth="1"/>
    <col min="13826" max="13826" width="17.25" style="781" bestFit="1" customWidth="1"/>
    <col min="13827" max="13828" width="20.5" style="781" bestFit="1" customWidth="1"/>
    <col min="13829" max="13829" width="0" style="781" hidden="1" customWidth="1"/>
    <col min="13830" max="13830" width="18.375" style="781" bestFit="1" customWidth="1"/>
    <col min="13831" max="13832" width="0" style="781" hidden="1" customWidth="1"/>
    <col min="13833" max="14076" width="9" style="781"/>
    <col min="14077" max="14077" width="6.625" style="781" customWidth="1"/>
    <col min="14078" max="14079" width="21.625" style="781" customWidth="1"/>
    <col min="14080" max="14080" width="16.125" style="781" bestFit="1" customWidth="1"/>
    <col min="14081" max="14081" width="13.875" style="781" bestFit="1" customWidth="1"/>
    <col min="14082" max="14082" width="17.25" style="781" bestFit="1" customWidth="1"/>
    <col min="14083" max="14084" width="20.5" style="781" bestFit="1" customWidth="1"/>
    <col min="14085" max="14085" width="0" style="781" hidden="1" customWidth="1"/>
    <col min="14086" max="14086" width="18.375" style="781" bestFit="1" customWidth="1"/>
    <col min="14087" max="14088" width="0" style="781" hidden="1" customWidth="1"/>
    <col min="14089" max="14332" width="9" style="781"/>
    <col min="14333" max="14333" width="6.625" style="781" customWidth="1"/>
    <col min="14334" max="14335" width="21.625" style="781" customWidth="1"/>
    <col min="14336" max="14336" width="16.125" style="781" bestFit="1" customWidth="1"/>
    <col min="14337" max="14337" width="13.875" style="781" bestFit="1" customWidth="1"/>
    <col min="14338" max="14338" width="17.25" style="781" bestFit="1" customWidth="1"/>
    <col min="14339" max="14340" width="20.5" style="781" bestFit="1" customWidth="1"/>
    <col min="14341" max="14341" width="0" style="781" hidden="1" customWidth="1"/>
    <col min="14342" max="14342" width="18.375" style="781" bestFit="1" customWidth="1"/>
    <col min="14343" max="14344" width="0" style="781" hidden="1" customWidth="1"/>
    <col min="14345" max="14588" width="9" style="781"/>
    <col min="14589" max="14589" width="6.625" style="781" customWidth="1"/>
    <col min="14590" max="14591" width="21.625" style="781" customWidth="1"/>
    <col min="14592" max="14592" width="16.125" style="781" bestFit="1" customWidth="1"/>
    <col min="14593" max="14593" width="13.875" style="781" bestFit="1" customWidth="1"/>
    <col min="14594" max="14594" width="17.25" style="781" bestFit="1" customWidth="1"/>
    <col min="14595" max="14596" width="20.5" style="781" bestFit="1" customWidth="1"/>
    <col min="14597" max="14597" width="0" style="781" hidden="1" customWidth="1"/>
    <col min="14598" max="14598" width="18.375" style="781" bestFit="1" customWidth="1"/>
    <col min="14599" max="14600" width="0" style="781" hidden="1" customWidth="1"/>
    <col min="14601" max="14844" width="9" style="781"/>
    <col min="14845" max="14845" width="6.625" style="781" customWidth="1"/>
    <col min="14846" max="14847" width="21.625" style="781" customWidth="1"/>
    <col min="14848" max="14848" width="16.125" style="781" bestFit="1" customWidth="1"/>
    <col min="14849" max="14849" width="13.875" style="781" bestFit="1" customWidth="1"/>
    <col min="14850" max="14850" width="17.25" style="781" bestFit="1" customWidth="1"/>
    <col min="14851" max="14852" width="20.5" style="781" bestFit="1" customWidth="1"/>
    <col min="14853" max="14853" width="0" style="781" hidden="1" customWidth="1"/>
    <col min="14854" max="14854" width="18.375" style="781" bestFit="1" customWidth="1"/>
    <col min="14855" max="14856" width="0" style="781" hidden="1" customWidth="1"/>
    <col min="14857" max="15100" width="9" style="781"/>
    <col min="15101" max="15101" width="6.625" style="781" customWidth="1"/>
    <col min="15102" max="15103" width="21.625" style="781" customWidth="1"/>
    <col min="15104" max="15104" width="16.125" style="781" bestFit="1" customWidth="1"/>
    <col min="15105" max="15105" width="13.875" style="781" bestFit="1" customWidth="1"/>
    <col min="15106" max="15106" width="17.25" style="781" bestFit="1" customWidth="1"/>
    <col min="15107" max="15108" width="20.5" style="781" bestFit="1" customWidth="1"/>
    <col min="15109" max="15109" width="0" style="781" hidden="1" customWidth="1"/>
    <col min="15110" max="15110" width="18.375" style="781" bestFit="1" customWidth="1"/>
    <col min="15111" max="15112" width="0" style="781" hidden="1" customWidth="1"/>
    <col min="15113" max="15356" width="9" style="781"/>
    <col min="15357" max="15357" width="6.625" style="781" customWidth="1"/>
    <col min="15358" max="15359" width="21.625" style="781" customWidth="1"/>
    <col min="15360" max="15360" width="16.125" style="781" bestFit="1" customWidth="1"/>
    <col min="15361" max="15361" width="13.875" style="781" bestFit="1" customWidth="1"/>
    <col min="15362" max="15362" width="17.25" style="781" bestFit="1" customWidth="1"/>
    <col min="15363" max="15364" width="20.5" style="781" bestFit="1" customWidth="1"/>
    <col min="15365" max="15365" width="0" style="781" hidden="1" customWidth="1"/>
    <col min="15366" max="15366" width="18.375" style="781" bestFit="1" customWidth="1"/>
    <col min="15367" max="15368" width="0" style="781" hidden="1" customWidth="1"/>
    <col min="15369" max="15612" width="9" style="781"/>
    <col min="15613" max="15613" width="6.625" style="781" customWidth="1"/>
    <col min="15614" max="15615" width="21.625" style="781" customWidth="1"/>
    <col min="15616" max="15616" width="16.125" style="781" bestFit="1" customWidth="1"/>
    <col min="15617" max="15617" width="13.875" style="781" bestFit="1" customWidth="1"/>
    <col min="15618" max="15618" width="17.25" style="781" bestFit="1" customWidth="1"/>
    <col min="15619" max="15620" width="20.5" style="781" bestFit="1" customWidth="1"/>
    <col min="15621" max="15621" width="0" style="781" hidden="1" customWidth="1"/>
    <col min="15622" max="15622" width="18.375" style="781" bestFit="1" customWidth="1"/>
    <col min="15623" max="15624" width="0" style="781" hidden="1" customWidth="1"/>
    <col min="15625" max="15868" width="9" style="781"/>
    <col min="15869" max="15869" width="6.625" style="781" customWidth="1"/>
    <col min="15870" max="15871" width="21.625" style="781" customWidth="1"/>
    <col min="15872" max="15872" width="16.125" style="781" bestFit="1" customWidth="1"/>
    <col min="15873" max="15873" width="13.875" style="781" bestFit="1" customWidth="1"/>
    <col min="15874" max="15874" width="17.25" style="781" bestFit="1" customWidth="1"/>
    <col min="15875" max="15876" width="20.5" style="781" bestFit="1" customWidth="1"/>
    <col min="15877" max="15877" width="0" style="781" hidden="1" customWidth="1"/>
    <col min="15878" max="15878" width="18.375" style="781" bestFit="1" customWidth="1"/>
    <col min="15879" max="15880" width="0" style="781" hidden="1" customWidth="1"/>
    <col min="15881" max="16124" width="9" style="781"/>
    <col min="16125" max="16125" width="6.625" style="781" customWidth="1"/>
    <col min="16126" max="16127" width="21.625" style="781" customWidth="1"/>
    <col min="16128" max="16128" width="16.125" style="781" bestFit="1" customWidth="1"/>
    <col min="16129" max="16129" width="13.875" style="781" bestFit="1" customWidth="1"/>
    <col min="16130" max="16130" width="17.25" style="781" bestFit="1" customWidth="1"/>
    <col min="16131" max="16132" width="20.5" style="781" bestFit="1" customWidth="1"/>
    <col min="16133" max="16133" width="0" style="781" hidden="1" customWidth="1"/>
    <col min="16134" max="16134" width="18.375" style="781" bestFit="1" customWidth="1"/>
    <col min="16135" max="16136" width="0" style="781" hidden="1" customWidth="1"/>
    <col min="16137" max="16384" width="9" style="781"/>
  </cols>
  <sheetData>
    <row r="1" spans="1:3" ht="20.25">
      <c r="A1" s="968" t="s">
        <v>2510</v>
      </c>
      <c r="B1" s="969"/>
      <c r="C1" s="969"/>
    </row>
    <row r="2" spans="1:3" ht="35.1" customHeight="1">
      <c r="A2" s="970" t="s">
        <v>2508</v>
      </c>
      <c r="B2" s="971"/>
      <c r="C2" s="782" t="s">
        <v>2501</v>
      </c>
    </row>
    <row r="3" spans="1:3" ht="30" customHeight="1">
      <c r="A3" s="783" t="s">
        <v>2502</v>
      </c>
      <c r="B3" s="783" t="s">
        <v>2503</v>
      </c>
      <c r="C3" s="783" t="s">
        <v>2504</v>
      </c>
    </row>
    <row r="4" spans="1:3" ht="30" customHeight="1">
      <c r="A4" s="783">
        <v>1</v>
      </c>
      <c r="B4" s="783" t="s">
        <v>2505</v>
      </c>
      <c r="C4" s="784">
        <f>扩班设备!J58</f>
        <v>900239</v>
      </c>
    </row>
    <row r="5" spans="1:3" ht="30" customHeight="1">
      <c r="A5" s="783">
        <v>2</v>
      </c>
      <c r="B5" s="783" t="s">
        <v>2509</v>
      </c>
      <c r="C5" s="784">
        <f>教育学院!G5</f>
        <v>80000</v>
      </c>
    </row>
    <row r="6" spans="1:3" ht="30" customHeight="1">
      <c r="A6" s="783">
        <v>3</v>
      </c>
      <c r="B6" s="783" t="s">
        <v>2506</v>
      </c>
      <c r="C6" s="784">
        <f>党建经费!D17</f>
        <v>75800</v>
      </c>
    </row>
    <row r="7" spans="1:3" ht="30" customHeight="1">
      <c r="A7" s="783"/>
      <c r="B7" s="783" t="s">
        <v>2507</v>
      </c>
      <c r="C7" s="785">
        <f>SUM(C4:C6)</f>
        <v>1056039</v>
      </c>
    </row>
    <row r="8" spans="1:3" ht="30" customHeight="1"/>
    <row r="9" spans="1:3" ht="30" customHeight="1"/>
  </sheetData>
  <mergeCells count="2">
    <mergeCell ref="A1:C1"/>
    <mergeCell ref="A2:B2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5"/>
  <sheetViews>
    <sheetView topLeftCell="A37" workbookViewId="0">
      <selection activeCell="A44" sqref="A44:XFD44"/>
    </sheetView>
  </sheetViews>
  <sheetFormatPr defaultColWidth="9" defaultRowHeight="20.100000000000001" customHeight="1" outlineLevelRow="2"/>
  <cols>
    <col min="1" max="2" width="12" style="775" customWidth="1"/>
    <col min="3" max="3" width="33.25" style="775" customWidth="1"/>
    <col min="4" max="4" width="17.75" style="775" customWidth="1"/>
    <col min="5" max="5" width="18.25" style="775" customWidth="1"/>
    <col min="6" max="6" width="29.875" style="775" customWidth="1"/>
    <col min="7" max="7" width="7.375" style="775" hidden="1" customWidth="1"/>
    <col min="8" max="8" width="11.875" style="775" customWidth="1"/>
    <col min="9" max="9" width="6.875" style="775" customWidth="1"/>
    <col min="10" max="10" width="12.75" style="775" bestFit="1" customWidth="1"/>
    <col min="11" max="11" width="9" style="775"/>
    <col min="12" max="12" width="21" style="779" customWidth="1"/>
    <col min="13" max="16384" width="9" style="775"/>
  </cols>
  <sheetData>
    <row r="1" spans="1:11" ht="30" customHeight="1">
      <c r="A1" s="972" t="s">
        <v>2481</v>
      </c>
      <c r="B1" s="972"/>
      <c r="C1" s="972"/>
      <c r="D1" s="972"/>
      <c r="E1" s="972"/>
      <c r="F1" s="972"/>
      <c r="G1" s="972"/>
      <c r="H1" s="972"/>
      <c r="I1" s="972"/>
      <c r="J1" s="972"/>
      <c r="K1" s="972"/>
    </row>
    <row r="2" spans="1:11" ht="20.100000000000001" customHeight="1">
      <c r="A2" s="757" t="s">
        <v>253</v>
      </c>
      <c r="B2" s="757" t="s">
        <v>2445</v>
      </c>
      <c r="C2" s="758" t="s">
        <v>1061</v>
      </c>
      <c r="D2" s="757" t="s">
        <v>13</v>
      </c>
      <c r="E2" s="757" t="s">
        <v>1242</v>
      </c>
      <c r="F2" s="757" t="s">
        <v>1243</v>
      </c>
      <c r="G2" s="757" t="s">
        <v>2446</v>
      </c>
      <c r="H2" s="759" t="s">
        <v>1245</v>
      </c>
      <c r="I2" s="760" t="s">
        <v>1244</v>
      </c>
      <c r="J2" s="759" t="s">
        <v>2447</v>
      </c>
      <c r="K2" s="761" t="s">
        <v>18</v>
      </c>
    </row>
    <row r="3" spans="1:11" ht="20.100000000000001" customHeight="1" outlineLevel="2">
      <c r="A3" s="762" t="s">
        <v>1449</v>
      </c>
      <c r="B3" s="762" t="s">
        <v>1001</v>
      </c>
      <c r="C3" s="763" t="s">
        <v>247</v>
      </c>
      <c r="D3" s="764" t="s">
        <v>2451</v>
      </c>
      <c r="E3" s="763" t="s">
        <v>2448</v>
      </c>
      <c r="F3" s="763" t="s">
        <v>2309</v>
      </c>
      <c r="G3" s="762"/>
      <c r="H3" s="765">
        <v>400</v>
      </c>
      <c r="I3" s="762">
        <v>200</v>
      </c>
      <c r="J3" s="766">
        <f t="shared" ref="J3:J31" si="0">H3*I3</f>
        <v>80000</v>
      </c>
      <c r="K3" s="762"/>
    </row>
    <row r="4" spans="1:11" ht="20.100000000000001" customHeight="1" outlineLevel="2">
      <c r="A4" s="762" t="s">
        <v>1449</v>
      </c>
      <c r="B4" s="762" t="s">
        <v>1001</v>
      </c>
      <c r="C4" s="763" t="s">
        <v>247</v>
      </c>
      <c r="D4" s="764" t="s">
        <v>2451</v>
      </c>
      <c r="E4" s="763" t="s">
        <v>2448</v>
      </c>
      <c r="F4" s="767" t="s">
        <v>2312</v>
      </c>
      <c r="G4" s="762"/>
      <c r="H4" s="765">
        <v>2000</v>
      </c>
      <c r="I4" s="762">
        <v>4</v>
      </c>
      <c r="J4" s="766">
        <f t="shared" si="0"/>
        <v>8000</v>
      </c>
      <c r="K4" s="762"/>
    </row>
    <row r="5" spans="1:11" ht="20.100000000000001" customHeight="1" outlineLevel="2">
      <c r="A5" s="762" t="s">
        <v>1449</v>
      </c>
      <c r="B5" s="762" t="s">
        <v>1001</v>
      </c>
      <c r="C5" s="763" t="s">
        <v>247</v>
      </c>
      <c r="D5" s="764" t="s">
        <v>2451</v>
      </c>
      <c r="E5" s="763" t="s">
        <v>2448</v>
      </c>
      <c r="F5" s="767" t="s">
        <v>2461</v>
      </c>
      <c r="G5" s="762"/>
      <c r="H5" s="765">
        <v>3500</v>
      </c>
      <c r="I5" s="762">
        <v>4</v>
      </c>
      <c r="J5" s="766">
        <f t="shared" si="0"/>
        <v>14000</v>
      </c>
      <c r="K5" s="762"/>
    </row>
    <row r="6" spans="1:11" ht="20.100000000000001" customHeight="1" outlineLevel="2">
      <c r="A6" s="762" t="s">
        <v>1449</v>
      </c>
      <c r="B6" s="762" t="s">
        <v>1001</v>
      </c>
      <c r="C6" s="763" t="s">
        <v>247</v>
      </c>
      <c r="D6" s="764" t="s">
        <v>2451</v>
      </c>
      <c r="E6" s="768" t="s">
        <v>2448</v>
      </c>
      <c r="F6" s="767" t="s">
        <v>2462</v>
      </c>
      <c r="G6" s="767"/>
      <c r="H6" s="765">
        <v>1100</v>
      </c>
      <c r="I6" s="762">
        <v>4</v>
      </c>
      <c r="J6" s="766">
        <f t="shared" si="0"/>
        <v>4400</v>
      </c>
      <c r="K6" s="763"/>
    </row>
    <row r="7" spans="1:11" ht="20.100000000000001" customHeight="1" outlineLevel="2">
      <c r="A7" s="762" t="s">
        <v>1449</v>
      </c>
      <c r="B7" s="762" t="s">
        <v>1001</v>
      </c>
      <c r="C7" s="763" t="s">
        <v>247</v>
      </c>
      <c r="D7" s="764" t="s">
        <v>2451</v>
      </c>
      <c r="E7" s="763" t="s">
        <v>2448</v>
      </c>
      <c r="F7" s="767" t="s">
        <v>2455</v>
      </c>
      <c r="G7" s="762"/>
      <c r="H7" s="765">
        <v>1600</v>
      </c>
      <c r="I7" s="762">
        <v>16</v>
      </c>
      <c r="J7" s="766">
        <f t="shared" si="0"/>
        <v>25600</v>
      </c>
      <c r="K7" s="762"/>
    </row>
    <row r="8" spans="1:11" ht="20.100000000000001" customHeight="1" outlineLevel="2">
      <c r="A8" s="762" t="s">
        <v>1449</v>
      </c>
      <c r="B8" s="762" t="s">
        <v>1001</v>
      </c>
      <c r="C8" s="763" t="s">
        <v>247</v>
      </c>
      <c r="D8" s="764" t="s">
        <v>2451</v>
      </c>
      <c r="E8" s="763" t="s">
        <v>2448</v>
      </c>
      <c r="F8" s="767" t="s">
        <v>2463</v>
      </c>
      <c r="G8" s="762"/>
      <c r="H8" s="765">
        <v>700</v>
      </c>
      <c r="I8" s="762">
        <v>8</v>
      </c>
      <c r="J8" s="766">
        <f t="shared" si="0"/>
        <v>5600</v>
      </c>
      <c r="K8" s="762"/>
    </row>
    <row r="9" spans="1:11" ht="20.100000000000001" customHeight="1" outlineLevel="2">
      <c r="A9" s="762" t="s">
        <v>1449</v>
      </c>
      <c r="B9" s="762" t="s">
        <v>1001</v>
      </c>
      <c r="C9" s="763" t="s">
        <v>247</v>
      </c>
      <c r="D9" s="764" t="s">
        <v>2451</v>
      </c>
      <c r="E9" s="763" t="s">
        <v>2459</v>
      </c>
      <c r="F9" s="767" t="s">
        <v>2469</v>
      </c>
      <c r="G9" s="762"/>
      <c r="H9" s="765">
        <v>18000</v>
      </c>
      <c r="I9" s="762">
        <v>4</v>
      </c>
      <c r="J9" s="766">
        <f t="shared" si="0"/>
        <v>72000</v>
      </c>
      <c r="K9" s="763"/>
    </row>
    <row r="10" spans="1:11" ht="20.100000000000001" customHeight="1" outlineLevel="2">
      <c r="A10" s="762" t="s">
        <v>1449</v>
      </c>
      <c r="B10" s="762" t="s">
        <v>1001</v>
      </c>
      <c r="C10" s="763" t="s">
        <v>247</v>
      </c>
      <c r="D10" s="764" t="s">
        <v>2451</v>
      </c>
      <c r="E10" s="768" t="s">
        <v>2457</v>
      </c>
      <c r="F10" s="767" t="s">
        <v>2468</v>
      </c>
      <c r="G10" s="762"/>
      <c r="H10" s="765">
        <v>6000</v>
      </c>
      <c r="I10" s="762">
        <v>16</v>
      </c>
      <c r="J10" s="766">
        <f t="shared" si="0"/>
        <v>96000</v>
      </c>
      <c r="K10" s="762"/>
    </row>
    <row r="11" spans="1:11" ht="20.100000000000001" customHeight="1" outlineLevel="2">
      <c r="A11" s="762" t="s">
        <v>1449</v>
      </c>
      <c r="B11" s="762" t="s">
        <v>1001</v>
      </c>
      <c r="C11" s="763" t="s">
        <v>247</v>
      </c>
      <c r="D11" s="764" t="s">
        <v>2451</v>
      </c>
      <c r="E11" s="768" t="s">
        <v>2458</v>
      </c>
      <c r="F11" s="772" t="s">
        <v>2471</v>
      </c>
      <c r="G11" s="773"/>
      <c r="H11" s="765">
        <v>7000</v>
      </c>
      <c r="I11" s="762">
        <v>8</v>
      </c>
      <c r="J11" s="766">
        <f t="shared" si="0"/>
        <v>56000</v>
      </c>
      <c r="K11" s="763"/>
    </row>
    <row r="12" spans="1:11" ht="20.100000000000001" customHeight="1" outlineLevel="2">
      <c r="A12" s="762" t="s">
        <v>1449</v>
      </c>
      <c r="B12" s="762" t="s">
        <v>1001</v>
      </c>
      <c r="C12" s="763" t="s">
        <v>245</v>
      </c>
      <c r="D12" s="764" t="s">
        <v>2451</v>
      </c>
      <c r="E12" s="763" t="s">
        <v>2448</v>
      </c>
      <c r="F12" s="763" t="s">
        <v>2309</v>
      </c>
      <c r="G12" s="762"/>
      <c r="H12" s="765">
        <v>400</v>
      </c>
      <c r="I12" s="762">
        <v>50</v>
      </c>
      <c r="J12" s="766">
        <f t="shared" si="0"/>
        <v>20000</v>
      </c>
      <c r="K12" s="762"/>
    </row>
    <row r="13" spans="1:11" ht="20.100000000000001" customHeight="1" outlineLevel="2">
      <c r="A13" s="762" t="s">
        <v>1449</v>
      </c>
      <c r="B13" s="762" t="s">
        <v>1001</v>
      </c>
      <c r="C13" s="763" t="s">
        <v>245</v>
      </c>
      <c r="D13" s="764" t="s">
        <v>2451</v>
      </c>
      <c r="E13" s="763" t="s">
        <v>2448</v>
      </c>
      <c r="F13" s="767" t="s">
        <v>2312</v>
      </c>
      <c r="G13" s="762"/>
      <c r="H13" s="765">
        <v>2000</v>
      </c>
      <c r="I13" s="762">
        <v>1</v>
      </c>
      <c r="J13" s="766">
        <f t="shared" si="0"/>
        <v>2000</v>
      </c>
      <c r="K13" s="762"/>
    </row>
    <row r="14" spans="1:11" ht="20.100000000000001" customHeight="1" outlineLevel="2">
      <c r="A14" s="762" t="s">
        <v>1449</v>
      </c>
      <c r="B14" s="762" t="s">
        <v>1001</v>
      </c>
      <c r="C14" s="763" t="s">
        <v>245</v>
      </c>
      <c r="D14" s="764" t="s">
        <v>2451</v>
      </c>
      <c r="E14" s="763" t="s">
        <v>2448</v>
      </c>
      <c r="F14" s="767" t="s">
        <v>2461</v>
      </c>
      <c r="G14" s="762"/>
      <c r="H14" s="765">
        <v>3500</v>
      </c>
      <c r="I14" s="762">
        <v>1</v>
      </c>
      <c r="J14" s="766">
        <f t="shared" si="0"/>
        <v>3500</v>
      </c>
      <c r="K14" s="762"/>
    </row>
    <row r="15" spans="1:11" ht="20.100000000000001" customHeight="1" outlineLevel="2">
      <c r="A15" s="762" t="s">
        <v>1449</v>
      </c>
      <c r="B15" s="762" t="s">
        <v>1001</v>
      </c>
      <c r="C15" s="763" t="s">
        <v>245</v>
      </c>
      <c r="D15" s="764" t="s">
        <v>2451</v>
      </c>
      <c r="E15" s="768" t="s">
        <v>2448</v>
      </c>
      <c r="F15" s="767" t="s">
        <v>2462</v>
      </c>
      <c r="G15" s="767"/>
      <c r="H15" s="765">
        <v>1100</v>
      </c>
      <c r="I15" s="762">
        <v>1</v>
      </c>
      <c r="J15" s="765">
        <f t="shared" si="0"/>
        <v>1100</v>
      </c>
      <c r="K15" s="763"/>
    </row>
    <row r="16" spans="1:11" ht="20.100000000000001" customHeight="1" outlineLevel="2">
      <c r="A16" s="762" t="s">
        <v>1449</v>
      </c>
      <c r="B16" s="762" t="s">
        <v>1001</v>
      </c>
      <c r="C16" s="763" t="s">
        <v>245</v>
      </c>
      <c r="D16" s="764" t="s">
        <v>2451</v>
      </c>
      <c r="E16" s="763" t="s">
        <v>2448</v>
      </c>
      <c r="F16" s="767" t="s">
        <v>2455</v>
      </c>
      <c r="G16" s="762"/>
      <c r="H16" s="765">
        <v>1600</v>
      </c>
      <c r="I16" s="762">
        <v>4</v>
      </c>
      <c r="J16" s="766">
        <f t="shared" si="0"/>
        <v>6400</v>
      </c>
      <c r="K16" s="762"/>
    </row>
    <row r="17" spans="1:11" ht="20.100000000000001" customHeight="1" outlineLevel="2">
      <c r="A17" s="762" t="s">
        <v>1449</v>
      </c>
      <c r="B17" s="762" t="s">
        <v>1001</v>
      </c>
      <c r="C17" s="763" t="s">
        <v>245</v>
      </c>
      <c r="D17" s="764" t="s">
        <v>2451</v>
      </c>
      <c r="E17" s="763" t="s">
        <v>2448</v>
      </c>
      <c r="F17" s="767" t="s">
        <v>2463</v>
      </c>
      <c r="G17" s="762"/>
      <c r="H17" s="765">
        <v>700</v>
      </c>
      <c r="I17" s="762">
        <v>2</v>
      </c>
      <c r="J17" s="766">
        <f t="shared" si="0"/>
        <v>1400</v>
      </c>
      <c r="K17" s="762"/>
    </row>
    <row r="18" spans="1:11" ht="20.100000000000001" customHeight="1" outlineLevel="2">
      <c r="A18" s="762" t="s">
        <v>1449</v>
      </c>
      <c r="B18" s="762" t="s">
        <v>1001</v>
      </c>
      <c r="C18" s="763" t="s">
        <v>245</v>
      </c>
      <c r="D18" s="764" t="s">
        <v>2451</v>
      </c>
      <c r="E18" s="763" t="s">
        <v>2448</v>
      </c>
      <c r="F18" s="767" t="s">
        <v>2464</v>
      </c>
      <c r="G18" s="762"/>
      <c r="H18" s="765">
        <v>2000</v>
      </c>
      <c r="I18" s="762">
        <v>1</v>
      </c>
      <c r="J18" s="766">
        <f t="shared" si="0"/>
        <v>2000</v>
      </c>
      <c r="K18" s="762"/>
    </row>
    <row r="19" spans="1:11" ht="20.100000000000001" customHeight="1" outlineLevel="2">
      <c r="A19" s="762" t="s">
        <v>1449</v>
      </c>
      <c r="B19" s="762" t="s">
        <v>1001</v>
      </c>
      <c r="C19" s="763" t="s">
        <v>245</v>
      </c>
      <c r="D19" s="764" t="s">
        <v>2451</v>
      </c>
      <c r="E19" s="763" t="s">
        <v>2459</v>
      </c>
      <c r="F19" s="767" t="s">
        <v>2491</v>
      </c>
      <c r="G19" s="762"/>
      <c r="H19" s="765">
        <v>8000</v>
      </c>
      <c r="I19" s="762">
        <v>1</v>
      </c>
      <c r="J19" s="765">
        <f t="shared" si="0"/>
        <v>8000</v>
      </c>
      <c r="K19" s="763"/>
    </row>
    <row r="20" spans="1:11" ht="20.100000000000001" customHeight="1" outlineLevel="2">
      <c r="A20" s="762" t="s">
        <v>1449</v>
      </c>
      <c r="B20" s="762" t="s">
        <v>1001</v>
      </c>
      <c r="C20" s="763" t="s">
        <v>245</v>
      </c>
      <c r="D20" s="764" t="s">
        <v>2451</v>
      </c>
      <c r="E20" s="763" t="s">
        <v>2466</v>
      </c>
      <c r="F20" s="767" t="s">
        <v>2467</v>
      </c>
      <c r="G20" s="762"/>
      <c r="H20" s="765">
        <v>10000</v>
      </c>
      <c r="I20" s="762">
        <v>1</v>
      </c>
      <c r="J20" s="765">
        <f t="shared" si="0"/>
        <v>10000</v>
      </c>
      <c r="K20" s="763"/>
    </row>
    <row r="21" spans="1:11" ht="20.100000000000001" customHeight="1" outlineLevel="2">
      <c r="A21" s="762" t="s">
        <v>1449</v>
      </c>
      <c r="B21" s="762" t="s">
        <v>1001</v>
      </c>
      <c r="C21" s="763" t="s">
        <v>245</v>
      </c>
      <c r="D21" s="764" t="s">
        <v>2451</v>
      </c>
      <c r="E21" s="768" t="s">
        <v>2457</v>
      </c>
      <c r="F21" s="767" t="s">
        <v>2468</v>
      </c>
      <c r="G21" s="762"/>
      <c r="H21" s="765">
        <v>6000</v>
      </c>
      <c r="I21" s="762">
        <v>4</v>
      </c>
      <c r="J21" s="766">
        <f t="shared" si="0"/>
        <v>24000</v>
      </c>
      <c r="K21" s="762"/>
    </row>
    <row r="22" spans="1:11" ht="20.100000000000001" customHeight="1" outlineLevel="2">
      <c r="A22" s="762" t="s">
        <v>1449</v>
      </c>
      <c r="B22" s="762" t="s">
        <v>1001</v>
      </c>
      <c r="C22" s="763" t="s">
        <v>245</v>
      </c>
      <c r="D22" s="764" t="s">
        <v>2451</v>
      </c>
      <c r="E22" s="768" t="s">
        <v>2458</v>
      </c>
      <c r="F22" s="772" t="s">
        <v>2471</v>
      </c>
      <c r="G22" s="773"/>
      <c r="H22" s="765">
        <v>7000</v>
      </c>
      <c r="I22" s="762">
        <v>2</v>
      </c>
      <c r="J22" s="765">
        <f t="shared" si="0"/>
        <v>14000</v>
      </c>
      <c r="K22" s="763"/>
    </row>
    <row r="23" spans="1:11" ht="20.100000000000001" customHeight="1" outlineLevel="2">
      <c r="A23" s="762" t="s">
        <v>1449</v>
      </c>
      <c r="B23" s="762" t="s">
        <v>2470</v>
      </c>
      <c r="C23" s="763" t="s">
        <v>248</v>
      </c>
      <c r="D23" s="764" t="s">
        <v>2451</v>
      </c>
      <c r="E23" s="763" t="s">
        <v>2448</v>
      </c>
      <c r="F23" s="763" t="s">
        <v>2309</v>
      </c>
      <c r="G23" s="762"/>
      <c r="H23" s="765">
        <v>400</v>
      </c>
      <c r="I23" s="762">
        <v>50</v>
      </c>
      <c r="J23" s="766">
        <f t="shared" si="0"/>
        <v>20000</v>
      </c>
      <c r="K23" s="762"/>
    </row>
    <row r="24" spans="1:11" ht="20.100000000000001" customHeight="1" outlineLevel="2">
      <c r="A24" s="762" t="s">
        <v>1449</v>
      </c>
      <c r="B24" s="762" t="s">
        <v>2470</v>
      </c>
      <c r="C24" s="763" t="s">
        <v>248</v>
      </c>
      <c r="D24" s="764" t="s">
        <v>2451</v>
      </c>
      <c r="E24" s="763" t="s">
        <v>2448</v>
      </c>
      <c r="F24" s="767" t="s">
        <v>2312</v>
      </c>
      <c r="G24" s="762"/>
      <c r="H24" s="765">
        <v>2000</v>
      </c>
      <c r="I24" s="762">
        <v>1</v>
      </c>
      <c r="J24" s="766">
        <f t="shared" si="0"/>
        <v>2000</v>
      </c>
      <c r="K24" s="762"/>
    </row>
    <row r="25" spans="1:11" ht="20.100000000000001" customHeight="1" outlineLevel="2">
      <c r="A25" s="762" t="s">
        <v>1449</v>
      </c>
      <c r="B25" s="762" t="s">
        <v>2470</v>
      </c>
      <c r="C25" s="763" t="s">
        <v>248</v>
      </c>
      <c r="D25" s="764" t="s">
        <v>2451</v>
      </c>
      <c r="E25" s="763" t="s">
        <v>2448</v>
      </c>
      <c r="F25" s="767" t="s">
        <v>2461</v>
      </c>
      <c r="G25" s="762"/>
      <c r="H25" s="765">
        <v>3500</v>
      </c>
      <c r="I25" s="762">
        <v>1</v>
      </c>
      <c r="J25" s="766">
        <f t="shared" si="0"/>
        <v>3500</v>
      </c>
      <c r="K25" s="762"/>
    </row>
    <row r="26" spans="1:11" ht="20.100000000000001" customHeight="1" outlineLevel="2">
      <c r="A26" s="762" t="s">
        <v>1449</v>
      </c>
      <c r="B26" s="762" t="s">
        <v>2470</v>
      </c>
      <c r="C26" s="763" t="s">
        <v>248</v>
      </c>
      <c r="D26" s="764" t="s">
        <v>2451</v>
      </c>
      <c r="E26" s="768" t="s">
        <v>2448</v>
      </c>
      <c r="F26" s="767" t="s">
        <v>2462</v>
      </c>
      <c r="G26" s="767"/>
      <c r="H26" s="765">
        <v>1100</v>
      </c>
      <c r="I26" s="762">
        <v>1</v>
      </c>
      <c r="J26" s="765">
        <f t="shared" si="0"/>
        <v>1100</v>
      </c>
      <c r="K26" s="762"/>
    </row>
    <row r="27" spans="1:11" ht="20.100000000000001" customHeight="1" outlineLevel="2">
      <c r="A27" s="762" t="s">
        <v>1449</v>
      </c>
      <c r="B27" s="762" t="s">
        <v>2470</v>
      </c>
      <c r="C27" s="763" t="s">
        <v>248</v>
      </c>
      <c r="D27" s="764" t="s">
        <v>2451</v>
      </c>
      <c r="E27" s="763" t="s">
        <v>2448</v>
      </c>
      <c r="F27" s="767" t="s">
        <v>2455</v>
      </c>
      <c r="G27" s="762"/>
      <c r="H27" s="765">
        <v>1600</v>
      </c>
      <c r="I27" s="762">
        <v>4</v>
      </c>
      <c r="J27" s="766">
        <f t="shared" si="0"/>
        <v>6400</v>
      </c>
      <c r="K27" s="762"/>
    </row>
    <row r="28" spans="1:11" ht="20.100000000000001" customHeight="1" outlineLevel="2">
      <c r="A28" s="762" t="s">
        <v>1449</v>
      </c>
      <c r="B28" s="762" t="s">
        <v>2470</v>
      </c>
      <c r="C28" s="763" t="s">
        <v>248</v>
      </c>
      <c r="D28" s="764" t="s">
        <v>2451</v>
      </c>
      <c r="E28" s="763" t="s">
        <v>2448</v>
      </c>
      <c r="F28" s="767" t="s">
        <v>2463</v>
      </c>
      <c r="G28" s="762"/>
      <c r="H28" s="765">
        <v>700</v>
      </c>
      <c r="I28" s="762">
        <v>2</v>
      </c>
      <c r="J28" s="766">
        <f t="shared" si="0"/>
        <v>1400</v>
      </c>
      <c r="K28" s="762"/>
    </row>
    <row r="29" spans="1:11" ht="20.100000000000001" customHeight="1" outlineLevel="2">
      <c r="A29" s="762" t="s">
        <v>1449</v>
      </c>
      <c r="B29" s="762" t="s">
        <v>2470</v>
      </c>
      <c r="C29" s="763" t="s">
        <v>248</v>
      </c>
      <c r="D29" s="764" t="s">
        <v>2451</v>
      </c>
      <c r="E29" s="763" t="s">
        <v>2459</v>
      </c>
      <c r="F29" s="767" t="s">
        <v>2469</v>
      </c>
      <c r="G29" s="762"/>
      <c r="H29" s="765">
        <v>18000</v>
      </c>
      <c r="I29" s="762">
        <v>1</v>
      </c>
      <c r="J29" s="766">
        <f t="shared" si="0"/>
        <v>18000</v>
      </c>
      <c r="K29" s="762"/>
    </row>
    <row r="30" spans="1:11" ht="20.100000000000001" customHeight="1" outlineLevel="2">
      <c r="A30" s="762" t="s">
        <v>1449</v>
      </c>
      <c r="B30" s="762" t="s">
        <v>2470</v>
      </c>
      <c r="C30" s="763" t="s">
        <v>248</v>
      </c>
      <c r="D30" s="764" t="s">
        <v>2451</v>
      </c>
      <c r="E30" s="768" t="s">
        <v>2457</v>
      </c>
      <c r="F30" s="767" t="s">
        <v>2468</v>
      </c>
      <c r="G30" s="762"/>
      <c r="H30" s="765">
        <v>6000</v>
      </c>
      <c r="I30" s="762">
        <v>4</v>
      </c>
      <c r="J30" s="766">
        <f t="shared" si="0"/>
        <v>24000</v>
      </c>
      <c r="K30" s="762"/>
    </row>
    <row r="31" spans="1:11" ht="20.100000000000001" customHeight="1" outlineLevel="2">
      <c r="A31" s="762" t="s">
        <v>1449</v>
      </c>
      <c r="B31" s="762" t="s">
        <v>2470</v>
      </c>
      <c r="C31" s="763" t="s">
        <v>248</v>
      </c>
      <c r="D31" s="764" t="s">
        <v>2451</v>
      </c>
      <c r="E31" s="768" t="s">
        <v>2458</v>
      </c>
      <c r="F31" s="772" t="s">
        <v>2471</v>
      </c>
      <c r="G31" s="773"/>
      <c r="H31" s="765">
        <v>7000</v>
      </c>
      <c r="I31" s="762">
        <v>2</v>
      </c>
      <c r="J31" s="765">
        <f t="shared" si="0"/>
        <v>14000</v>
      </c>
      <c r="K31" s="763"/>
    </row>
    <row r="32" spans="1:11" ht="20.100000000000001" customHeight="1" outlineLevel="2">
      <c r="A32" s="762" t="s">
        <v>1449</v>
      </c>
      <c r="B32" s="762" t="s">
        <v>998</v>
      </c>
      <c r="C32" s="763" t="s">
        <v>2472</v>
      </c>
      <c r="D32" s="764" t="s">
        <v>2451</v>
      </c>
      <c r="E32" s="768" t="s">
        <v>2458</v>
      </c>
      <c r="F32" s="772" t="s">
        <v>2471</v>
      </c>
      <c r="G32" s="773"/>
      <c r="H32" s="765">
        <v>7000</v>
      </c>
      <c r="I32" s="762">
        <v>2</v>
      </c>
      <c r="J32" s="766">
        <f t="shared" ref="J32:J42" si="1">H32*I32</f>
        <v>14000</v>
      </c>
      <c r="K32" s="763"/>
    </row>
    <row r="33" spans="1:11" ht="20.100000000000001" customHeight="1" outlineLevel="2">
      <c r="A33" s="769" t="s">
        <v>2492</v>
      </c>
      <c r="B33" s="769" t="s">
        <v>2482</v>
      </c>
      <c r="C33" s="770" t="s">
        <v>719</v>
      </c>
      <c r="D33" s="771" t="s">
        <v>2483</v>
      </c>
      <c r="E33" s="770" t="s">
        <v>2448</v>
      </c>
      <c r="F33" s="770" t="s">
        <v>2449</v>
      </c>
      <c r="G33" s="769"/>
      <c r="H33" s="776">
        <v>650</v>
      </c>
      <c r="I33" s="769">
        <v>5</v>
      </c>
      <c r="J33" s="777">
        <f t="shared" si="1"/>
        <v>3250</v>
      </c>
      <c r="K33" s="762" t="s">
        <v>2493</v>
      </c>
    </row>
    <row r="34" spans="1:11" ht="20.100000000000001" customHeight="1" outlineLevel="2">
      <c r="A34" s="769" t="s">
        <v>2492</v>
      </c>
      <c r="B34" s="769" t="s">
        <v>2482</v>
      </c>
      <c r="C34" s="770" t="s">
        <v>719</v>
      </c>
      <c r="D34" s="771" t="s">
        <v>2483</v>
      </c>
      <c r="E34" s="770" t="s">
        <v>2448</v>
      </c>
      <c r="F34" s="770" t="s">
        <v>2450</v>
      </c>
      <c r="G34" s="769"/>
      <c r="H34" s="776">
        <v>650</v>
      </c>
      <c r="I34" s="769">
        <v>5</v>
      </c>
      <c r="J34" s="777">
        <f t="shared" si="1"/>
        <v>3250</v>
      </c>
      <c r="K34" s="762"/>
    </row>
    <row r="35" spans="1:11" ht="20.100000000000001" customHeight="1" outlineLevel="2">
      <c r="A35" s="769" t="s">
        <v>2494</v>
      </c>
      <c r="B35" s="769" t="s">
        <v>2484</v>
      </c>
      <c r="C35" s="770" t="s">
        <v>719</v>
      </c>
      <c r="D35" s="771" t="s">
        <v>2451</v>
      </c>
      <c r="E35" s="770" t="s">
        <v>2448</v>
      </c>
      <c r="F35" s="770" t="s">
        <v>2453</v>
      </c>
      <c r="G35" s="769"/>
      <c r="H35" s="776">
        <v>2400</v>
      </c>
      <c r="I35" s="769">
        <v>1</v>
      </c>
      <c r="J35" s="777">
        <f t="shared" si="1"/>
        <v>2400</v>
      </c>
      <c r="K35" s="762"/>
    </row>
    <row r="36" spans="1:11" ht="20.100000000000001" customHeight="1" outlineLevel="2">
      <c r="A36" s="769" t="s">
        <v>2494</v>
      </c>
      <c r="B36" s="769" t="s">
        <v>2484</v>
      </c>
      <c r="C36" s="770" t="s">
        <v>719</v>
      </c>
      <c r="D36" s="771" t="s">
        <v>2451</v>
      </c>
      <c r="E36" s="770" t="s">
        <v>2448</v>
      </c>
      <c r="F36" s="770" t="s">
        <v>2454</v>
      </c>
      <c r="G36" s="769"/>
      <c r="H36" s="776">
        <v>6000</v>
      </c>
      <c r="I36" s="769">
        <v>1</v>
      </c>
      <c r="J36" s="777">
        <f t="shared" si="1"/>
        <v>6000</v>
      </c>
      <c r="K36" s="762"/>
    </row>
    <row r="37" spans="1:11" ht="20.100000000000001" customHeight="1" outlineLevel="2">
      <c r="A37" s="769" t="s">
        <v>2496</v>
      </c>
      <c r="B37" s="769" t="s">
        <v>2488</v>
      </c>
      <c r="C37" s="770" t="s">
        <v>1046</v>
      </c>
      <c r="D37" s="771" t="s">
        <v>2489</v>
      </c>
      <c r="E37" s="770" t="s">
        <v>2448</v>
      </c>
      <c r="F37" s="770" t="s">
        <v>2449</v>
      </c>
      <c r="G37" s="769"/>
      <c r="H37" s="776">
        <v>650</v>
      </c>
      <c r="I37" s="769">
        <v>12</v>
      </c>
      <c r="J37" s="777">
        <f t="shared" si="1"/>
        <v>7800</v>
      </c>
      <c r="K37" s="762" t="s">
        <v>2497</v>
      </c>
    </row>
    <row r="38" spans="1:11" ht="20.100000000000001" customHeight="1" outlineLevel="2">
      <c r="A38" s="769" t="s">
        <v>2496</v>
      </c>
      <c r="B38" s="769" t="s">
        <v>2488</v>
      </c>
      <c r="C38" s="770" t="s">
        <v>1046</v>
      </c>
      <c r="D38" s="771" t="s">
        <v>2489</v>
      </c>
      <c r="E38" s="770" t="s">
        <v>2448</v>
      </c>
      <c r="F38" s="770" t="s">
        <v>2450</v>
      </c>
      <c r="G38" s="769"/>
      <c r="H38" s="776">
        <v>650</v>
      </c>
      <c r="I38" s="769">
        <v>12</v>
      </c>
      <c r="J38" s="777">
        <f t="shared" si="1"/>
        <v>7800</v>
      </c>
      <c r="K38" s="762"/>
    </row>
    <row r="39" spans="1:11" ht="20.100000000000001" customHeight="1" outlineLevel="2">
      <c r="A39" s="769" t="s">
        <v>2496</v>
      </c>
      <c r="B39" s="769" t="s">
        <v>2488</v>
      </c>
      <c r="C39" s="770" t="s">
        <v>1046</v>
      </c>
      <c r="D39" s="771" t="s">
        <v>2451</v>
      </c>
      <c r="E39" s="770" t="s">
        <v>2448</v>
      </c>
      <c r="F39" s="770" t="s">
        <v>2452</v>
      </c>
      <c r="G39" s="769"/>
      <c r="H39" s="776">
        <v>380</v>
      </c>
      <c r="I39" s="769">
        <v>60</v>
      </c>
      <c r="J39" s="777">
        <f t="shared" si="1"/>
        <v>22800</v>
      </c>
      <c r="K39" s="762"/>
    </row>
    <row r="40" spans="1:11" ht="20.100000000000001" customHeight="1" outlineLevel="2">
      <c r="A40" s="769" t="s">
        <v>2494</v>
      </c>
      <c r="B40" s="769" t="s">
        <v>2484</v>
      </c>
      <c r="C40" s="770" t="s">
        <v>1046</v>
      </c>
      <c r="D40" s="771" t="s">
        <v>2451</v>
      </c>
      <c r="E40" s="770" t="s">
        <v>2448</v>
      </c>
      <c r="F40" s="770" t="s">
        <v>2453</v>
      </c>
      <c r="G40" s="769"/>
      <c r="H40" s="776">
        <v>2400</v>
      </c>
      <c r="I40" s="769">
        <v>3</v>
      </c>
      <c r="J40" s="777">
        <f t="shared" si="1"/>
        <v>7200</v>
      </c>
      <c r="K40" s="762"/>
    </row>
    <row r="41" spans="1:11" ht="20.100000000000001" customHeight="1" outlineLevel="2">
      <c r="A41" s="769" t="s">
        <v>2494</v>
      </c>
      <c r="B41" s="769" t="s">
        <v>2484</v>
      </c>
      <c r="C41" s="770" t="s">
        <v>1046</v>
      </c>
      <c r="D41" s="771" t="s">
        <v>2451</v>
      </c>
      <c r="E41" s="770" t="s">
        <v>2448</v>
      </c>
      <c r="F41" s="770" t="s">
        <v>2454</v>
      </c>
      <c r="G41" s="769"/>
      <c r="H41" s="776">
        <v>6000</v>
      </c>
      <c r="I41" s="769">
        <v>3</v>
      </c>
      <c r="J41" s="777">
        <f t="shared" si="1"/>
        <v>18000</v>
      </c>
      <c r="K41" s="762"/>
    </row>
    <row r="42" spans="1:11" ht="20.100000000000001" customHeight="1" outlineLevel="2">
      <c r="A42" s="769" t="s">
        <v>2495</v>
      </c>
      <c r="B42" s="769" t="s">
        <v>2485</v>
      </c>
      <c r="C42" s="770" t="s">
        <v>1046</v>
      </c>
      <c r="D42" s="771" t="s">
        <v>2451</v>
      </c>
      <c r="E42" s="770" t="s">
        <v>2486</v>
      </c>
      <c r="F42" s="770" t="s">
        <v>2456</v>
      </c>
      <c r="G42" s="769"/>
      <c r="H42" s="776">
        <v>20000</v>
      </c>
      <c r="I42" s="769">
        <v>3</v>
      </c>
      <c r="J42" s="777">
        <f t="shared" si="1"/>
        <v>60000</v>
      </c>
      <c r="K42" s="762"/>
    </row>
    <row r="43" spans="1:11" ht="20.100000000000001" customHeight="1" outlineLevel="2">
      <c r="A43" s="769" t="s">
        <v>2495</v>
      </c>
      <c r="B43" s="769" t="s">
        <v>2485</v>
      </c>
      <c r="C43" s="770" t="s">
        <v>1046</v>
      </c>
      <c r="D43" s="771" t="s">
        <v>2451</v>
      </c>
      <c r="E43" s="770" t="s">
        <v>2487</v>
      </c>
      <c r="F43" s="770" t="s">
        <v>2460</v>
      </c>
      <c r="G43" s="769"/>
      <c r="H43" s="776">
        <v>2000</v>
      </c>
      <c r="I43" s="769">
        <v>7</v>
      </c>
      <c r="J43" s="777">
        <f t="shared" ref="J43:J53" si="2">H43*I43</f>
        <v>14000</v>
      </c>
      <c r="K43" s="762"/>
    </row>
    <row r="44" spans="1:11" ht="20.100000000000001" customHeight="1" outlineLevel="2">
      <c r="A44" s="769" t="s">
        <v>2496</v>
      </c>
      <c r="B44" s="769" t="s">
        <v>2488</v>
      </c>
      <c r="C44" s="770" t="s">
        <v>1046</v>
      </c>
      <c r="D44" s="771" t="s">
        <v>2451</v>
      </c>
      <c r="E44" s="770" t="s">
        <v>2490</v>
      </c>
      <c r="F44" s="770" t="s">
        <v>2498</v>
      </c>
      <c r="G44" s="769"/>
      <c r="H44" s="776">
        <v>65</v>
      </c>
      <c r="I44" s="769">
        <v>243</v>
      </c>
      <c r="J44" s="777">
        <f t="shared" si="2"/>
        <v>15795</v>
      </c>
      <c r="K44" s="762"/>
    </row>
    <row r="45" spans="1:11" ht="20.100000000000001" customHeight="1" outlineLevel="2">
      <c r="A45" s="769" t="s">
        <v>2496</v>
      </c>
      <c r="B45" s="769" t="s">
        <v>2488</v>
      </c>
      <c r="C45" s="770" t="s">
        <v>1046</v>
      </c>
      <c r="D45" s="771" t="s">
        <v>2451</v>
      </c>
      <c r="E45" s="770" t="s">
        <v>2490</v>
      </c>
      <c r="F45" s="770" t="s">
        <v>2499</v>
      </c>
      <c r="G45" s="769"/>
      <c r="H45" s="776">
        <v>65</v>
      </c>
      <c r="I45" s="769">
        <f>340.2+365.4</f>
        <v>705.59999999999991</v>
      </c>
      <c r="J45" s="777">
        <f t="shared" si="2"/>
        <v>45863.999999999993</v>
      </c>
      <c r="K45" s="762"/>
    </row>
    <row r="46" spans="1:11" ht="20.100000000000001" customHeight="1" outlineLevel="2">
      <c r="A46" s="769" t="s">
        <v>2496</v>
      </c>
      <c r="B46" s="769" t="s">
        <v>2488</v>
      </c>
      <c r="C46" s="770" t="s">
        <v>1046</v>
      </c>
      <c r="D46" s="771" t="s">
        <v>2451</v>
      </c>
      <c r="E46" s="770" t="s">
        <v>2490</v>
      </c>
      <c r="F46" s="770" t="s">
        <v>2500</v>
      </c>
      <c r="G46" s="769"/>
      <c r="H46" s="776">
        <v>50</v>
      </c>
      <c r="I46" s="769">
        <f>340.2+365.4</f>
        <v>705.59999999999991</v>
      </c>
      <c r="J46" s="777">
        <f t="shared" si="2"/>
        <v>35279.999999999993</v>
      </c>
      <c r="K46" s="762"/>
    </row>
    <row r="47" spans="1:11" ht="20.100000000000001" customHeight="1" outlineLevel="2">
      <c r="A47" s="762" t="s">
        <v>1449</v>
      </c>
      <c r="B47" s="762" t="s">
        <v>1001</v>
      </c>
      <c r="C47" s="763" t="s">
        <v>245</v>
      </c>
      <c r="D47" s="764" t="s">
        <v>2451</v>
      </c>
      <c r="E47" s="763" t="s">
        <v>2448</v>
      </c>
      <c r="F47" s="763" t="s">
        <v>2309</v>
      </c>
      <c r="G47" s="762"/>
      <c r="H47" s="765">
        <v>400</v>
      </c>
      <c r="I47" s="762">
        <v>50</v>
      </c>
      <c r="J47" s="766">
        <f t="shared" si="2"/>
        <v>20000</v>
      </c>
      <c r="K47" s="762"/>
    </row>
    <row r="48" spans="1:11" ht="20.100000000000001" customHeight="1" outlineLevel="2">
      <c r="A48" s="762" t="s">
        <v>1449</v>
      </c>
      <c r="B48" s="762" t="s">
        <v>1001</v>
      </c>
      <c r="C48" s="763" t="s">
        <v>245</v>
      </c>
      <c r="D48" s="764" t="s">
        <v>2451</v>
      </c>
      <c r="E48" s="763" t="s">
        <v>2448</v>
      </c>
      <c r="F48" s="767" t="s">
        <v>2312</v>
      </c>
      <c r="G48" s="762"/>
      <c r="H48" s="765">
        <v>2000</v>
      </c>
      <c r="I48" s="762">
        <v>1</v>
      </c>
      <c r="J48" s="766">
        <f t="shared" si="2"/>
        <v>2000</v>
      </c>
      <c r="K48" s="762"/>
    </row>
    <row r="49" spans="1:12" ht="20.100000000000001" customHeight="1" outlineLevel="2">
      <c r="A49" s="762" t="s">
        <v>1449</v>
      </c>
      <c r="B49" s="762" t="s">
        <v>1001</v>
      </c>
      <c r="C49" s="763" t="s">
        <v>245</v>
      </c>
      <c r="D49" s="764" t="s">
        <v>2451</v>
      </c>
      <c r="E49" s="763" t="s">
        <v>2448</v>
      </c>
      <c r="F49" s="767" t="s">
        <v>2461</v>
      </c>
      <c r="G49" s="762"/>
      <c r="H49" s="765">
        <v>3500</v>
      </c>
      <c r="I49" s="762">
        <v>1</v>
      </c>
      <c r="J49" s="766">
        <f t="shared" si="2"/>
        <v>3500</v>
      </c>
      <c r="K49" s="762"/>
    </row>
    <row r="50" spans="1:12" ht="20.100000000000001" customHeight="1" outlineLevel="2">
      <c r="A50" s="762" t="s">
        <v>1449</v>
      </c>
      <c r="B50" s="762" t="s">
        <v>1001</v>
      </c>
      <c r="C50" s="763" t="s">
        <v>245</v>
      </c>
      <c r="D50" s="764" t="s">
        <v>2451</v>
      </c>
      <c r="E50" s="768" t="s">
        <v>2448</v>
      </c>
      <c r="F50" s="767" t="s">
        <v>2462</v>
      </c>
      <c r="G50" s="767"/>
      <c r="H50" s="765">
        <v>1100</v>
      </c>
      <c r="I50" s="762">
        <v>1</v>
      </c>
      <c r="J50" s="765">
        <f t="shared" si="2"/>
        <v>1100</v>
      </c>
      <c r="K50" s="763"/>
    </row>
    <row r="51" spans="1:12" ht="20.100000000000001" customHeight="1" outlineLevel="2">
      <c r="A51" s="762" t="s">
        <v>1449</v>
      </c>
      <c r="B51" s="762" t="s">
        <v>1001</v>
      </c>
      <c r="C51" s="763" t="s">
        <v>245</v>
      </c>
      <c r="D51" s="764" t="s">
        <v>2451</v>
      </c>
      <c r="E51" s="763" t="s">
        <v>2448</v>
      </c>
      <c r="F51" s="767" t="s">
        <v>2455</v>
      </c>
      <c r="G51" s="762"/>
      <c r="H51" s="765">
        <v>1600</v>
      </c>
      <c r="I51" s="762">
        <v>4</v>
      </c>
      <c r="J51" s="766">
        <f t="shared" si="2"/>
        <v>6400</v>
      </c>
      <c r="K51" s="762"/>
    </row>
    <row r="52" spans="1:12" ht="20.100000000000001" customHeight="1" outlineLevel="2">
      <c r="A52" s="762" t="s">
        <v>1449</v>
      </c>
      <c r="B52" s="762" t="s">
        <v>1001</v>
      </c>
      <c r="C52" s="763" t="s">
        <v>245</v>
      </c>
      <c r="D52" s="764" t="s">
        <v>2451</v>
      </c>
      <c r="E52" s="763" t="s">
        <v>2448</v>
      </c>
      <c r="F52" s="767" t="s">
        <v>2463</v>
      </c>
      <c r="G52" s="762"/>
      <c r="H52" s="765">
        <v>700</v>
      </c>
      <c r="I52" s="762">
        <v>2</v>
      </c>
      <c r="J52" s="766">
        <f t="shared" si="2"/>
        <v>1400</v>
      </c>
      <c r="K52" s="762"/>
    </row>
    <row r="53" spans="1:12" ht="20.100000000000001" customHeight="1" outlineLevel="2">
      <c r="A53" s="762" t="s">
        <v>1449</v>
      </c>
      <c r="B53" s="762" t="s">
        <v>1001</v>
      </c>
      <c r="C53" s="763" t="s">
        <v>245</v>
      </c>
      <c r="D53" s="764" t="s">
        <v>2451</v>
      </c>
      <c r="E53" s="763" t="s">
        <v>2448</v>
      </c>
      <c r="F53" s="767" t="s">
        <v>2464</v>
      </c>
      <c r="G53" s="762"/>
      <c r="H53" s="765">
        <v>2000</v>
      </c>
      <c r="I53" s="762">
        <v>1</v>
      </c>
      <c r="J53" s="766">
        <f t="shared" si="2"/>
        <v>2000</v>
      </c>
      <c r="K53" s="762"/>
    </row>
    <row r="54" spans="1:12" ht="20.100000000000001" customHeight="1" outlineLevel="2">
      <c r="A54" s="762" t="s">
        <v>1449</v>
      </c>
      <c r="B54" s="762" t="s">
        <v>1001</v>
      </c>
      <c r="C54" s="763" t="s">
        <v>245</v>
      </c>
      <c r="D54" s="764" t="s">
        <v>2451</v>
      </c>
      <c r="E54" s="763" t="s">
        <v>2459</v>
      </c>
      <c r="F54" s="767" t="s">
        <v>2465</v>
      </c>
      <c r="G54" s="762"/>
      <c r="H54" s="765">
        <v>8000</v>
      </c>
      <c r="I54" s="762">
        <v>1</v>
      </c>
      <c r="J54" s="765">
        <f t="shared" ref="J54:J57" si="3">H54*I54</f>
        <v>8000</v>
      </c>
      <c r="K54" s="763"/>
    </row>
    <row r="55" spans="1:12" ht="20.100000000000001" customHeight="1" outlineLevel="2">
      <c r="A55" s="762" t="s">
        <v>1449</v>
      </c>
      <c r="B55" s="762" t="s">
        <v>1001</v>
      </c>
      <c r="C55" s="763" t="s">
        <v>245</v>
      </c>
      <c r="D55" s="764" t="s">
        <v>2451</v>
      </c>
      <c r="E55" s="763" t="s">
        <v>2466</v>
      </c>
      <c r="F55" s="767" t="s">
        <v>2467</v>
      </c>
      <c r="G55" s="762"/>
      <c r="H55" s="765">
        <v>10000</v>
      </c>
      <c r="I55" s="762">
        <v>1</v>
      </c>
      <c r="J55" s="765">
        <f t="shared" si="3"/>
        <v>10000</v>
      </c>
      <c r="K55" s="763"/>
    </row>
    <row r="56" spans="1:12" ht="20.100000000000001" customHeight="1" outlineLevel="2">
      <c r="A56" s="762" t="s">
        <v>1449</v>
      </c>
      <c r="B56" s="762" t="s">
        <v>1001</v>
      </c>
      <c r="C56" s="763" t="s">
        <v>245</v>
      </c>
      <c r="D56" s="764" t="s">
        <v>2451</v>
      </c>
      <c r="E56" s="768" t="s">
        <v>2457</v>
      </c>
      <c r="F56" s="767" t="s">
        <v>2468</v>
      </c>
      <c r="G56" s="762"/>
      <c r="H56" s="765">
        <v>6000</v>
      </c>
      <c r="I56" s="762">
        <v>4</v>
      </c>
      <c r="J56" s="766">
        <f t="shared" si="3"/>
        <v>24000</v>
      </c>
      <c r="K56" s="762"/>
    </row>
    <row r="57" spans="1:12" ht="20.100000000000001" customHeight="1" outlineLevel="2">
      <c r="A57" s="762" t="s">
        <v>1449</v>
      </c>
      <c r="B57" s="762" t="s">
        <v>1001</v>
      </c>
      <c r="C57" s="763" t="s">
        <v>245</v>
      </c>
      <c r="D57" s="764" t="s">
        <v>2451</v>
      </c>
      <c r="E57" s="768" t="s">
        <v>2458</v>
      </c>
      <c r="F57" s="772" t="s">
        <v>2471</v>
      </c>
      <c r="G57" s="773"/>
      <c r="H57" s="765">
        <v>7000</v>
      </c>
      <c r="I57" s="762">
        <v>2</v>
      </c>
      <c r="J57" s="765">
        <f t="shared" si="3"/>
        <v>14000</v>
      </c>
      <c r="K57" s="763"/>
    </row>
    <row r="58" spans="1:12" ht="20.100000000000001" customHeight="1" outlineLevel="1">
      <c r="A58" s="774" t="s">
        <v>950</v>
      </c>
      <c r="B58" s="762"/>
      <c r="C58" s="763"/>
      <c r="D58" s="764"/>
      <c r="E58" s="768"/>
      <c r="F58" s="772"/>
      <c r="G58" s="773"/>
      <c r="H58" s="765"/>
      <c r="I58" s="762"/>
      <c r="J58" s="765">
        <f>SUBTOTAL(9,J3:J57)</f>
        <v>900239</v>
      </c>
      <c r="K58" s="763"/>
    </row>
    <row r="59" spans="1:12" s="778" customFormat="1" ht="20.100000000000001" customHeight="1">
      <c r="L59" s="780"/>
    </row>
    <row r="60" spans="1:12" s="778" customFormat="1" ht="20.100000000000001" customHeight="1">
      <c r="L60" s="780"/>
    </row>
    <row r="61" spans="1:12" s="778" customFormat="1" ht="20.100000000000001" customHeight="1">
      <c r="L61" s="780"/>
    </row>
    <row r="62" spans="1:12" s="778" customFormat="1" ht="20.100000000000001" customHeight="1">
      <c r="L62" s="780"/>
    </row>
    <row r="63" spans="1:12" s="778" customFormat="1" ht="20.100000000000001" customHeight="1">
      <c r="L63" s="780"/>
    </row>
    <row r="64" spans="1:12" s="778" customFormat="1" ht="20.100000000000001" customHeight="1">
      <c r="L64" s="780"/>
    </row>
    <row r="65" spans="12:12" s="778" customFormat="1" ht="20.100000000000001" customHeight="1">
      <c r="L65" s="780"/>
    </row>
    <row r="66" spans="12:12" s="778" customFormat="1" ht="20.100000000000001" customHeight="1">
      <c r="L66" s="780"/>
    </row>
    <row r="67" spans="12:12" s="778" customFormat="1" ht="20.100000000000001" customHeight="1">
      <c r="L67" s="780"/>
    </row>
    <row r="68" spans="12:12" s="778" customFormat="1" ht="20.100000000000001" customHeight="1">
      <c r="L68" s="780"/>
    </row>
    <row r="69" spans="12:12" s="778" customFormat="1" ht="20.100000000000001" customHeight="1">
      <c r="L69" s="780"/>
    </row>
    <row r="70" spans="12:12" s="778" customFormat="1" ht="20.100000000000001" customHeight="1">
      <c r="L70" s="780"/>
    </row>
    <row r="71" spans="12:12" s="778" customFormat="1" ht="20.100000000000001" customHeight="1">
      <c r="L71" s="780"/>
    </row>
    <row r="72" spans="12:12" s="778" customFormat="1" ht="20.100000000000001" customHeight="1">
      <c r="L72" s="780"/>
    </row>
    <row r="73" spans="12:12" s="778" customFormat="1" ht="20.100000000000001" customHeight="1">
      <c r="L73" s="780"/>
    </row>
    <row r="74" spans="12:12" s="778" customFormat="1" ht="20.100000000000001" customHeight="1">
      <c r="L74" s="780"/>
    </row>
    <row r="75" spans="12:12" s="778" customFormat="1" ht="20.100000000000001" customHeight="1">
      <c r="L75" s="780"/>
    </row>
    <row r="76" spans="12:12" s="778" customFormat="1" ht="20.100000000000001" customHeight="1">
      <c r="L76" s="780"/>
    </row>
    <row r="77" spans="12:12" s="778" customFormat="1" ht="20.100000000000001" customHeight="1">
      <c r="L77" s="780"/>
    </row>
    <row r="78" spans="12:12" s="778" customFormat="1" ht="20.100000000000001" customHeight="1">
      <c r="L78" s="780"/>
    </row>
    <row r="79" spans="12:12" s="778" customFormat="1" ht="20.100000000000001" customHeight="1">
      <c r="L79" s="780"/>
    </row>
    <row r="80" spans="12:12" s="778" customFormat="1" ht="20.100000000000001" customHeight="1">
      <c r="L80" s="780"/>
    </row>
    <row r="81" spans="12:12" s="778" customFormat="1" ht="20.100000000000001" customHeight="1">
      <c r="L81" s="780"/>
    </row>
    <row r="82" spans="12:12" s="778" customFormat="1" ht="20.100000000000001" customHeight="1">
      <c r="L82" s="780"/>
    </row>
    <row r="83" spans="12:12" s="778" customFormat="1" ht="20.100000000000001" customHeight="1">
      <c r="L83" s="780"/>
    </row>
    <row r="84" spans="12:12" s="778" customFormat="1" ht="20.100000000000001" customHeight="1">
      <c r="L84" s="780"/>
    </row>
    <row r="85" spans="12:12" s="778" customFormat="1" ht="20.100000000000001" customHeight="1">
      <c r="L85" s="780"/>
    </row>
    <row r="86" spans="12:12" s="778" customFormat="1" ht="20.100000000000001" customHeight="1">
      <c r="L86" s="780"/>
    </row>
    <row r="87" spans="12:12" s="778" customFormat="1" ht="20.100000000000001" customHeight="1">
      <c r="L87" s="780"/>
    </row>
    <row r="88" spans="12:12" s="778" customFormat="1" ht="20.100000000000001" customHeight="1">
      <c r="L88" s="780"/>
    </row>
    <row r="89" spans="12:12" s="778" customFormat="1" ht="20.100000000000001" customHeight="1">
      <c r="L89" s="780"/>
    </row>
    <row r="90" spans="12:12" s="778" customFormat="1" ht="20.100000000000001" customHeight="1">
      <c r="L90" s="780"/>
    </row>
    <row r="91" spans="12:12" s="778" customFormat="1" ht="20.100000000000001" customHeight="1">
      <c r="L91" s="780"/>
    </row>
    <row r="92" spans="12:12" s="778" customFormat="1" ht="20.100000000000001" customHeight="1">
      <c r="L92" s="780"/>
    </row>
    <row r="93" spans="12:12" s="778" customFormat="1" ht="20.100000000000001" customHeight="1">
      <c r="L93" s="780"/>
    </row>
    <row r="94" spans="12:12" s="778" customFormat="1" ht="20.100000000000001" customHeight="1">
      <c r="L94" s="780"/>
    </row>
    <row r="95" spans="12:12" s="778" customFormat="1" ht="20.100000000000001" customHeight="1">
      <c r="L95" s="780"/>
    </row>
    <row r="96" spans="12:12" s="778" customFormat="1" ht="20.100000000000001" customHeight="1">
      <c r="L96" s="780"/>
    </row>
    <row r="97" spans="12:12" s="778" customFormat="1" ht="20.100000000000001" customHeight="1">
      <c r="L97" s="780"/>
    </row>
    <row r="98" spans="12:12" s="778" customFormat="1" ht="20.100000000000001" customHeight="1">
      <c r="L98" s="780"/>
    </row>
    <row r="99" spans="12:12" s="778" customFormat="1" ht="20.100000000000001" customHeight="1">
      <c r="L99" s="780"/>
    </row>
    <row r="100" spans="12:12" s="778" customFormat="1" ht="20.100000000000001" customHeight="1">
      <c r="L100" s="780"/>
    </row>
    <row r="101" spans="12:12" s="778" customFormat="1" ht="20.100000000000001" customHeight="1">
      <c r="L101" s="780"/>
    </row>
    <row r="102" spans="12:12" s="778" customFormat="1" ht="20.100000000000001" customHeight="1">
      <c r="L102" s="780"/>
    </row>
    <row r="103" spans="12:12" s="778" customFormat="1" ht="20.100000000000001" customHeight="1">
      <c r="L103" s="780"/>
    </row>
    <row r="104" spans="12:12" s="778" customFormat="1" ht="20.100000000000001" customHeight="1">
      <c r="L104" s="780"/>
    </row>
    <row r="105" spans="12:12" s="778" customFormat="1" ht="20.100000000000001" customHeight="1">
      <c r="L105" s="780"/>
    </row>
  </sheetData>
  <autoFilter ref="A2:K58"/>
  <mergeCells count="1">
    <mergeCell ref="A1:K1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Footer>第 &amp;P 页，共 &amp;N 页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"/>
  <sheetViews>
    <sheetView workbookViewId="0">
      <selection activeCell="A6" sqref="A6:XFD6"/>
    </sheetView>
  </sheetViews>
  <sheetFormatPr defaultRowHeight="13.5" outlineLevelRow="2"/>
  <cols>
    <col min="1" max="1" width="19.75" style="740" customWidth="1"/>
    <col min="2" max="2" width="13.75" style="740" customWidth="1"/>
    <col min="3" max="3" width="27" style="740" customWidth="1"/>
    <col min="4" max="4" width="29" style="740" customWidth="1"/>
    <col min="5" max="5" width="9" style="740"/>
    <col min="6" max="6" width="12.625" style="740" customWidth="1"/>
    <col min="7" max="7" width="14.625" style="740" customWidth="1"/>
    <col min="8" max="16384" width="9" style="740"/>
  </cols>
  <sheetData>
    <row r="1" spans="1:7" ht="35.1" customHeight="1">
      <c r="A1" s="973" t="s">
        <v>2474</v>
      </c>
      <c r="B1" s="974"/>
      <c r="C1" s="974"/>
      <c r="D1" s="974"/>
      <c r="E1" s="974"/>
      <c r="F1" s="974"/>
      <c r="G1" s="974"/>
    </row>
    <row r="2" spans="1:7" s="744" customFormat="1" ht="20.100000000000001" customHeight="1">
      <c r="A2" s="741" t="s">
        <v>632</v>
      </c>
      <c r="B2" s="742" t="s">
        <v>253</v>
      </c>
      <c r="C2" s="741" t="s">
        <v>13</v>
      </c>
      <c r="D2" s="741" t="s">
        <v>2440</v>
      </c>
      <c r="E2" s="741" t="s">
        <v>1244</v>
      </c>
      <c r="F2" s="743" t="s">
        <v>2473</v>
      </c>
      <c r="G2" s="743" t="s">
        <v>2475</v>
      </c>
    </row>
    <row r="3" spans="1:7" s="744" customFormat="1" ht="20.100000000000001" customHeight="1" outlineLevel="2">
      <c r="A3" s="745" t="s">
        <v>2443</v>
      </c>
      <c r="B3" s="742" t="s">
        <v>1665</v>
      </c>
      <c r="C3" s="749" t="s">
        <v>2441</v>
      </c>
      <c r="D3" s="745" t="s">
        <v>2442</v>
      </c>
      <c r="E3" s="746">
        <v>1</v>
      </c>
      <c r="F3" s="747">
        <v>40000</v>
      </c>
      <c r="G3" s="747">
        <f t="shared" ref="G3:G4" si="0">E3*F3</f>
        <v>40000</v>
      </c>
    </row>
    <row r="4" spans="1:7" s="744" customFormat="1" ht="20.100000000000001" customHeight="1" outlineLevel="2">
      <c r="A4" s="745" t="s">
        <v>2444</v>
      </c>
      <c r="B4" s="742" t="s">
        <v>1665</v>
      </c>
      <c r="C4" s="749" t="s">
        <v>2441</v>
      </c>
      <c r="D4" s="745" t="s">
        <v>2442</v>
      </c>
      <c r="E4" s="746">
        <v>1</v>
      </c>
      <c r="F4" s="747">
        <v>40000</v>
      </c>
      <c r="G4" s="747">
        <f t="shared" si="0"/>
        <v>40000</v>
      </c>
    </row>
    <row r="5" spans="1:7" s="744" customFormat="1" ht="20.100000000000001" customHeight="1" outlineLevel="1">
      <c r="A5" s="745"/>
      <c r="B5" s="748" t="s">
        <v>261</v>
      </c>
      <c r="C5" s="749"/>
      <c r="D5" s="745"/>
      <c r="E5" s="746"/>
      <c r="F5" s="747"/>
      <c r="G5" s="747">
        <f>SUBTOTAL(9,G3:G4)</f>
        <v>80000</v>
      </c>
    </row>
  </sheetData>
  <mergeCells count="1">
    <mergeCell ref="A1:G1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第 &amp;P 页，共 &amp;N 页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workbookViewId="0">
      <selection activeCell="A18" sqref="A18:XFD99"/>
    </sheetView>
  </sheetViews>
  <sheetFormatPr defaultColWidth="9" defaultRowHeight="13.5" outlineLevelRow="2"/>
  <cols>
    <col min="1" max="1" width="33.875" customWidth="1"/>
    <col min="2" max="2" width="22.625" customWidth="1"/>
    <col min="3" max="3" width="16" customWidth="1"/>
    <col min="4" max="4" width="19.125" customWidth="1"/>
  </cols>
  <sheetData>
    <row r="1" spans="1:4" s="750" customFormat="1" ht="30" customHeight="1">
      <c r="A1" s="975" t="s">
        <v>2479</v>
      </c>
      <c r="B1" s="975"/>
      <c r="C1" s="975"/>
      <c r="D1" s="975"/>
    </row>
    <row r="2" spans="1:4" s="756" customFormat="1" ht="18" customHeight="1">
      <c r="A2" s="755" t="s">
        <v>1061</v>
      </c>
      <c r="B2" s="755" t="s">
        <v>2478</v>
      </c>
      <c r="C2" s="755" t="s">
        <v>2476</v>
      </c>
      <c r="D2" s="755" t="s">
        <v>2477</v>
      </c>
    </row>
    <row r="3" spans="1:4" outlineLevel="2">
      <c r="A3" s="751" t="s">
        <v>1049</v>
      </c>
      <c r="B3" s="753" t="s">
        <v>2480</v>
      </c>
      <c r="C3" s="751">
        <v>6</v>
      </c>
      <c r="D3" s="752">
        <f t="shared" ref="D3:D10" si="0">C3*200</f>
        <v>1200</v>
      </c>
    </row>
    <row r="4" spans="1:4" outlineLevel="2">
      <c r="A4" s="751" t="s">
        <v>245</v>
      </c>
      <c r="B4" s="753" t="s">
        <v>2480</v>
      </c>
      <c r="C4" s="751">
        <v>50</v>
      </c>
      <c r="D4" s="752">
        <f t="shared" si="0"/>
        <v>10000</v>
      </c>
    </row>
    <row r="5" spans="1:4" outlineLevel="2">
      <c r="A5" s="751" t="s">
        <v>247</v>
      </c>
      <c r="B5" s="753" t="s">
        <v>2480</v>
      </c>
      <c r="C5" s="751">
        <v>39</v>
      </c>
      <c r="D5" s="752">
        <f t="shared" si="0"/>
        <v>7800</v>
      </c>
    </row>
    <row r="6" spans="1:4" outlineLevel="2">
      <c r="A6" s="751" t="s">
        <v>248</v>
      </c>
      <c r="B6" s="753" t="s">
        <v>2480</v>
      </c>
      <c r="C6" s="751">
        <v>54</v>
      </c>
      <c r="D6" s="752">
        <f t="shared" si="0"/>
        <v>10800</v>
      </c>
    </row>
    <row r="7" spans="1:4" outlineLevel="2">
      <c r="A7" s="751" t="s">
        <v>249</v>
      </c>
      <c r="B7" s="753" t="s">
        <v>2480</v>
      </c>
      <c r="C7" s="751">
        <v>73</v>
      </c>
      <c r="D7" s="752">
        <f t="shared" si="0"/>
        <v>14600</v>
      </c>
    </row>
    <row r="8" spans="1:4" outlineLevel="2">
      <c r="A8" s="751" t="s">
        <v>725</v>
      </c>
      <c r="B8" s="753" t="s">
        <v>2480</v>
      </c>
      <c r="C8" s="751">
        <v>24</v>
      </c>
      <c r="D8" s="752">
        <f t="shared" si="0"/>
        <v>4800</v>
      </c>
    </row>
    <row r="9" spans="1:4" outlineLevel="2">
      <c r="A9" s="751" t="s">
        <v>250</v>
      </c>
      <c r="B9" s="753" t="s">
        <v>2480</v>
      </c>
      <c r="C9" s="751">
        <v>28</v>
      </c>
      <c r="D9" s="752">
        <f t="shared" si="0"/>
        <v>5600</v>
      </c>
    </row>
    <row r="10" spans="1:4" outlineLevel="2">
      <c r="A10" s="751" t="s">
        <v>251</v>
      </c>
      <c r="B10" s="753" t="s">
        <v>2480</v>
      </c>
      <c r="C10" s="751">
        <v>24</v>
      </c>
      <c r="D10" s="752">
        <f t="shared" si="0"/>
        <v>4800</v>
      </c>
    </row>
    <row r="11" spans="1:4" outlineLevel="2">
      <c r="A11" s="751" t="s">
        <v>246</v>
      </c>
      <c r="B11" s="753" t="s">
        <v>2480</v>
      </c>
      <c r="C11" s="751">
        <v>28</v>
      </c>
      <c r="D11" s="752">
        <f t="shared" ref="D11" si="1">C11*200</f>
        <v>5600</v>
      </c>
    </row>
    <row r="12" spans="1:4" outlineLevel="2">
      <c r="A12" s="751" t="s">
        <v>1046</v>
      </c>
      <c r="B12" s="753" t="s">
        <v>2480</v>
      </c>
      <c r="C12" s="751">
        <v>12</v>
      </c>
      <c r="D12" s="752">
        <f>C12*200</f>
        <v>2400</v>
      </c>
    </row>
    <row r="13" spans="1:4" outlineLevel="2">
      <c r="A13" s="751" t="s">
        <v>1047</v>
      </c>
      <c r="B13" s="753" t="s">
        <v>2480</v>
      </c>
      <c r="C13" s="751">
        <v>11</v>
      </c>
      <c r="D13" s="752">
        <f>C13*200</f>
        <v>2200</v>
      </c>
    </row>
    <row r="14" spans="1:4" outlineLevel="2">
      <c r="A14" s="751" t="s">
        <v>719</v>
      </c>
      <c r="B14" s="753" t="s">
        <v>2480</v>
      </c>
      <c r="C14" s="751">
        <v>11</v>
      </c>
      <c r="D14" s="752">
        <f>C14*200</f>
        <v>2200</v>
      </c>
    </row>
    <row r="15" spans="1:4" outlineLevel="2">
      <c r="A15" s="751" t="s">
        <v>1048</v>
      </c>
      <c r="B15" s="753" t="s">
        <v>2480</v>
      </c>
      <c r="C15" s="751">
        <v>12</v>
      </c>
      <c r="D15" s="752">
        <f>C15*200</f>
        <v>2400</v>
      </c>
    </row>
    <row r="16" spans="1:4" outlineLevel="2">
      <c r="A16" s="751" t="s">
        <v>1050</v>
      </c>
      <c r="B16" s="753" t="s">
        <v>2480</v>
      </c>
      <c r="C16" s="751">
        <v>7</v>
      </c>
      <c r="D16" s="752">
        <f>C16*200</f>
        <v>1400</v>
      </c>
    </row>
    <row r="17" spans="1:4" outlineLevel="1">
      <c r="A17" s="751"/>
      <c r="B17" s="754" t="s">
        <v>261</v>
      </c>
      <c r="C17" s="751"/>
      <c r="D17" s="752">
        <f>SUBTOTAL(9,D3:D16)</f>
        <v>75800</v>
      </c>
    </row>
  </sheetData>
  <autoFilter ref="A2:D17"/>
  <mergeCells count="1">
    <mergeCell ref="A1:D1"/>
  </mergeCells>
  <phoneticPr fontId="1" type="noConversion"/>
  <conditionalFormatting sqref="A1:B2">
    <cfRule type="duplicateValues" dxfId="3" priority="383"/>
    <cfRule type="duplicateValues" dxfId="2" priority="384"/>
  </conditionalFormatting>
  <conditionalFormatting sqref="A3:B17">
    <cfRule type="duplicateValues" dxfId="1" priority="389"/>
    <cfRule type="duplicateValues" dxfId="0" priority="390"/>
  </conditionalFormatting>
  <pageMargins left="0.7" right="0.7" top="0.75" bottom="0.75" header="0.3" footer="0.3"/>
  <pageSetup paperSize="9" scale="9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74"/>
  <sheetViews>
    <sheetView topLeftCell="F1" workbookViewId="0">
      <selection activeCell="V3" sqref="V3"/>
    </sheetView>
  </sheetViews>
  <sheetFormatPr defaultRowHeight="11.25"/>
  <cols>
    <col min="1" max="1" width="4.125" style="13" customWidth="1"/>
    <col min="2" max="2" width="12.125" style="1" customWidth="1"/>
    <col min="3" max="3" width="5.375" style="1" hidden="1" customWidth="1"/>
    <col min="4" max="4" width="6.125" style="14" hidden="1" customWidth="1"/>
    <col min="5" max="25" width="11.625" style="1" customWidth="1"/>
    <col min="26" max="16384" width="9" style="1"/>
  </cols>
  <sheetData>
    <row r="1" spans="1:25" s="117" customFormat="1" ht="20.100000000000001" customHeight="1">
      <c r="A1" s="789" t="s">
        <v>829</v>
      </c>
      <c r="B1" s="790"/>
      <c r="C1" s="790"/>
      <c r="D1" s="790"/>
      <c r="E1" s="790"/>
      <c r="F1" s="790"/>
      <c r="G1" s="790"/>
      <c r="H1" s="790"/>
      <c r="I1" s="790"/>
      <c r="J1" s="790"/>
      <c r="K1" s="790"/>
      <c r="L1" s="790"/>
      <c r="M1" s="790"/>
      <c r="N1" s="790"/>
      <c r="O1" s="790"/>
      <c r="P1" s="790"/>
      <c r="Q1" s="790"/>
      <c r="R1" s="790"/>
      <c r="S1" s="790"/>
      <c r="T1" s="790"/>
      <c r="U1" s="790"/>
      <c r="V1" s="790"/>
      <c r="W1" s="790"/>
      <c r="X1" s="790"/>
      <c r="Y1" s="790"/>
    </row>
    <row r="2" spans="1:25" ht="24.95" customHeight="1">
      <c r="A2" s="791" t="s">
        <v>12</v>
      </c>
      <c r="B2" s="791" t="s">
        <v>13</v>
      </c>
      <c r="C2" s="791" t="s">
        <v>14</v>
      </c>
      <c r="D2" s="791" t="s">
        <v>15</v>
      </c>
      <c r="E2" s="52" t="s">
        <v>289</v>
      </c>
      <c r="F2" s="52" t="s">
        <v>290</v>
      </c>
      <c r="G2" s="52" t="s">
        <v>291</v>
      </c>
      <c r="H2" s="52" t="s">
        <v>292</v>
      </c>
      <c r="I2" s="52" t="s">
        <v>293</v>
      </c>
      <c r="J2" s="52" t="s">
        <v>294</v>
      </c>
      <c r="K2" s="52" t="s">
        <v>295</v>
      </c>
      <c r="L2" s="52" t="s">
        <v>296</v>
      </c>
      <c r="M2" s="52" t="s">
        <v>297</v>
      </c>
      <c r="N2" s="52" t="s">
        <v>298</v>
      </c>
      <c r="O2" s="52" t="s">
        <v>299</v>
      </c>
      <c r="P2" s="52" t="s">
        <v>300</v>
      </c>
      <c r="Q2" s="52" t="s">
        <v>301</v>
      </c>
      <c r="R2" s="52" t="s">
        <v>302</v>
      </c>
      <c r="S2" s="52" t="s">
        <v>303</v>
      </c>
      <c r="T2" s="52" t="s">
        <v>304</v>
      </c>
      <c r="U2" s="52" t="s">
        <v>305</v>
      </c>
      <c r="V2" s="52" t="s">
        <v>306</v>
      </c>
      <c r="W2" s="52" t="s">
        <v>307</v>
      </c>
      <c r="X2" s="52" t="s">
        <v>308</v>
      </c>
      <c r="Y2" s="791" t="s">
        <v>17</v>
      </c>
    </row>
    <row r="3" spans="1:25" ht="24.95" customHeight="1">
      <c r="A3" s="792"/>
      <c r="B3" s="792"/>
      <c r="C3" s="792"/>
      <c r="D3" s="792"/>
      <c r="E3" s="33" t="s">
        <v>464</v>
      </c>
      <c r="F3" s="33" t="s">
        <v>464</v>
      </c>
      <c r="G3" s="33" t="s">
        <v>464</v>
      </c>
      <c r="H3" s="33" t="s">
        <v>464</v>
      </c>
      <c r="I3" s="33" t="s">
        <v>463</v>
      </c>
      <c r="J3" s="33" t="s">
        <v>463</v>
      </c>
      <c r="K3" s="33" t="s">
        <v>463</v>
      </c>
      <c r="L3" s="33" t="s">
        <v>463</v>
      </c>
      <c r="M3" s="33" t="s">
        <v>463</v>
      </c>
      <c r="N3" s="33" t="s">
        <v>460</v>
      </c>
      <c r="O3" s="33" t="s">
        <v>460</v>
      </c>
      <c r="P3" s="33" t="s">
        <v>460</v>
      </c>
      <c r="Q3" s="33" t="s">
        <v>460</v>
      </c>
      <c r="R3" s="33" t="s">
        <v>460</v>
      </c>
      <c r="S3" s="33" t="s">
        <v>461</v>
      </c>
      <c r="T3" s="33" t="s">
        <v>460</v>
      </c>
      <c r="U3" s="33" t="s">
        <v>462</v>
      </c>
      <c r="V3" s="33" t="s">
        <v>460</v>
      </c>
      <c r="W3" s="33" t="s">
        <v>460</v>
      </c>
      <c r="X3" s="33" t="s">
        <v>460</v>
      </c>
      <c r="Y3" s="792"/>
    </row>
    <row r="4" spans="1:25" ht="24.95" customHeight="1">
      <c r="A4" s="35" t="s">
        <v>19</v>
      </c>
      <c r="B4" s="36" t="s">
        <v>20</v>
      </c>
      <c r="C4" s="36"/>
      <c r="D4" s="37" t="s">
        <v>21</v>
      </c>
      <c r="E4" s="38">
        <f t="shared" ref="E4:X4" si="0">E5+E32+E37</f>
        <v>123679896.22999999</v>
      </c>
      <c r="F4" s="38">
        <f t="shared" si="0"/>
        <v>42674178.579999998</v>
      </c>
      <c r="G4" s="38">
        <f t="shared" si="0"/>
        <v>36775619.049999997</v>
      </c>
      <c r="H4" s="38">
        <f t="shared" si="0"/>
        <v>47574334.219999999</v>
      </c>
      <c r="I4" s="38">
        <f t="shared" si="0"/>
        <v>155089921.33000001</v>
      </c>
      <c r="J4" s="38">
        <f t="shared" si="0"/>
        <v>25671099.18</v>
      </c>
      <c r="K4" s="38">
        <f t="shared" si="0"/>
        <v>59082254.959999993</v>
      </c>
      <c r="L4" s="38">
        <f t="shared" si="0"/>
        <v>24359039.82</v>
      </c>
      <c r="M4" s="38">
        <f t="shared" si="0"/>
        <v>55658006.520000003</v>
      </c>
      <c r="N4" s="38">
        <f t="shared" si="0"/>
        <v>35227661.200000003</v>
      </c>
      <c r="O4" s="38">
        <f t="shared" si="0"/>
        <v>16095520.27</v>
      </c>
      <c r="P4" s="38">
        <f t="shared" si="0"/>
        <v>17774278.849999998</v>
      </c>
      <c r="Q4" s="38">
        <f t="shared" si="0"/>
        <v>10691313.93</v>
      </c>
      <c r="R4" s="38">
        <f t="shared" si="0"/>
        <v>15563313.899999999</v>
      </c>
      <c r="S4" s="38">
        <f t="shared" si="0"/>
        <v>3141847.15</v>
      </c>
      <c r="T4" s="38">
        <f t="shared" si="0"/>
        <v>15984353.949999999</v>
      </c>
      <c r="U4" s="38">
        <f t="shared" si="0"/>
        <v>54247307.549999997</v>
      </c>
      <c r="V4" s="38">
        <f t="shared" si="0"/>
        <v>7180418.379999999</v>
      </c>
      <c r="W4" s="38">
        <f t="shared" si="0"/>
        <v>26858614.850000001</v>
      </c>
      <c r="X4" s="38">
        <f t="shared" si="0"/>
        <v>5226212.0199999996</v>
      </c>
      <c r="Y4" s="38">
        <f t="shared" ref="Y4:Y67" si="1">SUM(E4:X4)</f>
        <v>778555191.93999994</v>
      </c>
    </row>
    <row r="5" spans="1:25" ht="24.95" customHeight="1">
      <c r="A5" s="35" t="s">
        <v>22</v>
      </c>
      <c r="B5" s="36" t="s">
        <v>0</v>
      </c>
      <c r="C5" s="36"/>
      <c r="D5" s="37" t="s">
        <v>21</v>
      </c>
      <c r="E5" s="38">
        <f>E6+E9+E13+E16+E21+E26+E28+E30+E31</f>
        <v>103475681.14999999</v>
      </c>
      <c r="F5" s="38">
        <f t="shared" ref="F5:X5" si="2">F6+F9+F13+F16+F21+F26+F28+F30+F31</f>
        <v>35021807.149999999</v>
      </c>
      <c r="G5" s="38">
        <f t="shared" si="2"/>
        <v>29916835.710000001</v>
      </c>
      <c r="H5" s="38">
        <f t="shared" si="2"/>
        <v>39830768.559999995</v>
      </c>
      <c r="I5" s="38">
        <f t="shared" si="2"/>
        <v>130019167.44000001</v>
      </c>
      <c r="J5" s="38">
        <f t="shared" si="2"/>
        <v>21698245.440000001</v>
      </c>
      <c r="K5" s="38">
        <f t="shared" si="2"/>
        <v>49168209.229999997</v>
      </c>
      <c r="L5" s="38">
        <f t="shared" si="2"/>
        <v>20612076.559999999</v>
      </c>
      <c r="M5" s="38">
        <f t="shared" si="2"/>
        <v>47276106.230000004</v>
      </c>
      <c r="N5" s="38">
        <f t="shared" si="2"/>
        <v>30222078.289999999</v>
      </c>
      <c r="O5" s="38">
        <f t="shared" si="2"/>
        <v>13320412.559999999</v>
      </c>
      <c r="P5" s="38">
        <f t="shared" si="2"/>
        <v>15162754.289999999</v>
      </c>
      <c r="Q5" s="38">
        <f t="shared" si="2"/>
        <v>9361678.8399999999</v>
      </c>
      <c r="R5" s="38">
        <f t="shared" si="2"/>
        <v>13190629.039999999</v>
      </c>
      <c r="S5" s="38">
        <f t="shared" si="2"/>
        <v>2647160.29</v>
      </c>
      <c r="T5" s="38">
        <f t="shared" si="2"/>
        <v>14221134.289999999</v>
      </c>
      <c r="U5" s="38">
        <f t="shared" si="2"/>
        <v>44736412.289999999</v>
      </c>
      <c r="V5" s="38">
        <f t="shared" si="2"/>
        <v>5984493.1499999994</v>
      </c>
      <c r="W5" s="38">
        <f t="shared" si="2"/>
        <v>24144545.710000001</v>
      </c>
      <c r="X5" s="38">
        <f t="shared" si="2"/>
        <v>4103171.85</v>
      </c>
      <c r="Y5" s="38">
        <f t="shared" si="1"/>
        <v>654113368.06999993</v>
      </c>
    </row>
    <row r="6" spans="1:25" ht="24.95" customHeight="1">
      <c r="A6" s="35" t="s">
        <v>23</v>
      </c>
      <c r="B6" s="36" t="s">
        <v>24</v>
      </c>
      <c r="C6" s="36"/>
      <c r="D6" s="37" t="s">
        <v>21</v>
      </c>
      <c r="E6" s="38">
        <f>E7+E8</f>
        <v>13346017</v>
      </c>
      <c r="F6" s="38">
        <f t="shared" ref="F6:X6" si="3">F7+F8</f>
        <v>4575828</v>
      </c>
      <c r="G6" s="38">
        <f t="shared" si="3"/>
        <v>3961992</v>
      </c>
      <c r="H6" s="38">
        <f t="shared" si="3"/>
        <v>4764552</v>
      </c>
      <c r="I6" s="38">
        <f t="shared" si="3"/>
        <v>16713215</v>
      </c>
      <c r="J6" s="38">
        <f t="shared" si="3"/>
        <v>2976804</v>
      </c>
      <c r="K6" s="38">
        <f t="shared" si="3"/>
        <v>5856958.0800000001</v>
      </c>
      <c r="L6" s="38">
        <f t="shared" si="3"/>
        <v>2769900</v>
      </c>
      <c r="M6" s="38">
        <f t="shared" si="3"/>
        <v>5720996.5200000005</v>
      </c>
      <c r="N6" s="38">
        <f t="shared" si="3"/>
        <v>4382400</v>
      </c>
      <c r="O6" s="38">
        <f t="shared" si="3"/>
        <v>1986792</v>
      </c>
      <c r="P6" s="38">
        <f t="shared" si="3"/>
        <v>1979256</v>
      </c>
      <c r="Q6" s="38">
        <f t="shared" si="3"/>
        <v>1269622.3999999999</v>
      </c>
      <c r="R6" s="38">
        <f t="shared" si="3"/>
        <v>1933330.75</v>
      </c>
      <c r="S6" s="38">
        <f t="shared" si="3"/>
        <v>359736</v>
      </c>
      <c r="T6" s="38">
        <f t="shared" si="3"/>
        <v>1961892</v>
      </c>
      <c r="U6" s="38">
        <f t="shared" si="3"/>
        <v>4841988</v>
      </c>
      <c r="V6" s="38">
        <f t="shared" si="3"/>
        <v>774180</v>
      </c>
      <c r="W6" s="38">
        <f t="shared" si="3"/>
        <v>3463896</v>
      </c>
      <c r="X6" s="38">
        <f t="shared" si="3"/>
        <v>492922</v>
      </c>
      <c r="Y6" s="38">
        <f t="shared" si="1"/>
        <v>84132277.75</v>
      </c>
    </row>
    <row r="7" spans="1:25" ht="24.95" customHeight="1">
      <c r="A7" s="35" t="s">
        <v>25</v>
      </c>
      <c r="B7" s="36" t="s">
        <v>26</v>
      </c>
      <c r="C7" s="36" t="s">
        <v>27</v>
      </c>
      <c r="D7" s="37" t="s">
        <v>28</v>
      </c>
      <c r="E7" s="40">
        <v>7331142</v>
      </c>
      <c r="F7" s="40">
        <f>217520*12</f>
        <v>2610240</v>
      </c>
      <c r="G7" s="40">
        <v>2195160</v>
      </c>
      <c r="H7" s="40">
        <f>243457*12</f>
        <v>2921484</v>
      </c>
      <c r="I7" s="40">
        <v>9736373</v>
      </c>
      <c r="J7" s="40">
        <v>1558896</v>
      </c>
      <c r="K7" s="40">
        <f>294035.84*12</f>
        <v>3528430.08</v>
      </c>
      <c r="L7" s="40">
        <f>120511*12</f>
        <v>1446132</v>
      </c>
      <c r="M7" s="40">
        <f>291512.71*12</f>
        <v>3498152.5200000005</v>
      </c>
      <c r="N7" s="40">
        <f>197084*12</f>
        <v>2365008</v>
      </c>
      <c r="O7" s="40">
        <f>86075*12</f>
        <v>1032900</v>
      </c>
      <c r="P7" s="40">
        <f>103202*12</f>
        <v>1238424</v>
      </c>
      <c r="Q7" s="40">
        <v>766767.4</v>
      </c>
      <c r="R7" s="40">
        <v>1045390</v>
      </c>
      <c r="S7" s="40">
        <v>183000</v>
      </c>
      <c r="T7" s="40">
        <v>1156320</v>
      </c>
      <c r="U7" s="40">
        <f>273300*12</f>
        <v>3279600</v>
      </c>
      <c r="V7" s="40">
        <f>39325*12</f>
        <v>471900</v>
      </c>
      <c r="W7" s="40">
        <f>159189*12</f>
        <v>1910268</v>
      </c>
      <c r="X7" s="40">
        <v>317548</v>
      </c>
      <c r="Y7" s="38">
        <f t="shared" si="1"/>
        <v>48593135</v>
      </c>
    </row>
    <row r="8" spans="1:25" ht="24.95" customHeight="1">
      <c r="A8" s="35" t="s">
        <v>29</v>
      </c>
      <c r="B8" s="36" t="s">
        <v>30</v>
      </c>
      <c r="C8" s="36" t="s">
        <v>27</v>
      </c>
      <c r="D8" s="37" t="s">
        <v>28</v>
      </c>
      <c r="E8" s="40">
        <v>6014875</v>
      </c>
      <c r="F8" s="40">
        <f>163799*12</f>
        <v>1965588</v>
      </c>
      <c r="G8" s="40">
        <v>1766832</v>
      </c>
      <c r="H8" s="40">
        <f>153589*12</f>
        <v>1843068</v>
      </c>
      <c r="I8" s="40">
        <v>6976842</v>
      </c>
      <c r="J8" s="40">
        <v>1417908</v>
      </c>
      <c r="K8" s="40">
        <f>194044*12</f>
        <v>2328528</v>
      </c>
      <c r="L8" s="40">
        <f>110314*12</f>
        <v>1323768</v>
      </c>
      <c r="M8" s="40">
        <f>185237*12</f>
        <v>2222844</v>
      </c>
      <c r="N8" s="40">
        <f>168116*12</f>
        <v>2017392</v>
      </c>
      <c r="O8" s="40">
        <f>79491*12</f>
        <v>953892</v>
      </c>
      <c r="P8" s="40">
        <f>61736*12</f>
        <v>740832</v>
      </c>
      <c r="Q8" s="40">
        <v>502855</v>
      </c>
      <c r="R8" s="40">
        <v>887940.75</v>
      </c>
      <c r="S8" s="40">
        <v>176736</v>
      </c>
      <c r="T8" s="40">
        <v>805572</v>
      </c>
      <c r="U8" s="40">
        <f>130199*12</f>
        <v>1562388</v>
      </c>
      <c r="V8" s="40">
        <f>25190*12</f>
        <v>302280</v>
      </c>
      <c r="W8" s="40">
        <f>129469*12</f>
        <v>1553628</v>
      </c>
      <c r="X8" s="40">
        <v>175374</v>
      </c>
      <c r="Y8" s="38">
        <f t="shared" si="1"/>
        <v>35539142.75</v>
      </c>
    </row>
    <row r="9" spans="1:25" ht="24.95" customHeight="1">
      <c r="A9" s="35" t="s">
        <v>31</v>
      </c>
      <c r="B9" s="36" t="s">
        <v>32</v>
      </c>
      <c r="C9" s="36"/>
      <c r="D9" s="37" t="s">
        <v>21</v>
      </c>
      <c r="E9" s="38">
        <f>E10+E11</f>
        <v>1433780</v>
      </c>
      <c r="F9" s="38">
        <f t="shared" ref="F9:X9" si="4">F10+F11</f>
        <v>487308</v>
      </c>
      <c r="G9" s="38">
        <f t="shared" si="4"/>
        <v>423072</v>
      </c>
      <c r="H9" s="38">
        <f t="shared" si="4"/>
        <v>565284</v>
      </c>
      <c r="I9" s="38">
        <f t="shared" si="4"/>
        <v>1918399</v>
      </c>
      <c r="J9" s="38">
        <f t="shared" si="4"/>
        <v>316548</v>
      </c>
      <c r="K9" s="38">
        <f t="shared" si="4"/>
        <v>719484</v>
      </c>
      <c r="L9" s="38">
        <f t="shared" si="4"/>
        <v>300420</v>
      </c>
      <c r="M9" s="38">
        <f t="shared" si="4"/>
        <v>693684</v>
      </c>
      <c r="N9" s="38">
        <f t="shared" si="4"/>
        <v>493956</v>
      </c>
      <c r="O9" s="38">
        <f t="shared" si="4"/>
        <v>220008</v>
      </c>
      <c r="P9" s="38">
        <f t="shared" si="4"/>
        <v>256452</v>
      </c>
      <c r="Q9" s="38">
        <f t="shared" si="4"/>
        <v>155029</v>
      </c>
      <c r="R9" s="38">
        <f t="shared" si="4"/>
        <v>219935</v>
      </c>
      <c r="S9" s="38">
        <f t="shared" si="4"/>
        <v>37488</v>
      </c>
      <c r="T9" s="38">
        <f t="shared" si="4"/>
        <v>235152</v>
      </c>
      <c r="U9" s="38">
        <f t="shared" si="4"/>
        <v>633864</v>
      </c>
      <c r="V9" s="38">
        <f t="shared" si="4"/>
        <v>101340</v>
      </c>
      <c r="W9" s="38">
        <f t="shared" si="4"/>
        <v>391752</v>
      </c>
      <c r="X9" s="38">
        <f t="shared" si="4"/>
        <v>74681</v>
      </c>
      <c r="Y9" s="38">
        <f t="shared" si="1"/>
        <v>9677636</v>
      </c>
    </row>
    <row r="10" spans="1:25" ht="24.95" customHeight="1">
      <c r="A10" s="35" t="s">
        <v>33</v>
      </c>
      <c r="B10" s="36" t="s">
        <v>34</v>
      </c>
      <c r="C10" s="36" t="s">
        <v>27</v>
      </c>
      <c r="D10" s="37" t="s">
        <v>28</v>
      </c>
      <c r="E10" s="40">
        <v>18740</v>
      </c>
      <c r="F10" s="40">
        <f>569*12</f>
        <v>6828</v>
      </c>
      <c r="G10" s="40">
        <v>5952</v>
      </c>
      <c r="H10" s="40">
        <f>467*12</f>
        <v>5604</v>
      </c>
      <c r="I10" s="40">
        <v>22879</v>
      </c>
      <c r="J10" s="40">
        <v>5028</v>
      </c>
      <c r="K10" s="40">
        <f>557*12</f>
        <v>6684</v>
      </c>
      <c r="L10" s="40">
        <f>395*12</f>
        <v>4740</v>
      </c>
      <c r="M10" s="40">
        <f>607*12</f>
        <v>7284</v>
      </c>
      <c r="N10" s="40">
        <f>683*12</f>
        <v>8196</v>
      </c>
      <c r="O10" s="40">
        <f>294*12</f>
        <v>3528</v>
      </c>
      <c r="P10" s="40">
        <f>251*12</f>
        <v>3012</v>
      </c>
      <c r="Q10" s="40">
        <v>1909</v>
      </c>
      <c r="R10" s="40">
        <v>3455</v>
      </c>
      <c r="S10" s="40">
        <v>528</v>
      </c>
      <c r="T10" s="40">
        <v>2832</v>
      </c>
      <c r="U10" s="40">
        <f>(338+124)*12</f>
        <v>5544</v>
      </c>
      <c r="V10" s="40">
        <f>85*12</f>
        <v>1020</v>
      </c>
      <c r="W10" s="40">
        <f>526*12</f>
        <v>6312</v>
      </c>
      <c r="X10" s="40">
        <v>761</v>
      </c>
      <c r="Y10" s="38">
        <f t="shared" si="1"/>
        <v>120836</v>
      </c>
    </row>
    <row r="11" spans="1:25" ht="24.95" customHeight="1">
      <c r="A11" s="35" t="s">
        <v>35</v>
      </c>
      <c r="B11" s="36" t="s">
        <v>36</v>
      </c>
      <c r="C11" s="36"/>
      <c r="D11" s="37" t="s">
        <v>21</v>
      </c>
      <c r="E11" s="38">
        <f>E12</f>
        <v>1415040</v>
      </c>
      <c r="F11" s="38">
        <f t="shared" ref="F11:X11" si="5">F12</f>
        <v>480480</v>
      </c>
      <c r="G11" s="38">
        <f t="shared" si="5"/>
        <v>417120</v>
      </c>
      <c r="H11" s="38">
        <f t="shared" si="5"/>
        <v>559680</v>
      </c>
      <c r="I11" s="38">
        <f t="shared" si="5"/>
        <v>1895520</v>
      </c>
      <c r="J11" s="38">
        <f t="shared" si="5"/>
        <v>311520</v>
      </c>
      <c r="K11" s="38">
        <f t="shared" si="5"/>
        <v>712800</v>
      </c>
      <c r="L11" s="38">
        <f t="shared" si="5"/>
        <v>295680</v>
      </c>
      <c r="M11" s="38">
        <f t="shared" si="5"/>
        <v>686400</v>
      </c>
      <c r="N11" s="38">
        <f t="shared" si="5"/>
        <v>485760</v>
      </c>
      <c r="O11" s="38">
        <f t="shared" si="5"/>
        <v>216480</v>
      </c>
      <c r="P11" s="38">
        <f t="shared" si="5"/>
        <v>253440</v>
      </c>
      <c r="Q11" s="38">
        <f t="shared" si="5"/>
        <v>153120</v>
      </c>
      <c r="R11" s="38">
        <f t="shared" si="5"/>
        <v>216480</v>
      </c>
      <c r="S11" s="38">
        <f t="shared" si="5"/>
        <v>36960</v>
      </c>
      <c r="T11" s="38">
        <f t="shared" si="5"/>
        <v>232320</v>
      </c>
      <c r="U11" s="38">
        <f t="shared" si="5"/>
        <v>628320</v>
      </c>
      <c r="V11" s="38">
        <f t="shared" si="5"/>
        <v>100320</v>
      </c>
      <c r="W11" s="38">
        <f t="shared" si="5"/>
        <v>385440</v>
      </c>
      <c r="X11" s="38">
        <f t="shared" si="5"/>
        <v>73920</v>
      </c>
      <c r="Y11" s="38">
        <f t="shared" si="1"/>
        <v>9556800</v>
      </c>
    </row>
    <row r="12" spans="1:25" s="2" customFormat="1" ht="24.95" customHeight="1">
      <c r="A12" s="35" t="s">
        <v>37</v>
      </c>
      <c r="B12" s="42" t="s">
        <v>309</v>
      </c>
      <c r="C12" s="42" t="s">
        <v>27</v>
      </c>
      <c r="D12" s="39" t="s">
        <v>21</v>
      </c>
      <c r="E12" s="38">
        <f>440*12*E60</f>
        <v>1415040</v>
      </c>
      <c r="F12" s="38">
        <f t="shared" ref="F12:X12" si="6">440*12*F60</f>
        <v>480480</v>
      </c>
      <c r="G12" s="38">
        <f t="shared" si="6"/>
        <v>417120</v>
      </c>
      <c r="H12" s="38">
        <f t="shared" si="6"/>
        <v>559680</v>
      </c>
      <c r="I12" s="38">
        <f t="shared" si="6"/>
        <v>1895520</v>
      </c>
      <c r="J12" s="38">
        <f t="shared" si="6"/>
        <v>311520</v>
      </c>
      <c r="K12" s="38">
        <f t="shared" si="6"/>
        <v>712800</v>
      </c>
      <c r="L12" s="38">
        <f t="shared" si="6"/>
        <v>295680</v>
      </c>
      <c r="M12" s="38">
        <f t="shared" si="6"/>
        <v>686400</v>
      </c>
      <c r="N12" s="38">
        <f t="shared" si="6"/>
        <v>485760</v>
      </c>
      <c r="O12" s="38">
        <f t="shared" si="6"/>
        <v>216480</v>
      </c>
      <c r="P12" s="38">
        <f t="shared" si="6"/>
        <v>253440</v>
      </c>
      <c r="Q12" s="38">
        <f t="shared" si="6"/>
        <v>153120</v>
      </c>
      <c r="R12" s="38">
        <f t="shared" si="6"/>
        <v>216480</v>
      </c>
      <c r="S12" s="38">
        <f t="shared" si="6"/>
        <v>36960</v>
      </c>
      <c r="T12" s="38">
        <f t="shared" si="6"/>
        <v>232320</v>
      </c>
      <c r="U12" s="38">
        <f t="shared" si="6"/>
        <v>628320</v>
      </c>
      <c r="V12" s="38">
        <f t="shared" si="6"/>
        <v>100320</v>
      </c>
      <c r="W12" s="38">
        <f t="shared" si="6"/>
        <v>385440</v>
      </c>
      <c r="X12" s="38">
        <f t="shared" si="6"/>
        <v>73920</v>
      </c>
      <c r="Y12" s="38">
        <f t="shared" si="1"/>
        <v>9556800</v>
      </c>
    </row>
    <row r="13" spans="1:25" ht="24.95" customHeight="1">
      <c r="A13" s="35" t="s">
        <v>39</v>
      </c>
      <c r="B13" s="36" t="s">
        <v>40</v>
      </c>
      <c r="C13" s="36"/>
      <c r="D13" s="37" t="s">
        <v>41</v>
      </c>
      <c r="E13" s="38">
        <f>E14+E15</f>
        <v>701092.72</v>
      </c>
      <c r="F13" s="38">
        <f t="shared" ref="F13:X13" si="7">F14+F15</f>
        <v>234541.72</v>
      </c>
      <c r="G13" s="38">
        <f t="shared" si="7"/>
        <v>193028.58</v>
      </c>
      <c r="H13" s="38">
        <f t="shared" si="7"/>
        <v>264402.86</v>
      </c>
      <c r="I13" s="38">
        <f t="shared" si="7"/>
        <v>858997.14</v>
      </c>
      <c r="J13" s="38">
        <f t="shared" si="7"/>
        <v>143369.14000000001</v>
      </c>
      <c r="K13" s="38">
        <f t="shared" si="7"/>
        <v>338689.72</v>
      </c>
      <c r="L13" s="38">
        <f t="shared" si="7"/>
        <v>137694.85999999999</v>
      </c>
      <c r="M13" s="38">
        <f t="shared" si="7"/>
        <v>322748.58</v>
      </c>
      <c r="N13" s="38">
        <f t="shared" si="7"/>
        <v>206883.42</v>
      </c>
      <c r="O13" s="38">
        <f t="shared" si="7"/>
        <v>88158.86</v>
      </c>
      <c r="P13" s="38">
        <f t="shared" si="7"/>
        <v>101343.42</v>
      </c>
      <c r="Q13" s="38">
        <f t="shared" si="7"/>
        <v>64049.14</v>
      </c>
      <c r="R13" s="38">
        <f t="shared" si="7"/>
        <v>86464.42</v>
      </c>
      <c r="S13" s="38">
        <f t="shared" si="7"/>
        <v>18183.419999999998</v>
      </c>
      <c r="T13" s="38">
        <f t="shared" si="7"/>
        <v>96771.42</v>
      </c>
      <c r="U13" s="38">
        <f t="shared" si="7"/>
        <v>308571.42</v>
      </c>
      <c r="V13" s="38">
        <f t="shared" si="7"/>
        <v>39937.72</v>
      </c>
      <c r="W13" s="38">
        <f t="shared" si="7"/>
        <v>168104.58</v>
      </c>
      <c r="X13" s="38">
        <f t="shared" si="7"/>
        <v>24340.28</v>
      </c>
      <c r="Y13" s="38">
        <f t="shared" si="1"/>
        <v>4397373.42</v>
      </c>
    </row>
    <row r="14" spans="1:25" s="2" customFormat="1" ht="24.95" customHeight="1">
      <c r="A14" s="35" t="s">
        <v>42</v>
      </c>
      <c r="B14" s="42" t="s">
        <v>310</v>
      </c>
      <c r="C14" s="42" t="s">
        <v>27</v>
      </c>
      <c r="D14" s="39" t="s">
        <v>43</v>
      </c>
      <c r="E14" s="38">
        <f>ROUND(E30/0.07*0.005,2)</f>
        <v>350546.36</v>
      </c>
      <c r="F14" s="38">
        <f t="shared" ref="F14:X14" si="8">ROUND(F30/0.07*0.005,2)</f>
        <v>117270.86</v>
      </c>
      <c r="G14" s="38">
        <f t="shared" si="8"/>
        <v>96514.29</v>
      </c>
      <c r="H14" s="38">
        <f t="shared" si="8"/>
        <v>132201.43</v>
      </c>
      <c r="I14" s="38">
        <f t="shared" si="8"/>
        <v>429498.57</v>
      </c>
      <c r="J14" s="38">
        <f t="shared" si="8"/>
        <v>71684.570000000007</v>
      </c>
      <c r="K14" s="38">
        <f t="shared" si="8"/>
        <v>169344.86</v>
      </c>
      <c r="L14" s="38">
        <f t="shared" si="8"/>
        <v>68847.429999999993</v>
      </c>
      <c r="M14" s="38">
        <f t="shared" si="8"/>
        <v>161374.29</v>
      </c>
      <c r="N14" s="38">
        <f t="shared" si="8"/>
        <v>103441.71</v>
      </c>
      <c r="O14" s="38">
        <f t="shared" si="8"/>
        <v>44079.43</v>
      </c>
      <c r="P14" s="38">
        <f t="shared" si="8"/>
        <v>50671.71</v>
      </c>
      <c r="Q14" s="38">
        <f t="shared" si="8"/>
        <v>32024.57</v>
      </c>
      <c r="R14" s="38">
        <f t="shared" si="8"/>
        <v>43232.21</v>
      </c>
      <c r="S14" s="38">
        <f t="shared" si="8"/>
        <v>9091.7099999999991</v>
      </c>
      <c r="T14" s="38">
        <f t="shared" si="8"/>
        <v>48385.71</v>
      </c>
      <c r="U14" s="38">
        <f t="shared" si="8"/>
        <v>154285.71</v>
      </c>
      <c r="V14" s="38">
        <f t="shared" si="8"/>
        <v>19968.86</v>
      </c>
      <c r="W14" s="38">
        <f t="shared" si="8"/>
        <v>84052.29</v>
      </c>
      <c r="X14" s="38">
        <f t="shared" si="8"/>
        <v>12170.14</v>
      </c>
      <c r="Y14" s="38">
        <f t="shared" si="1"/>
        <v>2198686.71</v>
      </c>
    </row>
    <row r="15" spans="1:25" s="2" customFormat="1" ht="24.95" customHeight="1">
      <c r="A15" s="35" t="s">
        <v>44</v>
      </c>
      <c r="B15" s="42" t="s">
        <v>311</v>
      </c>
      <c r="C15" s="42" t="s">
        <v>27</v>
      </c>
      <c r="D15" s="39" t="s">
        <v>43</v>
      </c>
      <c r="E15" s="38">
        <f>ROUND(E30/0.07*0.005,2)</f>
        <v>350546.36</v>
      </c>
      <c r="F15" s="38">
        <f t="shared" ref="F15:X15" si="9">ROUND(F30/0.07*0.005,2)</f>
        <v>117270.86</v>
      </c>
      <c r="G15" s="38">
        <f t="shared" si="9"/>
        <v>96514.29</v>
      </c>
      <c r="H15" s="38">
        <f t="shared" si="9"/>
        <v>132201.43</v>
      </c>
      <c r="I15" s="38">
        <f t="shared" si="9"/>
        <v>429498.57</v>
      </c>
      <c r="J15" s="38">
        <f t="shared" si="9"/>
        <v>71684.570000000007</v>
      </c>
      <c r="K15" s="38">
        <f t="shared" si="9"/>
        <v>169344.86</v>
      </c>
      <c r="L15" s="38">
        <f t="shared" si="9"/>
        <v>68847.429999999993</v>
      </c>
      <c r="M15" s="38">
        <f t="shared" si="9"/>
        <v>161374.29</v>
      </c>
      <c r="N15" s="38">
        <f t="shared" si="9"/>
        <v>103441.71</v>
      </c>
      <c r="O15" s="38">
        <f t="shared" si="9"/>
        <v>44079.43</v>
      </c>
      <c r="P15" s="38">
        <f t="shared" si="9"/>
        <v>50671.71</v>
      </c>
      <c r="Q15" s="38">
        <f t="shared" si="9"/>
        <v>32024.57</v>
      </c>
      <c r="R15" s="38">
        <f t="shared" si="9"/>
        <v>43232.21</v>
      </c>
      <c r="S15" s="38">
        <f t="shared" si="9"/>
        <v>9091.7099999999991</v>
      </c>
      <c r="T15" s="38">
        <f t="shared" si="9"/>
        <v>48385.71</v>
      </c>
      <c r="U15" s="38">
        <f t="shared" si="9"/>
        <v>154285.71</v>
      </c>
      <c r="V15" s="38">
        <f t="shared" si="9"/>
        <v>19968.86</v>
      </c>
      <c r="W15" s="38">
        <f t="shared" si="9"/>
        <v>84052.29</v>
      </c>
      <c r="X15" s="38">
        <f t="shared" si="9"/>
        <v>12170.14</v>
      </c>
      <c r="Y15" s="38">
        <f t="shared" si="1"/>
        <v>2198686.71</v>
      </c>
    </row>
    <row r="16" spans="1:25" ht="24.95" customHeight="1">
      <c r="A16" s="35" t="s">
        <v>46</v>
      </c>
      <c r="B16" s="36" t="s">
        <v>47</v>
      </c>
      <c r="C16" s="36"/>
      <c r="D16" s="37" t="s">
        <v>21</v>
      </c>
      <c r="E16" s="38">
        <f>E17+E18+E19+E20</f>
        <v>57146712</v>
      </c>
      <c r="F16" s="38">
        <f t="shared" ref="F16:X16" si="10">F17+F18+F19+F20</f>
        <v>19404294</v>
      </c>
      <c r="G16" s="38">
        <f t="shared" si="10"/>
        <v>16845486</v>
      </c>
      <c r="H16" s="38">
        <f t="shared" si="10"/>
        <v>22602804</v>
      </c>
      <c r="I16" s="38">
        <f t="shared" si="10"/>
        <v>72732682</v>
      </c>
      <c r="J16" s="38">
        <f t="shared" si="10"/>
        <v>11953282</v>
      </c>
      <c r="K16" s="38">
        <f t="shared" si="10"/>
        <v>27350730</v>
      </c>
      <c r="L16" s="38">
        <f t="shared" si="10"/>
        <v>11345488</v>
      </c>
      <c r="M16" s="38">
        <f t="shared" si="10"/>
        <v>26337740</v>
      </c>
      <c r="N16" s="38">
        <f t="shared" si="10"/>
        <v>16035968</v>
      </c>
      <c r="O16" s="38">
        <f t="shared" si="10"/>
        <v>7146464</v>
      </c>
      <c r="P16" s="38">
        <f t="shared" si="10"/>
        <v>8366592</v>
      </c>
      <c r="Q16" s="38">
        <f t="shared" si="10"/>
        <v>5054816</v>
      </c>
      <c r="R16" s="38">
        <f t="shared" si="10"/>
        <v>7146464</v>
      </c>
      <c r="S16" s="38">
        <f t="shared" si="10"/>
        <v>1431682</v>
      </c>
      <c r="T16" s="38">
        <f t="shared" si="10"/>
        <v>7669376</v>
      </c>
      <c r="U16" s="38">
        <f t="shared" si="10"/>
        <v>25374846</v>
      </c>
      <c r="V16" s="38">
        <f t="shared" si="10"/>
        <v>3311776</v>
      </c>
      <c r="W16" s="38">
        <f t="shared" si="10"/>
        <v>12724192</v>
      </c>
      <c r="X16" s="38">
        <f t="shared" si="10"/>
        <v>2440256</v>
      </c>
      <c r="Y16" s="38">
        <f t="shared" si="1"/>
        <v>362421650</v>
      </c>
    </row>
    <row r="17" spans="1:25" ht="24.95" customHeight="1">
      <c r="A17" s="35" t="s">
        <v>48</v>
      </c>
      <c r="B17" s="43" t="s">
        <v>49</v>
      </c>
      <c r="C17" s="43" t="s">
        <v>27</v>
      </c>
      <c r="D17" s="44" t="s">
        <v>312</v>
      </c>
      <c r="E17" s="45">
        <v>52207088</v>
      </c>
      <c r="F17" s="45">
        <v>17693078</v>
      </c>
      <c r="G17" s="45">
        <v>15083062</v>
      </c>
      <c r="H17" s="45">
        <v>20591208</v>
      </c>
      <c r="I17" s="45">
        <v>66309974</v>
      </c>
      <c r="J17" s="45">
        <v>10779090</v>
      </c>
      <c r="K17" s="45">
        <v>24596646</v>
      </c>
      <c r="L17" s="45">
        <v>10223616</v>
      </c>
      <c r="M17" s="45">
        <v>23988104</v>
      </c>
      <c r="N17" s="45">
        <v>15193284</v>
      </c>
      <c r="O17" s="45">
        <v>6678348</v>
      </c>
      <c r="P17" s="45">
        <v>7856488</v>
      </c>
      <c r="Q17" s="45">
        <v>4659540</v>
      </c>
      <c r="R17" s="45">
        <v>6677760</v>
      </c>
      <c r="S17" s="45">
        <v>1389682</v>
      </c>
      <c r="T17" s="45">
        <v>7131220</v>
      </c>
      <c r="U17" s="45">
        <v>23212346</v>
      </c>
      <c r="V17" s="45">
        <v>2992460</v>
      </c>
      <c r="W17" s="45">
        <v>12286192</v>
      </c>
      <c r="X17" s="45">
        <v>2149500</v>
      </c>
      <c r="Y17" s="38">
        <f t="shared" si="1"/>
        <v>331698686</v>
      </c>
    </row>
    <row r="18" spans="1:25" ht="24.95" customHeight="1">
      <c r="A18" s="35" t="s">
        <v>51</v>
      </c>
      <c r="B18" s="43" t="s">
        <v>52</v>
      </c>
      <c r="C18" s="43" t="s">
        <v>27</v>
      </c>
      <c r="D18" s="44" t="s">
        <v>53</v>
      </c>
      <c r="E18" s="45">
        <v>651624</v>
      </c>
      <c r="F18" s="45">
        <v>255216</v>
      </c>
      <c r="G18" s="45">
        <f>478464+19960</f>
        <v>498424</v>
      </c>
      <c r="H18" s="45">
        <f>304268+11328</f>
        <v>315596</v>
      </c>
      <c r="I18" s="45">
        <v>678708</v>
      </c>
      <c r="J18" s="45">
        <v>230192</v>
      </c>
      <c r="K18" s="45">
        <v>594084</v>
      </c>
      <c r="L18" s="45">
        <v>225872</v>
      </c>
      <c r="M18" s="45">
        <v>269636</v>
      </c>
      <c r="N18" s="45">
        <v>290684</v>
      </c>
      <c r="O18" s="45">
        <v>222116</v>
      </c>
      <c r="P18" s="45">
        <v>222104</v>
      </c>
      <c r="Q18" s="45">
        <v>221276</v>
      </c>
      <c r="R18" s="45">
        <v>222704</v>
      </c>
      <c r="S18" s="45"/>
      <c r="T18" s="45">
        <v>274156</v>
      </c>
      <c r="U18" s="45">
        <f>248428+10072</f>
        <v>258500</v>
      </c>
      <c r="V18" s="45">
        <v>205316</v>
      </c>
      <c r="W18" s="45"/>
      <c r="X18" s="45">
        <v>206756</v>
      </c>
      <c r="Y18" s="38">
        <f t="shared" si="1"/>
        <v>5842964</v>
      </c>
    </row>
    <row r="19" spans="1:25" ht="24.95" customHeight="1">
      <c r="A19" s="35" t="s">
        <v>54</v>
      </c>
      <c r="B19" s="43" t="s">
        <v>313</v>
      </c>
      <c r="C19" s="43" t="s">
        <v>27</v>
      </c>
      <c r="D19" s="37" t="s">
        <v>21</v>
      </c>
      <c r="E19" s="46">
        <f>E60*500*12</f>
        <v>1608000</v>
      </c>
      <c r="F19" s="46">
        <f t="shared" ref="F19:X19" si="11">F60*500*12</f>
        <v>546000</v>
      </c>
      <c r="G19" s="46">
        <f t="shared" si="11"/>
        <v>474000</v>
      </c>
      <c r="H19" s="46">
        <f t="shared" si="11"/>
        <v>636000</v>
      </c>
      <c r="I19" s="46">
        <f t="shared" si="11"/>
        <v>2154000</v>
      </c>
      <c r="J19" s="46">
        <f t="shared" si="11"/>
        <v>354000</v>
      </c>
      <c r="K19" s="46">
        <f t="shared" si="11"/>
        <v>810000</v>
      </c>
      <c r="L19" s="46">
        <f t="shared" si="11"/>
        <v>336000</v>
      </c>
      <c r="M19" s="46">
        <f t="shared" si="11"/>
        <v>780000</v>
      </c>
      <c r="N19" s="46">
        <f t="shared" si="11"/>
        <v>552000</v>
      </c>
      <c r="O19" s="46">
        <f t="shared" si="11"/>
        <v>246000</v>
      </c>
      <c r="P19" s="46">
        <f t="shared" si="11"/>
        <v>288000</v>
      </c>
      <c r="Q19" s="46">
        <f t="shared" si="11"/>
        <v>174000</v>
      </c>
      <c r="R19" s="46">
        <f t="shared" si="11"/>
        <v>246000</v>
      </c>
      <c r="S19" s="46">
        <f t="shared" si="11"/>
        <v>42000</v>
      </c>
      <c r="T19" s="46">
        <f t="shared" si="11"/>
        <v>264000</v>
      </c>
      <c r="U19" s="46">
        <f t="shared" si="11"/>
        <v>714000</v>
      </c>
      <c r="V19" s="46">
        <f t="shared" si="11"/>
        <v>114000</v>
      </c>
      <c r="W19" s="46">
        <f t="shared" si="11"/>
        <v>438000</v>
      </c>
      <c r="X19" s="46">
        <f t="shared" si="11"/>
        <v>84000</v>
      </c>
      <c r="Y19" s="38">
        <f t="shared" si="1"/>
        <v>10860000</v>
      </c>
    </row>
    <row r="20" spans="1:25" ht="24.95" customHeight="1">
      <c r="A20" s="35" t="s">
        <v>56</v>
      </c>
      <c r="B20" s="43" t="s">
        <v>314</v>
      </c>
      <c r="C20" s="43" t="s">
        <v>27</v>
      </c>
      <c r="D20" s="37" t="s">
        <v>28</v>
      </c>
      <c r="E20" s="45">
        <v>2680000</v>
      </c>
      <c r="F20" s="45">
        <f>F61*10000</f>
        <v>910000</v>
      </c>
      <c r="G20" s="45">
        <f>G61*10000</f>
        <v>790000</v>
      </c>
      <c r="H20" s="45">
        <f>H61*10000</f>
        <v>1060000</v>
      </c>
      <c r="I20" s="45">
        <f>I62*10000</f>
        <v>3590000</v>
      </c>
      <c r="J20" s="45">
        <f>J62*10000</f>
        <v>590000</v>
      </c>
      <c r="K20" s="45">
        <f>K62*10000</f>
        <v>1350000</v>
      </c>
      <c r="L20" s="45">
        <f>L62*10000</f>
        <v>560000</v>
      </c>
      <c r="M20" s="45">
        <f>M62*10000</f>
        <v>1300000</v>
      </c>
      <c r="N20" s="45"/>
      <c r="O20" s="45"/>
      <c r="P20" s="45"/>
      <c r="Q20" s="45"/>
      <c r="R20" s="45"/>
      <c r="S20" s="45"/>
      <c r="T20" s="45"/>
      <c r="U20" s="45">
        <v>1190000</v>
      </c>
      <c r="V20" s="45"/>
      <c r="W20" s="45"/>
      <c r="X20" s="45"/>
      <c r="Y20" s="38">
        <f t="shared" si="1"/>
        <v>14020000</v>
      </c>
    </row>
    <row r="21" spans="1:25" ht="24.95" customHeight="1">
      <c r="A21" s="35" t="s">
        <v>58</v>
      </c>
      <c r="B21" s="36" t="s">
        <v>59</v>
      </c>
      <c r="C21" s="36"/>
      <c r="D21" s="44" t="s">
        <v>21</v>
      </c>
      <c r="E21" s="46">
        <f>E22+E23</f>
        <v>9114205.2899999991</v>
      </c>
      <c r="F21" s="46">
        <f t="shared" ref="F21:X21" si="12">F22+F23</f>
        <v>3049042.29</v>
      </c>
      <c r="G21" s="46">
        <f t="shared" si="12"/>
        <v>2509371.42</v>
      </c>
      <c r="H21" s="46">
        <f t="shared" si="12"/>
        <v>3437237.13</v>
      </c>
      <c r="I21" s="46">
        <f t="shared" si="12"/>
        <v>11166962.870000001</v>
      </c>
      <c r="J21" s="46">
        <f t="shared" si="12"/>
        <v>1863798.87</v>
      </c>
      <c r="K21" s="46">
        <f t="shared" si="12"/>
        <v>4402966.29</v>
      </c>
      <c r="L21" s="46">
        <f t="shared" si="12"/>
        <v>1790033.13</v>
      </c>
      <c r="M21" s="46">
        <f t="shared" si="12"/>
        <v>4195731.42</v>
      </c>
      <c r="N21" s="46">
        <f t="shared" si="12"/>
        <v>2689484.58</v>
      </c>
      <c r="O21" s="46">
        <f t="shared" si="12"/>
        <v>1146065.1299999999</v>
      </c>
      <c r="P21" s="46">
        <f t="shared" si="12"/>
        <v>1317464.58</v>
      </c>
      <c r="Q21" s="46">
        <f t="shared" si="12"/>
        <v>832638.87</v>
      </c>
      <c r="R21" s="46">
        <f t="shared" si="12"/>
        <v>1124037.58</v>
      </c>
      <c r="S21" s="46">
        <f t="shared" si="12"/>
        <v>236384.58</v>
      </c>
      <c r="T21" s="46">
        <f t="shared" si="12"/>
        <v>1258028.58</v>
      </c>
      <c r="U21" s="46">
        <f t="shared" si="12"/>
        <v>4011428.58</v>
      </c>
      <c r="V21" s="46">
        <f t="shared" si="12"/>
        <v>519190.29</v>
      </c>
      <c r="W21" s="46">
        <f t="shared" si="12"/>
        <v>2185359.42</v>
      </c>
      <c r="X21" s="46">
        <f t="shared" si="12"/>
        <v>316423.71000000002</v>
      </c>
      <c r="Y21" s="38">
        <f t="shared" si="1"/>
        <v>57165854.609999999</v>
      </c>
    </row>
    <row r="22" spans="1:25" ht="24.95" customHeight="1">
      <c r="A22" s="35" t="s">
        <v>60</v>
      </c>
      <c r="B22" s="36" t="s">
        <v>315</v>
      </c>
      <c r="C22" s="36" t="s">
        <v>61</v>
      </c>
      <c r="D22" s="44" t="s">
        <v>21</v>
      </c>
      <c r="E22" s="46">
        <f>ROUND(E30/0.07*0.09,2)</f>
        <v>6309834.4299999997</v>
      </c>
      <c r="F22" s="46">
        <f t="shared" ref="F22:X22" si="13">ROUND(F30/0.07*0.09,2)</f>
        <v>2110875.4300000002</v>
      </c>
      <c r="G22" s="46">
        <f t="shared" si="13"/>
        <v>1737257.14</v>
      </c>
      <c r="H22" s="46">
        <f t="shared" si="13"/>
        <v>2379625.71</v>
      </c>
      <c r="I22" s="46">
        <f t="shared" si="13"/>
        <v>7730974.29</v>
      </c>
      <c r="J22" s="46">
        <f t="shared" si="13"/>
        <v>1290322.29</v>
      </c>
      <c r="K22" s="46">
        <f t="shared" si="13"/>
        <v>3048207.43</v>
      </c>
      <c r="L22" s="46">
        <f t="shared" si="13"/>
        <v>1239253.71</v>
      </c>
      <c r="M22" s="46">
        <f t="shared" si="13"/>
        <v>2904737.14</v>
      </c>
      <c r="N22" s="46">
        <f t="shared" si="13"/>
        <v>1861950.86</v>
      </c>
      <c r="O22" s="46">
        <f t="shared" si="13"/>
        <v>793429.71</v>
      </c>
      <c r="P22" s="46">
        <f t="shared" si="13"/>
        <v>912090.86</v>
      </c>
      <c r="Q22" s="46">
        <f t="shared" si="13"/>
        <v>576442.29</v>
      </c>
      <c r="R22" s="46">
        <f t="shared" si="13"/>
        <v>778179.86</v>
      </c>
      <c r="S22" s="46">
        <f t="shared" si="13"/>
        <v>163650.85999999999</v>
      </c>
      <c r="T22" s="46">
        <f t="shared" si="13"/>
        <v>870942.86</v>
      </c>
      <c r="U22" s="46">
        <f t="shared" si="13"/>
        <v>2777142.86</v>
      </c>
      <c r="V22" s="46">
        <f t="shared" si="13"/>
        <v>359439.43</v>
      </c>
      <c r="W22" s="46">
        <f t="shared" si="13"/>
        <v>1512941.14</v>
      </c>
      <c r="X22" s="46">
        <f t="shared" si="13"/>
        <v>219062.57</v>
      </c>
      <c r="Y22" s="38">
        <f t="shared" si="1"/>
        <v>39576360.869999997</v>
      </c>
    </row>
    <row r="23" spans="1:25" ht="24.95" customHeight="1">
      <c r="A23" s="35" t="s">
        <v>62</v>
      </c>
      <c r="B23" s="36" t="s">
        <v>316</v>
      </c>
      <c r="C23" s="36" t="s">
        <v>61</v>
      </c>
      <c r="D23" s="44" t="s">
        <v>43</v>
      </c>
      <c r="E23" s="46">
        <f>E24+E25</f>
        <v>2804370.86</v>
      </c>
      <c r="F23" s="46">
        <f t="shared" ref="F23:X23" si="14">F24+F25</f>
        <v>938166.86</v>
      </c>
      <c r="G23" s="46">
        <f t="shared" si="14"/>
        <v>772114.28</v>
      </c>
      <c r="H23" s="46">
        <f t="shared" si="14"/>
        <v>1057611.42</v>
      </c>
      <c r="I23" s="46">
        <f t="shared" si="14"/>
        <v>3435988.58</v>
      </c>
      <c r="J23" s="46">
        <f t="shared" si="14"/>
        <v>573476.57999999996</v>
      </c>
      <c r="K23" s="46">
        <f t="shared" si="14"/>
        <v>1354758.86</v>
      </c>
      <c r="L23" s="46">
        <f t="shared" si="14"/>
        <v>550779.42000000004</v>
      </c>
      <c r="M23" s="46">
        <f t="shared" si="14"/>
        <v>1290994.28</v>
      </c>
      <c r="N23" s="46">
        <f t="shared" si="14"/>
        <v>827533.72</v>
      </c>
      <c r="O23" s="46">
        <f t="shared" si="14"/>
        <v>352635.42</v>
      </c>
      <c r="P23" s="46">
        <f t="shared" si="14"/>
        <v>405373.72</v>
      </c>
      <c r="Q23" s="46">
        <f t="shared" si="14"/>
        <v>256196.58</v>
      </c>
      <c r="R23" s="46">
        <f t="shared" si="14"/>
        <v>345857.72</v>
      </c>
      <c r="S23" s="46">
        <f t="shared" si="14"/>
        <v>72733.72</v>
      </c>
      <c r="T23" s="46">
        <f t="shared" si="14"/>
        <v>387085.72</v>
      </c>
      <c r="U23" s="46">
        <f t="shared" si="14"/>
        <v>1234285.72</v>
      </c>
      <c r="V23" s="46">
        <f t="shared" si="14"/>
        <v>159750.85999999999</v>
      </c>
      <c r="W23" s="46">
        <f t="shared" si="14"/>
        <v>672418.28</v>
      </c>
      <c r="X23" s="46">
        <f t="shared" si="14"/>
        <v>97361.14</v>
      </c>
      <c r="Y23" s="38">
        <f t="shared" si="1"/>
        <v>17589493.740000006</v>
      </c>
    </row>
    <row r="24" spans="1:25" ht="24.95" customHeight="1">
      <c r="A24" s="35" t="s">
        <v>64</v>
      </c>
      <c r="B24" s="36" t="s">
        <v>317</v>
      </c>
      <c r="C24" s="36" t="s">
        <v>61</v>
      </c>
      <c r="D24" s="44" t="s">
        <v>43</v>
      </c>
      <c r="E24" s="46">
        <f>ROUND(E30/0.07*0.02,2)</f>
        <v>1402185.43</v>
      </c>
      <c r="F24" s="46">
        <f t="shared" ref="F24:X24" si="15">ROUND(F30/0.07*0.02,2)</f>
        <v>469083.43</v>
      </c>
      <c r="G24" s="46">
        <f t="shared" si="15"/>
        <v>386057.14</v>
      </c>
      <c r="H24" s="46">
        <f t="shared" si="15"/>
        <v>528805.71</v>
      </c>
      <c r="I24" s="46">
        <f t="shared" si="15"/>
        <v>1717994.29</v>
      </c>
      <c r="J24" s="46">
        <f t="shared" si="15"/>
        <v>286738.28999999998</v>
      </c>
      <c r="K24" s="46">
        <f t="shared" si="15"/>
        <v>677379.43</v>
      </c>
      <c r="L24" s="46">
        <f t="shared" si="15"/>
        <v>275389.71000000002</v>
      </c>
      <c r="M24" s="46">
        <f t="shared" si="15"/>
        <v>645497.14</v>
      </c>
      <c r="N24" s="46">
        <f t="shared" si="15"/>
        <v>413766.86</v>
      </c>
      <c r="O24" s="46">
        <f t="shared" si="15"/>
        <v>176317.71</v>
      </c>
      <c r="P24" s="46">
        <f t="shared" si="15"/>
        <v>202686.86</v>
      </c>
      <c r="Q24" s="46">
        <f t="shared" si="15"/>
        <v>128098.29</v>
      </c>
      <c r="R24" s="46">
        <f t="shared" si="15"/>
        <v>172928.86</v>
      </c>
      <c r="S24" s="46">
        <f t="shared" si="15"/>
        <v>36366.86</v>
      </c>
      <c r="T24" s="46">
        <f t="shared" si="15"/>
        <v>193542.86</v>
      </c>
      <c r="U24" s="46">
        <f t="shared" si="15"/>
        <v>617142.86</v>
      </c>
      <c r="V24" s="46">
        <f t="shared" si="15"/>
        <v>79875.429999999993</v>
      </c>
      <c r="W24" s="46">
        <f t="shared" si="15"/>
        <v>336209.14</v>
      </c>
      <c r="X24" s="46">
        <f t="shared" si="15"/>
        <v>48680.57</v>
      </c>
      <c r="Y24" s="38">
        <f t="shared" si="1"/>
        <v>8794746.8700000029</v>
      </c>
    </row>
    <row r="25" spans="1:25" ht="24.95" customHeight="1">
      <c r="A25" s="35" t="s">
        <v>65</v>
      </c>
      <c r="B25" s="36" t="s">
        <v>318</v>
      </c>
      <c r="C25" s="36" t="s">
        <v>61</v>
      </c>
      <c r="D25" s="44" t="s">
        <v>43</v>
      </c>
      <c r="E25" s="46">
        <f>ROUND(E30/0.07*0.02,2)</f>
        <v>1402185.43</v>
      </c>
      <c r="F25" s="46">
        <f t="shared" ref="F25:X25" si="16">ROUND(F30/0.07*0.02,2)</f>
        <v>469083.43</v>
      </c>
      <c r="G25" s="46">
        <f t="shared" si="16"/>
        <v>386057.14</v>
      </c>
      <c r="H25" s="46">
        <f t="shared" si="16"/>
        <v>528805.71</v>
      </c>
      <c r="I25" s="46">
        <f t="shared" si="16"/>
        <v>1717994.29</v>
      </c>
      <c r="J25" s="46">
        <f t="shared" si="16"/>
        <v>286738.28999999998</v>
      </c>
      <c r="K25" s="46">
        <f t="shared" si="16"/>
        <v>677379.43</v>
      </c>
      <c r="L25" s="46">
        <f t="shared" si="16"/>
        <v>275389.71000000002</v>
      </c>
      <c r="M25" s="46">
        <f t="shared" si="16"/>
        <v>645497.14</v>
      </c>
      <c r="N25" s="46">
        <f t="shared" si="16"/>
        <v>413766.86</v>
      </c>
      <c r="O25" s="46">
        <f t="shared" si="16"/>
        <v>176317.71</v>
      </c>
      <c r="P25" s="46">
        <f t="shared" si="16"/>
        <v>202686.86</v>
      </c>
      <c r="Q25" s="46">
        <f t="shared" si="16"/>
        <v>128098.29</v>
      </c>
      <c r="R25" s="46">
        <f t="shared" si="16"/>
        <v>172928.86</v>
      </c>
      <c r="S25" s="46">
        <f t="shared" si="16"/>
        <v>36366.86</v>
      </c>
      <c r="T25" s="46">
        <f t="shared" si="16"/>
        <v>193542.86</v>
      </c>
      <c r="U25" s="46">
        <f t="shared" si="16"/>
        <v>617142.86</v>
      </c>
      <c r="V25" s="46">
        <f t="shared" si="16"/>
        <v>79875.429999999993</v>
      </c>
      <c r="W25" s="46">
        <f t="shared" si="16"/>
        <v>336209.14</v>
      </c>
      <c r="X25" s="46">
        <f t="shared" si="16"/>
        <v>48680.57</v>
      </c>
      <c r="Y25" s="38">
        <f t="shared" si="1"/>
        <v>8794746.8700000029</v>
      </c>
    </row>
    <row r="26" spans="1:25" ht="24.95" customHeight="1">
      <c r="A26" s="35" t="s">
        <v>66</v>
      </c>
      <c r="B26" s="36" t="s">
        <v>67</v>
      </c>
      <c r="C26" s="36"/>
      <c r="D26" s="37" t="s">
        <v>21</v>
      </c>
      <c r="E26" s="38">
        <f t="shared" ref="E26:X26" si="17">E27</f>
        <v>11217483.43</v>
      </c>
      <c r="F26" s="38">
        <f t="shared" si="17"/>
        <v>3752667.43</v>
      </c>
      <c r="G26" s="38">
        <f t="shared" si="17"/>
        <v>3088457.14</v>
      </c>
      <c r="H26" s="38">
        <f t="shared" si="17"/>
        <v>4230445.71</v>
      </c>
      <c r="I26" s="38">
        <f t="shared" si="17"/>
        <v>13743954.289999999</v>
      </c>
      <c r="J26" s="38">
        <f t="shared" si="17"/>
        <v>2293906.29</v>
      </c>
      <c r="K26" s="38">
        <f t="shared" si="17"/>
        <v>5419035.4299999997</v>
      </c>
      <c r="L26" s="38">
        <f t="shared" si="17"/>
        <v>2203117.71</v>
      </c>
      <c r="M26" s="38">
        <f t="shared" si="17"/>
        <v>5163977.1399999997</v>
      </c>
      <c r="N26" s="38">
        <f t="shared" si="17"/>
        <v>3310134.86</v>
      </c>
      <c r="O26" s="38">
        <f t="shared" si="17"/>
        <v>1410541.71</v>
      </c>
      <c r="P26" s="38">
        <f t="shared" si="17"/>
        <v>1621494.86</v>
      </c>
      <c r="Q26" s="38">
        <f t="shared" si="17"/>
        <v>1024786.29</v>
      </c>
      <c r="R26" s="38">
        <f t="shared" si="17"/>
        <v>1383430.86</v>
      </c>
      <c r="S26" s="38">
        <f t="shared" si="17"/>
        <v>290934.86</v>
      </c>
      <c r="T26" s="38">
        <f t="shared" si="17"/>
        <v>1548342.86</v>
      </c>
      <c r="U26" s="38">
        <f t="shared" si="17"/>
        <v>4937142.8600000003</v>
      </c>
      <c r="V26" s="38">
        <f t="shared" si="17"/>
        <v>639003.43000000005</v>
      </c>
      <c r="W26" s="38">
        <f t="shared" si="17"/>
        <v>2689673.14</v>
      </c>
      <c r="X26" s="38">
        <f t="shared" si="17"/>
        <v>389444.57</v>
      </c>
      <c r="Y26" s="38">
        <f t="shared" si="1"/>
        <v>70357974.86999999</v>
      </c>
    </row>
    <row r="27" spans="1:25" s="2" customFormat="1" ht="24.95" customHeight="1">
      <c r="A27" s="35" t="s">
        <v>68</v>
      </c>
      <c r="B27" s="42" t="s">
        <v>319</v>
      </c>
      <c r="C27" s="42" t="s">
        <v>70</v>
      </c>
      <c r="D27" s="39" t="s">
        <v>43</v>
      </c>
      <c r="E27" s="38">
        <f>ROUND(E30/0.07*0.16,2)</f>
        <v>11217483.43</v>
      </c>
      <c r="F27" s="38">
        <f t="shared" ref="F27:X27" si="18">ROUND(F30/0.07*0.16,2)</f>
        <v>3752667.43</v>
      </c>
      <c r="G27" s="38">
        <f t="shared" si="18"/>
        <v>3088457.14</v>
      </c>
      <c r="H27" s="38">
        <f t="shared" si="18"/>
        <v>4230445.71</v>
      </c>
      <c r="I27" s="38">
        <f t="shared" si="18"/>
        <v>13743954.289999999</v>
      </c>
      <c r="J27" s="38">
        <f t="shared" si="18"/>
        <v>2293906.29</v>
      </c>
      <c r="K27" s="38">
        <f t="shared" si="18"/>
        <v>5419035.4299999997</v>
      </c>
      <c r="L27" s="38">
        <f t="shared" si="18"/>
        <v>2203117.71</v>
      </c>
      <c r="M27" s="38">
        <f t="shared" si="18"/>
        <v>5163977.1399999997</v>
      </c>
      <c r="N27" s="38">
        <f t="shared" si="18"/>
        <v>3310134.86</v>
      </c>
      <c r="O27" s="38">
        <f t="shared" si="18"/>
        <v>1410541.71</v>
      </c>
      <c r="P27" s="38">
        <f t="shared" si="18"/>
        <v>1621494.86</v>
      </c>
      <c r="Q27" s="38">
        <f t="shared" si="18"/>
        <v>1024786.29</v>
      </c>
      <c r="R27" s="38">
        <f t="shared" si="18"/>
        <v>1383430.86</v>
      </c>
      <c r="S27" s="38">
        <f t="shared" si="18"/>
        <v>290934.86</v>
      </c>
      <c r="T27" s="38">
        <f t="shared" si="18"/>
        <v>1548342.86</v>
      </c>
      <c r="U27" s="38">
        <f t="shared" si="18"/>
        <v>4937142.8600000003</v>
      </c>
      <c r="V27" s="38">
        <f t="shared" si="18"/>
        <v>639003.43000000005</v>
      </c>
      <c r="W27" s="38">
        <f t="shared" si="18"/>
        <v>2689673.14</v>
      </c>
      <c r="X27" s="38">
        <f t="shared" si="18"/>
        <v>389444.57</v>
      </c>
      <c r="Y27" s="38">
        <f t="shared" si="1"/>
        <v>70357974.86999999</v>
      </c>
    </row>
    <row r="28" spans="1:25" ht="24.95" customHeight="1">
      <c r="A28" s="35" t="s">
        <v>71</v>
      </c>
      <c r="B28" s="36" t="s">
        <v>72</v>
      </c>
      <c r="C28" s="36"/>
      <c r="D28" s="37" t="s">
        <v>21</v>
      </c>
      <c r="E28" s="38">
        <f t="shared" ref="E28:X28" si="19">E29</f>
        <v>5608741.71</v>
      </c>
      <c r="F28" s="38">
        <f t="shared" si="19"/>
        <v>1876333.71</v>
      </c>
      <c r="G28" s="38">
        <f t="shared" si="19"/>
        <v>1544228.57</v>
      </c>
      <c r="H28" s="38">
        <f t="shared" si="19"/>
        <v>2115222.86</v>
      </c>
      <c r="I28" s="38">
        <f t="shared" si="19"/>
        <v>6871977.1399999997</v>
      </c>
      <c r="J28" s="38">
        <f t="shared" si="19"/>
        <v>1146953.1399999999</v>
      </c>
      <c r="K28" s="38">
        <f t="shared" si="19"/>
        <v>2709517.71</v>
      </c>
      <c r="L28" s="38">
        <f t="shared" si="19"/>
        <v>1101558.8600000001</v>
      </c>
      <c r="M28" s="38">
        <f t="shared" si="19"/>
        <v>2581988.5699999998</v>
      </c>
      <c r="N28" s="38">
        <f t="shared" si="19"/>
        <v>1655067.43</v>
      </c>
      <c r="O28" s="38">
        <f t="shared" si="19"/>
        <v>705270.86</v>
      </c>
      <c r="P28" s="38">
        <f t="shared" si="19"/>
        <v>810747.43</v>
      </c>
      <c r="Q28" s="38">
        <f t="shared" si="19"/>
        <v>512393.14</v>
      </c>
      <c r="R28" s="38">
        <f t="shared" si="19"/>
        <v>691715.43</v>
      </c>
      <c r="S28" s="38">
        <f t="shared" si="19"/>
        <v>145467.43</v>
      </c>
      <c r="T28" s="38">
        <f t="shared" si="19"/>
        <v>774171.43</v>
      </c>
      <c r="U28" s="38">
        <f t="shared" si="19"/>
        <v>2468571.4300000002</v>
      </c>
      <c r="V28" s="38">
        <f t="shared" si="19"/>
        <v>319501.71000000002</v>
      </c>
      <c r="W28" s="38">
        <f t="shared" si="19"/>
        <v>1344836.57</v>
      </c>
      <c r="X28" s="38">
        <f t="shared" si="19"/>
        <v>194722.29</v>
      </c>
      <c r="Y28" s="38">
        <f t="shared" si="1"/>
        <v>35178987.419999994</v>
      </c>
    </row>
    <row r="29" spans="1:25" s="2" customFormat="1" ht="24.95" customHeight="1">
      <c r="A29" s="35" t="s">
        <v>73</v>
      </c>
      <c r="B29" s="42" t="s">
        <v>74</v>
      </c>
      <c r="C29" s="42" t="s">
        <v>75</v>
      </c>
      <c r="D29" s="39" t="s">
        <v>43</v>
      </c>
      <c r="E29" s="38">
        <f>ROUND(E30/0.07*0.08,2)</f>
        <v>5608741.71</v>
      </c>
      <c r="F29" s="38">
        <f t="shared" ref="F29:X29" si="20">ROUND(F30/0.07*0.08,2)</f>
        <v>1876333.71</v>
      </c>
      <c r="G29" s="38">
        <f t="shared" si="20"/>
        <v>1544228.57</v>
      </c>
      <c r="H29" s="38">
        <f t="shared" si="20"/>
        <v>2115222.86</v>
      </c>
      <c r="I29" s="38">
        <f t="shared" si="20"/>
        <v>6871977.1399999997</v>
      </c>
      <c r="J29" s="38">
        <f t="shared" si="20"/>
        <v>1146953.1399999999</v>
      </c>
      <c r="K29" s="38">
        <f t="shared" si="20"/>
        <v>2709517.71</v>
      </c>
      <c r="L29" s="38">
        <f t="shared" si="20"/>
        <v>1101558.8600000001</v>
      </c>
      <c r="M29" s="38">
        <f t="shared" si="20"/>
        <v>2581988.5699999998</v>
      </c>
      <c r="N29" s="38">
        <f t="shared" si="20"/>
        <v>1655067.43</v>
      </c>
      <c r="O29" s="38">
        <f t="shared" si="20"/>
        <v>705270.86</v>
      </c>
      <c r="P29" s="38">
        <f t="shared" si="20"/>
        <v>810747.43</v>
      </c>
      <c r="Q29" s="38">
        <f t="shared" si="20"/>
        <v>512393.14</v>
      </c>
      <c r="R29" s="38">
        <f t="shared" si="20"/>
        <v>691715.43</v>
      </c>
      <c r="S29" s="38">
        <f t="shared" si="20"/>
        <v>145467.43</v>
      </c>
      <c r="T29" s="38">
        <f t="shared" si="20"/>
        <v>774171.43</v>
      </c>
      <c r="U29" s="38">
        <f t="shared" si="20"/>
        <v>2468571.4300000002</v>
      </c>
      <c r="V29" s="38">
        <f t="shared" si="20"/>
        <v>319501.71000000002</v>
      </c>
      <c r="W29" s="38">
        <f t="shared" si="20"/>
        <v>1344836.57</v>
      </c>
      <c r="X29" s="38">
        <f t="shared" si="20"/>
        <v>194722.29</v>
      </c>
      <c r="Y29" s="38">
        <f t="shared" si="1"/>
        <v>35178987.419999994</v>
      </c>
    </row>
    <row r="30" spans="1:25" ht="24.95" customHeight="1">
      <c r="A30" s="35" t="s">
        <v>76</v>
      </c>
      <c r="B30" s="36" t="s">
        <v>320</v>
      </c>
      <c r="C30" s="36" t="s">
        <v>78</v>
      </c>
      <c r="D30" s="37" t="s">
        <v>321</v>
      </c>
      <c r="E30" s="45">
        <v>4907649</v>
      </c>
      <c r="F30" s="45">
        <f>136816*12</f>
        <v>1641792</v>
      </c>
      <c r="G30" s="45">
        <v>1351200</v>
      </c>
      <c r="H30" s="45">
        <f>154235*12</f>
        <v>1850820</v>
      </c>
      <c r="I30" s="45">
        <v>6012980</v>
      </c>
      <c r="J30" s="45">
        <v>1003584</v>
      </c>
      <c r="K30" s="45">
        <f>197569*12</f>
        <v>2370828</v>
      </c>
      <c r="L30" s="45">
        <f>80322*12</f>
        <v>963864</v>
      </c>
      <c r="M30" s="45">
        <f>188270*12</f>
        <v>2259240</v>
      </c>
      <c r="N30" s="45">
        <f>120682*12</f>
        <v>1448184</v>
      </c>
      <c r="O30" s="45">
        <f>51426*12</f>
        <v>617112</v>
      </c>
      <c r="P30" s="45">
        <f>59117*12</f>
        <v>709404</v>
      </c>
      <c r="Q30" s="45">
        <v>448344</v>
      </c>
      <c r="R30" s="45">
        <v>605251</v>
      </c>
      <c r="S30" s="45">
        <v>127284</v>
      </c>
      <c r="T30" s="45">
        <v>677400</v>
      </c>
      <c r="U30" s="45">
        <f>180000*12</f>
        <v>2160000</v>
      </c>
      <c r="V30" s="45">
        <f>23297*12</f>
        <v>279564</v>
      </c>
      <c r="W30" s="45">
        <f>98061*12</f>
        <v>1176732</v>
      </c>
      <c r="X30" s="45">
        <v>170382</v>
      </c>
      <c r="Y30" s="38">
        <f t="shared" si="1"/>
        <v>30781614</v>
      </c>
    </row>
    <row r="31" spans="1:25" ht="24.95" customHeight="1">
      <c r="A31" s="35" t="s">
        <v>80</v>
      </c>
      <c r="B31" s="36" t="s">
        <v>322</v>
      </c>
      <c r="C31" s="43" t="s">
        <v>27</v>
      </c>
      <c r="D31" s="39" t="s">
        <v>323</v>
      </c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45"/>
      <c r="Y31" s="38">
        <f t="shared" si="1"/>
        <v>0</v>
      </c>
    </row>
    <row r="32" spans="1:25" ht="24.95" customHeight="1">
      <c r="A32" s="35" t="s">
        <v>83</v>
      </c>
      <c r="B32" s="36" t="s">
        <v>84</v>
      </c>
      <c r="C32" s="36"/>
      <c r="D32" s="37" t="s">
        <v>21</v>
      </c>
      <c r="E32" s="38">
        <f t="shared" ref="E32:O32" si="21">E33+E35</f>
        <v>2438134.2000000002</v>
      </c>
      <c r="F32" s="38">
        <f t="shared" si="21"/>
        <v>990900</v>
      </c>
      <c r="G32" s="38">
        <f t="shared" si="21"/>
        <v>1155540</v>
      </c>
      <c r="H32" s="38">
        <f t="shared" si="21"/>
        <v>45360</v>
      </c>
      <c r="I32" s="38">
        <f t="shared" si="21"/>
        <v>2005145</v>
      </c>
      <c r="J32" s="38">
        <f t="shared" si="21"/>
        <v>604620</v>
      </c>
      <c r="K32" s="38">
        <f t="shared" si="21"/>
        <v>624600</v>
      </c>
      <c r="L32" s="38">
        <f t="shared" si="21"/>
        <v>421500</v>
      </c>
      <c r="M32" s="38">
        <f t="shared" si="21"/>
        <v>64980</v>
      </c>
      <c r="N32" s="38">
        <f t="shared" si="21"/>
        <v>804120</v>
      </c>
      <c r="O32" s="38">
        <f t="shared" si="21"/>
        <v>674100</v>
      </c>
      <c r="P32" s="38">
        <f>P33+P35</f>
        <v>29100</v>
      </c>
      <c r="Q32" s="38">
        <f t="shared" ref="Q32:X32" si="22">Q33+Q35</f>
        <v>1890</v>
      </c>
      <c r="R32" s="38">
        <f t="shared" si="22"/>
        <v>466440</v>
      </c>
      <c r="S32" s="38">
        <f t="shared" si="22"/>
        <v>156720</v>
      </c>
      <c r="T32" s="38">
        <f t="shared" si="22"/>
        <v>3600</v>
      </c>
      <c r="U32" s="38">
        <f t="shared" si="22"/>
        <v>291120</v>
      </c>
      <c r="V32" s="38">
        <f t="shared" si="22"/>
        <v>360</v>
      </c>
      <c r="W32" s="38">
        <f t="shared" si="22"/>
        <v>70080</v>
      </c>
      <c r="X32" s="38">
        <f t="shared" si="22"/>
        <v>780</v>
      </c>
      <c r="Y32" s="38">
        <f t="shared" si="1"/>
        <v>10849089.199999999</v>
      </c>
    </row>
    <row r="33" spans="1:25" ht="24.95" customHeight="1">
      <c r="A33" s="35" t="s">
        <v>85</v>
      </c>
      <c r="B33" s="36" t="s">
        <v>324</v>
      </c>
      <c r="C33" s="36" t="s">
        <v>87</v>
      </c>
      <c r="D33" s="44" t="s">
        <v>325</v>
      </c>
      <c r="E33" s="46">
        <f>E34</f>
        <v>2424244.2000000002</v>
      </c>
      <c r="F33" s="46">
        <f t="shared" ref="F33:X33" si="23">F34</f>
        <v>984420</v>
      </c>
      <c r="G33" s="46">
        <f t="shared" si="23"/>
        <v>1146900</v>
      </c>
      <c r="H33" s="46">
        <f t="shared" si="23"/>
        <v>40680</v>
      </c>
      <c r="I33" s="46">
        <f t="shared" si="23"/>
        <v>1987925</v>
      </c>
      <c r="J33" s="46">
        <f t="shared" si="23"/>
        <v>601740</v>
      </c>
      <c r="K33" s="46">
        <f t="shared" si="23"/>
        <v>620280</v>
      </c>
      <c r="L33" s="46">
        <f t="shared" si="23"/>
        <v>420060</v>
      </c>
      <c r="M33" s="46">
        <f t="shared" si="23"/>
        <v>62880</v>
      </c>
      <c r="N33" s="46">
        <f t="shared" si="23"/>
        <v>798000</v>
      </c>
      <c r="O33" s="46">
        <f t="shared" si="23"/>
        <v>671580</v>
      </c>
      <c r="P33" s="46">
        <f t="shared" si="23"/>
        <v>25860</v>
      </c>
      <c r="Q33" s="46">
        <f t="shared" si="23"/>
        <v>0</v>
      </c>
      <c r="R33" s="46">
        <f t="shared" si="23"/>
        <v>465000</v>
      </c>
      <c r="S33" s="46">
        <f t="shared" si="23"/>
        <v>156360</v>
      </c>
      <c r="T33" s="46">
        <f t="shared" si="23"/>
        <v>0</v>
      </c>
      <c r="U33" s="46">
        <f t="shared" si="23"/>
        <v>286800</v>
      </c>
      <c r="V33" s="46">
        <f t="shared" si="23"/>
        <v>0</v>
      </c>
      <c r="W33" s="46">
        <f t="shared" si="23"/>
        <v>63600</v>
      </c>
      <c r="X33" s="46">
        <f t="shared" si="23"/>
        <v>0</v>
      </c>
      <c r="Y33" s="38">
        <f t="shared" si="1"/>
        <v>10756329.199999999</v>
      </c>
    </row>
    <row r="34" spans="1:25" ht="24.95" customHeight="1">
      <c r="A34" s="35" t="s">
        <v>89</v>
      </c>
      <c r="B34" s="36" t="s">
        <v>326</v>
      </c>
      <c r="C34" s="36" t="s">
        <v>87</v>
      </c>
      <c r="D34" s="44" t="s">
        <v>325</v>
      </c>
      <c r="E34" s="40">
        <v>2424244.2000000002</v>
      </c>
      <c r="F34" s="40">
        <f>82035*12</f>
        <v>984420</v>
      </c>
      <c r="G34" s="40">
        <v>1146900</v>
      </c>
      <c r="H34" s="40">
        <f>3390*12</f>
        <v>40680</v>
      </c>
      <c r="I34" s="40">
        <v>1987925</v>
      </c>
      <c r="J34" s="40">
        <v>601740</v>
      </c>
      <c r="K34" s="40">
        <f>51690*12</f>
        <v>620280</v>
      </c>
      <c r="L34" s="40">
        <f>35005*12</f>
        <v>420060</v>
      </c>
      <c r="M34" s="40">
        <f>5240*12</f>
        <v>62880</v>
      </c>
      <c r="N34" s="40">
        <f>66500*12</f>
        <v>798000</v>
      </c>
      <c r="O34" s="40">
        <f>55965*12</f>
        <v>671580</v>
      </c>
      <c r="P34" s="40">
        <f>2155*12</f>
        <v>25860</v>
      </c>
      <c r="Q34" s="40"/>
      <c r="R34" s="40">
        <v>465000</v>
      </c>
      <c r="S34" s="40">
        <v>156360</v>
      </c>
      <c r="T34" s="40"/>
      <c r="U34" s="40">
        <v>286800</v>
      </c>
      <c r="V34" s="40"/>
      <c r="W34" s="40">
        <f>5300*12</f>
        <v>63600</v>
      </c>
      <c r="X34" s="40"/>
      <c r="Y34" s="38">
        <f t="shared" si="1"/>
        <v>10756329.199999999</v>
      </c>
    </row>
    <row r="35" spans="1:25" ht="24.95" customHeight="1">
      <c r="A35" s="35" t="s">
        <v>91</v>
      </c>
      <c r="B35" s="36" t="s">
        <v>92</v>
      </c>
      <c r="C35" s="36"/>
      <c r="D35" s="37" t="s">
        <v>21</v>
      </c>
      <c r="E35" s="38">
        <f>E36</f>
        <v>13890</v>
      </c>
      <c r="F35" s="38">
        <f t="shared" ref="F35:X35" si="24">F36</f>
        <v>6480</v>
      </c>
      <c r="G35" s="38">
        <f t="shared" si="24"/>
        <v>8640</v>
      </c>
      <c r="H35" s="38">
        <f t="shared" si="24"/>
        <v>4680</v>
      </c>
      <c r="I35" s="38">
        <f t="shared" si="24"/>
        <v>17220</v>
      </c>
      <c r="J35" s="38">
        <f t="shared" si="24"/>
        <v>2880</v>
      </c>
      <c r="K35" s="38">
        <f t="shared" si="24"/>
        <v>4320</v>
      </c>
      <c r="L35" s="38">
        <f t="shared" si="24"/>
        <v>1440</v>
      </c>
      <c r="M35" s="38">
        <f t="shared" si="24"/>
        <v>2100</v>
      </c>
      <c r="N35" s="38">
        <f t="shared" si="24"/>
        <v>6120</v>
      </c>
      <c r="O35" s="38">
        <f t="shared" si="24"/>
        <v>2520</v>
      </c>
      <c r="P35" s="38">
        <f t="shared" si="24"/>
        <v>3240</v>
      </c>
      <c r="Q35" s="38">
        <f t="shared" si="24"/>
        <v>1890</v>
      </c>
      <c r="R35" s="38">
        <f t="shared" si="24"/>
        <v>1440</v>
      </c>
      <c r="S35" s="38">
        <f t="shared" si="24"/>
        <v>360</v>
      </c>
      <c r="T35" s="38">
        <f t="shared" si="24"/>
        <v>3600</v>
      </c>
      <c r="U35" s="38">
        <f t="shared" si="24"/>
        <v>4320</v>
      </c>
      <c r="V35" s="38">
        <f t="shared" si="24"/>
        <v>360</v>
      </c>
      <c r="W35" s="38">
        <f t="shared" si="24"/>
        <v>6480</v>
      </c>
      <c r="X35" s="38">
        <f t="shared" si="24"/>
        <v>780</v>
      </c>
      <c r="Y35" s="38">
        <f t="shared" si="1"/>
        <v>92760</v>
      </c>
    </row>
    <row r="36" spans="1:25" ht="24.95" customHeight="1">
      <c r="A36" s="35" t="s">
        <v>93</v>
      </c>
      <c r="B36" s="36" t="s">
        <v>94</v>
      </c>
      <c r="C36" s="36" t="s">
        <v>27</v>
      </c>
      <c r="D36" s="37" t="s">
        <v>28</v>
      </c>
      <c r="E36" s="40">
        <v>13890</v>
      </c>
      <c r="F36" s="40">
        <f>540*12</f>
        <v>6480</v>
      </c>
      <c r="G36" s="40">
        <v>8640</v>
      </c>
      <c r="H36" s="40">
        <f>390*12</f>
        <v>4680</v>
      </c>
      <c r="I36" s="40">
        <v>17220</v>
      </c>
      <c r="J36" s="40">
        <v>2880</v>
      </c>
      <c r="K36" s="40">
        <f>360*12</f>
        <v>4320</v>
      </c>
      <c r="L36" s="40">
        <f>120*12</f>
        <v>1440</v>
      </c>
      <c r="M36" s="40">
        <v>2100</v>
      </c>
      <c r="N36" s="40">
        <f>510*12</f>
        <v>6120</v>
      </c>
      <c r="O36" s="40">
        <f>210*12</f>
        <v>2520</v>
      </c>
      <c r="P36" s="40">
        <f>270*12</f>
        <v>3240</v>
      </c>
      <c r="Q36" s="40">
        <v>1890</v>
      </c>
      <c r="R36" s="40">
        <v>1440</v>
      </c>
      <c r="S36" s="40">
        <v>360</v>
      </c>
      <c r="T36" s="40">
        <v>3600</v>
      </c>
      <c r="U36" s="40">
        <f>(210+150)*12</f>
        <v>4320</v>
      </c>
      <c r="V36" s="40">
        <f>30*12</f>
        <v>360</v>
      </c>
      <c r="W36" s="40">
        <f>540*12</f>
        <v>6480</v>
      </c>
      <c r="X36" s="40">
        <v>780</v>
      </c>
      <c r="Y36" s="38">
        <f t="shared" si="1"/>
        <v>92760</v>
      </c>
    </row>
    <row r="37" spans="1:25" ht="24.95" customHeight="1">
      <c r="A37" s="35" t="s">
        <v>95</v>
      </c>
      <c r="B37" s="36" t="s">
        <v>98</v>
      </c>
      <c r="C37" s="36"/>
      <c r="D37" s="37" t="s">
        <v>21</v>
      </c>
      <c r="E37" s="38">
        <f>E38+E40+E42+E44+E46+E49+E51+E53+E55+E57</f>
        <v>17766080.879999999</v>
      </c>
      <c r="F37" s="38">
        <f t="shared" ref="F37:X37" si="25">F38+F40+F42+F44+F46+F49+F51+F53+F55+F57</f>
        <v>6661471.4299999997</v>
      </c>
      <c r="G37" s="38">
        <f t="shared" si="25"/>
        <v>5703243.3399999999</v>
      </c>
      <c r="H37" s="38">
        <f t="shared" si="25"/>
        <v>7698205.6600000001</v>
      </c>
      <c r="I37" s="38">
        <f t="shared" si="25"/>
        <v>23065608.890000001</v>
      </c>
      <c r="J37" s="38">
        <f t="shared" si="25"/>
        <v>3368233.74</v>
      </c>
      <c r="K37" s="38">
        <f t="shared" si="25"/>
        <v>9289445.7300000004</v>
      </c>
      <c r="L37" s="38">
        <f t="shared" si="25"/>
        <v>3325463.26</v>
      </c>
      <c r="M37" s="38">
        <f t="shared" si="25"/>
        <v>8316920.29</v>
      </c>
      <c r="N37" s="38">
        <f t="shared" si="25"/>
        <v>4201462.91</v>
      </c>
      <c r="O37" s="38">
        <f t="shared" si="25"/>
        <v>2101007.71</v>
      </c>
      <c r="P37" s="38">
        <f t="shared" si="25"/>
        <v>2582424.56</v>
      </c>
      <c r="Q37" s="38">
        <f t="shared" si="25"/>
        <v>1327745.0900000001</v>
      </c>
      <c r="R37" s="38">
        <f t="shared" si="25"/>
        <v>1906244.8599999999</v>
      </c>
      <c r="S37" s="38">
        <f t="shared" si="25"/>
        <v>337966.86</v>
      </c>
      <c r="T37" s="38">
        <f t="shared" si="25"/>
        <v>1759619.6600000001</v>
      </c>
      <c r="U37" s="38">
        <f t="shared" si="25"/>
        <v>9219775.2599999998</v>
      </c>
      <c r="V37" s="38">
        <f t="shared" si="25"/>
        <v>1195565.23</v>
      </c>
      <c r="W37" s="38">
        <f t="shared" si="25"/>
        <v>2643989.14</v>
      </c>
      <c r="X37" s="38">
        <f t="shared" si="25"/>
        <v>1122260.17</v>
      </c>
      <c r="Y37" s="38">
        <f t="shared" si="1"/>
        <v>113592734.67000002</v>
      </c>
    </row>
    <row r="38" spans="1:25" ht="24.95" customHeight="1">
      <c r="A38" s="35" t="s">
        <v>96</v>
      </c>
      <c r="B38" s="36" t="s">
        <v>100</v>
      </c>
      <c r="C38" s="36"/>
      <c r="D38" s="37" t="s">
        <v>101</v>
      </c>
      <c r="E38" s="40">
        <v>13763750</v>
      </c>
      <c r="F38" s="40">
        <v>5220600</v>
      </c>
      <c r="G38" s="40">
        <v>4427500</v>
      </c>
      <c r="H38" s="40">
        <v>6406400</v>
      </c>
      <c r="I38" s="40">
        <v>18406140</v>
      </c>
      <c r="J38" s="40">
        <v>2500590</v>
      </c>
      <c r="K38" s="40">
        <v>7524240</v>
      </c>
      <c r="L38" s="40">
        <v>2462070</v>
      </c>
      <c r="M38" s="40">
        <v>6718530</v>
      </c>
      <c r="N38" s="40">
        <v>2891460</v>
      </c>
      <c r="O38" s="40">
        <v>1430000</v>
      </c>
      <c r="P38" s="40">
        <v>1861860</v>
      </c>
      <c r="Q38" s="40">
        <v>958100</v>
      </c>
      <c r="R38" s="40">
        <v>1287000</v>
      </c>
      <c r="S38" s="40">
        <v>156800</v>
      </c>
      <c r="T38" s="40">
        <v>1208000</v>
      </c>
      <c r="U38" s="40">
        <v>7288760</v>
      </c>
      <c r="V38" s="40">
        <v>858000</v>
      </c>
      <c r="W38" s="40">
        <v>1673820</v>
      </c>
      <c r="X38" s="40">
        <v>858000</v>
      </c>
      <c r="Y38" s="38">
        <f t="shared" si="1"/>
        <v>87901620</v>
      </c>
    </row>
    <row r="39" spans="1:25" ht="24.95" customHeight="1">
      <c r="A39" s="35" t="s">
        <v>97</v>
      </c>
      <c r="B39" s="36" t="s">
        <v>327</v>
      </c>
      <c r="C39" s="36" t="s">
        <v>328</v>
      </c>
      <c r="D39" s="47" t="s">
        <v>329</v>
      </c>
      <c r="E39" s="40">
        <v>688187.5</v>
      </c>
      <c r="F39" s="40">
        <v>261030</v>
      </c>
      <c r="G39" s="40">
        <v>221375</v>
      </c>
      <c r="H39" s="40">
        <v>320320</v>
      </c>
      <c r="I39" s="40">
        <v>920307</v>
      </c>
      <c r="J39" s="40">
        <v>125029.5</v>
      </c>
      <c r="K39" s="40">
        <v>376212</v>
      </c>
      <c r="L39" s="40">
        <v>123103.5</v>
      </c>
      <c r="M39" s="40">
        <v>335926.5</v>
      </c>
      <c r="N39" s="40">
        <v>123409</v>
      </c>
      <c r="O39" s="40">
        <v>52338</v>
      </c>
      <c r="P39" s="40">
        <v>83369</v>
      </c>
      <c r="Q39" s="40">
        <v>47905</v>
      </c>
      <c r="R39" s="40">
        <v>51480</v>
      </c>
      <c r="S39" s="40">
        <v>7840</v>
      </c>
      <c r="T39" s="40">
        <v>53250</v>
      </c>
      <c r="U39" s="40">
        <v>364438</v>
      </c>
      <c r="V39" s="40">
        <v>29458</v>
      </c>
      <c r="W39" s="40">
        <v>83691</v>
      </c>
      <c r="X39" s="40">
        <v>32461</v>
      </c>
      <c r="Y39" s="38">
        <f t="shared" si="1"/>
        <v>4301130</v>
      </c>
    </row>
    <row r="40" spans="1:25" ht="24.95" customHeight="1">
      <c r="A40" s="35" t="s">
        <v>99</v>
      </c>
      <c r="B40" s="36" t="s">
        <v>107</v>
      </c>
      <c r="C40" s="36"/>
      <c r="D40" s="37"/>
      <c r="E40" s="38">
        <f>E41</f>
        <v>107200</v>
      </c>
      <c r="F40" s="38">
        <f t="shared" ref="F40:X40" si="26">F41</f>
        <v>36400</v>
      </c>
      <c r="G40" s="38">
        <f t="shared" si="26"/>
        <v>31600</v>
      </c>
      <c r="H40" s="38">
        <f t="shared" si="26"/>
        <v>42400</v>
      </c>
      <c r="I40" s="38">
        <f t="shared" si="26"/>
        <v>143600</v>
      </c>
      <c r="J40" s="38">
        <f t="shared" si="26"/>
        <v>23600</v>
      </c>
      <c r="K40" s="38">
        <f t="shared" si="26"/>
        <v>54000</v>
      </c>
      <c r="L40" s="38">
        <f t="shared" si="26"/>
        <v>22400</v>
      </c>
      <c r="M40" s="38">
        <f t="shared" si="26"/>
        <v>52000</v>
      </c>
      <c r="N40" s="38">
        <f t="shared" si="26"/>
        <v>36800</v>
      </c>
      <c r="O40" s="38">
        <f t="shared" si="26"/>
        <v>16400</v>
      </c>
      <c r="P40" s="38">
        <f t="shared" si="26"/>
        <v>19200</v>
      </c>
      <c r="Q40" s="38">
        <f t="shared" si="26"/>
        <v>11600</v>
      </c>
      <c r="R40" s="38">
        <f t="shared" si="26"/>
        <v>16400</v>
      </c>
      <c r="S40" s="38">
        <f t="shared" si="26"/>
        <v>2800</v>
      </c>
      <c r="T40" s="38">
        <f t="shared" si="26"/>
        <v>17600</v>
      </c>
      <c r="U40" s="38">
        <f t="shared" si="26"/>
        <v>47600</v>
      </c>
      <c r="V40" s="38">
        <f t="shared" si="26"/>
        <v>7600</v>
      </c>
      <c r="W40" s="38">
        <f t="shared" si="26"/>
        <v>29200</v>
      </c>
      <c r="X40" s="38">
        <f t="shared" si="26"/>
        <v>5600</v>
      </c>
      <c r="Y40" s="38">
        <f t="shared" si="1"/>
        <v>724000</v>
      </c>
    </row>
    <row r="41" spans="1:25" s="2" customFormat="1" ht="24.95" customHeight="1">
      <c r="A41" s="35" t="s">
        <v>102</v>
      </c>
      <c r="B41" s="42" t="s">
        <v>109</v>
      </c>
      <c r="C41" s="42" t="s">
        <v>27</v>
      </c>
      <c r="D41" s="48" t="s">
        <v>110</v>
      </c>
      <c r="E41" s="38">
        <f>E60*400</f>
        <v>107200</v>
      </c>
      <c r="F41" s="38">
        <f t="shared" ref="F41:X41" si="27">F60*400</f>
        <v>36400</v>
      </c>
      <c r="G41" s="38">
        <f t="shared" si="27"/>
        <v>31600</v>
      </c>
      <c r="H41" s="38">
        <f t="shared" si="27"/>
        <v>42400</v>
      </c>
      <c r="I41" s="38">
        <f t="shared" si="27"/>
        <v>143600</v>
      </c>
      <c r="J41" s="38">
        <f t="shared" si="27"/>
        <v>23600</v>
      </c>
      <c r="K41" s="38">
        <f t="shared" si="27"/>
        <v>54000</v>
      </c>
      <c r="L41" s="38">
        <f t="shared" si="27"/>
        <v>22400</v>
      </c>
      <c r="M41" s="38">
        <f t="shared" si="27"/>
        <v>52000</v>
      </c>
      <c r="N41" s="38">
        <f t="shared" si="27"/>
        <v>36800</v>
      </c>
      <c r="O41" s="38">
        <f t="shared" si="27"/>
        <v>16400</v>
      </c>
      <c r="P41" s="38">
        <f t="shared" si="27"/>
        <v>19200</v>
      </c>
      <c r="Q41" s="38">
        <f t="shared" si="27"/>
        <v>11600</v>
      </c>
      <c r="R41" s="38">
        <f t="shared" si="27"/>
        <v>16400</v>
      </c>
      <c r="S41" s="38">
        <f t="shared" si="27"/>
        <v>2800</v>
      </c>
      <c r="T41" s="38">
        <f t="shared" si="27"/>
        <v>17600</v>
      </c>
      <c r="U41" s="38">
        <f t="shared" si="27"/>
        <v>47600</v>
      </c>
      <c r="V41" s="38">
        <f t="shared" si="27"/>
        <v>7600</v>
      </c>
      <c r="W41" s="38">
        <f t="shared" si="27"/>
        <v>29200</v>
      </c>
      <c r="X41" s="38">
        <f t="shared" si="27"/>
        <v>5600</v>
      </c>
      <c r="Y41" s="38">
        <f t="shared" si="1"/>
        <v>724000</v>
      </c>
    </row>
    <row r="42" spans="1:25" ht="24.95" customHeight="1">
      <c r="A42" s="35" t="s">
        <v>106</v>
      </c>
      <c r="B42" s="36" t="s">
        <v>112</v>
      </c>
      <c r="C42" s="36"/>
      <c r="D42" s="37" t="s">
        <v>21</v>
      </c>
      <c r="E42" s="38">
        <f>E43</f>
        <v>517599.44999999995</v>
      </c>
      <c r="F42" s="38">
        <f t="shared" ref="F42:X42" si="28">F43</f>
        <v>197400</v>
      </c>
      <c r="G42" s="38">
        <f t="shared" si="28"/>
        <v>134278.19999999998</v>
      </c>
      <c r="H42" s="38">
        <f t="shared" si="28"/>
        <v>170335.94999999998</v>
      </c>
      <c r="I42" s="38">
        <f t="shared" si="28"/>
        <v>570432.6</v>
      </c>
      <c r="J42" s="38">
        <f t="shared" si="28"/>
        <v>69477.45</v>
      </c>
      <c r="K42" s="38">
        <f t="shared" si="28"/>
        <v>191346.3</v>
      </c>
      <c r="L42" s="38">
        <f t="shared" si="28"/>
        <v>139283.54999999999</v>
      </c>
      <c r="M42" s="38">
        <f t="shared" si="28"/>
        <v>215373.15</v>
      </c>
      <c r="N42" s="38">
        <f t="shared" si="28"/>
        <v>147436.04999999999</v>
      </c>
      <c r="O42" s="38">
        <f t="shared" si="28"/>
        <v>64290</v>
      </c>
      <c r="P42" s="38">
        <f t="shared" si="28"/>
        <v>200240.1</v>
      </c>
      <c r="Q42" s="38">
        <f t="shared" si="28"/>
        <v>55978.8</v>
      </c>
      <c r="R42" s="38">
        <f t="shared" si="28"/>
        <v>69180</v>
      </c>
      <c r="S42" s="38">
        <f t="shared" si="28"/>
        <v>42000</v>
      </c>
      <c r="T42" s="38">
        <f t="shared" si="28"/>
        <v>97500</v>
      </c>
      <c r="U42" s="38">
        <f t="shared" si="28"/>
        <v>484158</v>
      </c>
      <c r="V42" s="38">
        <f t="shared" si="28"/>
        <v>104925</v>
      </c>
      <c r="W42" s="38">
        <f t="shared" si="28"/>
        <v>198000</v>
      </c>
      <c r="X42" s="38">
        <f t="shared" si="28"/>
        <v>99000</v>
      </c>
      <c r="Y42" s="38">
        <f t="shared" si="1"/>
        <v>3768234.5999999996</v>
      </c>
    </row>
    <row r="43" spans="1:25" s="2" customFormat="1" ht="24.95" customHeight="1">
      <c r="A43" s="35" t="s">
        <v>108</v>
      </c>
      <c r="B43" s="42" t="s">
        <v>114</v>
      </c>
      <c r="C43" s="42" t="s">
        <v>27</v>
      </c>
      <c r="D43" s="48" t="s">
        <v>115</v>
      </c>
      <c r="E43" s="38">
        <f>E71*15</f>
        <v>517599.44999999995</v>
      </c>
      <c r="F43" s="38">
        <f t="shared" ref="F43:X43" si="29">F71*15</f>
        <v>197400</v>
      </c>
      <c r="G43" s="38">
        <f t="shared" si="29"/>
        <v>134278.19999999998</v>
      </c>
      <c r="H43" s="38">
        <f t="shared" si="29"/>
        <v>170335.94999999998</v>
      </c>
      <c r="I43" s="38">
        <f t="shared" si="29"/>
        <v>570432.6</v>
      </c>
      <c r="J43" s="38">
        <f t="shared" si="29"/>
        <v>69477.45</v>
      </c>
      <c r="K43" s="38">
        <f t="shared" si="29"/>
        <v>191346.3</v>
      </c>
      <c r="L43" s="38">
        <f t="shared" si="29"/>
        <v>139283.54999999999</v>
      </c>
      <c r="M43" s="38">
        <f t="shared" si="29"/>
        <v>215373.15</v>
      </c>
      <c r="N43" s="38">
        <f t="shared" si="29"/>
        <v>147436.04999999999</v>
      </c>
      <c r="O43" s="38">
        <f t="shared" si="29"/>
        <v>64290</v>
      </c>
      <c r="P43" s="38">
        <f t="shared" si="29"/>
        <v>200240.1</v>
      </c>
      <c r="Q43" s="38">
        <f t="shared" si="29"/>
        <v>55978.8</v>
      </c>
      <c r="R43" s="38">
        <f t="shared" si="29"/>
        <v>69180</v>
      </c>
      <c r="S43" s="38">
        <f t="shared" si="29"/>
        <v>42000</v>
      </c>
      <c r="T43" s="38">
        <f t="shared" si="29"/>
        <v>97500</v>
      </c>
      <c r="U43" s="38">
        <f t="shared" si="29"/>
        <v>484158</v>
      </c>
      <c r="V43" s="38">
        <f t="shared" si="29"/>
        <v>104925</v>
      </c>
      <c r="W43" s="38">
        <f t="shared" si="29"/>
        <v>198000</v>
      </c>
      <c r="X43" s="38">
        <f t="shared" si="29"/>
        <v>99000</v>
      </c>
      <c r="Y43" s="38">
        <f t="shared" si="1"/>
        <v>3768234.5999999996</v>
      </c>
    </row>
    <row r="44" spans="1:25" ht="24.95" customHeight="1">
      <c r="A44" s="35" t="s">
        <v>111</v>
      </c>
      <c r="B44" s="36" t="s">
        <v>117</v>
      </c>
      <c r="C44" s="36"/>
      <c r="D44" s="37" t="s">
        <v>21</v>
      </c>
      <c r="E44" s="38">
        <f>E45</f>
        <v>139576</v>
      </c>
      <c r="F44" s="38">
        <f t="shared" ref="F44:X44" si="30">F45</f>
        <v>69528</v>
      </c>
      <c r="G44" s="38">
        <f t="shared" si="30"/>
        <v>51968</v>
      </c>
      <c r="H44" s="38">
        <f t="shared" si="30"/>
        <v>32584</v>
      </c>
      <c r="I44" s="38">
        <f t="shared" si="30"/>
        <v>98712</v>
      </c>
      <c r="J44" s="38">
        <f t="shared" si="30"/>
        <v>25808</v>
      </c>
      <c r="K44" s="38">
        <f t="shared" si="30"/>
        <v>52960</v>
      </c>
      <c r="L44" s="38">
        <f t="shared" si="30"/>
        <v>28680</v>
      </c>
      <c r="M44" s="38">
        <f t="shared" si="30"/>
        <v>63040</v>
      </c>
      <c r="N44" s="38">
        <f t="shared" si="30"/>
        <v>42640</v>
      </c>
      <c r="O44" s="38">
        <f t="shared" si="30"/>
        <v>18800</v>
      </c>
      <c r="P44" s="38">
        <f t="shared" si="30"/>
        <v>48357.599999999999</v>
      </c>
      <c r="Q44" s="38">
        <f t="shared" si="30"/>
        <v>14288</v>
      </c>
      <c r="R44" s="38">
        <f t="shared" si="30"/>
        <v>13736</v>
      </c>
      <c r="S44" s="38">
        <f t="shared" si="30"/>
        <v>0</v>
      </c>
      <c r="T44" s="38">
        <f t="shared" si="30"/>
        <v>18496.8</v>
      </c>
      <c r="U44" s="38">
        <f t="shared" si="30"/>
        <v>137634.4</v>
      </c>
      <c r="V44" s="38">
        <f t="shared" si="30"/>
        <v>29584.799999999999</v>
      </c>
      <c r="W44" s="38">
        <f t="shared" si="30"/>
        <v>32800</v>
      </c>
      <c r="X44" s="38">
        <f t="shared" si="30"/>
        <v>18499.599999999999</v>
      </c>
      <c r="Y44" s="38">
        <f t="shared" si="1"/>
        <v>937693.20000000007</v>
      </c>
    </row>
    <row r="45" spans="1:25" s="2" customFormat="1" ht="24.95" customHeight="1">
      <c r="A45" s="35" t="s">
        <v>113</v>
      </c>
      <c r="B45" s="42" t="s">
        <v>119</v>
      </c>
      <c r="C45" s="42" t="s">
        <v>27</v>
      </c>
      <c r="D45" s="48" t="s">
        <v>120</v>
      </c>
      <c r="E45" s="38">
        <f>E72*8</f>
        <v>139576</v>
      </c>
      <c r="F45" s="38">
        <f t="shared" ref="F45:X45" si="31">F72*8</f>
        <v>69528</v>
      </c>
      <c r="G45" s="38">
        <f t="shared" si="31"/>
        <v>51968</v>
      </c>
      <c r="H45" s="38">
        <f t="shared" si="31"/>
        <v>32584</v>
      </c>
      <c r="I45" s="38">
        <f t="shared" si="31"/>
        <v>98712</v>
      </c>
      <c r="J45" s="38">
        <f t="shared" si="31"/>
        <v>25808</v>
      </c>
      <c r="K45" s="38">
        <f t="shared" si="31"/>
        <v>52960</v>
      </c>
      <c r="L45" s="38">
        <f t="shared" si="31"/>
        <v>28680</v>
      </c>
      <c r="M45" s="38">
        <f t="shared" si="31"/>
        <v>63040</v>
      </c>
      <c r="N45" s="38">
        <f t="shared" si="31"/>
        <v>42640</v>
      </c>
      <c r="O45" s="38">
        <f t="shared" si="31"/>
        <v>18800</v>
      </c>
      <c r="P45" s="38">
        <f t="shared" si="31"/>
        <v>48357.599999999999</v>
      </c>
      <c r="Q45" s="38">
        <f t="shared" si="31"/>
        <v>14288</v>
      </c>
      <c r="R45" s="38">
        <f t="shared" si="31"/>
        <v>13736</v>
      </c>
      <c r="S45" s="38">
        <f t="shared" si="31"/>
        <v>0</v>
      </c>
      <c r="T45" s="38">
        <f t="shared" si="31"/>
        <v>18496.8</v>
      </c>
      <c r="U45" s="38">
        <f t="shared" si="31"/>
        <v>137634.4</v>
      </c>
      <c r="V45" s="38">
        <f t="shared" si="31"/>
        <v>29584.799999999999</v>
      </c>
      <c r="W45" s="38">
        <f t="shared" si="31"/>
        <v>32800</v>
      </c>
      <c r="X45" s="38">
        <f t="shared" si="31"/>
        <v>18499.599999999999</v>
      </c>
      <c r="Y45" s="38">
        <f t="shared" si="1"/>
        <v>937693.20000000007</v>
      </c>
    </row>
    <row r="46" spans="1:25" ht="24.95" customHeight="1">
      <c r="A46" s="35" t="s">
        <v>116</v>
      </c>
      <c r="B46" s="36" t="s">
        <v>330</v>
      </c>
      <c r="C46" s="36"/>
      <c r="D46" s="37" t="s">
        <v>21</v>
      </c>
      <c r="E46" s="38">
        <f>E47+E48</f>
        <v>1732320</v>
      </c>
      <c r="F46" s="38">
        <f t="shared" ref="F46:X46" si="32">F47+F48</f>
        <v>617760</v>
      </c>
      <c r="G46" s="38">
        <f t="shared" si="32"/>
        <v>613440</v>
      </c>
      <c r="H46" s="38">
        <f t="shared" si="32"/>
        <v>470880</v>
      </c>
      <c r="I46" s="38">
        <f t="shared" si="32"/>
        <v>2026080</v>
      </c>
      <c r="J46" s="38">
        <f t="shared" si="32"/>
        <v>414720</v>
      </c>
      <c r="K46" s="38">
        <f t="shared" si="32"/>
        <v>738720</v>
      </c>
      <c r="L46" s="38">
        <f t="shared" si="32"/>
        <v>354240</v>
      </c>
      <c r="M46" s="38">
        <f t="shared" si="32"/>
        <v>578880</v>
      </c>
      <c r="N46" s="38">
        <f t="shared" si="32"/>
        <v>596160</v>
      </c>
      <c r="O46" s="38">
        <f t="shared" si="32"/>
        <v>345600</v>
      </c>
      <c r="P46" s="38">
        <f t="shared" si="32"/>
        <v>211680</v>
      </c>
      <c r="Q46" s="38">
        <f t="shared" si="32"/>
        <v>125280</v>
      </c>
      <c r="R46" s="38">
        <f t="shared" si="32"/>
        <v>302400</v>
      </c>
      <c r="S46" s="38">
        <f t="shared" si="32"/>
        <v>64800</v>
      </c>
      <c r="T46" s="38">
        <f t="shared" si="32"/>
        <v>190080</v>
      </c>
      <c r="U46" s="38">
        <f t="shared" si="32"/>
        <v>600480</v>
      </c>
      <c r="V46" s="38">
        <f t="shared" si="32"/>
        <v>82080</v>
      </c>
      <c r="W46" s="38">
        <f t="shared" si="32"/>
        <v>336960</v>
      </c>
      <c r="X46" s="38">
        <f t="shared" si="32"/>
        <v>60480</v>
      </c>
      <c r="Y46" s="38">
        <f t="shared" si="1"/>
        <v>10463040</v>
      </c>
    </row>
    <row r="47" spans="1:25" s="2" customFormat="1" ht="24.95" customHeight="1">
      <c r="A47" s="35" t="s">
        <v>118</v>
      </c>
      <c r="B47" s="42" t="s">
        <v>331</v>
      </c>
      <c r="C47" s="42" t="s">
        <v>27</v>
      </c>
      <c r="D47" s="48" t="s">
        <v>124</v>
      </c>
      <c r="E47" s="38">
        <f>E60*4320</f>
        <v>1157760</v>
      </c>
      <c r="F47" s="38">
        <f t="shared" ref="F47:X47" si="33">F60*4320</f>
        <v>393120</v>
      </c>
      <c r="G47" s="38">
        <f t="shared" si="33"/>
        <v>341280</v>
      </c>
      <c r="H47" s="38">
        <f t="shared" si="33"/>
        <v>457920</v>
      </c>
      <c r="I47" s="38">
        <f t="shared" si="33"/>
        <v>1550880</v>
      </c>
      <c r="J47" s="38">
        <f t="shared" si="33"/>
        <v>254880</v>
      </c>
      <c r="K47" s="38">
        <f t="shared" si="33"/>
        <v>583200</v>
      </c>
      <c r="L47" s="38">
        <f t="shared" si="33"/>
        <v>241920</v>
      </c>
      <c r="M47" s="38">
        <f t="shared" si="33"/>
        <v>561600</v>
      </c>
      <c r="N47" s="38">
        <f t="shared" si="33"/>
        <v>397440</v>
      </c>
      <c r="O47" s="38">
        <f t="shared" si="33"/>
        <v>177120</v>
      </c>
      <c r="P47" s="38">
        <f t="shared" si="33"/>
        <v>207360</v>
      </c>
      <c r="Q47" s="38">
        <f t="shared" si="33"/>
        <v>125280</v>
      </c>
      <c r="R47" s="38">
        <f t="shared" si="33"/>
        <v>177120</v>
      </c>
      <c r="S47" s="38">
        <f t="shared" si="33"/>
        <v>30240</v>
      </c>
      <c r="T47" s="38">
        <f t="shared" si="33"/>
        <v>190080</v>
      </c>
      <c r="U47" s="38">
        <f t="shared" si="33"/>
        <v>514080</v>
      </c>
      <c r="V47" s="38">
        <f t="shared" si="33"/>
        <v>82080</v>
      </c>
      <c r="W47" s="38">
        <f t="shared" si="33"/>
        <v>315360</v>
      </c>
      <c r="X47" s="38">
        <f t="shared" si="33"/>
        <v>60480</v>
      </c>
      <c r="Y47" s="38">
        <f t="shared" si="1"/>
        <v>7819200</v>
      </c>
    </row>
    <row r="48" spans="1:25" s="2" customFormat="1" ht="24.95" customHeight="1">
      <c r="A48" s="35" t="s">
        <v>121</v>
      </c>
      <c r="B48" s="42" t="s">
        <v>332</v>
      </c>
      <c r="C48" s="42" t="s">
        <v>27</v>
      </c>
      <c r="D48" s="48" t="s">
        <v>333</v>
      </c>
      <c r="E48" s="38">
        <f>E70*4320</f>
        <v>574560</v>
      </c>
      <c r="F48" s="38">
        <f t="shared" ref="F48:X48" si="34">F70*4320</f>
        <v>224640</v>
      </c>
      <c r="G48" s="38">
        <f t="shared" si="34"/>
        <v>272160</v>
      </c>
      <c r="H48" s="38">
        <f t="shared" si="34"/>
        <v>12960</v>
      </c>
      <c r="I48" s="38">
        <f t="shared" si="34"/>
        <v>475200</v>
      </c>
      <c r="J48" s="38">
        <f t="shared" si="34"/>
        <v>159840</v>
      </c>
      <c r="K48" s="38">
        <f t="shared" si="34"/>
        <v>155520</v>
      </c>
      <c r="L48" s="38">
        <f t="shared" si="34"/>
        <v>112320</v>
      </c>
      <c r="M48" s="38">
        <f t="shared" si="34"/>
        <v>17280</v>
      </c>
      <c r="N48" s="38">
        <f t="shared" si="34"/>
        <v>198720</v>
      </c>
      <c r="O48" s="38">
        <f t="shared" si="34"/>
        <v>168480</v>
      </c>
      <c r="P48" s="38">
        <f t="shared" si="34"/>
        <v>4320</v>
      </c>
      <c r="Q48" s="38">
        <f t="shared" si="34"/>
        <v>0</v>
      </c>
      <c r="R48" s="38">
        <f t="shared" si="34"/>
        <v>125280</v>
      </c>
      <c r="S48" s="38">
        <f t="shared" si="34"/>
        <v>34560</v>
      </c>
      <c r="T48" s="38">
        <f t="shared" si="34"/>
        <v>0</v>
      </c>
      <c r="U48" s="38">
        <f t="shared" si="34"/>
        <v>86400</v>
      </c>
      <c r="V48" s="38">
        <f t="shared" si="34"/>
        <v>0</v>
      </c>
      <c r="W48" s="38">
        <f t="shared" si="34"/>
        <v>21600</v>
      </c>
      <c r="X48" s="38">
        <f t="shared" si="34"/>
        <v>0</v>
      </c>
      <c r="Y48" s="38">
        <f t="shared" si="1"/>
        <v>2643840</v>
      </c>
    </row>
    <row r="49" spans="1:25" ht="24.95" customHeight="1">
      <c r="A49" s="35" t="s">
        <v>123</v>
      </c>
      <c r="B49" s="36" t="s">
        <v>334</v>
      </c>
      <c r="C49" s="36"/>
      <c r="D49" s="37" t="s">
        <v>21</v>
      </c>
      <c r="E49" s="38">
        <f>E50</f>
        <v>1402185.43</v>
      </c>
      <c r="F49" s="38">
        <f t="shared" ref="F49:X49" si="35">F50</f>
        <v>469083.43</v>
      </c>
      <c r="G49" s="38">
        <f t="shared" si="35"/>
        <v>386057.14</v>
      </c>
      <c r="H49" s="38">
        <f t="shared" si="35"/>
        <v>528805.71</v>
      </c>
      <c r="I49" s="38">
        <f t="shared" si="35"/>
        <v>1717994.29</v>
      </c>
      <c r="J49" s="38">
        <f t="shared" si="35"/>
        <v>286738.28999999998</v>
      </c>
      <c r="K49" s="38">
        <f t="shared" si="35"/>
        <v>677379.43</v>
      </c>
      <c r="L49" s="38">
        <f t="shared" si="35"/>
        <v>275389.71000000002</v>
      </c>
      <c r="M49" s="38">
        <f t="shared" si="35"/>
        <v>645497.14</v>
      </c>
      <c r="N49" s="38">
        <f t="shared" si="35"/>
        <v>413766.86</v>
      </c>
      <c r="O49" s="38">
        <f t="shared" si="35"/>
        <v>176317.71</v>
      </c>
      <c r="P49" s="38">
        <f t="shared" si="35"/>
        <v>202686.86</v>
      </c>
      <c r="Q49" s="38">
        <f t="shared" si="35"/>
        <v>128098.29</v>
      </c>
      <c r="R49" s="38">
        <f t="shared" si="35"/>
        <v>172928.86</v>
      </c>
      <c r="S49" s="38">
        <f t="shared" si="35"/>
        <v>36366.86</v>
      </c>
      <c r="T49" s="38">
        <f t="shared" si="35"/>
        <v>193542.86</v>
      </c>
      <c r="U49" s="38">
        <f t="shared" si="35"/>
        <v>617142.86</v>
      </c>
      <c r="V49" s="38">
        <f t="shared" si="35"/>
        <v>79875.429999999993</v>
      </c>
      <c r="W49" s="38">
        <f t="shared" si="35"/>
        <v>336209.14</v>
      </c>
      <c r="X49" s="38">
        <f t="shared" si="35"/>
        <v>48680.57</v>
      </c>
      <c r="Y49" s="38">
        <f t="shared" si="1"/>
        <v>8794746.8700000029</v>
      </c>
    </row>
    <row r="50" spans="1:25" s="2" customFormat="1" ht="24.95" customHeight="1">
      <c r="A50" s="35" t="s">
        <v>125</v>
      </c>
      <c r="B50" s="42" t="s">
        <v>129</v>
      </c>
      <c r="C50" s="42" t="s">
        <v>27</v>
      </c>
      <c r="D50" s="39" t="s">
        <v>43</v>
      </c>
      <c r="E50" s="38">
        <f>ROUND(E30/0.07*0.02,2)</f>
        <v>1402185.43</v>
      </c>
      <c r="F50" s="38">
        <f t="shared" ref="F50:X50" si="36">ROUND(F30/0.07*0.02,2)</f>
        <v>469083.43</v>
      </c>
      <c r="G50" s="38">
        <f t="shared" si="36"/>
        <v>386057.14</v>
      </c>
      <c r="H50" s="38">
        <f t="shared" si="36"/>
        <v>528805.71</v>
      </c>
      <c r="I50" s="38">
        <f t="shared" si="36"/>
        <v>1717994.29</v>
      </c>
      <c r="J50" s="38">
        <f t="shared" si="36"/>
        <v>286738.28999999998</v>
      </c>
      <c r="K50" s="38">
        <f t="shared" si="36"/>
        <v>677379.43</v>
      </c>
      <c r="L50" s="38">
        <f t="shared" si="36"/>
        <v>275389.71000000002</v>
      </c>
      <c r="M50" s="38">
        <f t="shared" si="36"/>
        <v>645497.14</v>
      </c>
      <c r="N50" s="38">
        <f t="shared" si="36"/>
        <v>413766.86</v>
      </c>
      <c r="O50" s="38">
        <f t="shared" si="36"/>
        <v>176317.71</v>
      </c>
      <c r="P50" s="38">
        <f t="shared" si="36"/>
        <v>202686.86</v>
      </c>
      <c r="Q50" s="38">
        <f t="shared" si="36"/>
        <v>128098.29</v>
      </c>
      <c r="R50" s="38">
        <f t="shared" si="36"/>
        <v>172928.86</v>
      </c>
      <c r="S50" s="38">
        <f t="shared" si="36"/>
        <v>36366.86</v>
      </c>
      <c r="T50" s="38">
        <f t="shared" si="36"/>
        <v>193542.86</v>
      </c>
      <c r="U50" s="38">
        <f t="shared" si="36"/>
        <v>617142.86</v>
      </c>
      <c r="V50" s="38">
        <f t="shared" si="36"/>
        <v>79875.429999999993</v>
      </c>
      <c r="W50" s="38">
        <f t="shared" si="36"/>
        <v>336209.14</v>
      </c>
      <c r="X50" s="38">
        <f t="shared" si="36"/>
        <v>48680.57</v>
      </c>
      <c r="Y50" s="38">
        <f t="shared" si="1"/>
        <v>8794746.8700000029</v>
      </c>
    </row>
    <row r="51" spans="1:25" ht="24.95" customHeight="1">
      <c r="A51" s="35" t="s">
        <v>126</v>
      </c>
      <c r="B51" s="36" t="s">
        <v>335</v>
      </c>
      <c r="C51" s="36"/>
      <c r="D51" s="37" t="s">
        <v>21</v>
      </c>
      <c r="E51" s="38">
        <f>E52</f>
        <v>32000</v>
      </c>
      <c r="F51" s="38">
        <f t="shared" ref="F51:X51" si="37">F52</f>
        <v>25000</v>
      </c>
      <c r="G51" s="38">
        <f t="shared" si="37"/>
        <v>32000</v>
      </c>
      <c r="H51" s="38">
        <f t="shared" si="37"/>
        <v>32000</v>
      </c>
      <c r="I51" s="38">
        <f t="shared" si="37"/>
        <v>25000</v>
      </c>
      <c r="J51" s="38">
        <f t="shared" si="37"/>
        <v>32000</v>
      </c>
      <c r="K51" s="38">
        <f t="shared" si="37"/>
        <v>0</v>
      </c>
      <c r="L51" s="38">
        <f t="shared" si="37"/>
        <v>32000</v>
      </c>
      <c r="M51" s="38">
        <f t="shared" si="37"/>
        <v>32000</v>
      </c>
      <c r="N51" s="38">
        <f t="shared" si="37"/>
        <v>32000</v>
      </c>
      <c r="O51" s="38">
        <f t="shared" si="37"/>
        <v>0</v>
      </c>
      <c r="P51" s="38">
        <f t="shared" si="37"/>
        <v>0</v>
      </c>
      <c r="Q51" s="38">
        <f t="shared" si="37"/>
        <v>32000</v>
      </c>
      <c r="R51" s="38">
        <f t="shared" si="37"/>
        <v>0</v>
      </c>
      <c r="S51" s="38">
        <f t="shared" si="37"/>
        <v>0</v>
      </c>
      <c r="T51" s="38">
        <f t="shared" si="37"/>
        <v>0</v>
      </c>
      <c r="U51" s="38">
        <f t="shared" si="37"/>
        <v>0</v>
      </c>
      <c r="V51" s="38">
        <f t="shared" si="37"/>
        <v>0</v>
      </c>
      <c r="W51" s="38">
        <f t="shared" si="37"/>
        <v>0</v>
      </c>
      <c r="X51" s="38">
        <f t="shared" si="37"/>
        <v>0</v>
      </c>
      <c r="Y51" s="38">
        <f t="shared" si="1"/>
        <v>306000</v>
      </c>
    </row>
    <row r="52" spans="1:25" ht="24.95" customHeight="1">
      <c r="A52" s="35" t="s">
        <v>128</v>
      </c>
      <c r="B52" s="36" t="s">
        <v>132</v>
      </c>
      <c r="C52" s="36" t="s">
        <v>27</v>
      </c>
      <c r="D52" s="47" t="s">
        <v>133</v>
      </c>
      <c r="E52" s="40">
        <v>32000</v>
      </c>
      <c r="F52" s="168">
        <f>32000-7000</f>
        <v>25000</v>
      </c>
      <c r="G52" s="40">
        <v>32000</v>
      </c>
      <c r="H52" s="40">
        <v>32000</v>
      </c>
      <c r="I52" s="168">
        <f>32000-7000</f>
        <v>25000</v>
      </c>
      <c r="J52" s="40">
        <v>32000</v>
      </c>
      <c r="K52" s="40"/>
      <c r="L52" s="40">
        <v>32000</v>
      </c>
      <c r="M52" s="40">
        <v>32000</v>
      </c>
      <c r="N52" s="40">
        <v>32000</v>
      </c>
      <c r="O52" s="40"/>
      <c r="P52" s="40"/>
      <c r="Q52" s="40">
        <v>32000</v>
      </c>
      <c r="R52" s="40"/>
      <c r="S52" s="40"/>
      <c r="T52" s="40"/>
      <c r="U52" s="40"/>
      <c r="V52" s="40"/>
      <c r="W52" s="40"/>
      <c r="X52" s="40"/>
      <c r="Y52" s="38">
        <f t="shared" si="1"/>
        <v>306000</v>
      </c>
    </row>
    <row r="53" spans="1:25" ht="24.95" customHeight="1">
      <c r="A53" s="35" t="s">
        <v>130</v>
      </c>
      <c r="B53" s="36" t="s">
        <v>287</v>
      </c>
      <c r="C53" s="36"/>
      <c r="D53" s="37" t="s">
        <v>21</v>
      </c>
      <c r="E53" s="38">
        <f>E54</f>
        <v>53200</v>
      </c>
      <c r="F53" s="38">
        <f t="shared" ref="F53:X53" si="38">F54</f>
        <v>20800</v>
      </c>
      <c r="G53" s="38">
        <f t="shared" si="38"/>
        <v>25200</v>
      </c>
      <c r="H53" s="38">
        <f t="shared" si="38"/>
        <v>1200</v>
      </c>
      <c r="I53" s="38">
        <f t="shared" si="38"/>
        <v>44000</v>
      </c>
      <c r="J53" s="38">
        <f t="shared" si="38"/>
        <v>14800</v>
      </c>
      <c r="K53" s="38">
        <f t="shared" si="38"/>
        <v>14400</v>
      </c>
      <c r="L53" s="38">
        <f t="shared" si="38"/>
        <v>10400</v>
      </c>
      <c r="M53" s="38">
        <f t="shared" si="38"/>
        <v>1600</v>
      </c>
      <c r="N53" s="38">
        <f t="shared" si="38"/>
        <v>18400</v>
      </c>
      <c r="O53" s="38">
        <f t="shared" si="38"/>
        <v>15600</v>
      </c>
      <c r="P53" s="38">
        <f t="shared" si="38"/>
        <v>400</v>
      </c>
      <c r="Q53" s="38">
        <f t="shared" si="38"/>
        <v>0</v>
      </c>
      <c r="R53" s="38">
        <f t="shared" si="38"/>
        <v>11600</v>
      </c>
      <c r="S53" s="38">
        <f t="shared" si="38"/>
        <v>3200</v>
      </c>
      <c r="T53" s="38">
        <f t="shared" si="38"/>
        <v>0</v>
      </c>
      <c r="U53" s="38">
        <f t="shared" si="38"/>
        <v>8000</v>
      </c>
      <c r="V53" s="38">
        <f t="shared" si="38"/>
        <v>0</v>
      </c>
      <c r="W53" s="38">
        <f t="shared" si="38"/>
        <v>2000</v>
      </c>
      <c r="X53" s="38">
        <f t="shared" si="38"/>
        <v>0</v>
      </c>
      <c r="Y53" s="38">
        <f t="shared" si="1"/>
        <v>244800</v>
      </c>
    </row>
    <row r="54" spans="1:25" s="2" customFormat="1" ht="24.95" customHeight="1">
      <c r="A54" s="35" t="s">
        <v>131</v>
      </c>
      <c r="B54" s="42" t="s">
        <v>288</v>
      </c>
      <c r="C54" s="42" t="s">
        <v>27</v>
      </c>
      <c r="D54" s="48" t="s">
        <v>336</v>
      </c>
      <c r="E54" s="38">
        <f>E70*400</f>
        <v>53200</v>
      </c>
      <c r="F54" s="38">
        <f t="shared" ref="F54:X54" si="39">F70*400</f>
        <v>20800</v>
      </c>
      <c r="G54" s="38">
        <f t="shared" si="39"/>
        <v>25200</v>
      </c>
      <c r="H54" s="38">
        <f t="shared" si="39"/>
        <v>1200</v>
      </c>
      <c r="I54" s="38">
        <f t="shared" si="39"/>
        <v>44000</v>
      </c>
      <c r="J54" s="38">
        <f t="shared" si="39"/>
        <v>14800</v>
      </c>
      <c r="K54" s="38">
        <f t="shared" si="39"/>
        <v>14400</v>
      </c>
      <c r="L54" s="38">
        <f t="shared" si="39"/>
        <v>10400</v>
      </c>
      <c r="M54" s="38">
        <f t="shared" si="39"/>
        <v>1600</v>
      </c>
      <c r="N54" s="38">
        <f t="shared" si="39"/>
        <v>18400</v>
      </c>
      <c r="O54" s="38">
        <f t="shared" si="39"/>
        <v>15600</v>
      </c>
      <c r="P54" s="38">
        <f t="shared" si="39"/>
        <v>400</v>
      </c>
      <c r="Q54" s="38">
        <f t="shared" si="39"/>
        <v>0</v>
      </c>
      <c r="R54" s="38">
        <f t="shared" si="39"/>
        <v>11600</v>
      </c>
      <c r="S54" s="38">
        <f t="shared" si="39"/>
        <v>3200</v>
      </c>
      <c r="T54" s="38">
        <f t="shared" si="39"/>
        <v>0</v>
      </c>
      <c r="U54" s="38">
        <f t="shared" si="39"/>
        <v>8000</v>
      </c>
      <c r="V54" s="38">
        <f t="shared" si="39"/>
        <v>0</v>
      </c>
      <c r="W54" s="38">
        <f t="shared" si="39"/>
        <v>2000</v>
      </c>
      <c r="X54" s="38">
        <f t="shared" si="39"/>
        <v>0</v>
      </c>
      <c r="Y54" s="38">
        <f t="shared" si="1"/>
        <v>244800</v>
      </c>
    </row>
    <row r="55" spans="1:25" s="2" customFormat="1" ht="24.95" customHeight="1">
      <c r="A55" s="35" t="s">
        <v>134</v>
      </c>
      <c r="B55" s="36" t="s">
        <v>281</v>
      </c>
      <c r="C55" s="42"/>
      <c r="D55" s="48"/>
      <c r="E55" s="38">
        <f>E56</f>
        <v>8250</v>
      </c>
      <c r="F55" s="38">
        <f t="shared" ref="F55:X55" si="40">F56</f>
        <v>4900</v>
      </c>
      <c r="G55" s="38">
        <f t="shared" si="40"/>
        <v>1200</v>
      </c>
      <c r="H55" s="38">
        <f t="shared" si="40"/>
        <v>3600</v>
      </c>
      <c r="I55" s="38">
        <f t="shared" si="40"/>
        <v>13650</v>
      </c>
      <c r="J55" s="38">
        <f t="shared" si="40"/>
        <v>500</v>
      </c>
      <c r="K55" s="38">
        <f t="shared" si="40"/>
        <v>4400</v>
      </c>
      <c r="L55" s="38">
        <f t="shared" si="40"/>
        <v>1000</v>
      </c>
      <c r="M55" s="38">
        <f t="shared" si="40"/>
        <v>10000</v>
      </c>
      <c r="N55" s="38">
        <f t="shared" si="40"/>
        <v>2800</v>
      </c>
      <c r="O55" s="38">
        <f t="shared" si="40"/>
        <v>2000</v>
      </c>
      <c r="P55" s="38">
        <f t="shared" si="40"/>
        <v>6000</v>
      </c>
      <c r="Q55" s="38">
        <f t="shared" si="40"/>
        <v>2400</v>
      </c>
      <c r="R55" s="38">
        <f t="shared" si="40"/>
        <v>1000</v>
      </c>
      <c r="S55" s="38">
        <f t="shared" si="40"/>
        <v>0</v>
      </c>
      <c r="T55" s="38">
        <f t="shared" si="40"/>
        <v>2400</v>
      </c>
      <c r="U55" s="38">
        <f t="shared" si="40"/>
        <v>4000</v>
      </c>
      <c r="V55" s="38">
        <f t="shared" si="40"/>
        <v>1500</v>
      </c>
      <c r="W55" s="38">
        <f t="shared" si="40"/>
        <v>3000</v>
      </c>
      <c r="X55" s="38">
        <f t="shared" si="40"/>
        <v>0</v>
      </c>
      <c r="Y55" s="38">
        <f t="shared" si="1"/>
        <v>72600</v>
      </c>
    </row>
    <row r="56" spans="1:25" ht="24.95" customHeight="1">
      <c r="A56" s="35" t="s">
        <v>135</v>
      </c>
      <c r="B56" s="36" t="s">
        <v>282</v>
      </c>
      <c r="C56" s="36" t="s">
        <v>27</v>
      </c>
      <c r="D56" s="47" t="s">
        <v>140</v>
      </c>
      <c r="E56" s="49">
        <v>8250</v>
      </c>
      <c r="F56" s="49">
        <v>4900</v>
      </c>
      <c r="G56" s="49">
        <v>1200</v>
      </c>
      <c r="H56" s="49">
        <v>3600</v>
      </c>
      <c r="I56" s="49">
        <v>13650</v>
      </c>
      <c r="J56" s="49">
        <v>500</v>
      </c>
      <c r="K56" s="49">
        <v>4400</v>
      </c>
      <c r="L56" s="49">
        <v>1000</v>
      </c>
      <c r="M56" s="49">
        <v>10000</v>
      </c>
      <c r="N56" s="49">
        <v>2800</v>
      </c>
      <c r="O56" s="49">
        <v>2000</v>
      </c>
      <c r="P56" s="49">
        <v>6000</v>
      </c>
      <c r="Q56" s="49">
        <v>2400</v>
      </c>
      <c r="R56" s="49">
        <v>1000</v>
      </c>
      <c r="S56" s="49"/>
      <c r="T56" s="49">
        <v>2400</v>
      </c>
      <c r="U56" s="49">
        <v>4000</v>
      </c>
      <c r="V56" s="49">
        <v>1500</v>
      </c>
      <c r="W56" s="49">
        <v>3000</v>
      </c>
      <c r="X56" s="49"/>
      <c r="Y56" s="38">
        <f t="shared" si="1"/>
        <v>72600</v>
      </c>
    </row>
    <row r="57" spans="1:25" ht="24.95" customHeight="1">
      <c r="A57" s="35" t="s">
        <v>136</v>
      </c>
      <c r="B57" s="36" t="s">
        <v>283</v>
      </c>
      <c r="C57" s="36"/>
      <c r="D57" s="37" t="s">
        <v>21</v>
      </c>
      <c r="E57" s="38">
        <f>E58</f>
        <v>10000</v>
      </c>
      <c r="F57" s="38">
        <f t="shared" ref="F57:X57" si="41">F58</f>
        <v>0</v>
      </c>
      <c r="G57" s="38">
        <f t="shared" si="41"/>
        <v>0</v>
      </c>
      <c r="H57" s="38">
        <f t="shared" si="41"/>
        <v>10000</v>
      </c>
      <c r="I57" s="38">
        <f t="shared" si="41"/>
        <v>20000</v>
      </c>
      <c r="J57" s="38">
        <f t="shared" si="41"/>
        <v>0</v>
      </c>
      <c r="K57" s="38">
        <f t="shared" si="41"/>
        <v>32000</v>
      </c>
      <c r="L57" s="38">
        <f t="shared" si="41"/>
        <v>0</v>
      </c>
      <c r="M57" s="38">
        <f t="shared" si="41"/>
        <v>0</v>
      </c>
      <c r="N57" s="38">
        <f t="shared" si="41"/>
        <v>20000</v>
      </c>
      <c r="O57" s="38">
        <f t="shared" si="41"/>
        <v>32000</v>
      </c>
      <c r="P57" s="38">
        <f t="shared" si="41"/>
        <v>32000</v>
      </c>
      <c r="Q57" s="38">
        <f t="shared" si="41"/>
        <v>0</v>
      </c>
      <c r="R57" s="38">
        <f t="shared" si="41"/>
        <v>32000</v>
      </c>
      <c r="S57" s="38">
        <f t="shared" si="41"/>
        <v>32000</v>
      </c>
      <c r="T57" s="38">
        <f t="shared" si="41"/>
        <v>32000</v>
      </c>
      <c r="U57" s="38">
        <f t="shared" si="41"/>
        <v>32000</v>
      </c>
      <c r="V57" s="38">
        <f t="shared" si="41"/>
        <v>32000</v>
      </c>
      <c r="W57" s="38">
        <f t="shared" si="41"/>
        <v>32000</v>
      </c>
      <c r="X57" s="38">
        <f t="shared" si="41"/>
        <v>32000</v>
      </c>
      <c r="Y57" s="38">
        <f t="shared" si="1"/>
        <v>380000</v>
      </c>
    </row>
    <row r="58" spans="1:25" ht="24.95" customHeight="1" thickBot="1">
      <c r="A58" s="35" t="s">
        <v>139</v>
      </c>
      <c r="B58" s="4" t="s">
        <v>284</v>
      </c>
      <c r="C58" s="36" t="s">
        <v>27</v>
      </c>
      <c r="D58" s="5" t="s">
        <v>337</v>
      </c>
      <c r="E58" s="6">
        <v>10000</v>
      </c>
      <c r="F58" s="6"/>
      <c r="G58" s="6"/>
      <c r="H58" s="6">
        <v>10000</v>
      </c>
      <c r="I58" s="6">
        <v>20000</v>
      </c>
      <c r="J58" s="6"/>
      <c r="K58" s="6">
        <v>32000</v>
      </c>
      <c r="L58" s="6"/>
      <c r="M58" s="6"/>
      <c r="N58" s="6">
        <v>20000</v>
      </c>
      <c r="O58" s="6">
        <v>32000</v>
      </c>
      <c r="P58" s="6">
        <v>32000</v>
      </c>
      <c r="Q58" s="6"/>
      <c r="R58" s="6">
        <v>32000</v>
      </c>
      <c r="S58" s="6">
        <v>32000</v>
      </c>
      <c r="T58" s="6">
        <v>32000</v>
      </c>
      <c r="U58" s="6">
        <v>32000</v>
      </c>
      <c r="V58" s="6">
        <v>32000</v>
      </c>
      <c r="W58" s="6">
        <v>32000</v>
      </c>
      <c r="X58" s="6">
        <v>32000</v>
      </c>
      <c r="Y58" s="38">
        <f t="shared" si="1"/>
        <v>380000</v>
      </c>
    </row>
    <row r="59" spans="1:25" ht="24.95" customHeight="1" thickTop="1">
      <c r="A59" s="35" t="s">
        <v>141</v>
      </c>
      <c r="B59" s="9" t="s">
        <v>145</v>
      </c>
      <c r="C59" s="9"/>
      <c r="D59" s="10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38">
        <f t="shared" si="1"/>
        <v>0</v>
      </c>
    </row>
    <row r="60" spans="1:25" ht="24.95" customHeight="1">
      <c r="A60" s="35" t="s">
        <v>142</v>
      </c>
      <c r="B60" s="36" t="s">
        <v>147</v>
      </c>
      <c r="C60" s="36"/>
      <c r="D60" s="37" t="s">
        <v>338</v>
      </c>
      <c r="E60" s="38">
        <f>E61+E62+E63+E64</f>
        <v>268</v>
      </c>
      <c r="F60" s="38">
        <f t="shared" ref="F60:X60" si="42">F61+F62+F63+F64</f>
        <v>91</v>
      </c>
      <c r="G60" s="38">
        <f t="shared" si="42"/>
        <v>79</v>
      </c>
      <c r="H60" s="38">
        <f t="shared" si="42"/>
        <v>106</v>
      </c>
      <c r="I60" s="38">
        <f t="shared" si="42"/>
        <v>359</v>
      </c>
      <c r="J60" s="38">
        <f t="shared" si="42"/>
        <v>59</v>
      </c>
      <c r="K60" s="38">
        <f t="shared" si="42"/>
        <v>135</v>
      </c>
      <c r="L60" s="38">
        <f t="shared" si="42"/>
        <v>56</v>
      </c>
      <c r="M60" s="38">
        <f t="shared" si="42"/>
        <v>130</v>
      </c>
      <c r="N60" s="38">
        <f t="shared" si="42"/>
        <v>92</v>
      </c>
      <c r="O60" s="38">
        <f t="shared" si="42"/>
        <v>41</v>
      </c>
      <c r="P60" s="38">
        <f t="shared" si="42"/>
        <v>48</v>
      </c>
      <c r="Q60" s="38">
        <f t="shared" si="42"/>
        <v>29</v>
      </c>
      <c r="R60" s="38">
        <f t="shared" si="42"/>
        <v>41</v>
      </c>
      <c r="S60" s="38">
        <f t="shared" si="42"/>
        <v>7</v>
      </c>
      <c r="T60" s="38">
        <f t="shared" si="42"/>
        <v>44</v>
      </c>
      <c r="U60" s="38">
        <f t="shared" si="42"/>
        <v>119</v>
      </c>
      <c r="V60" s="38">
        <f t="shared" si="42"/>
        <v>19</v>
      </c>
      <c r="W60" s="38">
        <f t="shared" si="42"/>
        <v>73</v>
      </c>
      <c r="X60" s="38">
        <f t="shared" si="42"/>
        <v>14</v>
      </c>
      <c r="Y60" s="38">
        <f t="shared" si="1"/>
        <v>1810</v>
      </c>
    </row>
    <row r="61" spans="1:25" ht="24.95" customHeight="1">
      <c r="A61" s="35" t="s">
        <v>144</v>
      </c>
      <c r="B61" s="50" t="s">
        <v>149</v>
      </c>
      <c r="C61" s="50"/>
      <c r="D61" s="44"/>
      <c r="E61" s="45">
        <v>268</v>
      </c>
      <c r="F61" s="45">
        <v>91</v>
      </c>
      <c r="G61" s="45">
        <v>79</v>
      </c>
      <c r="H61" s="45">
        <v>106</v>
      </c>
      <c r="I61" s="45"/>
      <c r="J61" s="45"/>
      <c r="K61" s="45"/>
      <c r="L61" s="45"/>
      <c r="M61" s="45"/>
      <c r="N61" s="45"/>
      <c r="O61" s="45"/>
      <c r="P61" s="45"/>
      <c r="Q61" s="45"/>
      <c r="R61" s="45"/>
      <c r="S61" s="45"/>
      <c r="T61" s="45"/>
      <c r="U61" s="45">
        <v>85</v>
      </c>
      <c r="V61" s="45"/>
      <c r="W61" s="45"/>
      <c r="X61" s="45"/>
      <c r="Y61" s="38">
        <f t="shared" si="1"/>
        <v>629</v>
      </c>
    </row>
    <row r="62" spans="1:25" ht="24.95" customHeight="1">
      <c r="A62" s="35" t="s">
        <v>146</v>
      </c>
      <c r="B62" s="50" t="s">
        <v>151</v>
      </c>
      <c r="C62" s="50"/>
      <c r="D62" s="37"/>
      <c r="E62" s="40"/>
      <c r="F62" s="40"/>
      <c r="G62" s="40"/>
      <c r="H62" s="40"/>
      <c r="I62" s="40">
        <v>359</v>
      </c>
      <c r="J62" s="40">
        <v>59</v>
      </c>
      <c r="K62" s="40">
        <v>135</v>
      </c>
      <c r="L62" s="40">
        <v>56</v>
      </c>
      <c r="M62" s="40">
        <v>130</v>
      </c>
      <c r="N62" s="40"/>
      <c r="O62" s="40"/>
      <c r="P62" s="40"/>
      <c r="Q62" s="40"/>
      <c r="R62" s="40"/>
      <c r="S62" s="40"/>
      <c r="T62" s="40"/>
      <c r="U62" s="40">
        <v>34</v>
      </c>
      <c r="V62" s="40"/>
      <c r="W62" s="40"/>
      <c r="X62" s="40"/>
      <c r="Y62" s="38">
        <f t="shared" si="1"/>
        <v>773</v>
      </c>
    </row>
    <row r="63" spans="1:25" ht="24.95" customHeight="1">
      <c r="A63" s="35" t="s">
        <v>148</v>
      </c>
      <c r="B63" s="50" t="s">
        <v>153</v>
      </c>
      <c r="C63" s="50"/>
      <c r="D63" s="44"/>
      <c r="E63" s="45"/>
      <c r="F63" s="45"/>
      <c r="G63" s="45"/>
      <c r="H63" s="45"/>
      <c r="I63" s="45"/>
      <c r="J63" s="45"/>
      <c r="K63" s="45"/>
      <c r="L63" s="45"/>
      <c r="M63" s="45"/>
      <c r="N63" s="45">
        <v>92</v>
      </c>
      <c r="O63" s="45">
        <v>41</v>
      </c>
      <c r="P63" s="45">
        <v>48</v>
      </c>
      <c r="Q63" s="45">
        <v>29</v>
      </c>
      <c r="R63" s="45">
        <v>41</v>
      </c>
      <c r="S63" s="45"/>
      <c r="T63" s="45">
        <v>44</v>
      </c>
      <c r="U63" s="45"/>
      <c r="V63" s="45">
        <v>19</v>
      </c>
      <c r="W63" s="45">
        <v>73</v>
      </c>
      <c r="X63" s="45">
        <v>14</v>
      </c>
      <c r="Y63" s="38">
        <f t="shared" si="1"/>
        <v>401</v>
      </c>
    </row>
    <row r="64" spans="1:25" ht="24.95" customHeight="1">
      <c r="A64" s="35" t="s">
        <v>150</v>
      </c>
      <c r="B64" s="50" t="s">
        <v>155</v>
      </c>
      <c r="C64" s="50"/>
      <c r="D64" s="44"/>
      <c r="E64" s="45"/>
      <c r="F64" s="45"/>
      <c r="G64" s="45"/>
      <c r="H64" s="45"/>
      <c r="I64" s="45"/>
      <c r="J64" s="45"/>
      <c r="K64" s="45"/>
      <c r="L64" s="45"/>
      <c r="M64" s="45"/>
      <c r="N64" s="45"/>
      <c r="O64" s="45"/>
      <c r="P64" s="45"/>
      <c r="Q64" s="45"/>
      <c r="R64" s="45"/>
      <c r="S64" s="45">
        <v>7</v>
      </c>
      <c r="T64" s="45"/>
      <c r="U64" s="45"/>
      <c r="V64" s="45"/>
      <c r="W64" s="45"/>
      <c r="X64" s="45"/>
      <c r="Y64" s="38">
        <f t="shared" si="1"/>
        <v>7</v>
      </c>
    </row>
    <row r="65" spans="1:25" ht="24.95" customHeight="1">
      <c r="A65" s="35" t="s">
        <v>152</v>
      </c>
      <c r="B65" s="36" t="s">
        <v>157</v>
      </c>
      <c r="C65" s="36"/>
      <c r="D65" s="37" t="s">
        <v>339</v>
      </c>
      <c r="E65" s="38">
        <f>E66+E67+E68+E69</f>
        <v>3575</v>
      </c>
      <c r="F65" s="38">
        <f t="shared" ref="F65:X65" si="43">F66+F67+F68+F69</f>
        <v>1356</v>
      </c>
      <c r="G65" s="38">
        <f t="shared" si="43"/>
        <v>1150</v>
      </c>
      <c r="H65" s="38">
        <f t="shared" si="43"/>
        <v>1664</v>
      </c>
      <c r="I65" s="38">
        <f t="shared" si="43"/>
        <v>5734</v>
      </c>
      <c r="J65" s="38">
        <f t="shared" si="43"/>
        <v>779</v>
      </c>
      <c r="K65" s="38">
        <f t="shared" si="43"/>
        <v>2344</v>
      </c>
      <c r="L65" s="38">
        <f t="shared" si="43"/>
        <v>767</v>
      </c>
      <c r="M65" s="38">
        <f t="shared" si="43"/>
        <v>2093</v>
      </c>
      <c r="N65" s="38">
        <f t="shared" si="43"/>
        <v>863</v>
      </c>
      <c r="O65" s="38">
        <f t="shared" si="43"/>
        <v>366</v>
      </c>
      <c r="P65" s="38">
        <f t="shared" si="43"/>
        <v>583</v>
      </c>
      <c r="Q65" s="38">
        <f t="shared" si="43"/>
        <v>335</v>
      </c>
      <c r="R65" s="38">
        <f t="shared" si="43"/>
        <v>360</v>
      </c>
      <c r="S65" s="38">
        <f t="shared" si="43"/>
        <v>0</v>
      </c>
      <c r="T65" s="38">
        <f t="shared" si="43"/>
        <v>285</v>
      </c>
      <c r="U65" s="38">
        <f t="shared" si="43"/>
        <v>2028</v>
      </c>
      <c r="V65" s="38">
        <f t="shared" si="43"/>
        <v>206</v>
      </c>
      <c r="W65" s="38">
        <f t="shared" si="43"/>
        <v>547</v>
      </c>
      <c r="X65" s="38">
        <f t="shared" si="43"/>
        <v>227</v>
      </c>
      <c r="Y65" s="38">
        <f t="shared" si="1"/>
        <v>25262</v>
      </c>
    </row>
    <row r="66" spans="1:25" ht="24.95" customHeight="1">
      <c r="A66" s="35" t="s">
        <v>154</v>
      </c>
      <c r="B66" s="50" t="s">
        <v>149</v>
      </c>
      <c r="C66" s="50"/>
      <c r="D66" s="44"/>
      <c r="E66" s="45">
        <v>3575</v>
      </c>
      <c r="F66" s="45">
        <v>1356</v>
      </c>
      <c r="G66" s="45">
        <v>1150</v>
      </c>
      <c r="H66" s="45">
        <v>1664</v>
      </c>
      <c r="I66" s="45"/>
      <c r="J66" s="45"/>
      <c r="K66" s="45"/>
      <c r="L66" s="45"/>
      <c r="M66" s="45"/>
      <c r="N66" s="45"/>
      <c r="O66" s="45"/>
      <c r="P66" s="45"/>
      <c r="Q66" s="45"/>
      <c r="R66" s="45"/>
      <c r="S66" s="45"/>
      <c r="T66" s="45"/>
      <c r="U66" s="45">
        <v>1217</v>
      </c>
      <c r="V66" s="45"/>
      <c r="W66" s="45"/>
      <c r="X66" s="45"/>
      <c r="Y66" s="38">
        <f t="shared" si="1"/>
        <v>8962</v>
      </c>
    </row>
    <row r="67" spans="1:25" ht="24.95" customHeight="1">
      <c r="A67" s="35" t="s">
        <v>156</v>
      </c>
      <c r="B67" s="50" t="s">
        <v>151</v>
      </c>
      <c r="C67" s="50"/>
      <c r="D67" s="37"/>
      <c r="E67" s="40"/>
      <c r="F67" s="40"/>
      <c r="G67" s="40"/>
      <c r="H67" s="40"/>
      <c r="I67" s="40">
        <v>5734</v>
      </c>
      <c r="J67" s="40">
        <v>779</v>
      </c>
      <c r="K67" s="40">
        <v>2344</v>
      </c>
      <c r="L67" s="40">
        <v>767</v>
      </c>
      <c r="M67" s="40">
        <v>2093</v>
      </c>
      <c r="N67" s="40"/>
      <c r="O67" s="40"/>
      <c r="P67" s="40"/>
      <c r="Q67" s="40"/>
      <c r="R67" s="40"/>
      <c r="S67" s="40"/>
      <c r="T67" s="40"/>
      <c r="U67" s="40">
        <v>811</v>
      </c>
      <c r="V67" s="40"/>
      <c r="W67" s="40"/>
      <c r="X67" s="40"/>
      <c r="Y67" s="38">
        <f t="shared" si="1"/>
        <v>12528</v>
      </c>
    </row>
    <row r="68" spans="1:25" ht="24.95" customHeight="1">
      <c r="A68" s="35" t="s">
        <v>158</v>
      </c>
      <c r="B68" s="50" t="s">
        <v>153</v>
      </c>
      <c r="C68" s="50"/>
      <c r="D68" s="44"/>
      <c r="E68" s="45"/>
      <c r="F68" s="45"/>
      <c r="G68" s="45"/>
      <c r="H68" s="45"/>
      <c r="I68" s="45"/>
      <c r="J68" s="45"/>
      <c r="K68" s="45"/>
      <c r="L68" s="45"/>
      <c r="M68" s="45"/>
      <c r="N68" s="45">
        <v>863</v>
      </c>
      <c r="O68" s="45">
        <v>366</v>
      </c>
      <c r="P68" s="45">
        <v>583</v>
      </c>
      <c r="Q68" s="45">
        <v>335</v>
      </c>
      <c r="R68" s="45">
        <v>360</v>
      </c>
      <c r="S68" s="45"/>
      <c r="T68" s="45">
        <v>285</v>
      </c>
      <c r="U68" s="45"/>
      <c r="V68" s="45">
        <v>206</v>
      </c>
      <c r="W68" s="45">
        <v>547</v>
      </c>
      <c r="X68" s="45">
        <v>227</v>
      </c>
      <c r="Y68" s="38">
        <f t="shared" ref="Y68:Y72" si="44">SUM(E68:X68)</f>
        <v>3772</v>
      </c>
    </row>
    <row r="69" spans="1:25" ht="24.95" customHeight="1">
      <c r="A69" s="35" t="s">
        <v>159</v>
      </c>
      <c r="B69" s="50" t="s">
        <v>155</v>
      </c>
      <c r="C69" s="50"/>
      <c r="D69" s="44"/>
      <c r="E69" s="45"/>
      <c r="F69" s="45"/>
      <c r="G69" s="45"/>
      <c r="H69" s="45"/>
      <c r="I69" s="45"/>
      <c r="J69" s="45"/>
      <c r="K69" s="45"/>
      <c r="L69" s="45"/>
      <c r="M69" s="45"/>
      <c r="N69" s="45"/>
      <c r="O69" s="45"/>
      <c r="P69" s="45"/>
      <c r="Q69" s="45"/>
      <c r="R69" s="45"/>
      <c r="S69" s="45"/>
      <c r="T69" s="45"/>
      <c r="U69" s="45"/>
      <c r="V69" s="45"/>
      <c r="W69" s="45"/>
      <c r="X69" s="45"/>
      <c r="Y69" s="38">
        <f t="shared" si="44"/>
        <v>0</v>
      </c>
    </row>
    <row r="70" spans="1:25" ht="24.95" customHeight="1">
      <c r="A70" s="35" t="s">
        <v>160</v>
      </c>
      <c r="B70" s="36" t="s">
        <v>340</v>
      </c>
      <c r="C70" s="36"/>
      <c r="D70" s="37"/>
      <c r="E70" s="40">
        <v>133</v>
      </c>
      <c r="F70" s="40">
        <v>52</v>
      </c>
      <c r="G70" s="40">
        <v>63</v>
      </c>
      <c r="H70" s="40">
        <v>3</v>
      </c>
      <c r="I70" s="40">
        <v>110</v>
      </c>
      <c r="J70" s="40">
        <v>37</v>
      </c>
      <c r="K70" s="40">
        <v>36</v>
      </c>
      <c r="L70" s="40">
        <v>26</v>
      </c>
      <c r="M70" s="40">
        <v>4</v>
      </c>
      <c r="N70" s="40">
        <v>46</v>
      </c>
      <c r="O70" s="40">
        <v>39</v>
      </c>
      <c r="P70" s="40">
        <v>1</v>
      </c>
      <c r="Q70" s="40"/>
      <c r="R70" s="40">
        <v>29</v>
      </c>
      <c r="S70" s="40">
        <v>8</v>
      </c>
      <c r="T70" s="40"/>
      <c r="U70" s="40">
        <v>20</v>
      </c>
      <c r="V70" s="40"/>
      <c r="W70" s="40">
        <v>5</v>
      </c>
      <c r="X70" s="40"/>
      <c r="Y70" s="38">
        <f t="shared" si="44"/>
        <v>612</v>
      </c>
    </row>
    <row r="71" spans="1:25" ht="24.95" customHeight="1">
      <c r="A71" s="35" t="s">
        <v>161</v>
      </c>
      <c r="B71" s="50" t="s">
        <v>341</v>
      </c>
      <c r="C71" s="50"/>
      <c r="D71" s="47"/>
      <c r="E71" s="40">
        <v>34506.629999999997</v>
      </c>
      <c r="F71" s="40">
        <v>13160</v>
      </c>
      <c r="G71" s="40">
        <v>8951.8799999999992</v>
      </c>
      <c r="H71" s="40">
        <v>11355.73</v>
      </c>
      <c r="I71" s="40">
        <v>38028.839999999997</v>
      </c>
      <c r="J71" s="40">
        <v>4631.83</v>
      </c>
      <c r="K71" s="40">
        <v>12756.42</v>
      </c>
      <c r="L71" s="40">
        <v>9285.57</v>
      </c>
      <c r="M71" s="40">
        <v>14358.21</v>
      </c>
      <c r="N71" s="40">
        <v>9829.07</v>
      </c>
      <c r="O71" s="40">
        <v>4286</v>
      </c>
      <c r="P71" s="40">
        <v>13349.34</v>
      </c>
      <c r="Q71" s="40">
        <v>3731.92</v>
      </c>
      <c r="R71" s="40">
        <v>4612</v>
      </c>
      <c r="S71" s="40">
        <v>2800</v>
      </c>
      <c r="T71" s="40">
        <v>6500</v>
      </c>
      <c r="U71" s="40">
        <v>32277.200000000001</v>
      </c>
      <c r="V71" s="40">
        <v>6995</v>
      </c>
      <c r="W71" s="40">
        <v>13200</v>
      </c>
      <c r="X71" s="40">
        <v>6600</v>
      </c>
      <c r="Y71" s="38">
        <f t="shared" si="44"/>
        <v>251215.64</v>
      </c>
    </row>
    <row r="72" spans="1:25" ht="24.95" customHeight="1">
      <c r="A72" s="35" t="s">
        <v>162</v>
      </c>
      <c r="B72" s="50" t="s">
        <v>342</v>
      </c>
      <c r="C72" s="50"/>
      <c r="D72" s="47"/>
      <c r="E72" s="40">
        <v>17447</v>
      </c>
      <c r="F72" s="40">
        <v>8691</v>
      </c>
      <c r="G72" s="40">
        <v>6496</v>
      </c>
      <c r="H72" s="40">
        <v>4073</v>
      </c>
      <c r="I72" s="40">
        <v>12339</v>
      </c>
      <c r="J72" s="40">
        <v>3226</v>
      </c>
      <c r="K72" s="40">
        <v>6620</v>
      </c>
      <c r="L72" s="40">
        <v>3585</v>
      </c>
      <c r="M72" s="40">
        <v>7880</v>
      </c>
      <c r="N72" s="40">
        <v>5330</v>
      </c>
      <c r="O72" s="40">
        <v>2350</v>
      </c>
      <c r="P72" s="40">
        <v>6044.7</v>
      </c>
      <c r="Q72" s="40">
        <v>1786</v>
      </c>
      <c r="R72" s="40">
        <v>1717</v>
      </c>
      <c r="S72" s="40"/>
      <c r="T72" s="40">
        <v>2312.1</v>
      </c>
      <c r="U72" s="40">
        <v>17204.3</v>
      </c>
      <c r="V72" s="40">
        <v>3698.1</v>
      </c>
      <c r="W72" s="40">
        <v>4100</v>
      </c>
      <c r="X72" s="40">
        <v>2312.4499999999998</v>
      </c>
      <c r="Y72" s="38">
        <f t="shared" si="44"/>
        <v>117211.65000000001</v>
      </c>
    </row>
    <row r="73" spans="1:25">
      <c r="E73" s="1">
        <f t="shared" ref="E73:Y73" si="45">E5/E60</f>
        <v>386103.28787313431</v>
      </c>
      <c r="F73" s="1">
        <f t="shared" si="45"/>
        <v>384855.02362637362</v>
      </c>
      <c r="G73" s="1">
        <f t="shared" si="45"/>
        <v>378694.12291139242</v>
      </c>
      <c r="H73" s="1">
        <f t="shared" si="45"/>
        <v>375761.96754716977</v>
      </c>
      <c r="I73" s="1">
        <f t="shared" si="45"/>
        <v>362170.38284122566</v>
      </c>
      <c r="J73" s="1">
        <f t="shared" si="45"/>
        <v>367766.8718644068</v>
      </c>
      <c r="K73" s="1">
        <f t="shared" si="45"/>
        <v>364208.95725925924</v>
      </c>
      <c r="L73" s="1">
        <f t="shared" si="45"/>
        <v>368072.79571428569</v>
      </c>
      <c r="M73" s="1">
        <f t="shared" si="45"/>
        <v>363662.35561538464</v>
      </c>
      <c r="N73" s="1">
        <f t="shared" si="45"/>
        <v>328500.85097826086</v>
      </c>
      <c r="O73" s="1">
        <f t="shared" si="45"/>
        <v>324888.11121951218</v>
      </c>
      <c r="P73" s="1">
        <f t="shared" si="45"/>
        <v>315890.71437499998</v>
      </c>
      <c r="Q73" s="1">
        <f t="shared" si="45"/>
        <v>322816.51172413793</v>
      </c>
      <c r="R73" s="1">
        <f t="shared" si="45"/>
        <v>321722.6595121951</v>
      </c>
      <c r="S73" s="1">
        <f t="shared" si="45"/>
        <v>378165.75571428571</v>
      </c>
      <c r="T73" s="1">
        <f t="shared" si="45"/>
        <v>323207.59749999997</v>
      </c>
      <c r="U73" s="1">
        <f t="shared" si="45"/>
        <v>375936.23773109243</v>
      </c>
      <c r="V73" s="1">
        <f t="shared" si="45"/>
        <v>314973.32368421048</v>
      </c>
      <c r="W73" s="1">
        <f t="shared" si="45"/>
        <v>330747.20150684932</v>
      </c>
      <c r="X73" s="1">
        <f t="shared" si="45"/>
        <v>293083.7035714286</v>
      </c>
      <c r="Y73" s="1">
        <f t="shared" si="45"/>
        <v>361388.60114364635</v>
      </c>
    </row>
    <row r="74" spans="1:25">
      <c r="E74" s="1">
        <f t="shared" ref="E74:Y74" si="46">E34/E70</f>
        <v>18227.400000000001</v>
      </c>
      <c r="F74" s="1">
        <f t="shared" si="46"/>
        <v>18931.153846153848</v>
      </c>
      <c r="G74" s="1">
        <f t="shared" si="46"/>
        <v>18204.761904761905</v>
      </c>
      <c r="H74" s="1">
        <f t="shared" si="46"/>
        <v>13560</v>
      </c>
      <c r="I74" s="1">
        <f t="shared" si="46"/>
        <v>18072.045454545456</v>
      </c>
      <c r="J74" s="1">
        <f t="shared" si="46"/>
        <v>16263.243243243243</v>
      </c>
      <c r="K74" s="1">
        <f t="shared" si="46"/>
        <v>17230</v>
      </c>
      <c r="L74" s="1">
        <f t="shared" si="46"/>
        <v>16156.153846153846</v>
      </c>
      <c r="M74" s="1">
        <f t="shared" si="46"/>
        <v>15720</v>
      </c>
      <c r="N74" s="1">
        <f t="shared" si="46"/>
        <v>17347.82608695652</v>
      </c>
      <c r="O74" s="1">
        <f t="shared" si="46"/>
        <v>17220</v>
      </c>
      <c r="P74" s="1">
        <f t="shared" si="46"/>
        <v>25860</v>
      </c>
      <c r="Q74" s="1" t="e">
        <f t="shared" si="46"/>
        <v>#DIV/0!</v>
      </c>
      <c r="R74" s="1">
        <f t="shared" si="46"/>
        <v>16034.48275862069</v>
      </c>
      <c r="S74" s="1">
        <f t="shared" si="46"/>
        <v>19545</v>
      </c>
      <c r="T74" s="1" t="e">
        <f t="shared" si="46"/>
        <v>#DIV/0!</v>
      </c>
      <c r="U74" s="1">
        <f t="shared" si="46"/>
        <v>14340</v>
      </c>
      <c r="V74" s="1" t="e">
        <f t="shared" si="46"/>
        <v>#DIV/0!</v>
      </c>
      <c r="W74" s="1">
        <f t="shared" si="46"/>
        <v>12720</v>
      </c>
      <c r="X74" s="1" t="e">
        <f t="shared" si="46"/>
        <v>#DIV/0!</v>
      </c>
      <c r="Y74" s="1">
        <f t="shared" si="46"/>
        <v>17575.701307189542</v>
      </c>
    </row>
  </sheetData>
  <protectedRanges>
    <protectedRange password="E9C1" sqref="D30 C31 A5:D6 B7:D29 Y5:Y72 A4:Y4 B32:D72 A7:A72 Y3 A3:D3 A2:Y2" name="区域1_1"/>
    <protectedRange password="E9C1" sqref="B30:C30 B31" name="区域1_1_1"/>
    <protectedRange password="E9C1" sqref="D31" name="区域1_2"/>
  </protectedRanges>
  <mergeCells count="6">
    <mergeCell ref="A1:Y1"/>
    <mergeCell ref="A2:A3"/>
    <mergeCell ref="B2:B3"/>
    <mergeCell ref="C2:C3"/>
    <mergeCell ref="D2:D3"/>
    <mergeCell ref="Y2:Y3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8" scale="75" orientation="landscape" r:id="rId1"/>
  <headerFooter>
    <oddFooter>第 &amp;P 页，共 &amp;N 页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4"/>
  <sheetViews>
    <sheetView topLeftCell="A25" workbookViewId="0">
      <selection activeCell="F52" sqref="F52"/>
    </sheetView>
  </sheetViews>
  <sheetFormatPr defaultRowHeight="11.25"/>
  <cols>
    <col min="1" max="1" width="3.25" style="13" customWidth="1"/>
    <col min="2" max="2" width="12.375" style="1" customWidth="1"/>
    <col min="3" max="3" width="0" style="1" hidden="1" customWidth="1"/>
    <col min="4" max="4" width="0" style="14" hidden="1" customWidth="1"/>
    <col min="5" max="17" width="11.625" style="1" customWidth="1"/>
    <col min="18" max="16384" width="9" style="1"/>
  </cols>
  <sheetData>
    <row r="1" spans="1:17" ht="25.5">
      <c r="A1" s="787" t="s">
        <v>830</v>
      </c>
      <c r="B1" s="788"/>
      <c r="C1" s="788"/>
      <c r="D1" s="788"/>
      <c r="E1" s="788"/>
      <c r="F1" s="788"/>
      <c r="G1" s="788"/>
      <c r="H1" s="788"/>
      <c r="I1" s="788"/>
      <c r="J1" s="788"/>
      <c r="K1" s="788"/>
      <c r="L1" s="788"/>
      <c r="M1" s="788"/>
      <c r="N1" s="788"/>
      <c r="O1" s="788"/>
      <c r="P1" s="788"/>
      <c r="Q1" s="788"/>
    </row>
    <row r="2" spans="1:17" ht="45" customHeight="1">
      <c r="A2" s="791" t="s">
        <v>12</v>
      </c>
      <c r="B2" s="791" t="s">
        <v>13</v>
      </c>
      <c r="C2" s="791" t="s">
        <v>14</v>
      </c>
      <c r="D2" s="791" t="s">
        <v>15</v>
      </c>
      <c r="E2" s="33" t="s">
        <v>266</v>
      </c>
      <c r="F2" s="33" t="s">
        <v>383</v>
      </c>
      <c r="G2" s="33" t="s">
        <v>384</v>
      </c>
      <c r="H2" s="33" t="s">
        <v>385</v>
      </c>
      <c r="I2" s="33" t="s">
        <v>386</v>
      </c>
      <c r="J2" s="33" t="s">
        <v>175</v>
      </c>
      <c r="K2" s="33" t="s">
        <v>387</v>
      </c>
      <c r="L2" s="33" t="s">
        <v>388</v>
      </c>
      <c r="M2" s="33" t="s">
        <v>389</v>
      </c>
      <c r="N2" s="33" t="s">
        <v>390</v>
      </c>
      <c r="O2" s="33" t="s">
        <v>391</v>
      </c>
      <c r="P2" s="33" t="s">
        <v>392</v>
      </c>
      <c r="Q2" s="791" t="s">
        <v>17</v>
      </c>
    </row>
    <row r="3" spans="1:17">
      <c r="A3" s="792"/>
      <c r="B3" s="792"/>
      <c r="C3" s="792"/>
      <c r="D3" s="792"/>
      <c r="E3" s="33" t="s">
        <v>462</v>
      </c>
      <c r="F3" s="33" t="s">
        <v>464</v>
      </c>
      <c r="G3" s="33" t="s">
        <v>462</v>
      </c>
      <c r="H3" s="33" t="s">
        <v>463</v>
      </c>
      <c r="I3" s="33" t="s">
        <v>460</v>
      </c>
      <c r="J3" s="33" t="s">
        <v>460</v>
      </c>
      <c r="K3" s="33" t="s">
        <v>460</v>
      </c>
      <c r="L3" s="33" t="s">
        <v>460</v>
      </c>
      <c r="M3" s="33" t="s">
        <v>460</v>
      </c>
      <c r="N3" s="33" t="s">
        <v>460</v>
      </c>
      <c r="O3" s="33" t="s">
        <v>460</v>
      </c>
      <c r="P3" s="33" t="s">
        <v>461</v>
      </c>
      <c r="Q3" s="792"/>
    </row>
    <row r="4" spans="1:17" ht="15" customHeight="1">
      <c r="A4" s="35" t="s">
        <v>19</v>
      </c>
      <c r="B4" s="36" t="s">
        <v>20</v>
      </c>
      <c r="C4" s="36"/>
      <c r="D4" s="37" t="s">
        <v>21</v>
      </c>
      <c r="E4" s="38">
        <f t="shared" ref="E4:P4" si="0">E5+E32+E37</f>
        <v>48550817.530000001</v>
      </c>
      <c r="F4" s="38">
        <f t="shared" si="0"/>
        <v>35271623.170000002</v>
      </c>
      <c r="G4" s="38">
        <f t="shared" si="0"/>
        <v>70345171.270000011</v>
      </c>
      <c r="H4" s="38">
        <f t="shared" si="0"/>
        <v>72478576.270000011</v>
      </c>
      <c r="I4" s="38">
        <f t="shared" si="0"/>
        <v>9566481.5800000001</v>
      </c>
      <c r="J4" s="38">
        <f t="shared" si="0"/>
        <v>10318127.73</v>
      </c>
      <c r="K4" s="38">
        <f t="shared" si="0"/>
        <v>8444687.120000001</v>
      </c>
      <c r="L4" s="38">
        <f t="shared" si="0"/>
        <v>9190539.5999999996</v>
      </c>
      <c r="M4" s="38">
        <f t="shared" si="0"/>
        <v>17307018.419999998</v>
      </c>
      <c r="N4" s="38">
        <f t="shared" si="0"/>
        <v>8171558.7000000002</v>
      </c>
      <c r="O4" s="38">
        <f t="shared" si="0"/>
        <v>11187665</v>
      </c>
      <c r="P4" s="38">
        <f t="shared" si="0"/>
        <v>4400197</v>
      </c>
      <c r="Q4" s="38">
        <f t="shared" ref="Q4:Q67" si="1">SUM(E4:P4)</f>
        <v>305232463.39000005</v>
      </c>
    </row>
    <row r="5" spans="1:17" ht="15" customHeight="1">
      <c r="A5" s="35" t="s">
        <v>22</v>
      </c>
      <c r="B5" s="36" t="s">
        <v>0</v>
      </c>
      <c r="C5" s="36"/>
      <c r="D5" s="37" t="s">
        <v>21</v>
      </c>
      <c r="E5" s="38">
        <f>E6+E9+E13+E16+E21+E26+E28+E30+E31</f>
        <v>40366995.440000005</v>
      </c>
      <c r="F5" s="38">
        <f t="shared" ref="F5:P5" si="2">F6+F9+F13+F16+F21+F26+F28+F30+F31</f>
        <v>29035800.850000001</v>
      </c>
      <c r="G5" s="38">
        <f t="shared" si="2"/>
        <v>58213946.560000002</v>
      </c>
      <c r="H5" s="38">
        <f t="shared" si="2"/>
        <v>61273934.560000002</v>
      </c>
      <c r="I5" s="38">
        <f t="shared" si="2"/>
        <v>8328901.1499999994</v>
      </c>
      <c r="J5" s="38">
        <f t="shared" si="2"/>
        <v>8583763.4399999995</v>
      </c>
      <c r="K5" s="38">
        <f t="shared" si="2"/>
        <v>7206866.8500000006</v>
      </c>
      <c r="L5" s="38">
        <f t="shared" si="2"/>
        <v>7627162.29</v>
      </c>
      <c r="M5" s="38">
        <f t="shared" si="2"/>
        <v>14760922.849999998</v>
      </c>
      <c r="N5" s="38">
        <f t="shared" si="2"/>
        <v>6948880</v>
      </c>
      <c r="O5" s="38">
        <f t="shared" si="2"/>
        <v>9634028</v>
      </c>
      <c r="P5" s="38">
        <f t="shared" si="2"/>
        <v>3757960</v>
      </c>
      <c r="Q5" s="38">
        <f t="shared" si="1"/>
        <v>255739161.99000001</v>
      </c>
    </row>
    <row r="6" spans="1:17" ht="15" customHeight="1">
      <c r="A6" s="35" t="s">
        <v>23</v>
      </c>
      <c r="B6" s="36" t="s">
        <v>24</v>
      </c>
      <c r="C6" s="36"/>
      <c r="D6" s="37" t="s">
        <v>21</v>
      </c>
      <c r="E6" s="38">
        <f>E7+E8</f>
        <v>4329648</v>
      </c>
      <c r="F6" s="38">
        <f t="shared" ref="F6:P6" si="3">F7+F8</f>
        <v>2959416</v>
      </c>
      <c r="G6" s="38">
        <f t="shared" si="3"/>
        <v>8593692</v>
      </c>
      <c r="H6" s="38">
        <f t="shared" si="3"/>
        <v>7308840</v>
      </c>
      <c r="I6" s="38">
        <f t="shared" si="3"/>
        <v>1081392</v>
      </c>
      <c r="J6" s="38">
        <f t="shared" si="3"/>
        <v>1020168</v>
      </c>
      <c r="K6" s="38">
        <f t="shared" si="3"/>
        <v>879420</v>
      </c>
      <c r="L6" s="38">
        <f t="shared" si="3"/>
        <v>965040</v>
      </c>
      <c r="M6" s="38">
        <f t="shared" si="3"/>
        <v>1924188</v>
      </c>
      <c r="N6" s="38">
        <f t="shared" si="3"/>
        <v>942984</v>
      </c>
      <c r="O6" s="38">
        <f t="shared" si="3"/>
        <v>1524432</v>
      </c>
      <c r="P6" s="38">
        <f t="shared" si="3"/>
        <v>520824</v>
      </c>
      <c r="Q6" s="38">
        <f t="shared" si="1"/>
        <v>32050044</v>
      </c>
    </row>
    <row r="7" spans="1:17" ht="15" customHeight="1">
      <c r="A7" s="35" t="s">
        <v>25</v>
      </c>
      <c r="B7" s="36" t="s">
        <v>26</v>
      </c>
      <c r="C7" s="36" t="s">
        <v>27</v>
      </c>
      <c r="D7" s="37" t="s">
        <v>28</v>
      </c>
      <c r="E7" s="40">
        <v>2790972</v>
      </c>
      <c r="F7" s="40">
        <v>1818204</v>
      </c>
      <c r="G7" s="40">
        <v>4099572</v>
      </c>
      <c r="H7" s="40">
        <v>4347192</v>
      </c>
      <c r="I7" s="40">
        <v>677556</v>
      </c>
      <c r="J7" s="40">
        <v>689640</v>
      </c>
      <c r="K7" s="40">
        <v>563772</v>
      </c>
      <c r="L7" s="40">
        <f>48972*12</f>
        <v>587664</v>
      </c>
      <c r="M7" s="40">
        <v>1212852</v>
      </c>
      <c r="N7" s="40">
        <f>46501*12</f>
        <v>558012</v>
      </c>
      <c r="O7" s="40">
        <f>63404*12</f>
        <v>760848</v>
      </c>
      <c r="P7" s="40">
        <f>22037*12</f>
        <v>264444</v>
      </c>
      <c r="Q7" s="38">
        <f t="shared" si="1"/>
        <v>18370728</v>
      </c>
    </row>
    <row r="8" spans="1:17" ht="15" customHeight="1">
      <c r="A8" s="35" t="s">
        <v>29</v>
      </c>
      <c r="B8" s="36" t="s">
        <v>30</v>
      </c>
      <c r="C8" s="36" t="s">
        <v>27</v>
      </c>
      <c r="D8" s="37" t="s">
        <v>28</v>
      </c>
      <c r="E8" s="40">
        <v>1538676</v>
      </c>
      <c r="F8" s="40">
        <v>1141212</v>
      </c>
      <c r="G8" s="40">
        <v>4494120</v>
      </c>
      <c r="H8" s="40">
        <v>2961648</v>
      </c>
      <c r="I8" s="40">
        <v>403836</v>
      </c>
      <c r="J8" s="40">
        <v>330528</v>
      </c>
      <c r="K8" s="40">
        <v>315648</v>
      </c>
      <c r="L8" s="40">
        <f>31448*12</f>
        <v>377376</v>
      </c>
      <c r="M8" s="40">
        <v>711336</v>
      </c>
      <c r="N8" s="40">
        <f>32081*12</f>
        <v>384972</v>
      </c>
      <c r="O8" s="40">
        <f>63632*12</f>
        <v>763584</v>
      </c>
      <c r="P8" s="40">
        <f>21365*12</f>
        <v>256380</v>
      </c>
      <c r="Q8" s="38">
        <f t="shared" si="1"/>
        <v>13679316</v>
      </c>
    </row>
    <row r="9" spans="1:17" ht="15" customHeight="1">
      <c r="A9" s="35" t="s">
        <v>31</v>
      </c>
      <c r="B9" s="36" t="s">
        <v>32</v>
      </c>
      <c r="C9" s="36"/>
      <c r="D9" s="37" t="s">
        <v>21</v>
      </c>
      <c r="E9" s="38">
        <f>E10+E11</f>
        <v>574344</v>
      </c>
      <c r="F9" s="38">
        <f t="shared" ref="F9:P9" si="4">F10+F11</f>
        <v>409944</v>
      </c>
      <c r="G9" s="38">
        <f t="shared" si="4"/>
        <v>790968</v>
      </c>
      <c r="H9" s="38">
        <f t="shared" si="4"/>
        <v>912468</v>
      </c>
      <c r="I9" s="38">
        <f t="shared" si="4"/>
        <v>138648</v>
      </c>
      <c r="J9" s="38">
        <f t="shared" si="4"/>
        <v>148632</v>
      </c>
      <c r="K9" s="38">
        <f t="shared" si="4"/>
        <v>128292</v>
      </c>
      <c r="L9" s="38">
        <f t="shared" si="4"/>
        <v>128052</v>
      </c>
      <c r="M9" s="38">
        <f t="shared" si="4"/>
        <v>261576</v>
      </c>
      <c r="N9" s="38">
        <f t="shared" si="4"/>
        <v>117588</v>
      </c>
      <c r="O9" s="38">
        <f t="shared" si="4"/>
        <v>156060</v>
      </c>
      <c r="P9" s="38">
        <f t="shared" si="4"/>
        <v>53556</v>
      </c>
      <c r="Q9" s="38">
        <f t="shared" si="1"/>
        <v>3820128</v>
      </c>
    </row>
    <row r="10" spans="1:17" ht="15" customHeight="1">
      <c r="A10" s="35" t="s">
        <v>33</v>
      </c>
      <c r="B10" s="36" t="s">
        <v>34</v>
      </c>
      <c r="C10" s="36" t="s">
        <v>27</v>
      </c>
      <c r="D10" s="37" t="s">
        <v>28</v>
      </c>
      <c r="E10" s="40">
        <v>4104</v>
      </c>
      <c r="F10" s="40">
        <v>3384</v>
      </c>
      <c r="G10" s="40">
        <v>14808</v>
      </c>
      <c r="H10" s="40">
        <v>9588</v>
      </c>
      <c r="I10" s="40">
        <v>1368</v>
      </c>
      <c r="J10" s="40">
        <v>792</v>
      </c>
      <c r="K10" s="40">
        <v>6852</v>
      </c>
      <c r="L10" s="40">
        <v>1332</v>
      </c>
      <c r="M10" s="40">
        <v>2856</v>
      </c>
      <c r="N10" s="40">
        <v>1428</v>
      </c>
      <c r="O10" s="40">
        <v>2940</v>
      </c>
      <c r="P10" s="40">
        <v>756</v>
      </c>
      <c r="Q10" s="38">
        <f t="shared" si="1"/>
        <v>50208</v>
      </c>
    </row>
    <row r="11" spans="1:17" ht="15" customHeight="1">
      <c r="A11" s="35" t="s">
        <v>35</v>
      </c>
      <c r="B11" s="36" t="s">
        <v>36</v>
      </c>
      <c r="C11" s="36"/>
      <c r="D11" s="37" t="s">
        <v>21</v>
      </c>
      <c r="E11" s="38">
        <f>E12</f>
        <v>570240</v>
      </c>
      <c r="F11" s="38">
        <f t="shared" ref="F11:P11" si="5">F12</f>
        <v>406560</v>
      </c>
      <c r="G11" s="38">
        <f t="shared" si="5"/>
        <v>776160</v>
      </c>
      <c r="H11" s="38">
        <f t="shared" si="5"/>
        <v>902880</v>
      </c>
      <c r="I11" s="38">
        <f t="shared" si="5"/>
        <v>137280</v>
      </c>
      <c r="J11" s="38">
        <f t="shared" si="5"/>
        <v>147840</v>
      </c>
      <c r="K11" s="38">
        <f t="shared" si="5"/>
        <v>121440</v>
      </c>
      <c r="L11" s="38">
        <f t="shared" si="5"/>
        <v>126720</v>
      </c>
      <c r="M11" s="38">
        <f t="shared" si="5"/>
        <v>258720</v>
      </c>
      <c r="N11" s="38">
        <f t="shared" si="5"/>
        <v>116160</v>
      </c>
      <c r="O11" s="38">
        <f t="shared" si="5"/>
        <v>153120</v>
      </c>
      <c r="P11" s="38">
        <f t="shared" si="5"/>
        <v>52800</v>
      </c>
      <c r="Q11" s="38">
        <f t="shared" si="1"/>
        <v>3769920</v>
      </c>
    </row>
    <row r="12" spans="1:17" s="2" customFormat="1" ht="15" customHeight="1">
      <c r="A12" s="35" t="s">
        <v>37</v>
      </c>
      <c r="B12" s="42" t="s">
        <v>38</v>
      </c>
      <c r="C12" s="42" t="s">
        <v>27</v>
      </c>
      <c r="D12" s="39" t="s">
        <v>21</v>
      </c>
      <c r="E12" s="38">
        <f>440*12*E60</f>
        <v>570240</v>
      </c>
      <c r="F12" s="38">
        <f t="shared" ref="F12:P12" si="6">440*12*F60</f>
        <v>406560</v>
      </c>
      <c r="G12" s="38">
        <f t="shared" si="6"/>
        <v>776160</v>
      </c>
      <c r="H12" s="38">
        <f t="shared" si="6"/>
        <v>902880</v>
      </c>
      <c r="I12" s="38">
        <f t="shared" si="6"/>
        <v>137280</v>
      </c>
      <c r="J12" s="38">
        <f t="shared" si="6"/>
        <v>147840</v>
      </c>
      <c r="K12" s="38">
        <f t="shared" si="6"/>
        <v>121440</v>
      </c>
      <c r="L12" s="38">
        <f t="shared" si="6"/>
        <v>126720</v>
      </c>
      <c r="M12" s="38">
        <f t="shared" si="6"/>
        <v>258720</v>
      </c>
      <c r="N12" s="38">
        <f t="shared" si="6"/>
        <v>116160</v>
      </c>
      <c r="O12" s="38">
        <f t="shared" si="6"/>
        <v>153120</v>
      </c>
      <c r="P12" s="38">
        <f t="shared" si="6"/>
        <v>52800</v>
      </c>
      <c r="Q12" s="38">
        <f t="shared" si="1"/>
        <v>3769920</v>
      </c>
    </row>
    <row r="13" spans="1:17" ht="15" customHeight="1">
      <c r="A13" s="35" t="s">
        <v>39</v>
      </c>
      <c r="B13" s="36" t="s">
        <v>40</v>
      </c>
      <c r="C13" s="36"/>
      <c r="D13" s="37" t="s">
        <v>41</v>
      </c>
      <c r="E13" s="38">
        <f>E14+E15</f>
        <v>276305.14</v>
      </c>
      <c r="F13" s="38">
        <f t="shared" ref="F13:P13" si="7">F14+F15</f>
        <v>205498.28</v>
      </c>
      <c r="G13" s="38">
        <f t="shared" si="7"/>
        <v>388530.86</v>
      </c>
      <c r="H13" s="38">
        <f t="shared" si="7"/>
        <v>409074.86</v>
      </c>
      <c r="I13" s="38">
        <f t="shared" si="7"/>
        <v>57265.72</v>
      </c>
      <c r="J13" s="38">
        <f t="shared" si="7"/>
        <v>56321.14</v>
      </c>
      <c r="K13" s="38">
        <f t="shared" si="7"/>
        <v>48670.28</v>
      </c>
      <c r="L13" s="38">
        <f t="shared" si="7"/>
        <v>52239.42</v>
      </c>
      <c r="M13" s="38">
        <f t="shared" si="7"/>
        <v>89650.28</v>
      </c>
      <c r="N13" s="38">
        <f t="shared" si="7"/>
        <v>45636</v>
      </c>
      <c r="O13" s="38">
        <f t="shared" si="7"/>
        <v>64416</v>
      </c>
      <c r="P13" s="38">
        <f t="shared" si="7"/>
        <v>25296</v>
      </c>
      <c r="Q13" s="38">
        <f t="shared" si="1"/>
        <v>1718903.98</v>
      </c>
    </row>
    <row r="14" spans="1:17" s="2" customFormat="1" ht="15" customHeight="1">
      <c r="A14" s="35" t="s">
        <v>42</v>
      </c>
      <c r="B14" s="42" t="s">
        <v>393</v>
      </c>
      <c r="C14" s="42" t="s">
        <v>27</v>
      </c>
      <c r="D14" s="39" t="s">
        <v>43</v>
      </c>
      <c r="E14" s="38">
        <f>ROUND(E30/0.07*0.005,2)</f>
        <v>138152.57</v>
      </c>
      <c r="F14" s="38">
        <f t="shared" ref="F14:P14" si="8">ROUND(F30/0.07*0.005,2)</f>
        <v>102749.14</v>
      </c>
      <c r="G14" s="38">
        <f t="shared" si="8"/>
        <v>194265.43</v>
      </c>
      <c r="H14" s="38">
        <f t="shared" si="8"/>
        <v>204537.43</v>
      </c>
      <c r="I14" s="38">
        <f t="shared" si="8"/>
        <v>28632.86</v>
      </c>
      <c r="J14" s="38">
        <f t="shared" si="8"/>
        <v>28160.57</v>
      </c>
      <c r="K14" s="38">
        <f t="shared" si="8"/>
        <v>24335.14</v>
      </c>
      <c r="L14" s="38">
        <f t="shared" si="8"/>
        <v>26119.71</v>
      </c>
      <c r="M14" s="38">
        <f t="shared" si="8"/>
        <v>44825.14</v>
      </c>
      <c r="N14" s="38">
        <f t="shared" si="8"/>
        <v>22818</v>
      </c>
      <c r="O14" s="38">
        <f t="shared" si="8"/>
        <v>32208</v>
      </c>
      <c r="P14" s="38">
        <f t="shared" si="8"/>
        <v>12648</v>
      </c>
      <c r="Q14" s="38">
        <f t="shared" si="1"/>
        <v>859451.99</v>
      </c>
    </row>
    <row r="15" spans="1:17" s="2" customFormat="1" ht="15" customHeight="1">
      <c r="A15" s="35" t="s">
        <v>44</v>
      </c>
      <c r="B15" s="42" t="s">
        <v>45</v>
      </c>
      <c r="C15" s="42" t="s">
        <v>27</v>
      </c>
      <c r="D15" s="39" t="s">
        <v>43</v>
      </c>
      <c r="E15" s="38">
        <f>ROUND(E30/0.07*0.005,2)</f>
        <v>138152.57</v>
      </c>
      <c r="F15" s="38">
        <f t="shared" ref="F15:P15" si="9">ROUND(F30/0.07*0.005,2)</f>
        <v>102749.14</v>
      </c>
      <c r="G15" s="38">
        <f t="shared" si="9"/>
        <v>194265.43</v>
      </c>
      <c r="H15" s="38">
        <f t="shared" si="9"/>
        <v>204537.43</v>
      </c>
      <c r="I15" s="38">
        <f t="shared" si="9"/>
        <v>28632.86</v>
      </c>
      <c r="J15" s="38">
        <f t="shared" si="9"/>
        <v>28160.57</v>
      </c>
      <c r="K15" s="38">
        <f t="shared" si="9"/>
        <v>24335.14</v>
      </c>
      <c r="L15" s="38">
        <f t="shared" si="9"/>
        <v>26119.71</v>
      </c>
      <c r="M15" s="38">
        <f t="shared" si="9"/>
        <v>44825.14</v>
      </c>
      <c r="N15" s="38">
        <f t="shared" si="9"/>
        <v>22818</v>
      </c>
      <c r="O15" s="38">
        <f t="shared" si="9"/>
        <v>32208</v>
      </c>
      <c r="P15" s="38">
        <f t="shared" si="9"/>
        <v>12648</v>
      </c>
      <c r="Q15" s="38">
        <f t="shared" si="1"/>
        <v>859451.99</v>
      </c>
    </row>
    <row r="16" spans="1:17" ht="15" customHeight="1">
      <c r="A16" s="35" t="s">
        <v>46</v>
      </c>
      <c r="B16" s="36" t="s">
        <v>47</v>
      </c>
      <c r="C16" s="36"/>
      <c r="D16" s="37" t="s">
        <v>21</v>
      </c>
      <c r="E16" s="38">
        <f>E17+E18+E19+E20</f>
        <v>23029272</v>
      </c>
      <c r="F16" s="38">
        <f t="shared" ref="F16:L16" si="10">F17+F18+F19+F20</f>
        <v>16419018</v>
      </c>
      <c r="G16" s="38">
        <f t="shared" si="10"/>
        <v>31345398</v>
      </c>
      <c r="H16" s="38">
        <f t="shared" si="10"/>
        <v>34644258</v>
      </c>
      <c r="I16" s="38">
        <f t="shared" si="10"/>
        <v>4531904</v>
      </c>
      <c r="J16" s="38">
        <f t="shared" si="10"/>
        <v>4880512</v>
      </c>
      <c r="K16" s="38">
        <f t="shared" si="10"/>
        <v>4008992</v>
      </c>
      <c r="L16" s="38">
        <f t="shared" si="10"/>
        <v>4183296</v>
      </c>
      <c r="M16" s="38">
        <f>M17+M18+M19+M20</f>
        <v>8540896</v>
      </c>
      <c r="N16" s="38">
        <f>N17+N18+N19+N20</f>
        <v>3834688</v>
      </c>
      <c r="O16" s="38">
        <f>O17+O18+O19+O20</f>
        <v>5054816</v>
      </c>
      <c r="P16" s="38">
        <f>P17+P18+P19+P20</f>
        <v>2045260</v>
      </c>
      <c r="Q16" s="38">
        <f t="shared" si="1"/>
        <v>142518310</v>
      </c>
    </row>
    <row r="17" spans="1:17" ht="15" customHeight="1">
      <c r="A17" s="35" t="s">
        <v>48</v>
      </c>
      <c r="B17" s="43" t="s">
        <v>49</v>
      </c>
      <c r="C17" s="43" t="s">
        <v>27</v>
      </c>
      <c r="D17" s="44" t="s">
        <v>50</v>
      </c>
      <c r="E17" s="45">
        <v>21035392</v>
      </c>
      <c r="F17" s="45">
        <v>14926826</v>
      </c>
      <c r="G17" s="45">
        <v>28440438</v>
      </c>
      <c r="H17" s="45">
        <v>31239714</v>
      </c>
      <c r="I17" s="45">
        <v>4154838</v>
      </c>
      <c r="J17" s="45">
        <v>4486796</v>
      </c>
      <c r="K17" s="45">
        <v>3658886</v>
      </c>
      <c r="L17" s="45">
        <v>3810620</v>
      </c>
      <c r="M17" s="45">
        <v>8013872</v>
      </c>
      <c r="N17" s="45">
        <v>3492332</v>
      </c>
      <c r="O17" s="45">
        <v>4668900</v>
      </c>
      <c r="P17" s="45">
        <v>1985260</v>
      </c>
      <c r="Q17" s="38">
        <f t="shared" si="1"/>
        <v>129913874</v>
      </c>
    </row>
    <row r="18" spans="1:17" ht="15" customHeight="1">
      <c r="A18" s="35" t="s">
        <v>51</v>
      </c>
      <c r="B18" s="43" t="s">
        <v>52</v>
      </c>
      <c r="C18" s="43" t="s">
        <v>27</v>
      </c>
      <c r="D18" s="44" t="s">
        <v>53</v>
      </c>
      <c r="E18" s="45">
        <v>265880</v>
      </c>
      <c r="F18" s="45">
        <v>260192</v>
      </c>
      <c r="G18" s="45">
        <v>552960</v>
      </c>
      <c r="H18" s="45">
        <v>668544</v>
      </c>
      <c r="I18" s="45">
        <v>221066</v>
      </c>
      <c r="J18" s="45">
        <v>225716</v>
      </c>
      <c r="K18" s="45">
        <v>212106</v>
      </c>
      <c r="L18" s="45">
        <v>228676</v>
      </c>
      <c r="M18" s="45">
        <v>233024</v>
      </c>
      <c r="N18" s="45">
        <v>210356</v>
      </c>
      <c r="O18" s="45">
        <v>211916</v>
      </c>
      <c r="P18" s="45"/>
      <c r="Q18" s="38">
        <f t="shared" si="1"/>
        <v>3290436</v>
      </c>
    </row>
    <row r="19" spans="1:17" ht="15" customHeight="1">
      <c r="A19" s="35" t="s">
        <v>54</v>
      </c>
      <c r="B19" s="43" t="s">
        <v>55</v>
      </c>
      <c r="C19" s="43" t="s">
        <v>27</v>
      </c>
      <c r="D19" s="37" t="s">
        <v>21</v>
      </c>
      <c r="E19" s="46">
        <f>E60*500*12</f>
        <v>648000</v>
      </c>
      <c r="F19" s="46">
        <f t="shared" ref="F19:P19" si="11">F60*500*12</f>
        <v>462000</v>
      </c>
      <c r="G19" s="46">
        <f t="shared" si="11"/>
        <v>882000</v>
      </c>
      <c r="H19" s="46">
        <f t="shared" si="11"/>
        <v>1026000</v>
      </c>
      <c r="I19" s="46">
        <f t="shared" si="11"/>
        <v>156000</v>
      </c>
      <c r="J19" s="46">
        <f t="shared" si="11"/>
        <v>168000</v>
      </c>
      <c r="K19" s="46">
        <f t="shared" si="11"/>
        <v>138000</v>
      </c>
      <c r="L19" s="46">
        <f t="shared" si="11"/>
        <v>144000</v>
      </c>
      <c r="M19" s="46">
        <f t="shared" si="11"/>
        <v>294000</v>
      </c>
      <c r="N19" s="46">
        <f t="shared" si="11"/>
        <v>132000</v>
      </c>
      <c r="O19" s="46">
        <f t="shared" si="11"/>
        <v>174000</v>
      </c>
      <c r="P19" s="46">
        <f t="shared" si="11"/>
        <v>60000</v>
      </c>
      <c r="Q19" s="38">
        <f t="shared" si="1"/>
        <v>4284000</v>
      </c>
    </row>
    <row r="20" spans="1:17" ht="15" customHeight="1">
      <c r="A20" s="35" t="s">
        <v>56</v>
      </c>
      <c r="B20" s="43" t="s">
        <v>57</v>
      </c>
      <c r="C20" s="43" t="s">
        <v>27</v>
      </c>
      <c r="D20" s="37" t="s">
        <v>28</v>
      </c>
      <c r="E20" s="45">
        <f>E60*10000</f>
        <v>1080000</v>
      </c>
      <c r="F20" s="45">
        <f>F60*10000</f>
        <v>770000</v>
      </c>
      <c r="G20" s="45">
        <f>G60*10000</f>
        <v>1470000</v>
      </c>
      <c r="H20" s="45">
        <f>H60*10000</f>
        <v>1710000</v>
      </c>
      <c r="I20" s="45"/>
      <c r="J20" s="45"/>
      <c r="K20" s="45"/>
      <c r="L20" s="45"/>
      <c r="M20" s="45"/>
      <c r="N20" s="45"/>
      <c r="O20" s="45"/>
      <c r="P20" s="45"/>
      <c r="Q20" s="38">
        <f t="shared" si="1"/>
        <v>5030000</v>
      </c>
    </row>
    <row r="21" spans="1:17" ht="15" customHeight="1">
      <c r="A21" s="35" t="s">
        <v>58</v>
      </c>
      <c r="B21" s="36" t="s">
        <v>59</v>
      </c>
      <c r="C21" s="36"/>
      <c r="D21" s="44" t="s">
        <v>21</v>
      </c>
      <c r="E21" s="46">
        <f>E22+E23</f>
        <v>3591966.87</v>
      </c>
      <c r="F21" s="46">
        <f t="shared" ref="F21:P21" si="12">F22+F23</f>
        <v>2671477.71</v>
      </c>
      <c r="G21" s="46">
        <f t="shared" si="12"/>
        <v>5050901.13</v>
      </c>
      <c r="H21" s="46">
        <f t="shared" si="12"/>
        <v>5317973.13</v>
      </c>
      <c r="I21" s="46">
        <f t="shared" si="12"/>
        <v>744454.29</v>
      </c>
      <c r="J21" s="46">
        <f t="shared" si="12"/>
        <v>732174.87</v>
      </c>
      <c r="K21" s="46">
        <f t="shared" si="12"/>
        <v>632713.71</v>
      </c>
      <c r="L21" s="46">
        <f t="shared" si="12"/>
        <v>679112.58</v>
      </c>
      <c r="M21" s="46">
        <f t="shared" si="12"/>
        <v>1165453.71</v>
      </c>
      <c r="N21" s="46">
        <f t="shared" si="12"/>
        <v>593268</v>
      </c>
      <c r="O21" s="46">
        <f t="shared" si="12"/>
        <v>837408</v>
      </c>
      <c r="P21" s="46">
        <f t="shared" si="12"/>
        <v>328848</v>
      </c>
      <c r="Q21" s="38">
        <f t="shared" si="1"/>
        <v>22345752</v>
      </c>
    </row>
    <row r="22" spans="1:17" ht="15" customHeight="1">
      <c r="A22" s="35" t="s">
        <v>60</v>
      </c>
      <c r="B22" s="36" t="s">
        <v>394</v>
      </c>
      <c r="C22" s="36" t="s">
        <v>61</v>
      </c>
      <c r="D22" s="44" t="s">
        <v>21</v>
      </c>
      <c r="E22" s="46">
        <f>ROUND(E30/0.07*0.09,2)</f>
        <v>2486746.29</v>
      </c>
      <c r="F22" s="46">
        <f t="shared" ref="F22:P22" si="13">ROUND(F30/0.07*0.09,2)</f>
        <v>1849484.57</v>
      </c>
      <c r="G22" s="46">
        <f t="shared" si="13"/>
        <v>3496777.71</v>
      </c>
      <c r="H22" s="46">
        <f t="shared" si="13"/>
        <v>3681673.71</v>
      </c>
      <c r="I22" s="46">
        <f t="shared" si="13"/>
        <v>515391.43</v>
      </c>
      <c r="J22" s="46">
        <f t="shared" si="13"/>
        <v>506890.29</v>
      </c>
      <c r="K22" s="46">
        <f t="shared" si="13"/>
        <v>438032.57</v>
      </c>
      <c r="L22" s="46">
        <f t="shared" si="13"/>
        <v>470154.86</v>
      </c>
      <c r="M22" s="46">
        <f t="shared" si="13"/>
        <v>806852.57</v>
      </c>
      <c r="N22" s="46">
        <f t="shared" si="13"/>
        <v>410724</v>
      </c>
      <c r="O22" s="46">
        <f t="shared" si="13"/>
        <v>579744</v>
      </c>
      <c r="P22" s="46">
        <f t="shared" si="13"/>
        <v>227664</v>
      </c>
      <c r="Q22" s="38">
        <f t="shared" si="1"/>
        <v>15470136</v>
      </c>
    </row>
    <row r="23" spans="1:17" ht="15" customHeight="1">
      <c r="A23" s="35" t="s">
        <v>62</v>
      </c>
      <c r="B23" s="36" t="s">
        <v>63</v>
      </c>
      <c r="C23" s="36" t="s">
        <v>61</v>
      </c>
      <c r="D23" s="44" t="s">
        <v>43</v>
      </c>
      <c r="E23" s="46">
        <f>E24+E25</f>
        <v>1105220.58</v>
      </c>
      <c r="F23" s="46">
        <f t="shared" ref="F23:P23" si="14">F24+F25</f>
        <v>821993.14</v>
      </c>
      <c r="G23" s="46">
        <f t="shared" si="14"/>
        <v>1554123.42</v>
      </c>
      <c r="H23" s="46">
        <f t="shared" si="14"/>
        <v>1636299.42</v>
      </c>
      <c r="I23" s="46">
        <f t="shared" si="14"/>
        <v>229062.86</v>
      </c>
      <c r="J23" s="46">
        <f t="shared" si="14"/>
        <v>225284.58</v>
      </c>
      <c r="K23" s="46">
        <f t="shared" si="14"/>
        <v>194681.14</v>
      </c>
      <c r="L23" s="46">
        <f t="shared" si="14"/>
        <v>208957.72</v>
      </c>
      <c r="M23" s="46">
        <f t="shared" si="14"/>
        <v>358601.14</v>
      </c>
      <c r="N23" s="46">
        <f t="shared" si="14"/>
        <v>182544</v>
      </c>
      <c r="O23" s="46">
        <f t="shared" si="14"/>
        <v>257664</v>
      </c>
      <c r="P23" s="46">
        <f t="shared" si="14"/>
        <v>101184</v>
      </c>
      <c r="Q23" s="38">
        <f t="shared" si="1"/>
        <v>6875616</v>
      </c>
    </row>
    <row r="24" spans="1:17" ht="15" customHeight="1">
      <c r="A24" s="35" t="s">
        <v>64</v>
      </c>
      <c r="B24" s="36" t="s">
        <v>395</v>
      </c>
      <c r="C24" s="36" t="s">
        <v>61</v>
      </c>
      <c r="D24" s="44" t="s">
        <v>43</v>
      </c>
      <c r="E24" s="46">
        <f>ROUND(E30/0.07*0.02,2)</f>
        <v>552610.29</v>
      </c>
      <c r="F24" s="46">
        <f t="shared" ref="F24:P24" si="15">ROUND(F30/0.07*0.02,2)</f>
        <v>410996.57</v>
      </c>
      <c r="G24" s="46">
        <f t="shared" si="15"/>
        <v>777061.71</v>
      </c>
      <c r="H24" s="46">
        <f t="shared" si="15"/>
        <v>818149.71</v>
      </c>
      <c r="I24" s="46">
        <f t="shared" si="15"/>
        <v>114531.43</v>
      </c>
      <c r="J24" s="46">
        <f t="shared" si="15"/>
        <v>112642.29</v>
      </c>
      <c r="K24" s="46">
        <f t="shared" si="15"/>
        <v>97340.57</v>
      </c>
      <c r="L24" s="46">
        <f t="shared" si="15"/>
        <v>104478.86</v>
      </c>
      <c r="M24" s="46">
        <f t="shared" si="15"/>
        <v>179300.57</v>
      </c>
      <c r="N24" s="46">
        <f t="shared" si="15"/>
        <v>91272</v>
      </c>
      <c r="O24" s="46">
        <f t="shared" si="15"/>
        <v>128832</v>
      </c>
      <c r="P24" s="46">
        <f t="shared" si="15"/>
        <v>50592</v>
      </c>
      <c r="Q24" s="38">
        <f t="shared" si="1"/>
        <v>3437808</v>
      </c>
    </row>
    <row r="25" spans="1:17" ht="15" customHeight="1">
      <c r="A25" s="35" t="s">
        <v>65</v>
      </c>
      <c r="B25" s="36" t="s">
        <v>396</v>
      </c>
      <c r="C25" s="36" t="s">
        <v>61</v>
      </c>
      <c r="D25" s="44" t="s">
        <v>43</v>
      </c>
      <c r="E25" s="46">
        <f>ROUND(E30/0.07*0.02,2)</f>
        <v>552610.29</v>
      </c>
      <c r="F25" s="46">
        <f t="shared" ref="F25:P25" si="16">ROUND(F30/0.07*0.02,2)</f>
        <v>410996.57</v>
      </c>
      <c r="G25" s="46">
        <f t="shared" si="16"/>
        <v>777061.71</v>
      </c>
      <c r="H25" s="46">
        <f t="shared" si="16"/>
        <v>818149.71</v>
      </c>
      <c r="I25" s="46">
        <f t="shared" si="16"/>
        <v>114531.43</v>
      </c>
      <c r="J25" s="46">
        <f t="shared" si="16"/>
        <v>112642.29</v>
      </c>
      <c r="K25" s="46">
        <f t="shared" si="16"/>
        <v>97340.57</v>
      </c>
      <c r="L25" s="46">
        <f t="shared" si="16"/>
        <v>104478.86</v>
      </c>
      <c r="M25" s="46">
        <f t="shared" si="16"/>
        <v>179300.57</v>
      </c>
      <c r="N25" s="46">
        <f t="shared" si="16"/>
        <v>91272</v>
      </c>
      <c r="O25" s="46">
        <f t="shared" si="16"/>
        <v>128832</v>
      </c>
      <c r="P25" s="46">
        <f t="shared" si="16"/>
        <v>50592</v>
      </c>
      <c r="Q25" s="38">
        <f t="shared" si="1"/>
        <v>3437808</v>
      </c>
    </row>
    <row r="26" spans="1:17" ht="15" customHeight="1">
      <c r="A26" s="35" t="s">
        <v>66</v>
      </c>
      <c r="B26" s="36" t="s">
        <v>67</v>
      </c>
      <c r="C26" s="36"/>
      <c r="D26" s="37" t="s">
        <v>21</v>
      </c>
      <c r="E26" s="38">
        <f t="shared" ref="E26:P26" si="17">E27</f>
        <v>4420882.29</v>
      </c>
      <c r="F26" s="38">
        <f t="shared" si="17"/>
        <v>3287972.57</v>
      </c>
      <c r="G26" s="38">
        <f t="shared" si="17"/>
        <v>6216493.71</v>
      </c>
      <c r="H26" s="38">
        <f t="shared" si="17"/>
        <v>6545197.71</v>
      </c>
      <c r="I26" s="38">
        <f t="shared" si="17"/>
        <v>916251.43</v>
      </c>
      <c r="J26" s="38">
        <f t="shared" si="17"/>
        <v>901138.29</v>
      </c>
      <c r="K26" s="38">
        <f t="shared" si="17"/>
        <v>778724.57</v>
      </c>
      <c r="L26" s="38">
        <f t="shared" si="17"/>
        <v>835830.86</v>
      </c>
      <c r="M26" s="38">
        <f t="shared" si="17"/>
        <v>1434404.57</v>
      </c>
      <c r="N26" s="38">
        <f t="shared" si="17"/>
        <v>730176</v>
      </c>
      <c r="O26" s="38">
        <f t="shared" si="17"/>
        <v>1030656</v>
      </c>
      <c r="P26" s="38">
        <f t="shared" si="17"/>
        <v>404736</v>
      </c>
      <c r="Q26" s="38">
        <f t="shared" si="1"/>
        <v>27502464</v>
      </c>
    </row>
    <row r="27" spans="1:17" s="2" customFormat="1" ht="15" customHeight="1">
      <c r="A27" s="35" t="s">
        <v>68</v>
      </c>
      <c r="B27" s="42" t="s">
        <v>69</v>
      </c>
      <c r="C27" s="42" t="s">
        <v>70</v>
      </c>
      <c r="D27" s="39" t="s">
        <v>43</v>
      </c>
      <c r="E27" s="38">
        <f>ROUND(E30/0.07*0.16,2)</f>
        <v>4420882.29</v>
      </c>
      <c r="F27" s="38">
        <f t="shared" ref="F27:P27" si="18">ROUND(F30/0.07*0.16,2)</f>
        <v>3287972.57</v>
      </c>
      <c r="G27" s="38">
        <f t="shared" si="18"/>
        <v>6216493.71</v>
      </c>
      <c r="H27" s="38">
        <f t="shared" si="18"/>
        <v>6545197.71</v>
      </c>
      <c r="I27" s="38">
        <f t="shared" si="18"/>
        <v>916251.43</v>
      </c>
      <c r="J27" s="38">
        <f t="shared" si="18"/>
        <v>901138.29</v>
      </c>
      <c r="K27" s="38">
        <f t="shared" si="18"/>
        <v>778724.57</v>
      </c>
      <c r="L27" s="38">
        <f t="shared" si="18"/>
        <v>835830.86</v>
      </c>
      <c r="M27" s="38">
        <f t="shared" si="18"/>
        <v>1434404.57</v>
      </c>
      <c r="N27" s="38">
        <f t="shared" si="18"/>
        <v>730176</v>
      </c>
      <c r="O27" s="38">
        <f t="shared" si="18"/>
        <v>1030656</v>
      </c>
      <c r="P27" s="38">
        <f t="shared" si="18"/>
        <v>404736</v>
      </c>
      <c r="Q27" s="38">
        <f t="shared" si="1"/>
        <v>27502464</v>
      </c>
    </row>
    <row r="28" spans="1:17" ht="15" customHeight="1">
      <c r="A28" s="35" t="s">
        <v>71</v>
      </c>
      <c r="B28" s="36" t="s">
        <v>72</v>
      </c>
      <c r="C28" s="36"/>
      <c r="D28" s="37" t="s">
        <v>21</v>
      </c>
      <c r="E28" s="38">
        <f t="shared" ref="E28:P28" si="19">E29</f>
        <v>2210441.14</v>
      </c>
      <c r="F28" s="38">
        <f t="shared" si="19"/>
        <v>1643986.29</v>
      </c>
      <c r="G28" s="38">
        <f t="shared" si="19"/>
        <v>3108246.86</v>
      </c>
      <c r="H28" s="38">
        <f t="shared" si="19"/>
        <v>3272598.86</v>
      </c>
      <c r="I28" s="38">
        <f t="shared" si="19"/>
        <v>458125.71</v>
      </c>
      <c r="J28" s="38">
        <f t="shared" si="19"/>
        <v>450569.14</v>
      </c>
      <c r="K28" s="38">
        <f t="shared" si="19"/>
        <v>389362.29</v>
      </c>
      <c r="L28" s="38">
        <f t="shared" si="19"/>
        <v>417915.43</v>
      </c>
      <c r="M28" s="38">
        <f t="shared" si="19"/>
        <v>717202.29</v>
      </c>
      <c r="N28" s="38">
        <f t="shared" si="19"/>
        <v>365088</v>
      </c>
      <c r="O28" s="38">
        <f t="shared" si="19"/>
        <v>515328</v>
      </c>
      <c r="P28" s="38">
        <f t="shared" si="19"/>
        <v>202368</v>
      </c>
      <c r="Q28" s="38">
        <f t="shared" si="1"/>
        <v>13751232.010000002</v>
      </c>
    </row>
    <row r="29" spans="1:17" s="2" customFormat="1" ht="15" customHeight="1">
      <c r="A29" s="35" t="s">
        <v>73</v>
      </c>
      <c r="B29" s="42" t="s">
        <v>74</v>
      </c>
      <c r="C29" s="42" t="s">
        <v>75</v>
      </c>
      <c r="D29" s="39" t="s">
        <v>43</v>
      </c>
      <c r="E29" s="38">
        <f>ROUND(E30/0.07*0.08,2)</f>
        <v>2210441.14</v>
      </c>
      <c r="F29" s="38">
        <f t="shared" ref="F29:P29" si="20">ROUND(F30/0.07*0.08,2)</f>
        <v>1643986.29</v>
      </c>
      <c r="G29" s="38">
        <f t="shared" si="20"/>
        <v>3108246.86</v>
      </c>
      <c r="H29" s="38">
        <f t="shared" si="20"/>
        <v>3272598.86</v>
      </c>
      <c r="I29" s="38">
        <f t="shared" si="20"/>
        <v>458125.71</v>
      </c>
      <c r="J29" s="38">
        <f t="shared" si="20"/>
        <v>450569.14</v>
      </c>
      <c r="K29" s="38">
        <f t="shared" si="20"/>
        <v>389362.29</v>
      </c>
      <c r="L29" s="38">
        <f t="shared" si="20"/>
        <v>417915.43</v>
      </c>
      <c r="M29" s="38">
        <f t="shared" si="20"/>
        <v>717202.29</v>
      </c>
      <c r="N29" s="38">
        <f t="shared" si="20"/>
        <v>365088</v>
      </c>
      <c r="O29" s="38">
        <f t="shared" si="20"/>
        <v>515328</v>
      </c>
      <c r="P29" s="38">
        <f t="shared" si="20"/>
        <v>202368</v>
      </c>
      <c r="Q29" s="38">
        <f t="shared" si="1"/>
        <v>13751232.010000002</v>
      </c>
    </row>
    <row r="30" spans="1:17" ht="15" customHeight="1">
      <c r="A30" s="35" t="s">
        <v>76</v>
      </c>
      <c r="B30" s="36" t="s">
        <v>77</v>
      </c>
      <c r="C30" s="36" t="s">
        <v>78</v>
      </c>
      <c r="D30" s="37" t="s">
        <v>79</v>
      </c>
      <c r="E30" s="45">
        <v>1934136</v>
      </c>
      <c r="F30" s="45">
        <v>1438488</v>
      </c>
      <c r="G30" s="45">
        <v>2719716</v>
      </c>
      <c r="H30" s="45">
        <v>2863524</v>
      </c>
      <c r="I30" s="45">
        <v>400860</v>
      </c>
      <c r="J30" s="45">
        <v>394248</v>
      </c>
      <c r="K30" s="45">
        <v>340692</v>
      </c>
      <c r="L30" s="45">
        <v>365676</v>
      </c>
      <c r="M30" s="45">
        <v>627552</v>
      </c>
      <c r="N30" s="45">
        <f>26621*12</f>
        <v>319452</v>
      </c>
      <c r="O30" s="45">
        <f>37576*12</f>
        <v>450912</v>
      </c>
      <c r="P30" s="45">
        <f>14756*12</f>
        <v>177072</v>
      </c>
      <c r="Q30" s="38">
        <f t="shared" si="1"/>
        <v>12032328</v>
      </c>
    </row>
    <row r="31" spans="1:17" ht="15" customHeight="1">
      <c r="A31" s="35" t="s">
        <v>80</v>
      </c>
      <c r="B31" s="36" t="s">
        <v>81</v>
      </c>
      <c r="C31" s="43" t="s">
        <v>27</v>
      </c>
      <c r="D31" s="39" t="s">
        <v>82</v>
      </c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38">
        <f t="shared" si="1"/>
        <v>0</v>
      </c>
    </row>
    <row r="32" spans="1:17" ht="15" customHeight="1">
      <c r="A32" s="35" t="s">
        <v>83</v>
      </c>
      <c r="B32" s="36" t="s">
        <v>84</v>
      </c>
      <c r="C32" s="36"/>
      <c r="D32" s="37" t="s">
        <v>21</v>
      </c>
      <c r="E32" s="38">
        <f>E33+E35</f>
        <v>33000</v>
      </c>
      <c r="F32" s="38">
        <f>F33+F35</f>
        <v>36720</v>
      </c>
      <c r="G32" s="38">
        <f>G33+G35</f>
        <v>3194125</v>
      </c>
      <c r="H32" s="38">
        <f>H33+H35</f>
        <v>525180</v>
      </c>
      <c r="I32" s="38">
        <f>I33+I35</f>
        <v>240</v>
      </c>
      <c r="J32" s="38">
        <f t="shared" ref="J32:P32" si="21">J33+J35</f>
        <v>360</v>
      </c>
      <c r="K32" s="38">
        <f t="shared" si="21"/>
        <v>2520</v>
      </c>
      <c r="L32" s="38">
        <f t="shared" si="21"/>
        <v>1440</v>
      </c>
      <c r="M32" s="38">
        <f t="shared" si="21"/>
        <v>1440</v>
      </c>
      <c r="N32" s="38">
        <f t="shared" si="21"/>
        <v>36540</v>
      </c>
      <c r="O32" s="38">
        <f t="shared" si="21"/>
        <v>241980</v>
      </c>
      <c r="P32" s="38">
        <f t="shared" si="21"/>
        <v>201800</v>
      </c>
      <c r="Q32" s="38">
        <f t="shared" si="1"/>
        <v>4275345</v>
      </c>
    </row>
    <row r="33" spans="1:17" ht="15" customHeight="1">
      <c r="A33" s="35" t="s">
        <v>85</v>
      </c>
      <c r="B33" s="36" t="s">
        <v>86</v>
      </c>
      <c r="C33" s="36" t="s">
        <v>87</v>
      </c>
      <c r="D33" s="44" t="s">
        <v>88</v>
      </c>
      <c r="E33" s="46">
        <f>E34</f>
        <v>32280</v>
      </c>
      <c r="F33" s="46">
        <f t="shared" ref="F33:P33" si="22">F34</f>
        <v>35280</v>
      </c>
      <c r="G33" s="46">
        <f t="shared" si="22"/>
        <v>3189805</v>
      </c>
      <c r="H33" s="46">
        <f t="shared" si="22"/>
        <v>519420</v>
      </c>
      <c r="I33" s="46">
        <f t="shared" si="22"/>
        <v>0</v>
      </c>
      <c r="J33" s="46">
        <f t="shared" si="22"/>
        <v>0</v>
      </c>
      <c r="K33" s="46">
        <f t="shared" si="22"/>
        <v>0</v>
      </c>
      <c r="L33" s="46">
        <f t="shared" si="22"/>
        <v>0</v>
      </c>
      <c r="M33" s="46">
        <f t="shared" si="22"/>
        <v>0</v>
      </c>
      <c r="N33" s="46">
        <f t="shared" si="22"/>
        <v>34740</v>
      </c>
      <c r="O33" s="46">
        <f t="shared" si="22"/>
        <v>240900</v>
      </c>
      <c r="P33" s="46">
        <f t="shared" si="22"/>
        <v>201080</v>
      </c>
      <c r="Q33" s="38">
        <f t="shared" si="1"/>
        <v>4253505</v>
      </c>
    </row>
    <row r="34" spans="1:17" ht="15" customHeight="1">
      <c r="A34" s="35" t="s">
        <v>89</v>
      </c>
      <c r="B34" s="36" t="s">
        <v>90</v>
      </c>
      <c r="C34" s="36" t="s">
        <v>87</v>
      </c>
      <c r="D34" s="44" t="s">
        <v>88</v>
      </c>
      <c r="E34" s="40">
        <v>32280</v>
      </c>
      <c r="F34" s="40">
        <v>35280</v>
      </c>
      <c r="G34" s="40">
        <v>3189805</v>
      </c>
      <c r="H34" s="40">
        <v>519420</v>
      </c>
      <c r="I34" s="40"/>
      <c r="J34" s="40"/>
      <c r="K34" s="40"/>
      <c r="L34" s="40"/>
      <c r="M34" s="40"/>
      <c r="N34" s="40">
        <v>34740</v>
      </c>
      <c r="O34" s="40">
        <v>240900</v>
      </c>
      <c r="P34" s="40">
        <v>201080</v>
      </c>
      <c r="Q34" s="38">
        <f t="shared" si="1"/>
        <v>4253505</v>
      </c>
    </row>
    <row r="35" spans="1:17" ht="15" customHeight="1">
      <c r="A35" s="35" t="s">
        <v>91</v>
      </c>
      <c r="B35" s="36" t="s">
        <v>92</v>
      </c>
      <c r="C35" s="36"/>
      <c r="D35" s="37" t="s">
        <v>21</v>
      </c>
      <c r="E35" s="38">
        <f>E36</f>
        <v>720</v>
      </c>
      <c r="F35" s="38">
        <f t="shared" ref="F35:P35" si="23">F36</f>
        <v>1440</v>
      </c>
      <c r="G35" s="38">
        <f t="shared" si="23"/>
        <v>4320</v>
      </c>
      <c r="H35" s="38">
        <f t="shared" si="23"/>
        <v>5760</v>
      </c>
      <c r="I35" s="38">
        <f t="shared" si="23"/>
        <v>240</v>
      </c>
      <c r="J35" s="38">
        <f t="shared" si="23"/>
        <v>360</v>
      </c>
      <c r="K35" s="38">
        <f t="shared" si="23"/>
        <v>2520</v>
      </c>
      <c r="L35" s="38">
        <f t="shared" si="23"/>
        <v>1440</v>
      </c>
      <c r="M35" s="38">
        <f t="shared" si="23"/>
        <v>1440</v>
      </c>
      <c r="N35" s="38">
        <f t="shared" si="23"/>
        <v>1800</v>
      </c>
      <c r="O35" s="38">
        <f t="shared" si="23"/>
        <v>1080</v>
      </c>
      <c r="P35" s="38">
        <f t="shared" si="23"/>
        <v>720</v>
      </c>
      <c r="Q35" s="38">
        <f t="shared" si="1"/>
        <v>21840</v>
      </c>
    </row>
    <row r="36" spans="1:17" ht="15" customHeight="1">
      <c r="A36" s="35" t="s">
        <v>93</v>
      </c>
      <c r="B36" s="36" t="s">
        <v>94</v>
      </c>
      <c r="C36" s="36" t="s">
        <v>27</v>
      </c>
      <c r="D36" s="37" t="s">
        <v>28</v>
      </c>
      <c r="E36" s="40">
        <v>720</v>
      </c>
      <c r="F36" s="40">
        <v>1440</v>
      </c>
      <c r="G36" s="40">
        <v>4320</v>
      </c>
      <c r="H36" s="40">
        <v>5760</v>
      </c>
      <c r="I36" s="40">
        <v>240</v>
      </c>
      <c r="J36" s="40">
        <v>360</v>
      </c>
      <c r="K36" s="40">
        <v>2520</v>
      </c>
      <c r="L36" s="40">
        <v>1440</v>
      </c>
      <c r="M36" s="40">
        <v>1440</v>
      </c>
      <c r="N36" s="40">
        <v>1800</v>
      </c>
      <c r="O36" s="40">
        <v>1080</v>
      </c>
      <c r="P36" s="40">
        <v>720</v>
      </c>
      <c r="Q36" s="38">
        <f t="shared" si="1"/>
        <v>21840</v>
      </c>
    </row>
    <row r="37" spans="1:17" ht="15" customHeight="1">
      <c r="A37" s="35" t="s">
        <v>95</v>
      </c>
      <c r="B37" s="36" t="s">
        <v>98</v>
      </c>
      <c r="C37" s="36"/>
      <c r="D37" s="37" t="s">
        <v>21</v>
      </c>
      <c r="E37" s="38">
        <f>E38+E40+E42+E44+E46+E49+E51+E53+E55+E57</f>
        <v>8150822.0899999999</v>
      </c>
      <c r="F37" s="38">
        <f t="shared" ref="F37:P37" si="24">F38+F40+F42+F44+F46+F49+F51+F53+F55+F57</f>
        <v>6199102.3200000003</v>
      </c>
      <c r="G37" s="38">
        <f t="shared" si="24"/>
        <v>8937099.7100000009</v>
      </c>
      <c r="H37" s="38">
        <f t="shared" si="24"/>
        <v>10679461.710000001</v>
      </c>
      <c r="I37" s="38">
        <f t="shared" si="24"/>
        <v>1237340.43</v>
      </c>
      <c r="J37" s="38">
        <f t="shared" si="24"/>
        <v>1734004.29</v>
      </c>
      <c r="K37" s="38">
        <f t="shared" si="24"/>
        <v>1235300.2700000003</v>
      </c>
      <c r="L37" s="38">
        <f t="shared" si="24"/>
        <v>1561937.31</v>
      </c>
      <c r="M37" s="38">
        <f t="shared" si="24"/>
        <v>2544655.5699999998</v>
      </c>
      <c r="N37" s="38">
        <f t="shared" si="24"/>
        <v>1186138.7</v>
      </c>
      <c r="O37" s="38">
        <f t="shared" si="24"/>
        <v>1311657</v>
      </c>
      <c r="P37" s="38">
        <f t="shared" si="24"/>
        <v>440437</v>
      </c>
      <c r="Q37" s="38">
        <f t="shared" si="1"/>
        <v>45217956.400000006</v>
      </c>
    </row>
    <row r="38" spans="1:17" ht="15" customHeight="1">
      <c r="A38" s="35" t="s">
        <v>96</v>
      </c>
      <c r="B38" s="36" t="s">
        <v>100</v>
      </c>
      <c r="C38" s="36"/>
      <c r="D38" s="37" t="s">
        <v>101</v>
      </c>
      <c r="E38" s="40">
        <v>6622060</v>
      </c>
      <c r="F38" s="40">
        <v>5031950</v>
      </c>
      <c r="G38" s="40">
        <f>3210*891+3850*859</f>
        <v>6167260</v>
      </c>
      <c r="H38" s="40">
        <f>3210*2532</f>
        <v>8127720</v>
      </c>
      <c r="I38" s="40">
        <f>300*2860</f>
        <v>858000</v>
      </c>
      <c r="J38" s="40">
        <f>461*2860</f>
        <v>1318460</v>
      </c>
      <c r="K38" s="40">
        <f>300*2860</f>
        <v>858000</v>
      </c>
      <c r="L38" s="40">
        <f>418*2860</f>
        <v>1195480</v>
      </c>
      <c r="M38" s="40">
        <v>1884740</v>
      </c>
      <c r="N38" s="40">
        <v>858000</v>
      </c>
      <c r="O38" s="40">
        <v>858000</v>
      </c>
      <c r="P38" s="40">
        <v>224000</v>
      </c>
      <c r="Q38" s="38">
        <f t="shared" si="1"/>
        <v>34003670</v>
      </c>
    </row>
    <row r="39" spans="1:17" ht="15" customHeight="1">
      <c r="A39" s="35" t="s">
        <v>97</v>
      </c>
      <c r="B39" s="36" t="s">
        <v>103</v>
      </c>
      <c r="C39" s="36" t="s">
        <v>104</v>
      </c>
      <c r="D39" s="47" t="s">
        <v>105</v>
      </c>
      <c r="E39" s="40">
        <v>331103</v>
      </c>
      <c r="F39" s="40">
        <v>251597.5</v>
      </c>
      <c r="G39" s="40">
        <f>G38*0.05</f>
        <v>308363</v>
      </c>
      <c r="H39" s="40">
        <f>H38*0.05</f>
        <v>406386</v>
      </c>
      <c r="I39" s="40">
        <v>39897</v>
      </c>
      <c r="J39" s="40">
        <v>65923</v>
      </c>
      <c r="K39" s="40">
        <v>35464</v>
      </c>
      <c r="L39" s="40">
        <v>59774</v>
      </c>
      <c r="M39" s="40">
        <v>80366</v>
      </c>
      <c r="N39" s="40">
        <v>32175</v>
      </c>
      <c r="O39" s="40">
        <v>36465</v>
      </c>
      <c r="P39" s="40">
        <v>11200</v>
      </c>
      <c r="Q39" s="38">
        <f t="shared" si="1"/>
        <v>1658713.5</v>
      </c>
    </row>
    <row r="40" spans="1:17" ht="15" customHeight="1">
      <c r="A40" s="35" t="s">
        <v>99</v>
      </c>
      <c r="B40" s="36" t="s">
        <v>107</v>
      </c>
      <c r="C40" s="36"/>
      <c r="D40" s="37"/>
      <c r="E40" s="38">
        <f>E41</f>
        <v>43200</v>
      </c>
      <c r="F40" s="38">
        <f t="shared" ref="F40:N40" si="25">F41</f>
        <v>30800</v>
      </c>
      <c r="G40" s="38">
        <f t="shared" si="25"/>
        <v>58800</v>
      </c>
      <c r="H40" s="38">
        <f t="shared" si="25"/>
        <v>68400</v>
      </c>
      <c r="I40" s="38">
        <f t="shared" si="25"/>
        <v>10400</v>
      </c>
      <c r="J40" s="38">
        <f t="shared" si="25"/>
        <v>11200</v>
      </c>
      <c r="K40" s="38">
        <f t="shared" si="25"/>
        <v>9200</v>
      </c>
      <c r="L40" s="38">
        <f t="shared" si="25"/>
        <v>9600</v>
      </c>
      <c r="M40" s="38">
        <f t="shared" si="25"/>
        <v>19600</v>
      </c>
      <c r="N40" s="38">
        <f t="shared" si="25"/>
        <v>8800</v>
      </c>
      <c r="O40" s="38">
        <f>O41</f>
        <v>11600</v>
      </c>
      <c r="P40" s="38">
        <f>P41</f>
        <v>4000</v>
      </c>
      <c r="Q40" s="38">
        <f t="shared" si="1"/>
        <v>285600</v>
      </c>
    </row>
    <row r="41" spans="1:17" s="2" customFormat="1" ht="15" customHeight="1">
      <c r="A41" s="35" t="s">
        <v>102</v>
      </c>
      <c r="B41" s="42" t="s">
        <v>109</v>
      </c>
      <c r="C41" s="42" t="s">
        <v>27</v>
      </c>
      <c r="D41" s="48" t="s">
        <v>110</v>
      </c>
      <c r="E41" s="38">
        <f>E60*400</f>
        <v>43200</v>
      </c>
      <c r="F41" s="38">
        <f t="shared" ref="F41:P41" si="26">F60*400</f>
        <v>30800</v>
      </c>
      <c r="G41" s="38">
        <f t="shared" si="26"/>
        <v>58800</v>
      </c>
      <c r="H41" s="38">
        <f t="shared" si="26"/>
        <v>68400</v>
      </c>
      <c r="I41" s="38">
        <f t="shared" si="26"/>
        <v>10400</v>
      </c>
      <c r="J41" s="38">
        <f t="shared" si="26"/>
        <v>11200</v>
      </c>
      <c r="K41" s="38">
        <f t="shared" si="26"/>
        <v>9200</v>
      </c>
      <c r="L41" s="38">
        <f t="shared" si="26"/>
        <v>9600</v>
      </c>
      <c r="M41" s="38">
        <f t="shared" si="26"/>
        <v>19600</v>
      </c>
      <c r="N41" s="38">
        <f t="shared" si="26"/>
        <v>8800</v>
      </c>
      <c r="O41" s="38">
        <f t="shared" si="26"/>
        <v>11600</v>
      </c>
      <c r="P41" s="38">
        <f t="shared" si="26"/>
        <v>4000</v>
      </c>
      <c r="Q41" s="38">
        <f t="shared" si="1"/>
        <v>285600</v>
      </c>
    </row>
    <row r="42" spans="1:17" ht="15" customHeight="1">
      <c r="A42" s="35" t="s">
        <v>106</v>
      </c>
      <c r="B42" s="36" t="s">
        <v>112</v>
      </c>
      <c r="C42" s="36"/>
      <c r="D42" s="37" t="s">
        <v>21</v>
      </c>
      <c r="E42" s="38">
        <f>E43</f>
        <v>300871.8</v>
      </c>
      <c r="F42" s="38">
        <f t="shared" ref="F42:P42" si="27">F43</f>
        <v>278907.75</v>
      </c>
      <c r="G42" s="38">
        <f t="shared" si="27"/>
        <v>297282</v>
      </c>
      <c r="H42" s="38">
        <f t="shared" si="27"/>
        <v>571320</v>
      </c>
      <c r="I42" s="38">
        <f t="shared" si="27"/>
        <v>85185</v>
      </c>
      <c r="J42" s="38">
        <f t="shared" si="27"/>
        <v>110250</v>
      </c>
      <c r="K42" s="38">
        <f t="shared" si="27"/>
        <v>110181.3</v>
      </c>
      <c r="L42" s="38">
        <f t="shared" si="27"/>
        <v>92082.45</v>
      </c>
      <c r="M42" s="38">
        <f t="shared" si="27"/>
        <v>173535</v>
      </c>
      <c r="N42" s="38">
        <f t="shared" si="27"/>
        <v>74342.700000000012</v>
      </c>
      <c r="O42" s="38">
        <f t="shared" si="27"/>
        <v>71205</v>
      </c>
      <c r="P42" s="38">
        <f t="shared" si="27"/>
        <v>20325</v>
      </c>
      <c r="Q42" s="38">
        <f t="shared" si="1"/>
        <v>2185488</v>
      </c>
    </row>
    <row r="43" spans="1:17" s="2" customFormat="1" ht="15" customHeight="1">
      <c r="A43" s="35" t="s">
        <v>108</v>
      </c>
      <c r="B43" s="42" t="s">
        <v>114</v>
      </c>
      <c r="C43" s="42" t="s">
        <v>27</v>
      </c>
      <c r="D43" s="48" t="s">
        <v>115</v>
      </c>
      <c r="E43" s="38">
        <f>E71*15</f>
        <v>300871.8</v>
      </c>
      <c r="F43" s="38">
        <f t="shared" ref="F43:P43" si="28">F71*15</f>
        <v>278907.75</v>
      </c>
      <c r="G43" s="38">
        <f t="shared" si="28"/>
        <v>297282</v>
      </c>
      <c r="H43" s="38">
        <f t="shared" si="28"/>
        <v>571320</v>
      </c>
      <c r="I43" s="38">
        <f t="shared" si="28"/>
        <v>85185</v>
      </c>
      <c r="J43" s="38">
        <f t="shared" si="28"/>
        <v>110250</v>
      </c>
      <c r="K43" s="38">
        <f t="shared" si="28"/>
        <v>110181.3</v>
      </c>
      <c r="L43" s="38">
        <f t="shared" si="28"/>
        <v>92082.45</v>
      </c>
      <c r="M43" s="38">
        <f t="shared" si="28"/>
        <v>173535</v>
      </c>
      <c r="N43" s="38">
        <f t="shared" si="28"/>
        <v>74342.700000000012</v>
      </c>
      <c r="O43" s="38">
        <f t="shared" si="28"/>
        <v>71205</v>
      </c>
      <c r="P43" s="38">
        <f t="shared" si="28"/>
        <v>20325</v>
      </c>
      <c r="Q43" s="38">
        <f t="shared" si="1"/>
        <v>2185488</v>
      </c>
    </row>
    <row r="44" spans="1:17" ht="15" customHeight="1">
      <c r="A44" s="35" t="s">
        <v>111</v>
      </c>
      <c r="B44" s="36" t="s">
        <v>117</v>
      </c>
      <c r="C44" s="36"/>
      <c r="D44" s="37" t="s">
        <v>21</v>
      </c>
      <c r="E44" s="38">
        <f>E45</f>
        <v>112080</v>
      </c>
      <c r="F44" s="38">
        <f t="shared" ref="F44:P44" si="29">F45</f>
        <v>78568</v>
      </c>
      <c r="G44" s="38">
        <f t="shared" si="29"/>
        <v>97216</v>
      </c>
      <c r="H44" s="38">
        <f t="shared" si="29"/>
        <v>163552</v>
      </c>
      <c r="I44" s="38">
        <f t="shared" si="29"/>
        <v>20904</v>
      </c>
      <c r="J44" s="38">
        <f t="shared" si="29"/>
        <v>25792</v>
      </c>
      <c r="K44" s="38">
        <f t="shared" si="29"/>
        <v>27218.400000000001</v>
      </c>
      <c r="L44" s="38">
        <f t="shared" si="29"/>
        <v>20616</v>
      </c>
      <c r="M44" s="38">
        <f t="shared" si="29"/>
        <v>37800</v>
      </c>
      <c r="N44" s="38">
        <f t="shared" si="29"/>
        <v>15744</v>
      </c>
      <c r="O44" s="38">
        <f t="shared" si="29"/>
        <v>20480</v>
      </c>
      <c r="P44" s="38">
        <f t="shared" si="29"/>
        <v>14400</v>
      </c>
      <c r="Q44" s="38">
        <f t="shared" si="1"/>
        <v>634370.4</v>
      </c>
    </row>
    <row r="45" spans="1:17" s="2" customFormat="1" ht="15" customHeight="1">
      <c r="A45" s="35" t="s">
        <v>113</v>
      </c>
      <c r="B45" s="42" t="s">
        <v>119</v>
      </c>
      <c r="C45" s="42" t="s">
        <v>27</v>
      </c>
      <c r="D45" s="48" t="s">
        <v>120</v>
      </c>
      <c r="E45" s="38">
        <f>E72*8</f>
        <v>112080</v>
      </c>
      <c r="F45" s="38">
        <f t="shared" ref="F45:P45" si="30">F72*8</f>
        <v>78568</v>
      </c>
      <c r="G45" s="38">
        <f t="shared" si="30"/>
        <v>97216</v>
      </c>
      <c r="H45" s="38">
        <f t="shared" si="30"/>
        <v>163552</v>
      </c>
      <c r="I45" s="38">
        <f t="shared" si="30"/>
        <v>20904</v>
      </c>
      <c r="J45" s="38">
        <f t="shared" si="30"/>
        <v>25792</v>
      </c>
      <c r="K45" s="38">
        <f t="shared" si="30"/>
        <v>27218.400000000001</v>
      </c>
      <c r="L45" s="38">
        <f t="shared" si="30"/>
        <v>20616</v>
      </c>
      <c r="M45" s="38">
        <f t="shared" si="30"/>
        <v>37800</v>
      </c>
      <c r="N45" s="38">
        <f t="shared" si="30"/>
        <v>15744</v>
      </c>
      <c r="O45" s="38">
        <f t="shared" si="30"/>
        <v>20480</v>
      </c>
      <c r="P45" s="38">
        <f t="shared" si="30"/>
        <v>14400</v>
      </c>
      <c r="Q45" s="38">
        <f t="shared" si="1"/>
        <v>634370.4</v>
      </c>
    </row>
    <row r="46" spans="1:17" ht="15" customHeight="1">
      <c r="A46" s="35" t="s">
        <v>116</v>
      </c>
      <c r="B46" s="36" t="s">
        <v>122</v>
      </c>
      <c r="C46" s="36"/>
      <c r="D46" s="37" t="s">
        <v>21</v>
      </c>
      <c r="E46" s="38">
        <f>E47+E48</f>
        <v>475200</v>
      </c>
      <c r="F46" s="38">
        <f t="shared" ref="F46:P46" si="31">F47+F48</f>
        <v>341280</v>
      </c>
      <c r="G46" s="38">
        <f t="shared" si="31"/>
        <v>1399680</v>
      </c>
      <c r="H46" s="38">
        <f t="shared" si="31"/>
        <v>868320</v>
      </c>
      <c r="I46" s="38">
        <f t="shared" si="31"/>
        <v>112320</v>
      </c>
      <c r="J46" s="38">
        <f t="shared" si="31"/>
        <v>120960</v>
      </c>
      <c r="K46" s="38">
        <f t="shared" si="31"/>
        <v>99360</v>
      </c>
      <c r="L46" s="38">
        <f t="shared" si="31"/>
        <v>103680</v>
      </c>
      <c r="M46" s="38">
        <f t="shared" si="31"/>
        <v>211680</v>
      </c>
      <c r="N46" s="38">
        <f t="shared" si="31"/>
        <v>103680</v>
      </c>
      <c r="O46" s="38">
        <f t="shared" si="31"/>
        <v>181440</v>
      </c>
      <c r="P46" s="38">
        <f t="shared" si="31"/>
        <v>90720</v>
      </c>
      <c r="Q46" s="38">
        <f t="shared" si="1"/>
        <v>4108320</v>
      </c>
    </row>
    <row r="47" spans="1:17" s="2" customFormat="1" ht="15" customHeight="1">
      <c r="A47" s="35" t="s">
        <v>118</v>
      </c>
      <c r="B47" s="42" t="s">
        <v>170</v>
      </c>
      <c r="C47" s="42" t="s">
        <v>27</v>
      </c>
      <c r="D47" s="48" t="s">
        <v>124</v>
      </c>
      <c r="E47" s="38">
        <f>E60*4320</f>
        <v>466560</v>
      </c>
      <c r="F47" s="38">
        <f t="shared" ref="F47:P47" si="32">F60*4320</f>
        <v>332640</v>
      </c>
      <c r="G47" s="38">
        <f t="shared" si="32"/>
        <v>635040</v>
      </c>
      <c r="H47" s="38">
        <f t="shared" si="32"/>
        <v>738720</v>
      </c>
      <c r="I47" s="38">
        <f t="shared" si="32"/>
        <v>112320</v>
      </c>
      <c r="J47" s="38">
        <f t="shared" si="32"/>
        <v>120960</v>
      </c>
      <c r="K47" s="38">
        <f t="shared" si="32"/>
        <v>99360</v>
      </c>
      <c r="L47" s="38">
        <f t="shared" si="32"/>
        <v>103680</v>
      </c>
      <c r="M47" s="38">
        <f t="shared" si="32"/>
        <v>211680</v>
      </c>
      <c r="N47" s="38">
        <f t="shared" si="32"/>
        <v>95040</v>
      </c>
      <c r="O47" s="38">
        <f t="shared" si="32"/>
        <v>125280</v>
      </c>
      <c r="P47" s="38">
        <f t="shared" si="32"/>
        <v>43200</v>
      </c>
      <c r="Q47" s="38">
        <f t="shared" si="1"/>
        <v>3084480</v>
      </c>
    </row>
    <row r="48" spans="1:17" s="2" customFormat="1" ht="15" customHeight="1">
      <c r="A48" s="35" t="s">
        <v>121</v>
      </c>
      <c r="B48" s="42" t="s">
        <v>397</v>
      </c>
      <c r="C48" s="42" t="s">
        <v>27</v>
      </c>
      <c r="D48" s="48" t="s">
        <v>171</v>
      </c>
      <c r="E48" s="38">
        <f>E70*4320</f>
        <v>8640</v>
      </c>
      <c r="F48" s="38">
        <f t="shared" ref="F48:P48" si="33">F70*4320</f>
        <v>8640</v>
      </c>
      <c r="G48" s="38">
        <f t="shared" si="33"/>
        <v>764640</v>
      </c>
      <c r="H48" s="38">
        <f t="shared" si="33"/>
        <v>129600</v>
      </c>
      <c r="I48" s="38">
        <f t="shared" si="33"/>
        <v>0</v>
      </c>
      <c r="J48" s="38">
        <f t="shared" si="33"/>
        <v>0</v>
      </c>
      <c r="K48" s="38">
        <f t="shared" si="33"/>
        <v>0</v>
      </c>
      <c r="L48" s="38">
        <f t="shared" si="33"/>
        <v>0</v>
      </c>
      <c r="M48" s="38">
        <f t="shared" si="33"/>
        <v>0</v>
      </c>
      <c r="N48" s="38">
        <f t="shared" si="33"/>
        <v>8640</v>
      </c>
      <c r="O48" s="38">
        <f t="shared" si="33"/>
        <v>56160</v>
      </c>
      <c r="P48" s="38">
        <f t="shared" si="33"/>
        <v>47520</v>
      </c>
      <c r="Q48" s="38">
        <f t="shared" si="1"/>
        <v>1023840</v>
      </c>
    </row>
    <row r="49" spans="1:17" ht="15" customHeight="1">
      <c r="A49" s="35" t="s">
        <v>123</v>
      </c>
      <c r="B49" s="36" t="s">
        <v>127</v>
      </c>
      <c r="C49" s="36"/>
      <c r="D49" s="37" t="s">
        <v>21</v>
      </c>
      <c r="E49" s="38">
        <f>E50</f>
        <v>552610.29</v>
      </c>
      <c r="F49" s="38">
        <f t="shared" ref="F49:P49" si="34">F50</f>
        <v>410996.57</v>
      </c>
      <c r="G49" s="38">
        <f t="shared" si="34"/>
        <v>777061.71</v>
      </c>
      <c r="H49" s="38">
        <f t="shared" si="34"/>
        <v>818149.71</v>
      </c>
      <c r="I49" s="38">
        <f t="shared" si="34"/>
        <v>114531.43</v>
      </c>
      <c r="J49" s="38">
        <f t="shared" si="34"/>
        <v>112642.29</v>
      </c>
      <c r="K49" s="38">
        <f t="shared" si="34"/>
        <v>97340.57</v>
      </c>
      <c r="L49" s="38">
        <f t="shared" si="34"/>
        <v>104478.86</v>
      </c>
      <c r="M49" s="38">
        <f t="shared" si="34"/>
        <v>179300.57</v>
      </c>
      <c r="N49" s="38">
        <f t="shared" si="34"/>
        <v>91272</v>
      </c>
      <c r="O49" s="38">
        <f t="shared" si="34"/>
        <v>128832</v>
      </c>
      <c r="P49" s="38">
        <f t="shared" si="34"/>
        <v>50592</v>
      </c>
      <c r="Q49" s="38">
        <f t="shared" si="1"/>
        <v>3437808</v>
      </c>
    </row>
    <row r="50" spans="1:17" s="2" customFormat="1" ht="15" customHeight="1">
      <c r="A50" s="35" t="s">
        <v>125</v>
      </c>
      <c r="B50" s="42" t="s">
        <v>129</v>
      </c>
      <c r="C50" s="42" t="s">
        <v>27</v>
      </c>
      <c r="D50" s="39" t="s">
        <v>43</v>
      </c>
      <c r="E50" s="38">
        <f>ROUND(E30/0.07*0.02,2)</f>
        <v>552610.29</v>
      </c>
      <c r="F50" s="38">
        <f t="shared" ref="F50:P50" si="35">ROUND(F30/0.07*0.02,2)</f>
        <v>410996.57</v>
      </c>
      <c r="G50" s="38">
        <f t="shared" si="35"/>
        <v>777061.71</v>
      </c>
      <c r="H50" s="38">
        <f t="shared" si="35"/>
        <v>818149.71</v>
      </c>
      <c r="I50" s="38">
        <f t="shared" si="35"/>
        <v>114531.43</v>
      </c>
      <c r="J50" s="38">
        <f t="shared" si="35"/>
        <v>112642.29</v>
      </c>
      <c r="K50" s="38">
        <f t="shared" si="35"/>
        <v>97340.57</v>
      </c>
      <c r="L50" s="38">
        <f t="shared" si="35"/>
        <v>104478.86</v>
      </c>
      <c r="M50" s="38">
        <f t="shared" si="35"/>
        <v>179300.57</v>
      </c>
      <c r="N50" s="38">
        <f t="shared" si="35"/>
        <v>91272</v>
      </c>
      <c r="O50" s="38">
        <f t="shared" si="35"/>
        <v>128832</v>
      </c>
      <c r="P50" s="38">
        <f t="shared" si="35"/>
        <v>50592</v>
      </c>
      <c r="Q50" s="38">
        <f t="shared" si="1"/>
        <v>3437808</v>
      </c>
    </row>
    <row r="51" spans="1:17" ht="15" customHeight="1">
      <c r="A51" s="35" t="s">
        <v>126</v>
      </c>
      <c r="B51" s="36" t="s">
        <v>172</v>
      </c>
      <c r="C51" s="36"/>
      <c r="D51" s="37" t="s">
        <v>21</v>
      </c>
      <c r="E51" s="38">
        <f>E52</f>
        <v>0</v>
      </c>
      <c r="F51" s="38">
        <f t="shared" ref="F51:P51" si="36">F52</f>
        <v>25000</v>
      </c>
      <c r="G51" s="38">
        <f t="shared" si="36"/>
        <v>64000</v>
      </c>
      <c r="H51" s="38">
        <f t="shared" si="36"/>
        <v>0</v>
      </c>
      <c r="I51" s="38">
        <f t="shared" si="36"/>
        <v>0</v>
      </c>
      <c r="J51" s="38">
        <f t="shared" si="36"/>
        <v>0</v>
      </c>
      <c r="K51" s="38">
        <f t="shared" si="36"/>
        <v>0</v>
      </c>
      <c r="L51" s="38">
        <f t="shared" si="36"/>
        <v>0</v>
      </c>
      <c r="M51" s="38">
        <f t="shared" si="36"/>
        <v>0</v>
      </c>
      <c r="N51" s="38">
        <f t="shared" si="36"/>
        <v>0</v>
      </c>
      <c r="O51" s="38">
        <f t="shared" si="36"/>
        <v>0</v>
      </c>
      <c r="P51" s="38">
        <f t="shared" si="36"/>
        <v>0</v>
      </c>
      <c r="Q51" s="38">
        <f t="shared" si="1"/>
        <v>89000</v>
      </c>
    </row>
    <row r="52" spans="1:17" ht="15" customHeight="1">
      <c r="A52" s="35" t="s">
        <v>128</v>
      </c>
      <c r="B52" s="36" t="s">
        <v>132</v>
      </c>
      <c r="C52" s="36" t="s">
        <v>27</v>
      </c>
      <c r="D52" s="47" t="s">
        <v>133</v>
      </c>
      <c r="E52" s="40"/>
      <c r="F52" s="168">
        <f>32000-7000</f>
        <v>25000</v>
      </c>
      <c r="G52" s="40">
        <v>64000</v>
      </c>
      <c r="H52" s="40"/>
      <c r="I52" s="40"/>
      <c r="J52" s="40"/>
      <c r="K52" s="40"/>
      <c r="L52" s="40"/>
      <c r="M52" s="40"/>
      <c r="N52" s="40"/>
      <c r="O52" s="40"/>
      <c r="P52" s="40"/>
      <c r="Q52" s="38">
        <f t="shared" si="1"/>
        <v>89000</v>
      </c>
    </row>
    <row r="53" spans="1:17" ht="15" customHeight="1">
      <c r="A53" s="35" t="s">
        <v>130</v>
      </c>
      <c r="B53" s="36" t="s">
        <v>398</v>
      </c>
      <c r="C53" s="36"/>
      <c r="D53" s="37" t="s">
        <v>21</v>
      </c>
      <c r="E53" s="38">
        <f>E54</f>
        <v>800</v>
      </c>
      <c r="F53" s="38">
        <f t="shared" ref="F53:P53" si="37">F54</f>
        <v>800</v>
      </c>
      <c r="G53" s="38">
        <f t="shared" si="37"/>
        <v>70800</v>
      </c>
      <c r="H53" s="38">
        <f t="shared" si="37"/>
        <v>12000</v>
      </c>
      <c r="I53" s="38">
        <f t="shared" si="37"/>
        <v>0</v>
      </c>
      <c r="J53" s="38">
        <f t="shared" si="37"/>
        <v>0</v>
      </c>
      <c r="K53" s="38">
        <f t="shared" si="37"/>
        <v>0</v>
      </c>
      <c r="L53" s="38">
        <f t="shared" si="37"/>
        <v>0</v>
      </c>
      <c r="M53" s="38">
        <f t="shared" si="37"/>
        <v>0</v>
      </c>
      <c r="N53" s="38">
        <f t="shared" si="37"/>
        <v>800</v>
      </c>
      <c r="O53" s="38">
        <f t="shared" si="37"/>
        <v>5200</v>
      </c>
      <c r="P53" s="38">
        <f t="shared" si="37"/>
        <v>4400</v>
      </c>
      <c r="Q53" s="38">
        <f t="shared" si="1"/>
        <v>94800</v>
      </c>
    </row>
    <row r="54" spans="1:17" s="2" customFormat="1" ht="15" customHeight="1">
      <c r="A54" s="35" t="s">
        <v>131</v>
      </c>
      <c r="B54" s="42" t="s">
        <v>137</v>
      </c>
      <c r="C54" s="42" t="s">
        <v>27</v>
      </c>
      <c r="D54" s="48" t="s">
        <v>138</v>
      </c>
      <c r="E54" s="38">
        <f>E70*400</f>
        <v>800</v>
      </c>
      <c r="F54" s="38">
        <f t="shared" ref="F54:P54" si="38">F70*400</f>
        <v>800</v>
      </c>
      <c r="G54" s="38">
        <f t="shared" si="38"/>
        <v>70800</v>
      </c>
      <c r="H54" s="38">
        <f t="shared" si="38"/>
        <v>12000</v>
      </c>
      <c r="I54" s="38">
        <f t="shared" si="38"/>
        <v>0</v>
      </c>
      <c r="J54" s="38">
        <f t="shared" si="38"/>
        <v>0</v>
      </c>
      <c r="K54" s="38">
        <f t="shared" si="38"/>
        <v>0</v>
      </c>
      <c r="L54" s="38">
        <f t="shared" si="38"/>
        <v>0</v>
      </c>
      <c r="M54" s="38">
        <f t="shared" si="38"/>
        <v>0</v>
      </c>
      <c r="N54" s="38">
        <f t="shared" si="38"/>
        <v>800</v>
      </c>
      <c r="O54" s="38">
        <f t="shared" si="38"/>
        <v>5200</v>
      </c>
      <c r="P54" s="38">
        <f t="shared" si="38"/>
        <v>4400</v>
      </c>
      <c r="Q54" s="38">
        <f t="shared" si="1"/>
        <v>94800</v>
      </c>
    </row>
    <row r="55" spans="1:17" s="2" customFormat="1" ht="15" customHeight="1">
      <c r="A55" s="35" t="s">
        <v>134</v>
      </c>
      <c r="B55" s="36" t="s">
        <v>399</v>
      </c>
      <c r="C55" s="42"/>
      <c r="D55" s="48"/>
      <c r="E55" s="38">
        <f>E56</f>
        <v>12000</v>
      </c>
      <c r="F55" s="38">
        <f t="shared" ref="F55:P55" si="39">F56</f>
        <v>800</v>
      </c>
      <c r="G55" s="38">
        <f t="shared" si="39"/>
        <v>5000</v>
      </c>
      <c r="H55" s="38">
        <f t="shared" si="39"/>
        <v>18000</v>
      </c>
      <c r="I55" s="38">
        <f t="shared" si="39"/>
        <v>4000</v>
      </c>
      <c r="J55" s="38">
        <f t="shared" si="39"/>
        <v>2700</v>
      </c>
      <c r="K55" s="38">
        <f t="shared" si="39"/>
        <v>2000</v>
      </c>
      <c r="L55" s="38">
        <f t="shared" si="39"/>
        <v>4000</v>
      </c>
      <c r="M55" s="38">
        <f t="shared" si="39"/>
        <v>6000</v>
      </c>
      <c r="N55" s="38">
        <f t="shared" si="39"/>
        <v>1500</v>
      </c>
      <c r="O55" s="38">
        <f t="shared" si="39"/>
        <v>2900</v>
      </c>
      <c r="P55" s="38">
        <f t="shared" si="39"/>
        <v>0</v>
      </c>
      <c r="Q55" s="38">
        <f t="shared" si="1"/>
        <v>58900</v>
      </c>
    </row>
    <row r="56" spans="1:17" ht="15" customHeight="1">
      <c r="A56" s="35" t="s">
        <v>135</v>
      </c>
      <c r="B56" s="36" t="s">
        <v>400</v>
      </c>
      <c r="C56" s="36" t="s">
        <v>27</v>
      </c>
      <c r="D56" s="47" t="s">
        <v>140</v>
      </c>
      <c r="E56" s="49">
        <v>12000</v>
      </c>
      <c r="F56" s="49">
        <v>800</v>
      </c>
      <c r="G56" s="49">
        <v>5000</v>
      </c>
      <c r="H56" s="49">
        <v>18000</v>
      </c>
      <c r="I56" s="49">
        <v>4000</v>
      </c>
      <c r="J56" s="49">
        <v>2700</v>
      </c>
      <c r="K56" s="49">
        <v>2000</v>
      </c>
      <c r="L56" s="49">
        <v>4000</v>
      </c>
      <c r="M56" s="49">
        <v>6000</v>
      </c>
      <c r="N56" s="49">
        <v>1500</v>
      </c>
      <c r="O56" s="49">
        <v>2900</v>
      </c>
      <c r="P56" s="49"/>
      <c r="Q56" s="38">
        <f t="shared" si="1"/>
        <v>58900</v>
      </c>
    </row>
    <row r="57" spans="1:17" ht="15" customHeight="1">
      <c r="A57" s="35" t="s">
        <v>136</v>
      </c>
      <c r="B57" s="36" t="s">
        <v>401</v>
      </c>
      <c r="C57" s="36"/>
      <c r="D57" s="37" t="s">
        <v>21</v>
      </c>
      <c r="E57" s="38">
        <f>E58</f>
        <v>32000</v>
      </c>
      <c r="F57" s="38">
        <f t="shared" ref="F57:P57" si="40">F58</f>
        <v>0</v>
      </c>
      <c r="G57" s="38">
        <f t="shared" si="40"/>
        <v>0</v>
      </c>
      <c r="H57" s="38">
        <f t="shared" si="40"/>
        <v>32000</v>
      </c>
      <c r="I57" s="38">
        <f t="shared" si="40"/>
        <v>32000</v>
      </c>
      <c r="J57" s="38">
        <f t="shared" si="40"/>
        <v>32000</v>
      </c>
      <c r="K57" s="38">
        <f t="shared" si="40"/>
        <v>32000</v>
      </c>
      <c r="L57" s="38">
        <f t="shared" si="40"/>
        <v>32000</v>
      </c>
      <c r="M57" s="38">
        <f t="shared" si="40"/>
        <v>32000</v>
      </c>
      <c r="N57" s="38">
        <f t="shared" si="40"/>
        <v>32000</v>
      </c>
      <c r="O57" s="38">
        <f t="shared" si="40"/>
        <v>32000</v>
      </c>
      <c r="P57" s="38">
        <f t="shared" si="40"/>
        <v>32000</v>
      </c>
      <c r="Q57" s="38">
        <f t="shared" si="1"/>
        <v>320000</v>
      </c>
    </row>
    <row r="58" spans="1:17" ht="15" customHeight="1" thickBot="1">
      <c r="A58" s="35" t="s">
        <v>139</v>
      </c>
      <c r="B58" s="4" t="s">
        <v>402</v>
      </c>
      <c r="C58" s="36" t="s">
        <v>27</v>
      </c>
      <c r="D58" s="5" t="s">
        <v>173</v>
      </c>
      <c r="E58" s="6">
        <v>32000</v>
      </c>
      <c r="F58" s="6"/>
      <c r="G58" s="6"/>
      <c r="H58" s="6">
        <v>32000</v>
      </c>
      <c r="I58" s="6">
        <v>32000</v>
      </c>
      <c r="J58" s="6">
        <v>32000</v>
      </c>
      <c r="K58" s="6">
        <v>32000</v>
      </c>
      <c r="L58" s="6">
        <v>32000</v>
      </c>
      <c r="M58" s="6">
        <v>32000</v>
      </c>
      <c r="N58" s="6">
        <v>32000</v>
      </c>
      <c r="O58" s="6">
        <v>32000</v>
      </c>
      <c r="P58" s="6">
        <v>32000</v>
      </c>
      <c r="Q58" s="38">
        <f t="shared" si="1"/>
        <v>320000</v>
      </c>
    </row>
    <row r="59" spans="1:17" ht="15" customHeight="1" thickTop="1">
      <c r="A59" s="35" t="s">
        <v>141</v>
      </c>
      <c r="B59" s="9" t="s">
        <v>145</v>
      </c>
      <c r="C59" s="9"/>
      <c r="D59" s="10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38">
        <f t="shared" si="1"/>
        <v>0</v>
      </c>
    </row>
    <row r="60" spans="1:17" ht="15" customHeight="1">
      <c r="A60" s="35" t="s">
        <v>142</v>
      </c>
      <c r="B60" s="36" t="s">
        <v>147</v>
      </c>
      <c r="C60" s="36"/>
      <c r="D60" s="37" t="s">
        <v>403</v>
      </c>
      <c r="E60" s="38">
        <f>E61+E62+E63+E64</f>
        <v>108</v>
      </c>
      <c r="F60" s="38">
        <f t="shared" ref="F60:P60" si="41">F61+F62+F63+F64</f>
        <v>77</v>
      </c>
      <c r="G60" s="38">
        <f t="shared" si="41"/>
        <v>147</v>
      </c>
      <c r="H60" s="38">
        <f t="shared" si="41"/>
        <v>171</v>
      </c>
      <c r="I60" s="38">
        <f t="shared" si="41"/>
        <v>26</v>
      </c>
      <c r="J60" s="38">
        <f t="shared" si="41"/>
        <v>28</v>
      </c>
      <c r="K60" s="38">
        <f t="shared" si="41"/>
        <v>23</v>
      </c>
      <c r="L60" s="38">
        <f t="shared" si="41"/>
        <v>24</v>
      </c>
      <c r="M60" s="38">
        <f t="shared" si="41"/>
        <v>49</v>
      </c>
      <c r="N60" s="38">
        <f t="shared" si="41"/>
        <v>22</v>
      </c>
      <c r="O60" s="38">
        <f t="shared" si="41"/>
        <v>29</v>
      </c>
      <c r="P60" s="38">
        <f t="shared" si="41"/>
        <v>10</v>
      </c>
      <c r="Q60" s="38">
        <f t="shared" si="1"/>
        <v>714</v>
      </c>
    </row>
    <row r="61" spans="1:17" ht="15" customHeight="1">
      <c r="A61" s="35" t="s">
        <v>144</v>
      </c>
      <c r="B61" s="50" t="s">
        <v>149</v>
      </c>
      <c r="C61" s="50"/>
      <c r="D61" s="44"/>
      <c r="E61" s="45">
        <v>40</v>
      </c>
      <c r="F61" s="45">
        <v>77</v>
      </c>
      <c r="G61" s="45">
        <v>74</v>
      </c>
      <c r="H61" s="45"/>
      <c r="I61" s="45"/>
      <c r="J61" s="45"/>
      <c r="K61" s="45"/>
      <c r="L61" s="45"/>
      <c r="M61" s="45"/>
      <c r="N61" s="45"/>
      <c r="O61" s="45"/>
      <c r="P61" s="45"/>
      <c r="Q61" s="38">
        <f t="shared" si="1"/>
        <v>191</v>
      </c>
    </row>
    <row r="62" spans="1:17" ht="15" customHeight="1">
      <c r="A62" s="35" t="s">
        <v>146</v>
      </c>
      <c r="B62" s="50" t="s">
        <v>151</v>
      </c>
      <c r="C62" s="50"/>
      <c r="D62" s="37"/>
      <c r="E62" s="40">
        <v>68</v>
      </c>
      <c r="F62" s="40"/>
      <c r="G62" s="40">
        <v>73</v>
      </c>
      <c r="H62" s="40">
        <v>171</v>
      </c>
      <c r="I62" s="40"/>
      <c r="J62" s="40"/>
      <c r="K62" s="40"/>
      <c r="L62" s="40"/>
      <c r="M62" s="40"/>
      <c r="N62" s="40"/>
      <c r="O62" s="40"/>
      <c r="P62" s="40"/>
      <c r="Q62" s="38">
        <f t="shared" si="1"/>
        <v>312</v>
      </c>
    </row>
    <row r="63" spans="1:17" ht="15" customHeight="1">
      <c r="A63" s="35" t="s">
        <v>148</v>
      </c>
      <c r="B63" s="50" t="s">
        <v>153</v>
      </c>
      <c r="C63" s="50"/>
      <c r="D63" s="44"/>
      <c r="E63" s="45"/>
      <c r="F63" s="45"/>
      <c r="G63" s="45"/>
      <c r="H63" s="45"/>
      <c r="I63" s="45">
        <v>26</v>
      </c>
      <c r="J63" s="45">
        <v>28</v>
      </c>
      <c r="K63" s="45">
        <v>23</v>
      </c>
      <c r="L63" s="45">
        <v>24</v>
      </c>
      <c r="M63" s="45">
        <v>49</v>
      </c>
      <c r="N63" s="45">
        <v>22</v>
      </c>
      <c r="O63" s="45">
        <v>29</v>
      </c>
      <c r="P63" s="45"/>
      <c r="Q63" s="38">
        <f t="shared" si="1"/>
        <v>201</v>
      </c>
    </row>
    <row r="64" spans="1:17" ht="15" customHeight="1">
      <c r="A64" s="35" t="s">
        <v>150</v>
      </c>
      <c r="B64" s="50" t="s">
        <v>155</v>
      </c>
      <c r="C64" s="50"/>
      <c r="D64" s="44"/>
      <c r="E64" s="45"/>
      <c r="F64" s="45"/>
      <c r="G64" s="45"/>
      <c r="H64" s="45"/>
      <c r="I64" s="45"/>
      <c r="J64" s="45"/>
      <c r="K64" s="45"/>
      <c r="L64" s="45"/>
      <c r="M64" s="45"/>
      <c r="N64" s="45"/>
      <c r="O64" s="45"/>
      <c r="P64" s="45">
        <v>10</v>
      </c>
      <c r="Q64" s="38">
        <f t="shared" si="1"/>
        <v>10</v>
      </c>
    </row>
    <row r="65" spans="1:17" ht="15" customHeight="1">
      <c r="A65" s="35" t="s">
        <v>152</v>
      </c>
      <c r="B65" s="36" t="s">
        <v>157</v>
      </c>
      <c r="C65" s="36"/>
      <c r="D65" s="37" t="s">
        <v>404</v>
      </c>
      <c r="E65" s="38">
        <f>E66+E67+E68+E69</f>
        <v>1918</v>
      </c>
      <c r="F65" s="38">
        <f t="shared" ref="F65:P65" si="42">F66+F67+F68+F69</f>
        <v>1307</v>
      </c>
      <c r="G65" s="38">
        <f t="shared" si="42"/>
        <v>1750</v>
      </c>
      <c r="H65" s="38">
        <f t="shared" si="42"/>
        <v>2532</v>
      </c>
      <c r="I65" s="38">
        <f t="shared" si="42"/>
        <v>279</v>
      </c>
      <c r="J65" s="38">
        <f t="shared" si="42"/>
        <v>461</v>
      </c>
      <c r="K65" s="38">
        <f t="shared" si="42"/>
        <v>248</v>
      </c>
      <c r="L65" s="38">
        <f t="shared" si="42"/>
        <v>418</v>
      </c>
      <c r="M65" s="38">
        <f t="shared" si="42"/>
        <v>562</v>
      </c>
      <c r="N65" s="38">
        <f t="shared" si="42"/>
        <v>225</v>
      </c>
      <c r="O65" s="38">
        <f t="shared" si="42"/>
        <v>255</v>
      </c>
      <c r="P65" s="38">
        <f t="shared" si="42"/>
        <v>0</v>
      </c>
      <c r="Q65" s="38">
        <f t="shared" si="1"/>
        <v>9955</v>
      </c>
    </row>
    <row r="66" spans="1:17" ht="15" customHeight="1">
      <c r="A66" s="35" t="s">
        <v>154</v>
      </c>
      <c r="B66" s="50" t="s">
        <v>149</v>
      </c>
      <c r="C66" s="50"/>
      <c r="D66" s="44"/>
      <c r="E66" s="45">
        <v>727</v>
      </c>
      <c r="F66" s="45">
        <v>1307</v>
      </c>
      <c r="G66" s="45">
        <v>859</v>
      </c>
      <c r="H66" s="45"/>
      <c r="I66" s="45"/>
      <c r="J66" s="45"/>
      <c r="K66" s="45"/>
      <c r="L66" s="45"/>
      <c r="M66" s="45"/>
      <c r="N66" s="45"/>
      <c r="O66" s="45"/>
      <c r="P66" s="45"/>
      <c r="Q66" s="38">
        <f t="shared" si="1"/>
        <v>2893</v>
      </c>
    </row>
    <row r="67" spans="1:17" ht="15" customHeight="1">
      <c r="A67" s="35" t="s">
        <v>156</v>
      </c>
      <c r="B67" s="50" t="s">
        <v>151</v>
      </c>
      <c r="C67" s="50"/>
      <c r="D67" s="37"/>
      <c r="E67" s="40">
        <v>1191</v>
      </c>
      <c r="F67" s="40"/>
      <c r="G67" s="40">
        <v>891</v>
      </c>
      <c r="H67" s="40">
        <v>2532</v>
      </c>
      <c r="I67" s="40"/>
      <c r="J67" s="40"/>
      <c r="K67" s="40"/>
      <c r="L67" s="40"/>
      <c r="M67" s="40"/>
      <c r="N67" s="40"/>
      <c r="O67" s="40"/>
      <c r="P67" s="40"/>
      <c r="Q67" s="38">
        <f t="shared" si="1"/>
        <v>4614</v>
      </c>
    </row>
    <row r="68" spans="1:17" ht="15" customHeight="1">
      <c r="A68" s="35" t="s">
        <v>158</v>
      </c>
      <c r="B68" s="50" t="s">
        <v>153</v>
      </c>
      <c r="C68" s="50"/>
      <c r="D68" s="44"/>
      <c r="E68" s="45"/>
      <c r="F68" s="45"/>
      <c r="G68" s="45"/>
      <c r="H68" s="45"/>
      <c r="I68" s="45">
        <v>279</v>
      </c>
      <c r="J68" s="45">
        <v>461</v>
      </c>
      <c r="K68" s="45">
        <v>248</v>
      </c>
      <c r="L68" s="45">
        <v>418</v>
      </c>
      <c r="M68" s="45">
        <v>562</v>
      </c>
      <c r="N68" s="45">
        <v>225</v>
      </c>
      <c r="O68" s="45">
        <v>255</v>
      </c>
      <c r="P68" s="45"/>
      <c r="Q68" s="38">
        <f t="shared" ref="Q68:Q72" si="43">SUM(E68:P68)</f>
        <v>2448</v>
      </c>
    </row>
    <row r="69" spans="1:17" ht="15" customHeight="1">
      <c r="A69" s="35" t="s">
        <v>159</v>
      </c>
      <c r="B69" s="50" t="s">
        <v>155</v>
      </c>
      <c r="C69" s="50"/>
      <c r="D69" s="44"/>
      <c r="E69" s="45"/>
      <c r="F69" s="45"/>
      <c r="G69" s="45"/>
      <c r="H69" s="45"/>
      <c r="I69" s="45"/>
      <c r="J69" s="45"/>
      <c r="K69" s="45"/>
      <c r="L69" s="45"/>
      <c r="M69" s="45"/>
      <c r="N69" s="45"/>
      <c r="O69" s="45"/>
      <c r="P69" s="45"/>
      <c r="Q69" s="38">
        <f t="shared" si="43"/>
        <v>0</v>
      </c>
    </row>
    <row r="70" spans="1:17" ht="15" customHeight="1">
      <c r="A70" s="35" t="s">
        <v>160</v>
      </c>
      <c r="B70" s="36" t="s">
        <v>174</v>
      </c>
      <c r="C70" s="36"/>
      <c r="D70" s="37"/>
      <c r="E70" s="40">
        <v>2</v>
      </c>
      <c r="F70" s="40">
        <v>2</v>
      </c>
      <c r="G70" s="40">
        <v>177</v>
      </c>
      <c r="H70" s="40">
        <v>30</v>
      </c>
      <c r="I70" s="40"/>
      <c r="J70" s="40"/>
      <c r="K70" s="40"/>
      <c r="L70" s="40"/>
      <c r="M70" s="40"/>
      <c r="N70" s="40">
        <v>2</v>
      </c>
      <c r="O70" s="40">
        <v>13</v>
      </c>
      <c r="P70" s="40">
        <v>11</v>
      </c>
      <c r="Q70" s="38">
        <f t="shared" si="43"/>
        <v>237</v>
      </c>
    </row>
    <row r="71" spans="1:17" ht="15" customHeight="1">
      <c r="A71" s="35" t="s">
        <v>161</v>
      </c>
      <c r="B71" s="50" t="s">
        <v>163</v>
      </c>
      <c r="C71" s="50"/>
      <c r="D71" s="47"/>
      <c r="E71" s="40">
        <v>20058.12</v>
      </c>
      <c r="F71" s="40">
        <v>18593.849999999999</v>
      </c>
      <c r="G71" s="40">
        <v>19818.8</v>
      </c>
      <c r="H71" s="40">
        <v>38088</v>
      </c>
      <c r="I71" s="40">
        <v>5679</v>
      </c>
      <c r="J71" s="40">
        <v>7350</v>
      </c>
      <c r="K71" s="40">
        <v>7345.42</v>
      </c>
      <c r="L71" s="40">
        <v>6138.83</v>
      </c>
      <c r="M71" s="40">
        <v>11569</v>
      </c>
      <c r="N71" s="40">
        <v>4956.18</v>
      </c>
      <c r="O71" s="40">
        <v>4747</v>
      </c>
      <c r="P71" s="40">
        <v>1355</v>
      </c>
      <c r="Q71" s="38">
        <f t="shared" si="43"/>
        <v>145699.20000000001</v>
      </c>
    </row>
    <row r="72" spans="1:17" ht="15" customHeight="1">
      <c r="A72" s="35" t="s">
        <v>162</v>
      </c>
      <c r="B72" s="50" t="s">
        <v>164</v>
      </c>
      <c r="C72" s="50"/>
      <c r="D72" s="47"/>
      <c r="E72" s="40">
        <v>14010</v>
      </c>
      <c r="F72" s="40">
        <v>9821</v>
      </c>
      <c r="G72" s="40">
        <v>12152</v>
      </c>
      <c r="H72" s="40">
        <v>20444</v>
      </c>
      <c r="I72" s="40">
        <v>2613</v>
      </c>
      <c r="J72" s="40">
        <v>3224</v>
      </c>
      <c r="K72" s="40">
        <v>3402.3</v>
      </c>
      <c r="L72" s="40">
        <v>2577</v>
      </c>
      <c r="M72" s="40">
        <v>4725</v>
      </c>
      <c r="N72" s="40">
        <v>1968</v>
      </c>
      <c r="O72" s="40">
        <v>2560</v>
      </c>
      <c r="P72" s="40">
        <v>1800</v>
      </c>
      <c r="Q72" s="38">
        <f t="shared" si="43"/>
        <v>79296.3</v>
      </c>
    </row>
    <row r="73" spans="1:17">
      <c r="E73" s="1">
        <f t="shared" ref="E73:Q73" si="44">E5/E60</f>
        <v>373768.47629629634</v>
      </c>
      <c r="F73" s="1">
        <f t="shared" si="44"/>
        <v>377088.32272727275</v>
      </c>
      <c r="G73" s="1">
        <f t="shared" si="44"/>
        <v>396013.24190476193</v>
      </c>
      <c r="H73" s="1">
        <f t="shared" si="44"/>
        <v>358327.10269005847</v>
      </c>
      <c r="I73" s="1">
        <f t="shared" si="44"/>
        <v>320342.3519230769</v>
      </c>
      <c r="J73" s="1">
        <f t="shared" si="44"/>
        <v>306562.98</v>
      </c>
      <c r="K73" s="1">
        <f t="shared" si="44"/>
        <v>313342.03695652174</v>
      </c>
      <c r="L73" s="1">
        <f t="shared" si="44"/>
        <v>317798.42875000002</v>
      </c>
      <c r="M73" s="1">
        <f t="shared" si="44"/>
        <v>301243.32346938772</v>
      </c>
      <c r="N73" s="1">
        <f t="shared" si="44"/>
        <v>315858.18181818182</v>
      </c>
      <c r="O73" s="1">
        <f t="shared" si="44"/>
        <v>332207.86206896551</v>
      </c>
      <c r="P73" s="1">
        <f t="shared" si="44"/>
        <v>375796</v>
      </c>
      <c r="Q73" s="1">
        <f t="shared" si="44"/>
        <v>358178.09802521009</v>
      </c>
    </row>
    <row r="74" spans="1:17">
      <c r="E74" s="1">
        <f t="shared" ref="E74:Q74" si="45">E34/E70</f>
        <v>16140</v>
      </c>
      <c r="F74" s="1">
        <f t="shared" si="45"/>
        <v>17640</v>
      </c>
      <c r="G74" s="1">
        <f t="shared" si="45"/>
        <v>18021.497175141241</v>
      </c>
      <c r="H74" s="1">
        <f t="shared" si="45"/>
        <v>17314</v>
      </c>
      <c r="I74" s="1" t="e">
        <f t="shared" si="45"/>
        <v>#DIV/0!</v>
      </c>
      <c r="J74" s="1" t="e">
        <f t="shared" si="45"/>
        <v>#DIV/0!</v>
      </c>
      <c r="K74" s="1" t="e">
        <f t="shared" si="45"/>
        <v>#DIV/0!</v>
      </c>
      <c r="L74" s="1" t="e">
        <f t="shared" si="45"/>
        <v>#DIV/0!</v>
      </c>
      <c r="M74" s="1" t="e">
        <f t="shared" si="45"/>
        <v>#DIV/0!</v>
      </c>
      <c r="N74" s="1">
        <f t="shared" si="45"/>
        <v>17370</v>
      </c>
      <c r="O74" s="1">
        <f t="shared" si="45"/>
        <v>18530.76923076923</v>
      </c>
      <c r="P74" s="1">
        <f t="shared" si="45"/>
        <v>18280</v>
      </c>
      <c r="Q74" s="1">
        <f t="shared" si="45"/>
        <v>17947.278481012658</v>
      </c>
    </row>
  </sheetData>
  <protectedRanges>
    <protectedRange password="E9C1" sqref="D30 C31 B5:D29 Q5:Q72 A4:Q4 B32:D72 A5:A72 Q3 A3:D3 A2:Q2" name="区域1_1"/>
    <protectedRange password="E9C1" sqref="B30:C30 B31" name="区域1_1_1"/>
    <protectedRange password="E9C1" sqref="D31" name="区域1_2"/>
  </protectedRanges>
  <mergeCells count="6">
    <mergeCell ref="A1:Q1"/>
    <mergeCell ref="A2:A3"/>
    <mergeCell ref="B2:B3"/>
    <mergeCell ref="C2:C3"/>
    <mergeCell ref="D2:D3"/>
    <mergeCell ref="Q2:Q3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80" orientation="landscape" verticalDpi="0" r:id="rId1"/>
  <headerFooter>
    <oddFooter>第 &amp;P 页，共 &amp;N 页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2"/>
  <sheetViews>
    <sheetView topLeftCell="A16" workbookViewId="0">
      <selection activeCell="L52" sqref="L52"/>
    </sheetView>
  </sheetViews>
  <sheetFormatPr defaultRowHeight="11.25"/>
  <cols>
    <col min="1" max="1" width="3.375" style="13" customWidth="1"/>
    <col min="2" max="2" width="22.375" style="1" customWidth="1"/>
    <col min="3" max="3" width="6" style="1" hidden="1" customWidth="1"/>
    <col min="4" max="4" width="6.5" style="14" hidden="1" customWidth="1"/>
    <col min="5" max="13" width="11.625" style="1" customWidth="1"/>
    <col min="14" max="14" width="11.625" style="3" customWidth="1"/>
    <col min="15" max="16384" width="9" style="1"/>
  </cols>
  <sheetData>
    <row r="1" spans="1:15" ht="25.5">
      <c r="A1" s="787" t="s">
        <v>831</v>
      </c>
      <c r="B1" s="788"/>
      <c r="C1" s="788"/>
      <c r="D1" s="788"/>
      <c r="E1" s="788"/>
      <c r="F1" s="788"/>
      <c r="G1" s="788"/>
      <c r="H1" s="788"/>
      <c r="I1" s="788"/>
      <c r="J1" s="788"/>
      <c r="K1" s="788"/>
      <c r="L1" s="788"/>
      <c r="M1" s="788"/>
      <c r="N1" s="788"/>
      <c r="O1" s="788"/>
    </row>
    <row r="2" spans="1:15" ht="15" customHeight="1">
      <c r="A2" s="791" t="s">
        <v>12</v>
      </c>
      <c r="B2" s="791" t="s">
        <v>13</v>
      </c>
      <c r="C2" s="791" t="s">
        <v>14</v>
      </c>
      <c r="D2" s="791" t="s">
        <v>15</v>
      </c>
      <c r="E2" s="33" t="s">
        <v>405</v>
      </c>
      <c r="F2" s="33" t="s">
        <v>406</v>
      </c>
      <c r="G2" s="33" t="s">
        <v>407</v>
      </c>
      <c r="H2" s="33" t="s">
        <v>408</v>
      </c>
      <c r="I2" s="33" t="s">
        <v>409</v>
      </c>
      <c r="J2" s="33" t="s">
        <v>16</v>
      </c>
      <c r="K2" s="33" t="s">
        <v>410</v>
      </c>
      <c r="L2" s="33" t="s">
        <v>411</v>
      </c>
      <c r="M2" s="33" t="s">
        <v>412</v>
      </c>
      <c r="N2" s="791" t="s">
        <v>17</v>
      </c>
      <c r="O2" s="791" t="s">
        <v>18</v>
      </c>
    </row>
    <row r="3" spans="1:15" ht="15" customHeight="1">
      <c r="A3" s="792"/>
      <c r="B3" s="792"/>
      <c r="C3" s="792"/>
      <c r="D3" s="792"/>
      <c r="E3" s="33" t="s">
        <v>460</v>
      </c>
      <c r="F3" s="33" t="s">
        <v>460</v>
      </c>
      <c r="G3" s="33" t="s">
        <v>462</v>
      </c>
      <c r="H3" s="33" t="s">
        <v>460</v>
      </c>
      <c r="I3" s="33" t="s">
        <v>460</v>
      </c>
      <c r="J3" s="33" t="s">
        <v>461</v>
      </c>
      <c r="K3" s="33" t="s">
        <v>462</v>
      </c>
      <c r="L3" s="33" t="s">
        <v>462</v>
      </c>
      <c r="M3" s="33" t="s">
        <v>460</v>
      </c>
      <c r="N3" s="792"/>
      <c r="O3" s="792"/>
    </row>
    <row r="4" spans="1:15" ht="14.1" customHeight="1">
      <c r="A4" s="35" t="s">
        <v>19</v>
      </c>
      <c r="B4" s="36" t="s">
        <v>20</v>
      </c>
      <c r="C4" s="36"/>
      <c r="D4" s="37" t="s">
        <v>21</v>
      </c>
      <c r="E4" s="38">
        <f t="shared" ref="E4:M4" si="0">E5+E32+E37</f>
        <v>10357595.58</v>
      </c>
      <c r="F4" s="38">
        <f t="shared" si="0"/>
        <v>2978379.7300000004</v>
      </c>
      <c r="G4" s="38">
        <f t="shared" si="0"/>
        <v>68686998.299999997</v>
      </c>
      <c r="H4" s="38">
        <f t="shared" si="0"/>
        <v>16166708.850000001</v>
      </c>
      <c r="I4" s="38">
        <f t="shared" si="0"/>
        <v>13803380.600000001</v>
      </c>
      <c r="J4" s="38">
        <f t="shared" si="0"/>
        <v>3171179.7300000004</v>
      </c>
      <c r="K4" s="38">
        <f t="shared" si="0"/>
        <v>70410509.200000003</v>
      </c>
      <c r="L4" s="38">
        <f t="shared" si="0"/>
        <v>53391610.729999997</v>
      </c>
      <c r="M4" s="38">
        <f t="shared" si="0"/>
        <v>22177599.300000001</v>
      </c>
      <c r="N4" s="51">
        <f t="shared" ref="N4:N67" si="1">SUM(E4:M4)</f>
        <v>261143962.02000001</v>
      </c>
      <c r="O4" s="39"/>
    </row>
    <row r="5" spans="1:15" ht="14.1" customHeight="1">
      <c r="A5" s="35" t="s">
        <v>22</v>
      </c>
      <c r="B5" s="36" t="s">
        <v>0</v>
      </c>
      <c r="C5" s="36"/>
      <c r="D5" s="37" t="s">
        <v>21</v>
      </c>
      <c r="E5" s="38">
        <f>E6+E9+E13+E16+E21+E26+E28+E30+E31</f>
        <v>8852717.1500000004</v>
      </c>
      <c r="F5" s="38">
        <f t="shared" ref="F5:M5" si="2">F6+F9+F13+F16+F21+F26+F28+F30+F31</f>
        <v>1887495.4400000002</v>
      </c>
      <c r="G5" s="38">
        <f t="shared" si="2"/>
        <v>55842666</v>
      </c>
      <c r="H5" s="38">
        <f t="shared" si="2"/>
        <v>13772855.710000001</v>
      </c>
      <c r="I5" s="38">
        <f t="shared" si="2"/>
        <v>11477245.710000001</v>
      </c>
      <c r="J5" s="38">
        <f t="shared" si="2"/>
        <v>2739481.4400000004</v>
      </c>
      <c r="K5" s="38">
        <f t="shared" si="2"/>
        <v>56147380.289999999</v>
      </c>
      <c r="L5" s="38">
        <f t="shared" si="2"/>
        <v>45139851.439999998</v>
      </c>
      <c r="M5" s="38">
        <f t="shared" si="2"/>
        <v>19316532</v>
      </c>
      <c r="N5" s="51">
        <f t="shared" si="1"/>
        <v>215176225.18000001</v>
      </c>
      <c r="O5" s="39"/>
    </row>
    <row r="6" spans="1:15" ht="14.1" customHeight="1">
      <c r="A6" s="35" t="s">
        <v>23</v>
      </c>
      <c r="B6" s="36" t="s">
        <v>24</v>
      </c>
      <c r="C6" s="36"/>
      <c r="D6" s="37" t="s">
        <v>21</v>
      </c>
      <c r="E6" s="38">
        <f>E7+E8</f>
        <v>1375920</v>
      </c>
      <c r="F6" s="38">
        <f t="shared" ref="F6:M6" si="3">F7+F8</f>
        <v>248892</v>
      </c>
      <c r="G6" s="38">
        <f t="shared" si="3"/>
        <v>7370892</v>
      </c>
      <c r="H6" s="38">
        <f t="shared" si="3"/>
        <v>1827600</v>
      </c>
      <c r="I6" s="38">
        <f t="shared" si="3"/>
        <v>1544160</v>
      </c>
      <c r="J6" s="38">
        <f t="shared" si="3"/>
        <v>420504</v>
      </c>
      <c r="K6" s="38">
        <f t="shared" si="3"/>
        <v>7719816</v>
      </c>
      <c r="L6" s="38">
        <f t="shared" si="3"/>
        <v>6377052</v>
      </c>
      <c r="M6" s="38">
        <f t="shared" si="3"/>
        <v>2743296</v>
      </c>
      <c r="N6" s="51">
        <f t="shared" si="1"/>
        <v>29628132</v>
      </c>
      <c r="O6" s="39"/>
    </row>
    <row r="7" spans="1:15" ht="14.1" customHeight="1">
      <c r="A7" s="35" t="s">
        <v>25</v>
      </c>
      <c r="B7" s="36" t="s">
        <v>26</v>
      </c>
      <c r="C7" s="36" t="s">
        <v>27</v>
      </c>
      <c r="D7" s="37" t="s">
        <v>28</v>
      </c>
      <c r="E7" s="40">
        <f>60513*12</f>
        <v>726156</v>
      </c>
      <c r="F7" s="40">
        <v>154512</v>
      </c>
      <c r="G7" s="40">
        <v>4012476</v>
      </c>
      <c r="H7" s="40">
        <v>1101204</v>
      </c>
      <c r="I7" s="40">
        <v>926160</v>
      </c>
      <c r="J7" s="40">
        <v>188148</v>
      </c>
      <c r="K7" s="40">
        <v>4104588</v>
      </c>
      <c r="L7" s="40">
        <v>3227196</v>
      </c>
      <c r="M7" s="40">
        <v>1605432</v>
      </c>
      <c r="N7" s="51">
        <f t="shared" si="1"/>
        <v>16045872</v>
      </c>
      <c r="O7" s="41"/>
    </row>
    <row r="8" spans="1:15" ht="14.1" customHeight="1">
      <c r="A8" s="35" t="s">
        <v>29</v>
      </c>
      <c r="B8" s="36" t="s">
        <v>30</v>
      </c>
      <c r="C8" s="36" t="s">
        <v>27</v>
      </c>
      <c r="D8" s="37" t="s">
        <v>28</v>
      </c>
      <c r="E8" s="40">
        <f>54147*12</f>
        <v>649764</v>
      </c>
      <c r="F8" s="40">
        <v>94380</v>
      </c>
      <c r="G8" s="40">
        <v>3358416</v>
      </c>
      <c r="H8" s="40">
        <v>726396</v>
      </c>
      <c r="I8" s="40">
        <v>618000</v>
      </c>
      <c r="J8" s="40">
        <v>232356</v>
      </c>
      <c r="K8" s="40">
        <v>3615228</v>
      </c>
      <c r="L8" s="40">
        <v>3149856</v>
      </c>
      <c r="M8" s="40">
        <v>1137864</v>
      </c>
      <c r="N8" s="51">
        <f t="shared" si="1"/>
        <v>13582260</v>
      </c>
      <c r="O8" s="39"/>
    </row>
    <row r="9" spans="1:15" ht="14.1" customHeight="1">
      <c r="A9" s="35" t="s">
        <v>31</v>
      </c>
      <c r="B9" s="36" t="s">
        <v>32</v>
      </c>
      <c r="C9" s="36"/>
      <c r="D9" s="37" t="s">
        <v>21</v>
      </c>
      <c r="E9" s="38">
        <f>E10+E11</f>
        <v>145032</v>
      </c>
      <c r="F9" s="38">
        <f t="shared" ref="F9:M9" si="4">F10+F11</f>
        <v>32028</v>
      </c>
      <c r="G9" s="38">
        <f t="shared" si="4"/>
        <v>788136</v>
      </c>
      <c r="H9" s="38">
        <f t="shared" si="4"/>
        <v>239958</v>
      </c>
      <c r="I9" s="38">
        <f t="shared" si="4"/>
        <v>192576</v>
      </c>
      <c r="J9" s="38">
        <f t="shared" si="4"/>
        <v>37644</v>
      </c>
      <c r="K9" s="38">
        <f t="shared" si="4"/>
        <v>778200</v>
      </c>
      <c r="L9" s="38">
        <f t="shared" si="4"/>
        <v>624084</v>
      </c>
      <c r="M9" s="38">
        <f t="shared" si="4"/>
        <v>321336</v>
      </c>
      <c r="N9" s="51">
        <f t="shared" si="1"/>
        <v>3158994</v>
      </c>
      <c r="O9" s="39"/>
    </row>
    <row r="10" spans="1:15" ht="14.1" customHeight="1">
      <c r="A10" s="35" t="s">
        <v>33</v>
      </c>
      <c r="B10" s="36" t="s">
        <v>34</v>
      </c>
      <c r="C10" s="36" t="s">
        <v>27</v>
      </c>
      <c r="D10" s="37" t="s">
        <v>28</v>
      </c>
      <c r="E10" s="40">
        <f>206*12</f>
        <v>2472</v>
      </c>
      <c r="F10" s="40">
        <v>348</v>
      </c>
      <c r="G10" s="40">
        <v>11976</v>
      </c>
      <c r="H10" s="40">
        <v>12918</v>
      </c>
      <c r="I10" s="40">
        <v>2496</v>
      </c>
      <c r="J10" s="40">
        <v>684</v>
      </c>
      <c r="K10" s="40">
        <v>12600</v>
      </c>
      <c r="L10" s="40">
        <v>11604</v>
      </c>
      <c r="M10" s="40">
        <v>4536</v>
      </c>
      <c r="N10" s="51">
        <f t="shared" si="1"/>
        <v>59634</v>
      </c>
      <c r="O10" s="39"/>
    </row>
    <row r="11" spans="1:15" ht="14.1" customHeight="1">
      <c r="A11" s="35" t="s">
        <v>35</v>
      </c>
      <c r="B11" s="36" t="s">
        <v>36</v>
      </c>
      <c r="C11" s="36"/>
      <c r="D11" s="37" t="s">
        <v>21</v>
      </c>
      <c r="E11" s="38">
        <f>E12</f>
        <v>142560</v>
      </c>
      <c r="F11" s="38">
        <f t="shared" ref="F11:M11" si="5">F12</f>
        <v>31680</v>
      </c>
      <c r="G11" s="38">
        <f t="shared" si="5"/>
        <v>776160</v>
      </c>
      <c r="H11" s="38">
        <f t="shared" si="5"/>
        <v>227040</v>
      </c>
      <c r="I11" s="38">
        <f t="shared" si="5"/>
        <v>190080</v>
      </c>
      <c r="J11" s="38">
        <f t="shared" si="5"/>
        <v>36960</v>
      </c>
      <c r="K11" s="38">
        <f t="shared" si="5"/>
        <v>765600</v>
      </c>
      <c r="L11" s="38">
        <f t="shared" si="5"/>
        <v>612480</v>
      </c>
      <c r="M11" s="38">
        <f t="shared" si="5"/>
        <v>316800</v>
      </c>
      <c r="N11" s="51">
        <f t="shared" si="1"/>
        <v>3099360</v>
      </c>
      <c r="O11" s="39"/>
    </row>
    <row r="12" spans="1:15" s="2" customFormat="1" ht="14.1" customHeight="1">
      <c r="A12" s="35" t="s">
        <v>37</v>
      </c>
      <c r="B12" s="42" t="s">
        <v>343</v>
      </c>
      <c r="C12" s="42" t="s">
        <v>27</v>
      </c>
      <c r="D12" s="39" t="s">
        <v>21</v>
      </c>
      <c r="E12" s="38">
        <f t="shared" ref="E12:M12" si="6">440*12*E60</f>
        <v>142560</v>
      </c>
      <c r="F12" s="38">
        <f t="shared" si="6"/>
        <v>31680</v>
      </c>
      <c r="G12" s="38">
        <f t="shared" si="6"/>
        <v>776160</v>
      </c>
      <c r="H12" s="38">
        <f t="shared" si="6"/>
        <v>227040</v>
      </c>
      <c r="I12" s="38">
        <f t="shared" si="6"/>
        <v>190080</v>
      </c>
      <c r="J12" s="38">
        <f t="shared" si="6"/>
        <v>36960</v>
      </c>
      <c r="K12" s="38">
        <f t="shared" si="6"/>
        <v>765600</v>
      </c>
      <c r="L12" s="38">
        <f t="shared" si="6"/>
        <v>612480</v>
      </c>
      <c r="M12" s="38">
        <f t="shared" si="6"/>
        <v>316800</v>
      </c>
      <c r="N12" s="51">
        <f t="shared" si="1"/>
        <v>3099360</v>
      </c>
      <c r="O12" s="39"/>
    </row>
    <row r="13" spans="1:15" ht="14.1" customHeight="1">
      <c r="A13" s="35" t="s">
        <v>39</v>
      </c>
      <c r="B13" s="36" t="s">
        <v>40</v>
      </c>
      <c r="C13" s="36"/>
      <c r="D13" s="37" t="s">
        <v>41</v>
      </c>
      <c r="E13" s="38">
        <f>E14+E15</f>
        <v>58345.72</v>
      </c>
      <c r="F13" s="38">
        <f t="shared" ref="F13:M13" si="7">F14+F15</f>
        <v>12461.14</v>
      </c>
      <c r="G13" s="38">
        <f t="shared" si="7"/>
        <v>363072</v>
      </c>
      <c r="H13" s="38">
        <f t="shared" si="7"/>
        <v>93560.58</v>
      </c>
      <c r="I13" s="38">
        <f t="shared" si="7"/>
        <v>77012.58</v>
      </c>
      <c r="J13" s="38">
        <f t="shared" si="7"/>
        <v>18881.14</v>
      </c>
      <c r="K13" s="38">
        <f t="shared" si="7"/>
        <v>371787.42</v>
      </c>
      <c r="L13" s="38">
        <f t="shared" si="7"/>
        <v>297857.14</v>
      </c>
      <c r="M13" s="38">
        <f t="shared" si="7"/>
        <v>128748</v>
      </c>
      <c r="N13" s="51">
        <f t="shared" si="1"/>
        <v>1421725.7199999997</v>
      </c>
      <c r="O13" s="39"/>
    </row>
    <row r="14" spans="1:15" s="2" customFormat="1" ht="14.1" customHeight="1">
      <c r="A14" s="35" t="s">
        <v>42</v>
      </c>
      <c r="B14" s="42" t="s">
        <v>344</v>
      </c>
      <c r="C14" s="42" t="s">
        <v>27</v>
      </c>
      <c r="D14" s="39" t="s">
        <v>43</v>
      </c>
      <c r="E14" s="38">
        <f>ROUND(E30/0.07*0.005,2)</f>
        <v>29172.86</v>
      </c>
      <c r="F14" s="38">
        <f t="shared" ref="F14:M14" si="8">ROUND(F30/0.07*0.005,2)</f>
        <v>6230.57</v>
      </c>
      <c r="G14" s="38">
        <f t="shared" si="8"/>
        <v>181536</v>
      </c>
      <c r="H14" s="38">
        <f t="shared" si="8"/>
        <v>46780.29</v>
      </c>
      <c r="I14" s="38">
        <f t="shared" si="8"/>
        <v>38506.29</v>
      </c>
      <c r="J14" s="38">
        <f t="shared" si="8"/>
        <v>9440.57</v>
      </c>
      <c r="K14" s="38">
        <f t="shared" si="8"/>
        <v>185893.71</v>
      </c>
      <c r="L14" s="38">
        <f t="shared" si="8"/>
        <v>148928.57</v>
      </c>
      <c r="M14" s="38">
        <f t="shared" si="8"/>
        <v>64374</v>
      </c>
      <c r="N14" s="51">
        <f t="shared" si="1"/>
        <v>710862.85999999987</v>
      </c>
      <c r="O14" s="39"/>
    </row>
    <row r="15" spans="1:15" s="2" customFormat="1" ht="14.1" customHeight="1">
      <c r="A15" s="35" t="s">
        <v>44</v>
      </c>
      <c r="B15" s="42" t="s">
        <v>345</v>
      </c>
      <c r="C15" s="42" t="s">
        <v>27</v>
      </c>
      <c r="D15" s="39" t="s">
        <v>43</v>
      </c>
      <c r="E15" s="38">
        <f>ROUND(E30/0.07*0.005,2)</f>
        <v>29172.86</v>
      </c>
      <c r="F15" s="38">
        <f t="shared" ref="F15:M15" si="9">ROUND(F30/0.07*0.005,2)</f>
        <v>6230.57</v>
      </c>
      <c r="G15" s="38">
        <f t="shared" si="9"/>
        <v>181536</v>
      </c>
      <c r="H15" s="38">
        <f t="shared" si="9"/>
        <v>46780.29</v>
      </c>
      <c r="I15" s="38">
        <f t="shared" si="9"/>
        <v>38506.29</v>
      </c>
      <c r="J15" s="38">
        <f t="shared" si="9"/>
        <v>9440.57</v>
      </c>
      <c r="K15" s="38">
        <f t="shared" si="9"/>
        <v>185893.71</v>
      </c>
      <c r="L15" s="38">
        <f t="shared" si="9"/>
        <v>148928.57</v>
      </c>
      <c r="M15" s="38">
        <f t="shared" si="9"/>
        <v>64374</v>
      </c>
      <c r="N15" s="51">
        <f t="shared" si="1"/>
        <v>710862.85999999987</v>
      </c>
      <c r="O15" s="39"/>
    </row>
    <row r="16" spans="1:15" ht="14.1" customHeight="1">
      <c r="A16" s="35" t="s">
        <v>46</v>
      </c>
      <c r="B16" s="36" t="s">
        <v>47</v>
      </c>
      <c r="C16" s="36"/>
      <c r="D16" s="37" t="s">
        <v>21</v>
      </c>
      <c r="E16" s="38">
        <f>E17+E18+E19+E20</f>
        <v>4706208</v>
      </c>
      <c r="F16" s="38">
        <f t="shared" ref="F16:L16" si="10">F17+F18+F19+F20</f>
        <v>1045824</v>
      </c>
      <c r="G16" s="38">
        <f t="shared" si="10"/>
        <v>31345398</v>
      </c>
      <c r="H16" s="38">
        <f t="shared" si="10"/>
        <v>7495072</v>
      </c>
      <c r="I16" s="38">
        <f t="shared" si="10"/>
        <v>6274944</v>
      </c>
      <c r="J16" s="38">
        <f t="shared" si="10"/>
        <v>1431682</v>
      </c>
      <c r="K16" s="38">
        <f t="shared" si="10"/>
        <v>30918930</v>
      </c>
      <c r="L16" s="38">
        <f t="shared" si="10"/>
        <v>24735144</v>
      </c>
      <c r="M16" s="38">
        <f>M17+M18+M19+M20</f>
        <v>10458240</v>
      </c>
      <c r="N16" s="51">
        <f t="shared" si="1"/>
        <v>118411442</v>
      </c>
      <c r="O16" s="39"/>
    </row>
    <row r="17" spans="1:15" ht="14.1" customHeight="1">
      <c r="A17" s="35" t="s">
        <v>48</v>
      </c>
      <c r="B17" s="43" t="s">
        <v>49</v>
      </c>
      <c r="C17" s="43" t="s">
        <v>27</v>
      </c>
      <c r="D17" s="44" t="s">
        <v>346</v>
      </c>
      <c r="E17" s="45">
        <v>4328572</v>
      </c>
      <c r="F17" s="45">
        <v>792868</v>
      </c>
      <c r="G17" s="45">
        <v>28409350</v>
      </c>
      <c r="H17" s="45">
        <v>7014068</v>
      </c>
      <c r="I17" s="45">
        <v>5855900</v>
      </c>
      <c r="J17" s="45">
        <v>1389682</v>
      </c>
      <c r="K17" s="45">
        <v>28233386</v>
      </c>
      <c r="L17" s="45">
        <v>22361032</v>
      </c>
      <c r="M17" s="45">
        <v>9823084</v>
      </c>
      <c r="N17" s="51">
        <f t="shared" si="1"/>
        <v>108207942</v>
      </c>
      <c r="O17" s="44"/>
    </row>
    <row r="18" spans="1:15" ht="14.1" customHeight="1">
      <c r="A18" s="35" t="s">
        <v>51</v>
      </c>
      <c r="B18" s="43" t="s">
        <v>52</v>
      </c>
      <c r="C18" s="43" t="s">
        <v>27</v>
      </c>
      <c r="D18" s="44" t="s">
        <v>53</v>
      </c>
      <c r="E18" s="45">
        <v>215636</v>
      </c>
      <c r="F18" s="45">
        <v>216956</v>
      </c>
      <c r="G18" s="45">
        <v>584048</v>
      </c>
      <c r="H18" s="45">
        <v>223004</v>
      </c>
      <c r="I18" s="45">
        <v>203044</v>
      </c>
      <c r="J18" s="45"/>
      <c r="K18" s="45">
        <v>365544</v>
      </c>
      <c r="L18" s="45">
        <v>518112</v>
      </c>
      <c r="M18" s="45">
        <v>275156</v>
      </c>
      <c r="N18" s="51">
        <f t="shared" si="1"/>
        <v>2601500</v>
      </c>
      <c r="O18" s="44"/>
    </row>
    <row r="19" spans="1:15" ht="14.1" customHeight="1">
      <c r="A19" s="35" t="s">
        <v>54</v>
      </c>
      <c r="B19" s="43" t="s">
        <v>347</v>
      </c>
      <c r="C19" s="43" t="s">
        <v>27</v>
      </c>
      <c r="D19" s="37" t="s">
        <v>21</v>
      </c>
      <c r="E19" s="46">
        <f t="shared" ref="E19:M19" si="11">E60*500*12</f>
        <v>162000</v>
      </c>
      <c r="F19" s="46">
        <f t="shared" si="11"/>
        <v>36000</v>
      </c>
      <c r="G19" s="46">
        <f t="shared" si="11"/>
        <v>882000</v>
      </c>
      <c r="H19" s="46">
        <f t="shared" si="11"/>
        <v>258000</v>
      </c>
      <c r="I19" s="46">
        <f t="shared" si="11"/>
        <v>216000</v>
      </c>
      <c r="J19" s="46">
        <f t="shared" si="11"/>
        <v>42000</v>
      </c>
      <c r="K19" s="46">
        <f t="shared" si="11"/>
        <v>870000</v>
      </c>
      <c r="L19" s="46">
        <f t="shared" si="11"/>
        <v>696000</v>
      </c>
      <c r="M19" s="46">
        <f t="shared" si="11"/>
        <v>360000</v>
      </c>
      <c r="N19" s="51">
        <f t="shared" si="1"/>
        <v>3522000</v>
      </c>
      <c r="O19" s="44"/>
    </row>
    <row r="20" spans="1:15" ht="14.1" customHeight="1">
      <c r="A20" s="35" t="s">
        <v>56</v>
      </c>
      <c r="B20" s="43" t="s">
        <v>348</v>
      </c>
      <c r="C20" s="43" t="s">
        <v>27</v>
      </c>
      <c r="D20" s="37" t="s">
        <v>28</v>
      </c>
      <c r="E20" s="45"/>
      <c r="F20" s="45"/>
      <c r="G20" s="45">
        <f>G60*10000</f>
        <v>1470000</v>
      </c>
      <c r="H20" s="45"/>
      <c r="I20" s="45"/>
      <c r="J20" s="45"/>
      <c r="K20" s="45">
        <f>K60*10000</f>
        <v>1450000</v>
      </c>
      <c r="L20" s="45">
        <f>L60*10000</f>
        <v>1160000</v>
      </c>
      <c r="M20" s="45"/>
      <c r="N20" s="51">
        <f t="shared" si="1"/>
        <v>4080000</v>
      </c>
      <c r="O20" s="44"/>
    </row>
    <row r="21" spans="1:15" ht="14.1" customHeight="1">
      <c r="A21" s="35" t="s">
        <v>58</v>
      </c>
      <c r="B21" s="36" t="s">
        <v>59</v>
      </c>
      <c r="C21" s="36"/>
      <c r="D21" s="44" t="s">
        <v>21</v>
      </c>
      <c r="E21" s="46">
        <f>E22+E23</f>
        <v>758494.29</v>
      </c>
      <c r="F21" s="46">
        <f t="shared" ref="F21:M21" si="12">F22+F23</f>
        <v>161994.87</v>
      </c>
      <c r="G21" s="46">
        <f t="shared" si="12"/>
        <v>4719936</v>
      </c>
      <c r="H21" s="46">
        <f t="shared" si="12"/>
        <v>1216287.42</v>
      </c>
      <c r="I21" s="46">
        <f t="shared" si="12"/>
        <v>1001163.42</v>
      </c>
      <c r="J21" s="46">
        <f t="shared" si="12"/>
        <v>245454.87</v>
      </c>
      <c r="K21" s="46">
        <f t="shared" si="12"/>
        <v>4833236.58</v>
      </c>
      <c r="L21" s="46">
        <f t="shared" si="12"/>
        <v>3872142.87</v>
      </c>
      <c r="M21" s="46">
        <f t="shared" si="12"/>
        <v>1673724</v>
      </c>
      <c r="N21" s="51">
        <f t="shared" si="1"/>
        <v>18482434.32</v>
      </c>
      <c r="O21" s="44"/>
    </row>
    <row r="22" spans="1:15" ht="14.1" customHeight="1">
      <c r="A22" s="35" t="s">
        <v>60</v>
      </c>
      <c r="B22" s="36" t="s">
        <v>349</v>
      </c>
      <c r="C22" s="36" t="s">
        <v>61</v>
      </c>
      <c r="D22" s="44" t="s">
        <v>21</v>
      </c>
      <c r="E22" s="46">
        <f>ROUND(E30/0.07*0.09,2)</f>
        <v>525111.43000000005</v>
      </c>
      <c r="F22" s="46">
        <f t="shared" ref="F22:M22" si="13">ROUND(F30/0.07*0.09,2)</f>
        <v>112150.29</v>
      </c>
      <c r="G22" s="46">
        <f t="shared" si="13"/>
        <v>3267648</v>
      </c>
      <c r="H22" s="46">
        <f t="shared" si="13"/>
        <v>842045.14</v>
      </c>
      <c r="I22" s="46">
        <f t="shared" si="13"/>
        <v>693113.14</v>
      </c>
      <c r="J22" s="46">
        <f t="shared" si="13"/>
        <v>169930.29</v>
      </c>
      <c r="K22" s="46">
        <f t="shared" si="13"/>
        <v>3346086.86</v>
      </c>
      <c r="L22" s="46">
        <f t="shared" si="13"/>
        <v>2680714.29</v>
      </c>
      <c r="M22" s="46">
        <f t="shared" si="13"/>
        <v>1158732</v>
      </c>
      <c r="N22" s="51">
        <f t="shared" si="1"/>
        <v>12795531.440000001</v>
      </c>
      <c r="O22" s="44"/>
    </row>
    <row r="23" spans="1:15" ht="14.1" customHeight="1">
      <c r="A23" s="35" t="s">
        <v>62</v>
      </c>
      <c r="B23" s="36" t="s">
        <v>350</v>
      </c>
      <c r="C23" s="36" t="s">
        <v>61</v>
      </c>
      <c r="D23" s="44" t="s">
        <v>43</v>
      </c>
      <c r="E23" s="46">
        <f>E24+E25</f>
        <v>233382.86</v>
      </c>
      <c r="F23" s="46">
        <f t="shared" ref="F23:M23" si="14">F24+F25</f>
        <v>49844.58</v>
      </c>
      <c r="G23" s="46">
        <f t="shared" si="14"/>
        <v>1452288</v>
      </c>
      <c r="H23" s="46">
        <f t="shared" si="14"/>
        <v>374242.28</v>
      </c>
      <c r="I23" s="46">
        <f t="shared" si="14"/>
        <v>308050.28000000003</v>
      </c>
      <c r="J23" s="46">
        <f t="shared" si="14"/>
        <v>75524.58</v>
      </c>
      <c r="K23" s="46">
        <f t="shared" si="14"/>
        <v>1487149.72</v>
      </c>
      <c r="L23" s="46">
        <f t="shared" si="14"/>
        <v>1191428.58</v>
      </c>
      <c r="M23" s="46">
        <f t="shared" si="14"/>
        <v>514992</v>
      </c>
      <c r="N23" s="51">
        <f t="shared" si="1"/>
        <v>5686902.8799999999</v>
      </c>
      <c r="O23" s="44"/>
    </row>
    <row r="24" spans="1:15" ht="14.1" customHeight="1">
      <c r="A24" s="35" t="s">
        <v>64</v>
      </c>
      <c r="B24" s="36" t="s">
        <v>351</v>
      </c>
      <c r="C24" s="36" t="s">
        <v>61</v>
      </c>
      <c r="D24" s="44" t="s">
        <v>43</v>
      </c>
      <c r="E24" s="46">
        <f>ROUND(E30/0.07*0.02,2)</f>
        <v>116691.43</v>
      </c>
      <c r="F24" s="46">
        <f t="shared" ref="F24:M24" si="15">ROUND(F30/0.07*0.02,2)</f>
        <v>24922.29</v>
      </c>
      <c r="G24" s="46">
        <f t="shared" si="15"/>
        <v>726144</v>
      </c>
      <c r="H24" s="46">
        <f t="shared" si="15"/>
        <v>187121.14</v>
      </c>
      <c r="I24" s="46">
        <f t="shared" si="15"/>
        <v>154025.14000000001</v>
      </c>
      <c r="J24" s="46">
        <f t="shared" si="15"/>
        <v>37762.29</v>
      </c>
      <c r="K24" s="46">
        <f t="shared" si="15"/>
        <v>743574.86</v>
      </c>
      <c r="L24" s="46">
        <f t="shared" si="15"/>
        <v>595714.29</v>
      </c>
      <c r="M24" s="46">
        <f t="shared" si="15"/>
        <v>257496</v>
      </c>
      <c r="N24" s="51">
        <f t="shared" si="1"/>
        <v>2843451.44</v>
      </c>
      <c r="O24" s="44"/>
    </row>
    <row r="25" spans="1:15" ht="14.1" customHeight="1">
      <c r="A25" s="35" t="s">
        <v>65</v>
      </c>
      <c r="B25" s="36" t="s">
        <v>352</v>
      </c>
      <c r="C25" s="36" t="s">
        <v>61</v>
      </c>
      <c r="D25" s="44" t="s">
        <v>43</v>
      </c>
      <c r="E25" s="46">
        <f>ROUND(E30/0.07*0.02,2)</f>
        <v>116691.43</v>
      </c>
      <c r="F25" s="46">
        <f t="shared" ref="F25:M25" si="16">ROUND(F30/0.07*0.02,2)</f>
        <v>24922.29</v>
      </c>
      <c r="G25" s="46">
        <f t="shared" si="16"/>
        <v>726144</v>
      </c>
      <c r="H25" s="46">
        <f t="shared" si="16"/>
        <v>187121.14</v>
      </c>
      <c r="I25" s="46">
        <f t="shared" si="16"/>
        <v>154025.14000000001</v>
      </c>
      <c r="J25" s="46">
        <f t="shared" si="16"/>
        <v>37762.29</v>
      </c>
      <c r="K25" s="46">
        <f t="shared" si="16"/>
        <v>743574.86</v>
      </c>
      <c r="L25" s="46">
        <f t="shared" si="16"/>
        <v>595714.29</v>
      </c>
      <c r="M25" s="46">
        <f t="shared" si="16"/>
        <v>257496</v>
      </c>
      <c r="N25" s="51">
        <f t="shared" si="1"/>
        <v>2843451.44</v>
      </c>
      <c r="O25" s="44"/>
    </row>
    <row r="26" spans="1:15" ht="14.1" customHeight="1">
      <c r="A26" s="35" t="s">
        <v>66</v>
      </c>
      <c r="B26" s="36" t="s">
        <v>67</v>
      </c>
      <c r="C26" s="36"/>
      <c r="D26" s="37" t="s">
        <v>21</v>
      </c>
      <c r="E26" s="38">
        <f t="shared" ref="E26:M26" si="17">E27</f>
        <v>933531.43</v>
      </c>
      <c r="F26" s="38">
        <f t="shared" si="17"/>
        <v>199378.29</v>
      </c>
      <c r="G26" s="38">
        <f t="shared" si="17"/>
        <v>5809152</v>
      </c>
      <c r="H26" s="38">
        <f t="shared" si="17"/>
        <v>1496969.14</v>
      </c>
      <c r="I26" s="38">
        <f t="shared" si="17"/>
        <v>1232201.1399999999</v>
      </c>
      <c r="J26" s="38">
        <f t="shared" si="17"/>
        <v>302098.28999999998</v>
      </c>
      <c r="K26" s="38">
        <f t="shared" si="17"/>
        <v>5948598.8600000003</v>
      </c>
      <c r="L26" s="38">
        <f t="shared" si="17"/>
        <v>4765714.29</v>
      </c>
      <c r="M26" s="38">
        <f t="shared" si="17"/>
        <v>2059968</v>
      </c>
      <c r="N26" s="51">
        <f t="shared" si="1"/>
        <v>22747611.439999998</v>
      </c>
      <c r="O26" s="39"/>
    </row>
    <row r="27" spans="1:15" s="2" customFormat="1" ht="14.1" customHeight="1">
      <c r="A27" s="35" t="s">
        <v>68</v>
      </c>
      <c r="B27" s="42" t="s">
        <v>353</v>
      </c>
      <c r="C27" s="42" t="s">
        <v>70</v>
      </c>
      <c r="D27" s="39" t="s">
        <v>43</v>
      </c>
      <c r="E27" s="38">
        <f>ROUND(E30/0.07*0.16,2)</f>
        <v>933531.43</v>
      </c>
      <c r="F27" s="38">
        <f t="shared" ref="F27:M27" si="18">ROUND(F30/0.07*0.16,2)</f>
        <v>199378.29</v>
      </c>
      <c r="G27" s="38">
        <f t="shared" si="18"/>
        <v>5809152</v>
      </c>
      <c r="H27" s="38">
        <f t="shared" si="18"/>
        <v>1496969.14</v>
      </c>
      <c r="I27" s="38">
        <f t="shared" si="18"/>
        <v>1232201.1399999999</v>
      </c>
      <c r="J27" s="38">
        <f t="shared" si="18"/>
        <v>302098.28999999998</v>
      </c>
      <c r="K27" s="38">
        <f t="shared" si="18"/>
        <v>5948598.8600000003</v>
      </c>
      <c r="L27" s="38">
        <f t="shared" si="18"/>
        <v>4765714.29</v>
      </c>
      <c r="M27" s="38">
        <f t="shared" si="18"/>
        <v>2059968</v>
      </c>
      <c r="N27" s="51">
        <f t="shared" si="1"/>
        <v>22747611.439999998</v>
      </c>
      <c r="O27" s="39"/>
    </row>
    <row r="28" spans="1:15" ht="14.1" customHeight="1">
      <c r="A28" s="35" t="s">
        <v>71</v>
      </c>
      <c r="B28" s="36" t="s">
        <v>72</v>
      </c>
      <c r="C28" s="36"/>
      <c r="D28" s="37" t="s">
        <v>21</v>
      </c>
      <c r="E28" s="38">
        <f t="shared" ref="E28:M28" si="19">E29</f>
        <v>466765.71</v>
      </c>
      <c r="F28" s="38">
        <f t="shared" si="19"/>
        <v>99689.14</v>
      </c>
      <c r="G28" s="38">
        <f t="shared" si="19"/>
        <v>2904576</v>
      </c>
      <c r="H28" s="38">
        <f t="shared" si="19"/>
        <v>748484.57</v>
      </c>
      <c r="I28" s="38">
        <f t="shared" si="19"/>
        <v>616100.56999999995</v>
      </c>
      <c r="J28" s="38">
        <f t="shared" si="19"/>
        <v>151049.14000000001</v>
      </c>
      <c r="K28" s="38">
        <f t="shared" si="19"/>
        <v>2974299.43</v>
      </c>
      <c r="L28" s="38">
        <f t="shared" si="19"/>
        <v>2382857.14</v>
      </c>
      <c r="M28" s="38">
        <f t="shared" si="19"/>
        <v>1029984</v>
      </c>
      <c r="N28" s="51">
        <f t="shared" si="1"/>
        <v>11373805.700000001</v>
      </c>
      <c r="O28" s="39"/>
    </row>
    <row r="29" spans="1:15" s="2" customFormat="1" ht="14.1" customHeight="1">
      <c r="A29" s="35" t="s">
        <v>73</v>
      </c>
      <c r="B29" s="42" t="s">
        <v>74</v>
      </c>
      <c r="C29" s="42" t="s">
        <v>75</v>
      </c>
      <c r="D29" s="39" t="s">
        <v>43</v>
      </c>
      <c r="E29" s="38">
        <f>ROUND(E30/0.07*0.08,2)</f>
        <v>466765.71</v>
      </c>
      <c r="F29" s="38">
        <f t="shared" ref="F29:M29" si="20">ROUND(F30/0.07*0.08,2)</f>
        <v>99689.14</v>
      </c>
      <c r="G29" s="38">
        <f t="shared" si="20"/>
        <v>2904576</v>
      </c>
      <c r="H29" s="38">
        <f t="shared" si="20"/>
        <v>748484.57</v>
      </c>
      <c r="I29" s="38">
        <f t="shared" si="20"/>
        <v>616100.56999999995</v>
      </c>
      <c r="J29" s="38">
        <f t="shared" si="20"/>
        <v>151049.14000000001</v>
      </c>
      <c r="K29" s="38">
        <f t="shared" si="20"/>
        <v>2974299.43</v>
      </c>
      <c r="L29" s="38">
        <f t="shared" si="20"/>
        <v>2382857.14</v>
      </c>
      <c r="M29" s="38">
        <f t="shared" si="20"/>
        <v>1029984</v>
      </c>
      <c r="N29" s="51">
        <f t="shared" si="1"/>
        <v>11373805.700000001</v>
      </c>
      <c r="O29" s="39"/>
    </row>
    <row r="30" spans="1:15" ht="14.1" customHeight="1">
      <c r="A30" s="35" t="s">
        <v>76</v>
      </c>
      <c r="B30" s="36" t="s">
        <v>354</v>
      </c>
      <c r="C30" s="36" t="s">
        <v>78</v>
      </c>
      <c r="D30" s="37" t="s">
        <v>355</v>
      </c>
      <c r="E30" s="45">
        <f>34035*12</f>
        <v>408420</v>
      </c>
      <c r="F30" s="45">
        <v>87228</v>
      </c>
      <c r="G30" s="45">
        <v>2541504</v>
      </c>
      <c r="H30" s="45">
        <v>654924</v>
      </c>
      <c r="I30" s="45">
        <v>539088</v>
      </c>
      <c r="J30" s="45">
        <v>132168</v>
      </c>
      <c r="K30" s="45">
        <v>2602512</v>
      </c>
      <c r="L30" s="45">
        <v>2085000</v>
      </c>
      <c r="M30" s="45">
        <v>901236</v>
      </c>
      <c r="N30" s="51">
        <f t="shared" si="1"/>
        <v>9952080</v>
      </c>
      <c r="O30" s="44"/>
    </row>
    <row r="31" spans="1:15" ht="14.1" customHeight="1">
      <c r="A31" s="35" t="s">
        <v>80</v>
      </c>
      <c r="B31" s="36" t="s">
        <v>356</v>
      </c>
      <c r="C31" s="43" t="s">
        <v>27</v>
      </c>
      <c r="D31" s="39" t="s">
        <v>357</v>
      </c>
      <c r="E31" s="45"/>
      <c r="F31" s="45"/>
      <c r="G31" s="45"/>
      <c r="H31" s="45"/>
      <c r="I31" s="45"/>
      <c r="J31" s="45"/>
      <c r="K31" s="45"/>
      <c r="L31" s="45"/>
      <c r="M31" s="45"/>
      <c r="N31" s="51">
        <f t="shared" si="1"/>
        <v>0</v>
      </c>
      <c r="O31" s="44"/>
    </row>
    <row r="32" spans="1:15" ht="14.1" customHeight="1">
      <c r="A32" s="35" t="s">
        <v>83</v>
      </c>
      <c r="B32" s="36" t="s">
        <v>84</v>
      </c>
      <c r="C32" s="36"/>
      <c r="D32" s="37" t="s">
        <v>21</v>
      </c>
      <c r="E32" s="38">
        <f>E33+E35</f>
        <v>184800</v>
      </c>
      <c r="F32" s="38">
        <f t="shared" ref="F32:M32" si="21">F33+F35</f>
        <v>0</v>
      </c>
      <c r="G32" s="38">
        <f t="shared" si="21"/>
        <v>2285040</v>
      </c>
      <c r="H32" s="38">
        <f t="shared" si="21"/>
        <v>31620</v>
      </c>
      <c r="I32" s="38">
        <f t="shared" si="21"/>
        <v>258540</v>
      </c>
      <c r="J32" s="38">
        <f t="shared" si="21"/>
        <v>69960</v>
      </c>
      <c r="K32" s="38">
        <f t="shared" si="21"/>
        <v>3110040</v>
      </c>
      <c r="L32" s="38">
        <f t="shared" si="21"/>
        <v>1550160</v>
      </c>
      <c r="M32" s="38">
        <f t="shared" si="21"/>
        <v>22355</v>
      </c>
      <c r="N32" s="51">
        <f t="shared" si="1"/>
        <v>7512515</v>
      </c>
      <c r="O32" s="39"/>
    </row>
    <row r="33" spans="1:15" ht="14.1" customHeight="1">
      <c r="A33" s="35" t="s">
        <v>85</v>
      </c>
      <c r="B33" s="36" t="s">
        <v>358</v>
      </c>
      <c r="C33" s="36" t="s">
        <v>87</v>
      </c>
      <c r="D33" s="44" t="s">
        <v>359</v>
      </c>
      <c r="E33" s="46">
        <f>E34</f>
        <v>184440</v>
      </c>
      <c r="F33" s="46">
        <f t="shared" ref="F33:M33" si="22">F34</f>
        <v>0</v>
      </c>
      <c r="G33" s="46">
        <f t="shared" si="22"/>
        <v>2280000</v>
      </c>
      <c r="H33" s="46">
        <f t="shared" si="22"/>
        <v>30180</v>
      </c>
      <c r="I33" s="46">
        <f t="shared" si="22"/>
        <v>256380</v>
      </c>
      <c r="J33" s="46">
        <f t="shared" si="22"/>
        <v>69960</v>
      </c>
      <c r="K33" s="46">
        <f t="shared" si="22"/>
        <v>3106080</v>
      </c>
      <c r="L33" s="46">
        <f t="shared" si="22"/>
        <v>1544760</v>
      </c>
      <c r="M33" s="46">
        <f t="shared" si="22"/>
        <v>19115</v>
      </c>
      <c r="N33" s="51">
        <f t="shared" si="1"/>
        <v>7490915</v>
      </c>
      <c r="O33" s="44"/>
    </row>
    <row r="34" spans="1:15" ht="14.1" customHeight="1">
      <c r="A34" s="35" t="s">
        <v>89</v>
      </c>
      <c r="B34" s="36" t="s">
        <v>360</v>
      </c>
      <c r="C34" s="36" t="s">
        <v>87</v>
      </c>
      <c r="D34" s="44" t="s">
        <v>359</v>
      </c>
      <c r="E34" s="40">
        <f>15370*12</f>
        <v>184440</v>
      </c>
      <c r="F34" s="40"/>
      <c r="G34" s="40">
        <v>2280000</v>
      </c>
      <c r="H34" s="40">
        <v>30180</v>
      </c>
      <c r="I34" s="40">
        <v>256380</v>
      </c>
      <c r="J34" s="40">
        <v>69960</v>
      </c>
      <c r="K34" s="40">
        <v>3106080</v>
      </c>
      <c r="L34" s="40">
        <v>1544760</v>
      </c>
      <c r="M34" s="40">
        <v>19115</v>
      </c>
      <c r="N34" s="51">
        <f t="shared" si="1"/>
        <v>7490915</v>
      </c>
      <c r="O34" s="39"/>
    </row>
    <row r="35" spans="1:15" ht="14.1" customHeight="1">
      <c r="A35" s="35" t="s">
        <v>91</v>
      </c>
      <c r="B35" s="36" t="s">
        <v>92</v>
      </c>
      <c r="C35" s="36"/>
      <c r="D35" s="37" t="s">
        <v>21</v>
      </c>
      <c r="E35" s="38">
        <f>E36</f>
        <v>360</v>
      </c>
      <c r="F35" s="38">
        <f t="shared" ref="F35:M35" si="23">F36</f>
        <v>0</v>
      </c>
      <c r="G35" s="38">
        <f t="shared" si="23"/>
        <v>5040</v>
      </c>
      <c r="H35" s="38">
        <f t="shared" si="23"/>
        <v>1440</v>
      </c>
      <c r="I35" s="38">
        <f t="shared" si="23"/>
        <v>2160</v>
      </c>
      <c r="J35" s="38">
        <f t="shared" si="23"/>
        <v>0</v>
      </c>
      <c r="K35" s="38">
        <f t="shared" si="23"/>
        <v>3960</v>
      </c>
      <c r="L35" s="38">
        <f t="shared" si="23"/>
        <v>5400</v>
      </c>
      <c r="M35" s="38">
        <f t="shared" si="23"/>
        <v>3240</v>
      </c>
      <c r="N35" s="51">
        <f t="shared" si="1"/>
        <v>21600</v>
      </c>
      <c r="O35" s="39"/>
    </row>
    <row r="36" spans="1:15" ht="14.1" customHeight="1">
      <c r="A36" s="35" t="s">
        <v>93</v>
      </c>
      <c r="B36" s="36" t="s">
        <v>94</v>
      </c>
      <c r="C36" s="36" t="s">
        <v>27</v>
      </c>
      <c r="D36" s="37" t="s">
        <v>28</v>
      </c>
      <c r="E36" s="40">
        <f>30*12</f>
        <v>360</v>
      </c>
      <c r="F36" s="40"/>
      <c r="G36" s="40">
        <v>5040</v>
      </c>
      <c r="H36" s="40">
        <v>1440</v>
      </c>
      <c r="I36" s="40">
        <v>2160</v>
      </c>
      <c r="J36" s="40"/>
      <c r="K36" s="40">
        <v>3960</v>
      </c>
      <c r="L36" s="40">
        <v>5400</v>
      </c>
      <c r="M36" s="40">
        <v>3240</v>
      </c>
      <c r="N36" s="51">
        <f t="shared" si="1"/>
        <v>21600</v>
      </c>
      <c r="O36" s="39"/>
    </row>
    <row r="37" spans="1:15" ht="14.1" customHeight="1">
      <c r="A37" s="35" t="s">
        <v>95</v>
      </c>
      <c r="B37" s="36" t="s">
        <v>98</v>
      </c>
      <c r="C37" s="36"/>
      <c r="D37" s="37" t="s">
        <v>21</v>
      </c>
      <c r="E37" s="38">
        <f>E38+E40+E42+E44+E46+E49+E51+E53+E55+E57</f>
        <v>1320078.43</v>
      </c>
      <c r="F37" s="38">
        <f t="shared" ref="F37:M37" si="24">F38+F40+F42+F44+F46+F49+F51+F53+F55+F57</f>
        <v>1090884.29</v>
      </c>
      <c r="G37" s="38">
        <f t="shared" si="24"/>
        <v>10559292.300000001</v>
      </c>
      <c r="H37" s="38">
        <f t="shared" si="24"/>
        <v>2362233.14</v>
      </c>
      <c r="I37" s="38">
        <f t="shared" si="24"/>
        <v>2067594.8900000001</v>
      </c>
      <c r="J37" s="38">
        <f t="shared" si="24"/>
        <v>361738.29</v>
      </c>
      <c r="K37" s="38">
        <f t="shared" si="24"/>
        <v>11153088.91</v>
      </c>
      <c r="L37" s="38">
        <f t="shared" si="24"/>
        <v>6701599.29</v>
      </c>
      <c r="M37" s="38">
        <f t="shared" si="24"/>
        <v>2838712.3</v>
      </c>
      <c r="N37" s="51">
        <f t="shared" si="1"/>
        <v>38455221.839999996</v>
      </c>
      <c r="O37" s="39"/>
    </row>
    <row r="38" spans="1:15" ht="14.1" customHeight="1">
      <c r="A38" s="35" t="s">
        <v>96</v>
      </c>
      <c r="B38" s="36" t="s">
        <v>100</v>
      </c>
      <c r="C38" s="36"/>
      <c r="D38" s="37" t="s">
        <v>101</v>
      </c>
      <c r="E38" s="40">
        <v>903760</v>
      </c>
      <c r="F38" s="40">
        <v>858000</v>
      </c>
      <c r="G38" s="40">
        <v>7968440</v>
      </c>
      <c r="H38" s="40">
        <v>1716000</v>
      </c>
      <c r="I38" s="40">
        <v>1507220</v>
      </c>
      <c r="J38" s="40">
        <v>156800</v>
      </c>
      <c r="K38" s="40">
        <v>8507670</v>
      </c>
      <c r="L38" s="40">
        <v>4877820</v>
      </c>
      <c r="M38" s="40">
        <v>2050620</v>
      </c>
      <c r="N38" s="51">
        <f t="shared" si="1"/>
        <v>28546330</v>
      </c>
      <c r="O38" s="39"/>
    </row>
    <row r="39" spans="1:15" ht="14.1" customHeight="1">
      <c r="A39" s="35" t="s">
        <v>97</v>
      </c>
      <c r="B39" s="36" t="s">
        <v>361</v>
      </c>
      <c r="C39" s="36" t="s">
        <v>362</v>
      </c>
      <c r="D39" s="47" t="s">
        <v>363</v>
      </c>
      <c r="E39" s="40">
        <v>45188</v>
      </c>
      <c r="F39" s="40">
        <v>12155</v>
      </c>
      <c r="G39" s="40">
        <v>398422</v>
      </c>
      <c r="H39" s="40">
        <v>75218</v>
      </c>
      <c r="I39" s="40">
        <v>60203</v>
      </c>
      <c r="J39" s="40">
        <v>7840</v>
      </c>
      <c r="K39" s="40">
        <v>425383.5</v>
      </c>
      <c r="L39" s="40">
        <v>243891</v>
      </c>
      <c r="M39" s="40">
        <v>102531</v>
      </c>
      <c r="N39" s="51">
        <f t="shared" si="1"/>
        <v>1370831.5</v>
      </c>
      <c r="O39" s="39"/>
    </row>
    <row r="40" spans="1:15" ht="14.1" customHeight="1">
      <c r="A40" s="35" t="s">
        <v>99</v>
      </c>
      <c r="B40" s="36" t="s">
        <v>107</v>
      </c>
      <c r="C40" s="36"/>
      <c r="D40" s="37"/>
      <c r="E40" s="38">
        <f>E41</f>
        <v>10800</v>
      </c>
      <c r="F40" s="38">
        <f t="shared" ref="F40:M40" si="25">F41</f>
        <v>2400</v>
      </c>
      <c r="G40" s="38">
        <f t="shared" si="25"/>
        <v>58800</v>
      </c>
      <c r="H40" s="38">
        <f t="shared" si="25"/>
        <v>17200</v>
      </c>
      <c r="I40" s="38">
        <f t="shared" si="25"/>
        <v>14400</v>
      </c>
      <c r="J40" s="38">
        <f t="shared" si="25"/>
        <v>2800</v>
      </c>
      <c r="K40" s="38">
        <f t="shared" si="25"/>
        <v>58000</v>
      </c>
      <c r="L40" s="38">
        <f t="shared" si="25"/>
        <v>46400</v>
      </c>
      <c r="M40" s="38">
        <f t="shared" si="25"/>
        <v>24000</v>
      </c>
      <c r="N40" s="51">
        <f t="shared" si="1"/>
        <v>234800</v>
      </c>
      <c r="O40" s="39"/>
    </row>
    <row r="41" spans="1:15" s="2" customFormat="1" ht="14.1" customHeight="1">
      <c r="A41" s="35" t="s">
        <v>102</v>
      </c>
      <c r="B41" s="42" t="s">
        <v>109</v>
      </c>
      <c r="C41" s="42" t="s">
        <v>27</v>
      </c>
      <c r="D41" s="48" t="s">
        <v>110</v>
      </c>
      <c r="E41" s="38">
        <f t="shared" ref="E41:M41" si="26">E60*400</f>
        <v>10800</v>
      </c>
      <c r="F41" s="38">
        <f t="shared" si="26"/>
        <v>2400</v>
      </c>
      <c r="G41" s="38">
        <f t="shared" si="26"/>
        <v>58800</v>
      </c>
      <c r="H41" s="38">
        <f t="shared" si="26"/>
        <v>17200</v>
      </c>
      <c r="I41" s="38">
        <f t="shared" si="26"/>
        <v>14400</v>
      </c>
      <c r="J41" s="38">
        <f t="shared" si="26"/>
        <v>2800</v>
      </c>
      <c r="K41" s="38">
        <f t="shared" si="26"/>
        <v>58000</v>
      </c>
      <c r="L41" s="38">
        <f t="shared" si="26"/>
        <v>46400</v>
      </c>
      <c r="M41" s="38">
        <f t="shared" si="26"/>
        <v>24000</v>
      </c>
      <c r="N41" s="51">
        <f t="shared" si="1"/>
        <v>234800</v>
      </c>
      <c r="O41" s="39"/>
    </row>
    <row r="42" spans="1:15" ht="14.1" customHeight="1">
      <c r="A42" s="35" t="s">
        <v>106</v>
      </c>
      <c r="B42" s="36" t="s">
        <v>112</v>
      </c>
      <c r="C42" s="36"/>
      <c r="D42" s="37" t="s">
        <v>21</v>
      </c>
      <c r="E42" s="38">
        <f>E43</f>
        <v>64068.6</v>
      </c>
      <c r="F42" s="38">
        <f t="shared" ref="F42:M42" si="27">F43</f>
        <v>119970</v>
      </c>
      <c r="G42" s="38">
        <f t="shared" si="27"/>
        <v>436567.5</v>
      </c>
      <c r="H42" s="38">
        <f t="shared" si="27"/>
        <v>162938.4</v>
      </c>
      <c r="I42" s="38">
        <f t="shared" si="27"/>
        <v>97749.75</v>
      </c>
      <c r="J42" s="38">
        <f t="shared" si="27"/>
        <v>33240</v>
      </c>
      <c r="K42" s="38">
        <f t="shared" si="27"/>
        <v>281524.05</v>
      </c>
      <c r="L42" s="38">
        <f t="shared" si="27"/>
        <v>174225</v>
      </c>
      <c r="M42" s="38">
        <f t="shared" si="27"/>
        <v>117936.3</v>
      </c>
      <c r="N42" s="51">
        <f t="shared" si="1"/>
        <v>1488219.6</v>
      </c>
      <c r="O42" s="39"/>
    </row>
    <row r="43" spans="1:15" s="2" customFormat="1" ht="14.1" customHeight="1">
      <c r="A43" s="35" t="s">
        <v>108</v>
      </c>
      <c r="B43" s="42" t="s">
        <v>114</v>
      </c>
      <c r="C43" s="42" t="s">
        <v>27</v>
      </c>
      <c r="D43" s="48" t="s">
        <v>115</v>
      </c>
      <c r="E43" s="38">
        <f t="shared" ref="E43:M43" si="28">E71*15</f>
        <v>64068.6</v>
      </c>
      <c r="F43" s="38">
        <f t="shared" si="28"/>
        <v>119970</v>
      </c>
      <c r="G43" s="38">
        <f t="shared" si="28"/>
        <v>436567.5</v>
      </c>
      <c r="H43" s="38">
        <f t="shared" si="28"/>
        <v>162938.4</v>
      </c>
      <c r="I43" s="38">
        <f t="shared" si="28"/>
        <v>97749.75</v>
      </c>
      <c r="J43" s="38">
        <f t="shared" si="28"/>
        <v>33240</v>
      </c>
      <c r="K43" s="38">
        <f t="shared" si="28"/>
        <v>281524.05</v>
      </c>
      <c r="L43" s="38">
        <f t="shared" si="28"/>
        <v>174225</v>
      </c>
      <c r="M43" s="38">
        <f t="shared" si="28"/>
        <v>117936.3</v>
      </c>
      <c r="N43" s="51">
        <f t="shared" si="1"/>
        <v>1488219.6</v>
      </c>
      <c r="O43" s="39"/>
    </row>
    <row r="44" spans="1:15" ht="14.1" customHeight="1">
      <c r="A44" s="35" t="s">
        <v>111</v>
      </c>
      <c r="B44" s="36" t="s">
        <v>117</v>
      </c>
      <c r="C44" s="36"/>
      <c r="D44" s="37" t="s">
        <v>21</v>
      </c>
      <c r="E44" s="38">
        <f>E45</f>
        <v>23898.400000000001</v>
      </c>
      <c r="F44" s="38">
        <f t="shared" ref="F44:M44" si="29">F45</f>
        <v>27672</v>
      </c>
      <c r="G44" s="38">
        <f t="shared" si="29"/>
        <v>100900.8</v>
      </c>
      <c r="H44" s="38">
        <f t="shared" si="29"/>
        <v>50073.599999999999</v>
      </c>
      <c r="I44" s="38">
        <f t="shared" si="29"/>
        <v>37600</v>
      </c>
      <c r="J44" s="38">
        <f t="shared" si="29"/>
        <v>50016</v>
      </c>
      <c r="K44" s="38">
        <f t="shared" si="29"/>
        <v>144000</v>
      </c>
      <c r="L44" s="38">
        <f t="shared" si="29"/>
        <v>96000</v>
      </c>
      <c r="M44" s="38">
        <f t="shared" si="29"/>
        <v>33100</v>
      </c>
      <c r="N44" s="51">
        <f t="shared" si="1"/>
        <v>563260.80000000005</v>
      </c>
      <c r="O44" s="39"/>
    </row>
    <row r="45" spans="1:15" s="2" customFormat="1" ht="14.1" customHeight="1">
      <c r="A45" s="35" t="s">
        <v>113</v>
      </c>
      <c r="B45" s="42" t="s">
        <v>119</v>
      </c>
      <c r="C45" s="42" t="s">
        <v>27</v>
      </c>
      <c r="D45" s="48" t="s">
        <v>120</v>
      </c>
      <c r="E45" s="38">
        <f t="shared" ref="E45:M45" si="30">E72*8</f>
        <v>23898.400000000001</v>
      </c>
      <c r="F45" s="38">
        <f t="shared" si="30"/>
        <v>27672</v>
      </c>
      <c r="G45" s="38">
        <f t="shared" si="30"/>
        <v>100900.8</v>
      </c>
      <c r="H45" s="38">
        <f t="shared" si="30"/>
        <v>50073.599999999999</v>
      </c>
      <c r="I45" s="38">
        <f t="shared" si="30"/>
        <v>37600</v>
      </c>
      <c r="J45" s="38">
        <f t="shared" si="30"/>
        <v>50016</v>
      </c>
      <c r="K45" s="38">
        <f t="shared" si="30"/>
        <v>144000</v>
      </c>
      <c r="L45" s="38">
        <f t="shared" si="30"/>
        <v>96000</v>
      </c>
      <c r="M45" s="38">
        <f t="shared" si="30"/>
        <v>33100</v>
      </c>
      <c r="N45" s="51">
        <f t="shared" si="1"/>
        <v>563260.80000000005</v>
      </c>
      <c r="O45" s="39"/>
    </row>
    <row r="46" spans="1:15" ht="14.1" customHeight="1">
      <c r="A46" s="35" t="s">
        <v>116</v>
      </c>
      <c r="B46" s="36" t="s">
        <v>364</v>
      </c>
      <c r="C46" s="36"/>
      <c r="D46" s="37" t="s">
        <v>21</v>
      </c>
      <c r="E46" s="38">
        <f>E47+E48</f>
        <v>164160</v>
      </c>
      <c r="F46" s="38">
        <f t="shared" ref="F46:M46" si="31">F47+F48</f>
        <v>25920</v>
      </c>
      <c r="G46" s="38">
        <f t="shared" si="31"/>
        <v>1153440</v>
      </c>
      <c r="H46" s="38">
        <f t="shared" si="31"/>
        <v>194400</v>
      </c>
      <c r="I46" s="38">
        <f t="shared" si="31"/>
        <v>216000</v>
      </c>
      <c r="J46" s="38">
        <f t="shared" si="31"/>
        <v>47520</v>
      </c>
      <c r="K46" s="38">
        <f t="shared" si="31"/>
        <v>1321920</v>
      </c>
      <c r="L46" s="38">
        <f t="shared" si="31"/>
        <v>851040</v>
      </c>
      <c r="M46" s="38">
        <f t="shared" si="31"/>
        <v>315360</v>
      </c>
      <c r="N46" s="51">
        <f t="shared" si="1"/>
        <v>4289760</v>
      </c>
      <c r="O46" s="39"/>
    </row>
    <row r="47" spans="1:15" s="2" customFormat="1" ht="14.1" customHeight="1">
      <c r="A47" s="35" t="s">
        <v>118</v>
      </c>
      <c r="B47" s="42" t="s">
        <v>365</v>
      </c>
      <c r="C47" s="42" t="s">
        <v>27</v>
      </c>
      <c r="D47" s="48" t="s">
        <v>124</v>
      </c>
      <c r="E47" s="38">
        <f t="shared" ref="E47:M47" si="32">E60*4320</f>
        <v>116640</v>
      </c>
      <c r="F47" s="38">
        <f t="shared" si="32"/>
        <v>25920</v>
      </c>
      <c r="G47" s="38">
        <f t="shared" si="32"/>
        <v>635040</v>
      </c>
      <c r="H47" s="38">
        <f t="shared" si="32"/>
        <v>185760</v>
      </c>
      <c r="I47" s="38">
        <f t="shared" si="32"/>
        <v>155520</v>
      </c>
      <c r="J47" s="38">
        <f t="shared" si="32"/>
        <v>30240</v>
      </c>
      <c r="K47" s="38">
        <f t="shared" si="32"/>
        <v>626400</v>
      </c>
      <c r="L47" s="38">
        <f t="shared" si="32"/>
        <v>501120</v>
      </c>
      <c r="M47" s="38">
        <f t="shared" si="32"/>
        <v>259200</v>
      </c>
      <c r="N47" s="51">
        <f t="shared" si="1"/>
        <v>2535840</v>
      </c>
      <c r="O47" s="39"/>
    </row>
    <row r="48" spans="1:15" s="2" customFormat="1" ht="14.1" customHeight="1">
      <c r="A48" s="35" t="s">
        <v>121</v>
      </c>
      <c r="B48" s="42" t="s">
        <v>366</v>
      </c>
      <c r="C48" s="42" t="s">
        <v>27</v>
      </c>
      <c r="D48" s="48" t="s">
        <v>367</v>
      </c>
      <c r="E48" s="38">
        <f t="shared" ref="E48:M48" si="33">E70*4320</f>
        <v>47520</v>
      </c>
      <c r="F48" s="38">
        <f t="shared" si="33"/>
        <v>0</v>
      </c>
      <c r="G48" s="38">
        <f t="shared" si="33"/>
        <v>518400</v>
      </c>
      <c r="H48" s="38">
        <f t="shared" si="33"/>
        <v>8640</v>
      </c>
      <c r="I48" s="38">
        <f t="shared" si="33"/>
        <v>60480</v>
      </c>
      <c r="J48" s="38">
        <f t="shared" si="33"/>
        <v>17280</v>
      </c>
      <c r="K48" s="38">
        <f t="shared" si="33"/>
        <v>695520</v>
      </c>
      <c r="L48" s="38">
        <f t="shared" si="33"/>
        <v>349920</v>
      </c>
      <c r="M48" s="38">
        <f t="shared" si="33"/>
        <v>56160</v>
      </c>
      <c r="N48" s="51">
        <f t="shared" si="1"/>
        <v>1753920</v>
      </c>
      <c r="O48" s="39"/>
    </row>
    <row r="49" spans="1:15" ht="14.1" customHeight="1">
      <c r="A49" s="35" t="s">
        <v>123</v>
      </c>
      <c r="B49" s="36" t="s">
        <v>368</v>
      </c>
      <c r="C49" s="36"/>
      <c r="D49" s="37" t="s">
        <v>21</v>
      </c>
      <c r="E49" s="38">
        <f>E50</f>
        <v>116691.43</v>
      </c>
      <c r="F49" s="38">
        <f t="shared" ref="F49:M49" si="34">F50</f>
        <v>24922.29</v>
      </c>
      <c r="G49" s="38">
        <f t="shared" si="34"/>
        <v>726144</v>
      </c>
      <c r="H49" s="38">
        <f t="shared" si="34"/>
        <v>187121.14</v>
      </c>
      <c r="I49" s="38">
        <f t="shared" si="34"/>
        <v>154025.14000000001</v>
      </c>
      <c r="J49" s="38">
        <f t="shared" si="34"/>
        <v>37762.29</v>
      </c>
      <c r="K49" s="38">
        <f t="shared" si="34"/>
        <v>743574.86</v>
      </c>
      <c r="L49" s="38">
        <f t="shared" si="34"/>
        <v>595714.29</v>
      </c>
      <c r="M49" s="38">
        <f t="shared" si="34"/>
        <v>257496</v>
      </c>
      <c r="N49" s="51">
        <f t="shared" si="1"/>
        <v>2843451.44</v>
      </c>
      <c r="O49" s="39"/>
    </row>
    <row r="50" spans="1:15" s="2" customFormat="1" ht="14.1" customHeight="1">
      <c r="A50" s="35" t="s">
        <v>125</v>
      </c>
      <c r="B50" s="42" t="s">
        <v>129</v>
      </c>
      <c r="C50" s="42" t="s">
        <v>27</v>
      </c>
      <c r="D50" s="39" t="s">
        <v>43</v>
      </c>
      <c r="E50" s="38">
        <f>ROUND(E30/0.07*0.02,2)</f>
        <v>116691.43</v>
      </c>
      <c r="F50" s="38">
        <f t="shared" ref="F50:M50" si="35">ROUND(F30/0.07*0.02,2)</f>
        <v>24922.29</v>
      </c>
      <c r="G50" s="38">
        <f t="shared" si="35"/>
        <v>726144</v>
      </c>
      <c r="H50" s="38">
        <f t="shared" si="35"/>
        <v>187121.14</v>
      </c>
      <c r="I50" s="38">
        <f t="shared" si="35"/>
        <v>154025.14000000001</v>
      </c>
      <c r="J50" s="38">
        <f t="shared" si="35"/>
        <v>37762.29</v>
      </c>
      <c r="K50" s="38">
        <f t="shared" si="35"/>
        <v>743574.86</v>
      </c>
      <c r="L50" s="38">
        <f t="shared" si="35"/>
        <v>595714.29</v>
      </c>
      <c r="M50" s="38">
        <f t="shared" si="35"/>
        <v>257496</v>
      </c>
      <c r="N50" s="51">
        <f t="shared" si="1"/>
        <v>2843451.44</v>
      </c>
      <c r="O50" s="39"/>
    </row>
    <row r="51" spans="1:15" ht="14.1" customHeight="1">
      <c r="A51" s="35" t="s">
        <v>126</v>
      </c>
      <c r="B51" s="36" t="s">
        <v>369</v>
      </c>
      <c r="C51" s="36"/>
      <c r="D51" s="37" t="s">
        <v>21</v>
      </c>
      <c r="E51" s="38">
        <f>E52</f>
        <v>0</v>
      </c>
      <c r="F51" s="38">
        <f t="shared" ref="F51:M51" si="36">F52</f>
        <v>0</v>
      </c>
      <c r="G51" s="38">
        <f t="shared" si="36"/>
        <v>64000</v>
      </c>
      <c r="H51" s="38">
        <f t="shared" si="36"/>
        <v>0</v>
      </c>
      <c r="I51" s="38">
        <f t="shared" si="36"/>
        <v>0</v>
      </c>
      <c r="J51" s="38">
        <f t="shared" si="36"/>
        <v>0</v>
      </c>
      <c r="K51" s="38">
        <f t="shared" si="36"/>
        <v>32000</v>
      </c>
      <c r="L51" s="38">
        <f t="shared" si="36"/>
        <v>25000</v>
      </c>
      <c r="M51" s="38">
        <f t="shared" si="36"/>
        <v>0</v>
      </c>
      <c r="N51" s="51">
        <f t="shared" si="1"/>
        <v>121000</v>
      </c>
      <c r="O51" s="39"/>
    </row>
    <row r="52" spans="1:15" ht="14.1" customHeight="1">
      <c r="A52" s="35" t="s">
        <v>128</v>
      </c>
      <c r="B52" s="36" t="s">
        <v>132</v>
      </c>
      <c r="C52" s="36" t="s">
        <v>27</v>
      </c>
      <c r="D52" s="47" t="s">
        <v>133</v>
      </c>
      <c r="E52" s="40"/>
      <c r="F52" s="40"/>
      <c r="G52" s="40">
        <v>64000</v>
      </c>
      <c r="H52" s="40"/>
      <c r="I52" s="40"/>
      <c r="J52" s="40"/>
      <c r="K52" s="40">
        <v>32000</v>
      </c>
      <c r="L52" s="168">
        <f>32000-7000</f>
        <v>25000</v>
      </c>
      <c r="M52" s="40"/>
      <c r="N52" s="51">
        <f t="shared" si="1"/>
        <v>121000</v>
      </c>
      <c r="O52" s="39"/>
    </row>
    <row r="53" spans="1:15" ht="14.1" customHeight="1">
      <c r="A53" s="35" t="s">
        <v>130</v>
      </c>
      <c r="B53" s="36" t="s">
        <v>413</v>
      </c>
      <c r="C53" s="36"/>
      <c r="D53" s="37" t="s">
        <v>21</v>
      </c>
      <c r="E53" s="38">
        <f>E54</f>
        <v>4400</v>
      </c>
      <c r="F53" s="38">
        <f t="shared" ref="F53:M53" si="37">F54</f>
        <v>0</v>
      </c>
      <c r="G53" s="38">
        <f t="shared" si="37"/>
        <v>48000</v>
      </c>
      <c r="H53" s="38">
        <f t="shared" si="37"/>
        <v>800</v>
      </c>
      <c r="I53" s="38">
        <f t="shared" si="37"/>
        <v>5600</v>
      </c>
      <c r="J53" s="38">
        <f t="shared" si="37"/>
        <v>1600</v>
      </c>
      <c r="K53" s="38">
        <f t="shared" si="37"/>
        <v>64400</v>
      </c>
      <c r="L53" s="38">
        <f t="shared" si="37"/>
        <v>32400</v>
      </c>
      <c r="M53" s="38">
        <f t="shared" si="37"/>
        <v>5200</v>
      </c>
      <c r="N53" s="51">
        <f t="shared" si="1"/>
        <v>162400</v>
      </c>
      <c r="O53" s="39"/>
    </row>
    <row r="54" spans="1:15" s="2" customFormat="1" ht="14.1" customHeight="1">
      <c r="A54" s="35" t="s">
        <v>131</v>
      </c>
      <c r="B54" s="42" t="s">
        <v>414</v>
      </c>
      <c r="C54" s="42" t="s">
        <v>27</v>
      </c>
      <c r="D54" s="48" t="s">
        <v>370</v>
      </c>
      <c r="E54" s="38">
        <f t="shared" ref="E54:M54" si="38">E70*400</f>
        <v>4400</v>
      </c>
      <c r="F54" s="38">
        <f t="shared" si="38"/>
        <v>0</v>
      </c>
      <c r="G54" s="38">
        <f t="shared" si="38"/>
        <v>48000</v>
      </c>
      <c r="H54" s="38">
        <f t="shared" si="38"/>
        <v>800</v>
      </c>
      <c r="I54" s="38">
        <f t="shared" si="38"/>
        <v>5600</v>
      </c>
      <c r="J54" s="38">
        <f t="shared" si="38"/>
        <v>1600</v>
      </c>
      <c r="K54" s="38">
        <f t="shared" si="38"/>
        <v>64400</v>
      </c>
      <c r="L54" s="38">
        <f t="shared" si="38"/>
        <v>32400</v>
      </c>
      <c r="M54" s="38">
        <f t="shared" si="38"/>
        <v>5200</v>
      </c>
      <c r="N54" s="51">
        <f t="shared" si="1"/>
        <v>162400</v>
      </c>
      <c r="O54" s="39"/>
    </row>
    <row r="55" spans="1:15" s="2" customFormat="1" ht="14.1" customHeight="1">
      <c r="A55" s="35" t="s">
        <v>134</v>
      </c>
      <c r="B55" s="36" t="s">
        <v>371</v>
      </c>
      <c r="C55" s="42"/>
      <c r="D55" s="48"/>
      <c r="E55" s="38">
        <f>E56</f>
        <v>300</v>
      </c>
      <c r="F55" s="38">
        <f t="shared" ref="F55:M55" si="39">F56</f>
        <v>0</v>
      </c>
      <c r="G55" s="38">
        <f t="shared" si="39"/>
        <v>3000</v>
      </c>
      <c r="H55" s="38">
        <f t="shared" si="39"/>
        <v>1700</v>
      </c>
      <c r="I55" s="38">
        <f t="shared" si="39"/>
        <v>3000</v>
      </c>
      <c r="J55" s="38">
        <f t="shared" si="39"/>
        <v>0</v>
      </c>
      <c r="K55" s="38">
        <f t="shared" si="39"/>
        <v>0</v>
      </c>
      <c r="L55" s="38">
        <f t="shared" si="39"/>
        <v>3000</v>
      </c>
      <c r="M55" s="38">
        <f t="shared" si="39"/>
        <v>3000</v>
      </c>
      <c r="N55" s="51">
        <f t="shared" si="1"/>
        <v>14000</v>
      </c>
      <c r="O55" s="39"/>
    </row>
    <row r="56" spans="1:15" ht="14.1" customHeight="1">
      <c r="A56" s="35" t="s">
        <v>135</v>
      </c>
      <c r="B56" s="36" t="s">
        <v>372</v>
      </c>
      <c r="C56" s="36" t="s">
        <v>27</v>
      </c>
      <c r="D56" s="47" t="s">
        <v>140</v>
      </c>
      <c r="E56" s="49">
        <v>300</v>
      </c>
      <c r="F56" s="49"/>
      <c r="G56" s="49">
        <v>3000</v>
      </c>
      <c r="H56" s="49">
        <v>1700</v>
      </c>
      <c r="I56" s="49">
        <v>3000</v>
      </c>
      <c r="J56" s="49"/>
      <c r="K56" s="49"/>
      <c r="L56" s="49">
        <v>3000</v>
      </c>
      <c r="M56" s="49">
        <v>3000</v>
      </c>
      <c r="N56" s="51">
        <f t="shared" si="1"/>
        <v>14000</v>
      </c>
      <c r="O56" s="44"/>
    </row>
    <row r="57" spans="1:15" ht="14.1" customHeight="1">
      <c r="A57" s="35" t="s">
        <v>136</v>
      </c>
      <c r="B57" s="36" t="s">
        <v>373</v>
      </c>
      <c r="C57" s="36"/>
      <c r="D57" s="37" t="s">
        <v>21</v>
      </c>
      <c r="E57" s="38">
        <f>E58</f>
        <v>32000</v>
      </c>
      <c r="F57" s="38">
        <f t="shared" ref="F57:M57" si="40">F58</f>
        <v>32000</v>
      </c>
      <c r="G57" s="38">
        <f t="shared" si="40"/>
        <v>0</v>
      </c>
      <c r="H57" s="38">
        <f t="shared" si="40"/>
        <v>32000</v>
      </c>
      <c r="I57" s="38">
        <f t="shared" si="40"/>
        <v>32000</v>
      </c>
      <c r="J57" s="38">
        <f t="shared" si="40"/>
        <v>32000</v>
      </c>
      <c r="K57" s="38">
        <f t="shared" si="40"/>
        <v>0</v>
      </c>
      <c r="L57" s="38">
        <f t="shared" si="40"/>
        <v>0</v>
      </c>
      <c r="M57" s="38">
        <f t="shared" si="40"/>
        <v>32000</v>
      </c>
      <c r="N57" s="51">
        <f t="shared" si="1"/>
        <v>192000</v>
      </c>
      <c r="O57" s="39"/>
    </row>
    <row r="58" spans="1:15" ht="14.1" customHeight="1" thickBot="1">
      <c r="A58" s="35" t="s">
        <v>139</v>
      </c>
      <c r="B58" s="4" t="s">
        <v>143</v>
      </c>
      <c r="C58" s="36" t="s">
        <v>27</v>
      </c>
      <c r="D58" s="5" t="s">
        <v>374</v>
      </c>
      <c r="E58" s="6">
        <v>32000</v>
      </c>
      <c r="F58" s="6">
        <v>32000</v>
      </c>
      <c r="G58" s="6"/>
      <c r="H58" s="6">
        <v>32000</v>
      </c>
      <c r="I58" s="6">
        <v>32000</v>
      </c>
      <c r="J58" s="6">
        <v>32000</v>
      </c>
      <c r="K58" s="6"/>
      <c r="L58" s="6"/>
      <c r="M58" s="6">
        <v>32000</v>
      </c>
      <c r="N58" s="51">
        <f t="shared" si="1"/>
        <v>192000</v>
      </c>
      <c r="O58" s="8"/>
    </row>
    <row r="59" spans="1:15" ht="14.1" customHeight="1" thickTop="1">
      <c r="A59" s="35" t="s">
        <v>141</v>
      </c>
      <c r="B59" s="9" t="s">
        <v>145</v>
      </c>
      <c r="C59" s="9"/>
      <c r="D59" s="10"/>
      <c r="E59" s="11"/>
      <c r="F59" s="11"/>
      <c r="G59" s="11"/>
      <c r="H59" s="11"/>
      <c r="I59" s="11"/>
      <c r="J59" s="11"/>
      <c r="K59" s="11"/>
      <c r="L59" s="11"/>
      <c r="M59" s="11"/>
      <c r="N59" s="51">
        <f t="shared" si="1"/>
        <v>0</v>
      </c>
      <c r="O59" s="12"/>
    </row>
    <row r="60" spans="1:15" ht="14.1" customHeight="1">
      <c r="A60" s="35" t="s">
        <v>142</v>
      </c>
      <c r="B60" s="36" t="s">
        <v>147</v>
      </c>
      <c r="C60" s="36"/>
      <c r="D60" s="37" t="s">
        <v>375</v>
      </c>
      <c r="E60" s="38">
        <f>E61+E62+E63+E64</f>
        <v>27</v>
      </c>
      <c r="F60" s="38">
        <f t="shared" ref="F60:M60" si="41">F61+F62+F63+F64</f>
        <v>6</v>
      </c>
      <c r="G60" s="38">
        <f t="shared" si="41"/>
        <v>147</v>
      </c>
      <c r="H60" s="38">
        <f t="shared" si="41"/>
        <v>43</v>
      </c>
      <c r="I60" s="38">
        <f t="shared" si="41"/>
        <v>36</v>
      </c>
      <c r="J60" s="38">
        <f t="shared" si="41"/>
        <v>7</v>
      </c>
      <c r="K60" s="38">
        <f t="shared" si="41"/>
        <v>145</v>
      </c>
      <c r="L60" s="38">
        <f t="shared" si="41"/>
        <v>116</v>
      </c>
      <c r="M60" s="38">
        <f t="shared" si="41"/>
        <v>60</v>
      </c>
      <c r="N60" s="51">
        <f t="shared" si="1"/>
        <v>587</v>
      </c>
      <c r="O60" s="39"/>
    </row>
    <row r="61" spans="1:15" ht="14.1" customHeight="1">
      <c r="A61" s="35" t="s">
        <v>144</v>
      </c>
      <c r="B61" s="50" t="s">
        <v>149</v>
      </c>
      <c r="C61" s="50"/>
      <c r="D61" s="44"/>
      <c r="E61" s="45"/>
      <c r="F61" s="45"/>
      <c r="G61" s="45">
        <v>66</v>
      </c>
      <c r="H61" s="45"/>
      <c r="I61" s="45"/>
      <c r="J61" s="45"/>
      <c r="K61" s="45">
        <v>75</v>
      </c>
      <c r="L61" s="45">
        <v>54</v>
      </c>
      <c r="M61" s="45"/>
      <c r="N61" s="51">
        <f t="shared" si="1"/>
        <v>195</v>
      </c>
      <c r="O61" s="39"/>
    </row>
    <row r="62" spans="1:15" ht="14.1" customHeight="1">
      <c r="A62" s="35" t="s">
        <v>146</v>
      </c>
      <c r="B62" s="50" t="s">
        <v>151</v>
      </c>
      <c r="C62" s="50"/>
      <c r="D62" s="37"/>
      <c r="E62" s="40"/>
      <c r="F62" s="40"/>
      <c r="G62" s="40">
        <v>81</v>
      </c>
      <c r="H62" s="40"/>
      <c r="I62" s="40"/>
      <c r="J62" s="40"/>
      <c r="K62" s="40">
        <v>70</v>
      </c>
      <c r="L62" s="40">
        <v>62</v>
      </c>
      <c r="M62" s="40"/>
      <c r="N62" s="51">
        <f t="shared" si="1"/>
        <v>213</v>
      </c>
      <c r="O62" s="39"/>
    </row>
    <row r="63" spans="1:15" ht="14.1" customHeight="1">
      <c r="A63" s="35" t="s">
        <v>148</v>
      </c>
      <c r="B63" s="50" t="s">
        <v>153</v>
      </c>
      <c r="C63" s="50"/>
      <c r="D63" s="44"/>
      <c r="E63" s="45">
        <v>27</v>
      </c>
      <c r="F63" s="45">
        <v>6</v>
      </c>
      <c r="G63" s="45"/>
      <c r="H63" s="45">
        <v>43</v>
      </c>
      <c r="I63" s="45">
        <v>36</v>
      </c>
      <c r="J63" s="45"/>
      <c r="K63" s="45"/>
      <c r="L63" s="45"/>
      <c r="M63" s="45">
        <v>60</v>
      </c>
      <c r="N63" s="51">
        <f t="shared" si="1"/>
        <v>172</v>
      </c>
      <c r="O63" s="39"/>
    </row>
    <row r="64" spans="1:15" ht="14.1" customHeight="1">
      <c r="A64" s="35" t="s">
        <v>150</v>
      </c>
      <c r="B64" s="50" t="s">
        <v>155</v>
      </c>
      <c r="C64" s="50"/>
      <c r="D64" s="44"/>
      <c r="E64" s="45"/>
      <c r="F64" s="45"/>
      <c r="G64" s="45"/>
      <c r="H64" s="45"/>
      <c r="I64" s="45"/>
      <c r="J64" s="45">
        <v>7</v>
      </c>
      <c r="K64" s="45"/>
      <c r="L64" s="45"/>
      <c r="M64" s="45"/>
      <c r="N64" s="51">
        <f t="shared" si="1"/>
        <v>7</v>
      </c>
      <c r="O64" s="39"/>
    </row>
    <row r="65" spans="1:15" ht="14.1" customHeight="1">
      <c r="A65" s="35" t="s">
        <v>152</v>
      </c>
      <c r="B65" s="36" t="s">
        <v>157</v>
      </c>
      <c r="C65" s="36"/>
      <c r="D65" s="37" t="s">
        <v>376</v>
      </c>
      <c r="E65" s="38">
        <f>E66+E67+E68+E69</f>
        <v>316</v>
      </c>
      <c r="F65" s="38">
        <f t="shared" ref="F65:M65" si="42">F66+F67+F68+F69</f>
        <v>85</v>
      </c>
      <c r="G65" s="38">
        <f t="shared" si="42"/>
        <v>2284</v>
      </c>
      <c r="H65" s="38">
        <f t="shared" si="42"/>
        <v>526</v>
      </c>
      <c r="I65" s="38">
        <f t="shared" si="42"/>
        <v>421</v>
      </c>
      <c r="J65" s="38">
        <f t="shared" si="42"/>
        <v>0</v>
      </c>
      <c r="K65" s="38">
        <f t="shared" si="42"/>
        <v>2447</v>
      </c>
      <c r="L65" s="38">
        <f t="shared" si="42"/>
        <v>1382</v>
      </c>
      <c r="M65" s="38">
        <f t="shared" si="42"/>
        <v>717</v>
      </c>
      <c r="N65" s="51">
        <f t="shared" si="1"/>
        <v>8178</v>
      </c>
      <c r="O65" s="39"/>
    </row>
    <row r="66" spans="1:15" ht="14.1" customHeight="1">
      <c r="A66" s="35" t="s">
        <v>154</v>
      </c>
      <c r="B66" s="50" t="s">
        <v>149</v>
      </c>
      <c r="C66" s="50"/>
      <c r="D66" s="44"/>
      <c r="E66" s="45"/>
      <c r="F66" s="45"/>
      <c r="G66" s="45">
        <v>995</v>
      </c>
      <c r="H66" s="45"/>
      <c r="I66" s="45"/>
      <c r="J66" s="45"/>
      <c r="K66" s="45">
        <v>1020</v>
      </c>
      <c r="L66" s="45">
        <v>690</v>
      </c>
      <c r="M66" s="45"/>
      <c r="N66" s="51">
        <f t="shared" si="1"/>
        <v>2705</v>
      </c>
      <c r="O66" s="39"/>
    </row>
    <row r="67" spans="1:15" ht="14.1" customHeight="1">
      <c r="A67" s="35" t="s">
        <v>156</v>
      </c>
      <c r="B67" s="50" t="s">
        <v>151</v>
      </c>
      <c r="C67" s="50"/>
      <c r="D67" s="37"/>
      <c r="E67" s="40"/>
      <c r="F67" s="40"/>
      <c r="G67" s="40">
        <v>1289</v>
      </c>
      <c r="H67" s="40"/>
      <c r="I67" s="40"/>
      <c r="J67" s="40"/>
      <c r="K67" s="40">
        <v>1427</v>
      </c>
      <c r="L67" s="40">
        <v>692</v>
      </c>
      <c r="M67" s="40"/>
      <c r="N67" s="51">
        <f t="shared" si="1"/>
        <v>3408</v>
      </c>
      <c r="O67" s="39"/>
    </row>
    <row r="68" spans="1:15" ht="14.1" customHeight="1">
      <c r="A68" s="35" t="s">
        <v>158</v>
      </c>
      <c r="B68" s="50" t="s">
        <v>153</v>
      </c>
      <c r="C68" s="50"/>
      <c r="D68" s="44"/>
      <c r="E68" s="45">
        <v>316</v>
      </c>
      <c r="F68" s="45">
        <v>85</v>
      </c>
      <c r="G68" s="45"/>
      <c r="H68" s="45">
        <v>526</v>
      </c>
      <c r="I68" s="45">
        <v>421</v>
      </c>
      <c r="J68" s="45"/>
      <c r="K68" s="45"/>
      <c r="L68" s="45"/>
      <c r="M68" s="45">
        <v>717</v>
      </c>
      <c r="N68" s="51">
        <f t="shared" ref="N68:N72" si="43">SUM(E68:M68)</f>
        <v>2065</v>
      </c>
      <c r="O68" s="39"/>
    </row>
    <row r="69" spans="1:15" ht="14.1" customHeight="1">
      <c r="A69" s="35" t="s">
        <v>159</v>
      </c>
      <c r="B69" s="50" t="s">
        <v>155</v>
      </c>
      <c r="C69" s="50"/>
      <c r="D69" s="44"/>
      <c r="E69" s="45"/>
      <c r="F69" s="45"/>
      <c r="G69" s="45"/>
      <c r="H69" s="45"/>
      <c r="I69" s="45"/>
      <c r="J69" s="45"/>
      <c r="K69" s="45"/>
      <c r="L69" s="45"/>
      <c r="M69" s="45"/>
      <c r="N69" s="51">
        <f t="shared" si="43"/>
        <v>0</v>
      </c>
      <c r="O69" s="39"/>
    </row>
    <row r="70" spans="1:15" ht="14.1" customHeight="1">
      <c r="A70" s="35" t="s">
        <v>160</v>
      </c>
      <c r="B70" s="36" t="s">
        <v>377</v>
      </c>
      <c r="C70" s="36"/>
      <c r="D70" s="37"/>
      <c r="E70" s="40">
        <v>11</v>
      </c>
      <c r="F70" s="40"/>
      <c r="G70" s="40">
        <v>120</v>
      </c>
      <c r="H70" s="40">
        <v>2</v>
      </c>
      <c r="I70" s="40">
        <v>14</v>
      </c>
      <c r="J70" s="40">
        <v>4</v>
      </c>
      <c r="K70" s="40">
        <v>161</v>
      </c>
      <c r="L70" s="40">
        <v>81</v>
      </c>
      <c r="M70" s="40">
        <v>13</v>
      </c>
      <c r="N70" s="51">
        <f t="shared" si="43"/>
        <v>406</v>
      </c>
      <c r="O70" s="39"/>
    </row>
    <row r="71" spans="1:15" ht="14.1" customHeight="1">
      <c r="A71" s="35" t="s">
        <v>161</v>
      </c>
      <c r="B71" s="50" t="s">
        <v>378</v>
      </c>
      <c r="C71" s="50"/>
      <c r="D71" s="47"/>
      <c r="E71" s="40">
        <v>4271.24</v>
      </c>
      <c r="F71" s="40">
        <v>7998</v>
      </c>
      <c r="G71" s="40">
        <v>29104.5</v>
      </c>
      <c r="H71" s="40">
        <v>10862.56</v>
      </c>
      <c r="I71" s="40">
        <v>6516.65</v>
      </c>
      <c r="J71" s="40">
        <v>2216</v>
      </c>
      <c r="K71" s="55">
        <v>18768.27</v>
      </c>
      <c r="L71" s="55">
        <v>11615</v>
      </c>
      <c r="M71" s="40">
        <v>7862.42</v>
      </c>
      <c r="N71" s="51">
        <f t="shared" si="43"/>
        <v>99214.64</v>
      </c>
      <c r="O71" s="39"/>
    </row>
    <row r="72" spans="1:15" ht="14.1" customHeight="1">
      <c r="A72" s="35" t="s">
        <v>162</v>
      </c>
      <c r="B72" s="50" t="s">
        <v>379</v>
      </c>
      <c r="C72" s="50"/>
      <c r="D72" s="47"/>
      <c r="E72" s="40">
        <v>2987.3</v>
      </c>
      <c r="F72" s="40">
        <v>3459</v>
      </c>
      <c r="G72" s="40">
        <v>12612.6</v>
      </c>
      <c r="H72" s="40">
        <v>6259.2</v>
      </c>
      <c r="I72" s="40">
        <v>4700</v>
      </c>
      <c r="J72" s="40">
        <v>6252</v>
      </c>
      <c r="K72" s="55">
        <v>18000</v>
      </c>
      <c r="L72" s="55">
        <v>12000</v>
      </c>
      <c r="M72" s="40">
        <v>4137.5</v>
      </c>
      <c r="N72" s="51">
        <f t="shared" si="43"/>
        <v>70407.600000000006</v>
      </c>
      <c r="O72" s="39"/>
    </row>
  </sheetData>
  <protectedRanges>
    <protectedRange password="E9C1" sqref="D30 C31 A5:D6 B7:D29 A2:O2 N5:O72 B32:D72 A7:A72 A4:O4 A3:D3 N3:O3" name="区域1_1"/>
    <protectedRange password="E9C1" sqref="B30:C30 B31" name="区域1_1_1"/>
    <protectedRange password="E9C1" sqref="D31" name="区域1_2"/>
  </protectedRanges>
  <mergeCells count="7">
    <mergeCell ref="A1:O1"/>
    <mergeCell ref="A2:A3"/>
    <mergeCell ref="B2:B3"/>
    <mergeCell ref="C2:C3"/>
    <mergeCell ref="D2:D3"/>
    <mergeCell ref="N2:N3"/>
    <mergeCell ref="O2:O3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85" orientation="landscape" verticalDpi="0" r:id="rId1"/>
  <headerFooter>
    <oddFooter>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3"/>
  <sheetViews>
    <sheetView topLeftCell="B25" workbookViewId="0">
      <selection activeCell="H52" sqref="H52"/>
    </sheetView>
  </sheetViews>
  <sheetFormatPr defaultColWidth="12.625" defaultRowHeight="11.25"/>
  <cols>
    <col min="1" max="1" width="4.5" style="21" customWidth="1"/>
    <col min="2" max="2" width="23.5" style="3" customWidth="1"/>
    <col min="3" max="3" width="11.875" style="3" hidden="1" customWidth="1"/>
    <col min="4" max="4" width="8.125" style="22" hidden="1" customWidth="1"/>
    <col min="5" max="19" width="11.625" style="3" customWidth="1"/>
    <col min="20" max="20" width="11.625" style="23" customWidth="1"/>
    <col min="21" max="16384" width="12.625" style="3"/>
  </cols>
  <sheetData>
    <row r="1" spans="1:20" ht="25.5">
      <c r="A1" s="793" t="s">
        <v>415</v>
      </c>
      <c r="B1" s="794"/>
      <c r="C1" s="794"/>
      <c r="D1" s="794"/>
      <c r="E1" s="794"/>
      <c r="F1" s="794"/>
      <c r="G1" s="794"/>
      <c r="H1" s="794"/>
      <c r="I1" s="794"/>
      <c r="J1" s="794"/>
      <c r="K1" s="794"/>
      <c r="L1" s="794"/>
      <c r="M1" s="794"/>
      <c r="N1" s="794"/>
      <c r="O1" s="794"/>
      <c r="P1" s="794"/>
      <c r="Q1" s="794"/>
      <c r="R1" s="794"/>
      <c r="S1" s="794"/>
      <c r="T1" s="794"/>
    </row>
    <row r="2" spans="1:20" ht="20.100000000000001" customHeight="1">
      <c r="A2" s="796" t="s">
        <v>12</v>
      </c>
      <c r="B2" s="796" t="s">
        <v>13</v>
      </c>
      <c r="C2" s="796" t="s">
        <v>14</v>
      </c>
      <c r="D2" s="796" t="s">
        <v>15</v>
      </c>
      <c r="E2" s="54" t="s">
        <v>176</v>
      </c>
      <c r="F2" s="54" t="s">
        <v>177</v>
      </c>
      <c r="G2" s="54" t="s">
        <v>178</v>
      </c>
      <c r="H2" s="54" t="s">
        <v>179</v>
      </c>
      <c r="I2" s="54" t="s">
        <v>180</v>
      </c>
      <c r="J2" s="54" t="s">
        <v>181</v>
      </c>
      <c r="K2" s="54" t="s">
        <v>182</v>
      </c>
      <c r="L2" s="54" t="s">
        <v>183</v>
      </c>
      <c r="M2" s="54" t="s">
        <v>184</v>
      </c>
      <c r="N2" s="54" t="s">
        <v>185</v>
      </c>
      <c r="O2" s="54" t="s">
        <v>186</v>
      </c>
      <c r="P2" s="54" t="s">
        <v>187</v>
      </c>
      <c r="Q2" s="54" t="s">
        <v>416</v>
      </c>
      <c r="R2" s="54" t="s">
        <v>417</v>
      </c>
      <c r="S2" s="54" t="s">
        <v>418</v>
      </c>
      <c r="T2" s="796" t="s">
        <v>17</v>
      </c>
    </row>
    <row r="3" spans="1:20" ht="20.100000000000001" customHeight="1">
      <c r="A3" s="797"/>
      <c r="B3" s="797"/>
      <c r="C3" s="797"/>
      <c r="D3" s="797"/>
      <c r="E3" s="54" t="s">
        <v>464</v>
      </c>
      <c r="F3" s="54" t="s">
        <v>464</v>
      </c>
      <c r="G3" s="54" t="s">
        <v>463</v>
      </c>
      <c r="H3" s="54" t="s">
        <v>463</v>
      </c>
      <c r="I3" s="54" t="s">
        <v>463</v>
      </c>
      <c r="J3" s="54" t="s">
        <v>463</v>
      </c>
      <c r="K3" s="54" t="s">
        <v>460</v>
      </c>
      <c r="L3" s="54" t="s">
        <v>460</v>
      </c>
      <c r="M3" s="54" t="s">
        <v>460</v>
      </c>
      <c r="N3" s="54" t="s">
        <v>460</v>
      </c>
      <c r="O3" s="54" t="s">
        <v>462</v>
      </c>
      <c r="P3" s="54" t="s">
        <v>461</v>
      </c>
      <c r="Q3" s="54" t="s">
        <v>460</v>
      </c>
      <c r="R3" s="54" t="s">
        <v>464</v>
      </c>
      <c r="S3" s="54" t="s">
        <v>460</v>
      </c>
      <c r="T3" s="797"/>
    </row>
    <row r="4" spans="1:20" ht="20.100000000000001" customHeight="1">
      <c r="A4" s="56" t="s">
        <v>19</v>
      </c>
      <c r="B4" s="57" t="s">
        <v>20</v>
      </c>
      <c r="C4" s="57"/>
      <c r="D4" s="58" t="s">
        <v>21</v>
      </c>
      <c r="E4" s="51">
        <f t="shared" ref="E4:S4" si="0">E5+E32+E37</f>
        <v>54543098</v>
      </c>
      <c r="F4" s="51">
        <f t="shared" si="0"/>
        <v>33998741.420000002</v>
      </c>
      <c r="G4" s="51">
        <f t="shared" si="0"/>
        <v>35345707.850000001</v>
      </c>
      <c r="H4" s="51">
        <f t="shared" si="0"/>
        <v>37169830.579999998</v>
      </c>
      <c r="I4" s="51">
        <f t="shared" si="0"/>
        <v>81358433.019999996</v>
      </c>
      <c r="J4" s="51">
        <f t="shared" si="0"/>
        <v>24678234.799999997</v>
      </c>
      <c r="K4" s="51">
        <f t="shared" si="0"/>
        <v>21121154.180000003</v>
      </c>
      <c r="L4" s="51">
        <f t="shared" si="0"/>
        <v>18230312.050000001</v>
      </c>
      <c r="M4" s="51">
        <f t="shared" si="0"/>
        <v>15264764.600000001</v>
      </c>
      <c r="N4" s="51">
        <f t="shared" si="0"/>
        <v>16255652.65</v>
      </c>
      <c r="O4" s="51">
        <f t="shared" si="0"/>
        <v>57176650.079999998</v>
      </c>
      <c r="P4" s="51">
        <f t="shared" si="0"/>
        <v>2168252.27</v>
      </c>
      <c r="Q4" s="51">
        <f t="shared" si="0"/>
        <v>6255688.7299999995</v>
      </c>
      <c r="R4" s="51">
        <f t="shared" si="0"/>
        <v>37264985.280000001</v>
      </c>
      <c r="S4" s="51">
        <f t="shared" si="0"/>
        <v>11821625.379999999</v>
      </c>
      <c r="T4" s="59">
        <f>SUM(E4:S4)</f>
        <v>452653130.88999999</v>
      </c>
    </row>
    <row r="5" spans="1:20" ht="20.100000000000001" customHeight="1">
      <c r="A5" s="56" t="s">
        <v>22</v>
      </c>
      <c r="B5" s="57" t="s">
        <v>0</v>
      </c>
      <c r="C5" s="57"/>
      <c r="D5" s="58" t="s">
        <v>21</v>
      </c>
      <c r="E5" s="51">
        <f>E6+E9+E13+E16+E21+E26+E28+E30+E31</f>
        <v>44642376</v>
      </c>
      <c r="F5" s="51">
        <f t="shared" ref="F5:S5" si="1">F6+F9+F13+F16+F21+F26+F28+F30+F31</f>
        <v>28039746.850000001</v>
      </c>
      <c r="G5" s="51">
        <f t="shared" si="1"/>
        <v>29046767.710000001</v>
      </c>
      <c r="H5" s="51">
        <f t="shared" si="1"/>
        <v>31542499.149999999</v>
      </c>
      <c r="I5" s="51">
        <f t="shared" si="1"/>
        <v>68203284.849999994</v>
      </c>
      <c r="J5" s="51">
        <f t="shared" si="1"/>
        <v>20988874.289999999</v>
      </c>
      <c r="K5" s="51">
        <f t="shared" si="1"/>
        <v>18041181.150000002</v>
      </c>
      <c r="L5" s="51">
        <f t="shared" si="1"/>
        <v>14440029.710000001</v>
      </c>
      <c r="M5" s="51">
        <f t="shared" si="1"/>
        <v>12796217.710000001</v>
      </c>
      <c r="N5" s="51">
        <f t="shared" si="1"/>
        <v>13983989.710000001</v>
      </c>
      <c r="O5" s="51">
        <f t="shared" si="1"/>
        <v>48615909.439999998</v>
      </c>
      <c r="P5" s="51">
        <f t="shared" si="1"/>
        <v>1844086.5599999998</v>
      </c>
      <c r="Q5" s="51">
        <f t="shared" si="1"/>
        <v>5140763.4399999995</v>
      </c>
      <c r="R5" s="51">
        <f t="shared" si="1"/>
        <v>31125677.149999999</v>
      </c>
      <c r="S5" s="51">
        <f t="shared" si="1"/>
        <v>9901269.1499999985</v>
      </c>
      <c r="T5" s="59">
        <f t="shared" ref="T5:T32" si="2">SUM(E5:S5)</f>
        <v>378352672.86999995</v>
      </c>
    </row>
    <row r="6" spans="1:20" ht="20.100000000000001" customHeight="1">
      <c r="A6" s="56" t="s">
        <v>23</v>
      </c>
      <c r="B6" s="57" t="s">
        <v>24</v>
      </c>
      <c r="C6" s="57"/>
      <c r="D6" s="58" t="s">
        <v>21</v>
      </c>
      <c r="E6" s="51">
        <f>E7+E8</f>
        <v>5655684</v>
      </c>
      <c r="F6" s="51">
        <f t="shared" ref="F6:S6" si="3">F7+F8</f>
        <v>3729912</v>
      </c>
      <c r="G6" s="51">
        <f t="shared" si="3"/>
        <v>4124088</v>
      </c>
      <c r="H6" s="51">
        <f t="shared" si="3"/>
        <v>4477608</v>
      </c>
      <c r="I6" s="51">
        <f t="shared" si="3"/>
        <v>8628396</v>
      </c>
      <c r="J6" s="51">
        <f t="shared" si="3"/>
        <v>2452596</v>
      </c>
      <c r="K6" s="51">
        <f t="shared" si="3"/>
        <v>2573184</v>
      </c>
      <c r="L6" s="51">
        <f t="shared" si="3"/>
        <v>2074392</v>
      </c>
      <c r="M6" s="51">
        <f t="shared" si="3"/>
        <v>1690656</v>
      </c>
      <c r="N6" s="51">
        <f t="shared" si="3"/>
        <v>1923372</v>
      </c>
      <c r="O6" s="51">
        <f t="shared" si="3"/>
        <v>5945388</v>
      </c>
      <c r="P6" s="51">
        <f t="shared" si="3"/>
        <v>248256</v>
      </c>
      <c r="Q6" s="51">
        <f t="shared" si="3"/>
        <v>626304</v>
      </c>
      <c r="R6" s="51">
        <f t="shared" si="3"/>
        <v>3279684</v>
      </c>
      <c r="S6" s="51">
        <f t="shared" si="3"/>
        <v>1311504</v>
      </c>
      <c r="T6" s="59">
        <f t="shared" si="2"/>
        <v>48741024</v>
      </c>
    </row>
    <row r="7" spans="1:20" ht="20.100000000000001" customHeight="1">
      <c r="A7" s="56" t="s">
        <v>25</v>
      </c>
      <c r="B7" s="57" t="s">
        <v>26</v>
      </c>
      <c r="C7" s="57" t="s">
        <v>27</v>
      </c>
      <c r="D7" s="58" t="s">
        <v>28</v>
      </c>
      <c r="E7" s="55">
        <f>260255*12</f>
        <v>3123060</v>
      </c>
      <c r="F7" s="55">
        <f>174196*12</f>
        <v>2090352</v>
      </c>
      <c r="G7" s="55">
        <f>175147*12</f>
        <v>2101764</v>
      </c>
      <c r="H7" s="55">
        <f>198727*12</f>
        <v>2384724</v>
      </c>
      <c r="I7" s="55">
        <f>430218*12</f>
        <v>5162616</v>
      </c>
      <c r="J7" s="55">
        <f>129657*12</f>
        <v>1555884</v>
      </c>
      <c r="K7" s="55">
        <f>119383*12</f>
        <v>1432596</v>
      </c>
      <c r="L7" s="55">
        <f>99210*12</f>
        <v>1190520</v>
      </c>
      <c r="M7" s="55">
        <f>86647*12</f>
        <v>1039764</v>
      </c>
      <c r="N7" s="55">
        <f>95558*12</f>
        <v>1146696</v>
      </c>
      <c r="O7" s="55">
        <f>295759*12</f>
        <v>3549108</v>
      </c>
      <c r="P7" s="55">
        <f>11583*12</f>
        <v>138996</v>
      </c>
      <c r="Q7" s="55">
        <f>34843*12</f>
        <v>418116</v>
      </c>
      <c r="R7" s="55">
        <f>179760*12</f>
        <v>2157120</v>
      </c>
      <c r="S7" s="55">
        <f>66319*12</f>
        <v>795828</v>
      </c>
      <c r="T7" s="59">
        <f t="shared" si="2"/>
        <v>28287144</v>
      </c>
    </row>
    <row r="8" spans="1:20" ht="20.100000000000001" customHeight="1">
      <c r="A8" s="56" t="s">
        <v>29</v>
      </c>
      <c r="B8" s="57" t="s">
        <v>30</v>
      </c>
      <c r="C8" s="57" t="s">
        <v>27</v>
      </c>
      <c r="D8" s="58" t="s">
        <v>28</v>
      </c>
      <c r="E8" s="55">
        <f>211052*12</f>
        <v>2532624</v>
      </c>
      <c r="F8" s="55">
        <f>136630*12</f>
        <v>1639560</v>
      </c>
      <c r="G8" s="55">
        <f>168527*12</f>
        <v>2022324</v>
      </c>
      <c r="H8" s="55">
        <f>174407*12</f>
        <v>2092884</v>
      </c>
      <c r="I8" s="55">
        <f>288815*12</f>
        <v>3465780</v>
      </c>
      <c r="J8" s="55">
        <f>74726*12</f>
        <v>896712</v>
      </c>
      <c r="K8" s="55">
        <f>95049*12</f>
        <v>1140588</v>
      </c>
      <c r="L8" s="55">
        <f>73656*12</f>
        <v>883872</v>
      </c>
      <c r="M8" s="55">
        <f>54241*12</f>
        <v>650892</v>
      </c>
      <c r="N8" s="55">
        <f>64723*12</f>
        <v>776676</v>
      </c>
      <c r="O8" s="55">
        <f>199690*12</f>
        <v>2396280</v>
      </c>
      <c r="P8" s="55">
        <f>9105*12</f>
        <v>109260</v>
      </c>
      <c r="Q8" s="55">
        <f>17349*12</f>
        <v>208188</v>
      </c>
      <c r="R8" s="55">
        <f>93547*12</f>
        <v>1122564</v>
      </c>
      <c r="S8" s="55">
        <f>42973*12</f>
        <v>515676</v>
      </c>
      <c r="T8" s="59">
        <f t="shared" si="2"/>
        <v>20453880</v>
      </c>
    </row>
    <row r="9" spans="1:20" ht="20.100000000000001" customHeight="1">
      <c r="A9" s="56" t="s">
        <v>31</v>
      </c>
      <c r="B9" s="57" t="s">
        <v>32</v>
      </c>
      <c r="C9" s="57"/>
      <c r="D9" s="58" t="s">
        <v>21</v>
      </c>
      <c r="E9" s="51">
        <f>E10+E11</f>
        <v>600084</v>
      </c>
      <c r="F9" s="51">
        <f t="shared" ref="F9:S9" si="4">F10+F11</f>
        <v>385644</v>
      </c>
      <c r="G9" s="51">
        <f t="shared" si="4"/>
        <v>413868</v>
      </c>
      <c r="H9" s="51">
        <f t="shared" si="4"/>
        <v>455004</v>
      </c>
      <c r="I9" s="51">
        <f t="shared" si="4"/>
        <v>1008564</v>
      </c>
      <c r="J9" s="51">
        <f t="shared" si="4"/>
        <v>319284</v>
      </c>
      <c r="K9" s="51">
        <f t="shared" si="4"/>
        <v>294900</v>
      </c>
      <c r="L9" s="51">
        <f t="shared" si="4"/>
        <v>235476</v>
      </c>
      <c r="M9" s="51">
        <f t="shared" si="4"/>
        <v>213696</v>
      </c>
      <c r="N9" s="51">
        <f t="shared" si="4"/>
        <v>230040</v>
      </c>
      <c r="O9" s="51">
        <f t="shared" si="4"/>
        <v>689484</v>
      </c>
      <c r="P9" s="51">
        <f t="shared" si="4"/>
        <v>26772</v>
      </c>
      <c r="Q9" s="51">
        <f t="shared" si="4"/>
        <v>90360</v>
      </c>
      <c r="R9" s="51">
        <f t="shared" si="4"/>
        <v>445920</v>
      </c>
      <c r="S9" s="51">
        <f t="shared" si="4"/>
        <v>165504</v>
      </c>
      <c r="T9" s="59">
        <f t="shared" si="2"/>
        <v>5574600</v>
      </c>
    </row>
    <row r="10" spans="1:20" ht="20.100000000000001" customHeight="1">
      <c r="A10" s="56" t="s">
        <v>33</v>
      </c>
      <c r="B10" s="57" t="s">
        <v>34</v>
      </c>
      <c r="C10" s="57" t="s">
        <v>27</v>
      </c>
      <c r="D10" s="58" t="s">
        <v>28</v>
      </c>
      <c r="E10" s="55">
        <f>727*12</f>
        <v>8724</v>
      </c>
      <c r="F10" s="55">
        <f>457*12</f>
        <v>5484</v>
      </c>
      <c r="G10" s="55">
        <f>609*12</f>
        <v>7308</v>
      </c>
      <c r="H10" s="55">
        <f>517*12</f>
        <v>6204</v>
      </c>
      <c r="I10" s="55">
        <f>887*12</f>
        <v>10644</v>
      </c>
      <c r="J10" s="55">
        <f>207*12</f>
        <v>2484</v>
      </c>
      <c r="K10" s="55">
        <f>375*12</f>
        <v>4500</v>
      </c>
      <c r="L10" s="55">
        <f>263*12</f>
        <v>3156</v>
      </c>
      <c r="M10" s="55">
        <f>208*12</f>
        <v>2496</v>
      </c>
      <c r="N10" s="55">
        <f>250*12</f>
        <v>3000</v>
      </c>
      <c r="O10" s="55">
        <f>697*12</f>
        <v>8364</v>
      </c>
      <c r="P10" s="55">
        <f>31*12</f>
        <v>372</v>
      </c>
      <c r="Q10" s="55">
        <f>50*12</f>
        <v>600</v>
      </c>
      <c r="R10" s="55">
        <f>200*12</f>
        <v>2400</v>
      </c>
      <c r="S10" s="55">
        <f>152*12</f>
        <v>1824</v>
      </c>
      <c r="T10" s="59">
        <f t="shared" si="2"/>
        <v>67560</v>
      </c>
    </row>
    <row r="11" spans="1:20" ht="20.100000000000001" customHeight="1">
      <c r="A11" s="56" t="s">
        <v>35</v>
      </c>
      <c r="B11" s="57" t="s">
        <v>36</v>
      </c>
      <c r="C11" s="57"/>
      <c r="D11" s="58" t="s">
        <v>21</v>
      </c>
      <c r="E11" s="51">
        <f>E12</f>
        <v>591360</v>
      </c>
      <c r="F11" s="51">
        <f t="shared" ref="F11:S11" si="5">F12</f>
        <v>380160</v>
      </c>
      <c r="G11" s="51">
        <f t="shared" si="5"/>
        <v>406560</v>
      </c>
      <c r="H11" s="51">
        <f t="shared" si="5"/>
        <v>448800</v>
      </c>
      <c r="I11" s="51">
        <f t="shared" si="5"/>
        <v>997920</v>
      </c>
      <c r="J11" s="51">
        <f t="shared" si="5"/>
        <v>316800</v>
      </c>
      <c r="K11" s="51">
        <f t="shared" si="5"/>
        <v>290400</v>
      </c>
      <c r="L11" s="51">
        <f t="shared" si="5"/>
        <v>232320</v>
      </c>
      <c r="M11" s="51">
        <f t="shared" si="5"/>
        <v>211200</v>
      </c>
      <c r="N11" s="51">
        <f t="shared" si="5"/>
        <v>227040</v>
      </c>
      <c r="O11" s="51">
        <f t="shared" si="5"/>
        <v>681120</v>
      </c>
      <c r="P11" s="51">
        <f t="shared" si="5"/>
        <v>26400</v>
      </c>
      <c r="Q11" s="51">
        <f t="shared" si="5"/>
        <v>89760</v>
      </c>
      <c r="R11" s="51">
        <f t="shared" si="5"/>
        <v>443520</v>
      </c>
      <c r="S11" s="51">
        <f t="shared" si="5"/>
        <v>163680</v>
      </c>
      <c r="T11" s="59">
        <f t="shared" si="2"/>
        <v>5507040</v>
      </c>
    </row>
    <row r="12" spans="1:20" s="15" customFormat="1" ht="20.100000000000001" customHeight="1">
      <c r="A12" s="56" t="s">
        <v>37</v>
      </c>
      <c r="B12" s="60" t="s">
        <v>195</v>
      </c>
      <c r="C12" s="60" t="s">
        <v>27</v>
      </c>
      <c r="D12" s="58" t="s">
        <v>28</v>
      </c>
      <c r="E12" s="55">
        <f>440*12*E60</f>
        <v>591360</v>
      </c>
      <c r="F12" s="55">
        <f t="shared" ref="F12:S12" si="6">440*12*F60</f>
        <v>380160</v>
      </c>
      <c r="G12" s="55">
        <f t="shared" si="6"/>
        <v>406560</v>
      </c>
      <c r="H12" s="55">
        <f t="shared" si="6"/>
        <v>448800</v>
      </c>
      <c r="I12" s="55">
        <f t="shared" si="6"/>
        <v>997920</v>
      </c>
      <c r="J12" s="55">
        <f t="shared" si="6"/>
        <v>316800</v>
      </c>
      <c r="K12" s="55">
        <f t="shared" si="6"/>
        <v>290400</v>
      </c>
      <c r="L12" s="55">
        <f t="shared" si="6"/>
        <v>232320</v>
      </c>
      <c r="M12" s="55">
        <f t="shared" si="6"/>
        <v>211200</v>
      </c>
      <c r="N12" s="55">
        <f t="shared" si="6"/>
        <v>227040</v>
      </c>
      <c r="O12" s="55">
        <f t="shared" si="6"/>
        <v>681120</v>
      </c>
      <c r="P12" s="55">
        <f t="shared" si="6"/>
        <v>26400</v>
      </c>
      <c r="Q12" s="55">
        <f t="shared" si="6"/>
        <v>89760</v>
      </c>
      <c r="R12" s="55">
        <f t="shared" si="6"/>
        <v>443520</v>
      </c>
      <c r="S12" s="55">
        <f t="shared" si="6"/>
        <v>163680</v>
      </c>
      <c r="T12" s="59">
        <f t="shared" si="2"/>
        <v>5507040</v>
      </c>
    </row>
    <row r="13" spans="1:20" ht="20.100000000000001" customHeight="1">
      <c r="A13" s="56" t="s">
        <v>39</v>
      </c>
      <c r="B13" s="57" t="s">
        <v>40</v>
      </c>
      <c r="C13" s="57"/>
      <c r="D13" s="58" t="s">
        <v>41</v>
      </c>
      <c r="E13" s="51">
        <f>E14+E15</f>
        <v>322320</v>
      </c>
      <c r="F13" s="51">
        <f t="shared" ref="F13:S13" si="7">F14+F15</f>
        <v>190474.28</v>
      </c>
      <c r="G13" s="51">
        <f t="shared" si="7"/>
        <v>197972.58</v>
      </c>
      <c r="H13" s="51">
        <f t="shared" si="7"/>
        <v>208645.72</v>
      </c>
      <c r="I13" s="51">
        <f t="shared" si="7"/>
        <v>450562.28</v>
      </c>
      <c r="J13" s="51">
        <f t="shared" si="7"/>
        <v>134691.42000000001</v>
      </c>
      <c r="K13" s="51">
        <f t="shared" si="7"/>
        <v>124141.72</v>
      </c>
      <c r="L13" s="51">
        <f t="shared" si="7"/>
        <v>99128.58</v>
      </c>
      <c r="M13" s="51">
        <f t="shared" si="7"/>
        <v>87104.58</v>
      </c>
      <c r="N13" s="51">
        <f t="shared" si="7"/>
        <v>96344.58</v>
      </c>
      <c r="O13" s="51">
        <f t="shared" si="7"/>
        <v>321641.14</v>
      </c>
      <c r="P13" s="51">
        <f t="shared" si="7"/>
        <v>12142.86</v>
      </c>
      <c r="Q13" s="51">
        <f t="shared" si="7"/>
        <v>32465.14</v>
      </c>
      <c r="R13" s="51">
        <f t="shared" si="7"/>
        <v>210853.72</v>
      </c>
      <c r="S13" s="51">
        <f t="shared" si="7"/>
        <v>67129.72</v>
      </c>
      <c r="T13" s="59">
        <f t="shared" si="2"/>
        <v>2555618.3200000003</v>
      </c>
    </row>
    <row r="14" spans="1:20" s="15" customFormat="1" ht="20.100000000000001" customHeight="1">
      <c r="A14" s="56" t="s">
        <v>42</v>
      </c>
      <c r="B14" s="60" t="s">
        <v>275</v>
      </c>
      <c r="C14" s="60" t="s">
        <v>27</v>
      </c>
      <c r="D14" s="58" t="s">
        <v>419</v>
      </c>
      <c r="E14" s="55">
        <f>ROUND(E30/0.07*0.005,2)</f>
        <v>161160</v>
      </c>
      <c r="F14" s="55">
        <f t="shared" ref="F14:S14" si="8">ROUND(F30/0.07*0.005,2)</f>
        <v>95237.14</v>
      </c>
      <c r="G14" s="55">
        <f t="shared" si="8"/>
        <v>98986.29</v>
      </c>
      <c r="H14" s="55">
        <f t="shared" si="8"/>
        <v>104322.86</v>
      </c>
      <c r="I14" s="55">
        <f t="shared" si="8"/>
        <v>225281.14</v>
      </c>
      <c r="J14" s="55">
        <f t="shared" si="8"/>
        <v>67345.710000000006</v>
      </c>
      <c r="K14" s="55">
        <f t="shared" si="8"/>
        <v>62070.86</v>
      </c>
      <c r="L14" s="55">
        <f t="shared" si="8"/>
        <v>49564.29</v>
      </c>
      <c r="M14" s="55">
        <f t="shared" si="8"/>
        <v>43552.29</v>
      </c>
      <c r="N14" s="55">
        <f t="shared" si="8"/>
        <v>48172.29</v>
      </c>
      <c r="O14" s="55">
        <f t="shared" si="8"/>
        <v>160820.57</v>
      </c>
      <c r="P14" s="55">
        <f t="shared" si="8"/>
        <v>6071.43</v>
      </c>
      <c r="Q14" s="55">
        <f t="shared" si="8"/>
        <v>16232.57</v>
      </c>
      <c r="R14" s="55">
        <f t="shared" si="8"/>
        <v>105426.86</v>
      </c>
      <c r="S14" s="55">
        <f t="shared" si="8"/>
        <v>33564.86</v>
      </c>
      <c r="T14" s="59">
        <f t="shared" si="2"/>
        <v>1277809.1600000001</v>
      </c>
    </row>
    <row r="15" spans="1:20" s="15" customFormat="1" ht="20.100000000000001" customHeight="1">
      <c r="A15" s="56" t="s">
        <v>44</v>
      </c>
      <c r="B15" s="60" t="s">
        <v>196</v>
      </c>
      <c r="C15" s="60" t="s">
        <v>27</v>
      </c>
      <c r="D15" s="58" t="s">
        <v>419</v>
      </c>
      <c r="E15" s="55">
        <f>ROUND(E30/0.07*0.005,2)</f>
        <v>161160</v>
      </c>
      <c r="F15" s="55">
        <f t="shared" ref="F15:S15" si="9">ROUND(F30/0.07*0.005,2)</f>
        <v>95237.14</v>
      </c>
      <c r="G15" s="55">
        <f t="shared" si="9"/>
        <v>98986.29</v>
      </c>
      <c r="H15" s="55">
        <f t="shared" si="9"/>
        <v>104322.86</v>
      </c>
      <c r="I15" s="55">
        <f t="shared" si="9"/>
        <v>225281.14</v>
      </c>
      <c r="J15" s="55">
        <f t="shared" si="9"/>
        <v>67345.710000000006</v>
      </c>
      <c r="K15" s="55">
        <f t="shared" si="9"/>
        <v>62070.86</v>
      </c>
      <c r="L15" s="55">
        <f t="shared" si="9"/>
        <v>49564.29</v>
      </c>
      <c r="M15" s="55">
        <f t="shared" si="9"/>
        <v>43552.29</v>
      </c>
      <c r="N15" s="55">
        <f t="shared" si="9"/>
        <v>48172.29</v>
      </c>
      <c r="O15" s="55">
        <f t="shared" si="9"/>
        <v>160820.57</v>
      </c>
      <c r="P15" s="55">
        <f t="shared" si="9"/>
        <v>6071.43</v>
      </c>
      <c r="Q15" s="55">
        <f t="shared" si="9"/>
        <v>16232.57</v>
      </c>
      <c r="R15" s="55">
        <f t="shared" si="9"/>
        <v>105426.86</v>
      </c>
      <c r="S15" s="55">
        <f t="shared" si="9"/>
        <v>33564.86</v>
      </c>
      <c r="T15" s="59">
        <f t="shared" si="2"/>
        <v>1277809.1600000001</v>
      </c>
    </row>
    <row r="16" spans="1:20" ht="20.100000000000001" customHeight="1">
      <c r="A16" s="56" t="s">
        <v>46</v>
      </c>
      <c r="B16" s="57" t="s">
        <v>47</v>
      </c>
      <c r="C16" s="57"/>
      <c r="D16" s="58" t="s">
        <v>21</v>
      </c>
      <c r="E16" s="51">
        <f>E17+E18+E19+E20</f>
        <v>23882208</v>
      </c>
      <c r="F16" s="51">
        <f t="shared" ref="F16:S16" si="10">F17+F18+F19+F20</f>
        <v>15352848</v>
      </c>
      <c r="G16" s="51">
        <f t="shared" si="10"/>
        <v>15600046</v>
      </c>
      <c r="H16" s="51">
        <f t="shared" si="10"/>
        <v>17220830</v>
      </c>
      <c r="I16" s="51">
        <f t="shared" si="10"/>
        <v>38291022</v>
      </c>
      <c r="J16" s="51">
        <f t="shared" si="10"/>
        <v>12155880</v>
      </c>
      <c r="K16" s="51">
        <f t="shared" si="10"/>
        <v>9586720</v>
      </c>
      <c r="L16" s="51">
        <f t="shared" si="10"/>
        <v>7669376</v>
      </c>
      <c r="M16" s="51">
        <f t="shared" si="10"/>
        <v>6972160</v>
      </c>
      <c r="N16" s="51">
        <f t="shared" si="10"/>
        <v>7495072</v>
      </c>
      <c r="O16" s="51">
        <f t="shared" si="10"/>
        <v>27507186</v>
      </c>
      <c r="P16" s="51">
        <f t="shared" si="10"/>
        <v>1022630</v>
      </c>
      <c r="Q16" s="51">
        <f t="shared" si="10"/>
        <v>2963168</v>
      </c>
      <c r="R16" s="51">
        <f t="shared" si="10"/>
        <v>17911656</v>
      </c>
      <c r="S16" s="51">
        <f t="shared" si="10"/>
        <v>5403424</v>
      </c>
      <c r="T16" s="59">
        <f t="shared" si="2"/>
        <v>209034226</v>
      </c>
    </row>
    <row r="17" spans="1:20" ht="20.100000000000001" customHeight="1">
      <c r="A17" s="56" t="s">
        <v>48</v>
      </c>
      <c r="B17" s="61" t="s">
        <v>49</v>
      </c>
      <c r="C17" s="61" t="s">
        <v>27</v>
      </c>
      <c r="D17" s="62" t="s">
        <v>197</v>
      </c>
      <c r="E17" s="63">
        <v>21496932</v>
      </c>
      <c r="F17" s="63">
        <v>13960316</v>
      </c>
      <c r="G17" s="63">
        <v>13740716</v>
      </c>
      <c r="H17" s="63">
        <v>15555734</v>
      </c>
      <c r="I17" s="63">
        <v>34593734</v>
      </c>
      <c r="J17" s="63">
        <v>10961008</v>
      </c>
      <c r="K17" s="63">
        <v>9018368</v>
      </c>
      <c r="L17" s="63">
        <v>7135836</v>
      </c>
      <c r="M17" s="63">
        <v>6528094</v>
      </c>
      <c r="N17" s="63">
        <v>7001000</v>
      </c>
      <c r="O17" s="63">
        <v>24830263</v>
      </c>
      <c r="P17" s="63">
        <v>992630</v>
      </c>
      <c r="Q17" s="63">
        <v>2657102</v>
      </c>
      <c r="R17" s="63">
        <v>16315264</v>
      </c>
      <c r="S17" s="63">
        <v>4996640</v>
      </c>
      <c r="T17" s="59">
        <f t="shared" si="2"/>
        <v>189783637</v>
      </c>
    </row>
    <row r="18" spans="1:20" ht="20.100000000000001" customHeight="1">
      <c r="A18" s="56" t="s">
        <v>51</v>
      </c>
      <c r="B18" s="61" t="s">
        <v>52</v>
      </c>
      <c r="C18" s="61" t="s">
        <v>27</v>
      </c>
      <c r="D18" s="62" t="s">
        <v>53</v>
      </c>
      <c r="E18" s="63">
        <v>593276</v>
      </c>
      <c r="F18" s="63">
        <v>240532</v>
      </c>
      <c r="G18" s="63">
        <v>627330</v>
      </c>
      <c r="H18" s="63">
        <v>305096</v>
      </c>
      <c r="I18" s="63">
        <v>673288</v>
      </c>
      <c r="J18" s="63">
        <v>234872</v>
      </c>
      <c r="K18" s="63">
        <v>238352</v>
      </c>
      <c r="L18" s="63">
        <v>269540</v>
      </c>
      <c r="M18" s="63">
        <v>204066</v>
      </c>
      <c r="N18" s="63">
        <v>236072</v>
      </c>
      <c r="O18" s="63">
        <v>612923</v>
      </c>
      <c r="P18" s="63"/>
      <c r="Q18" s="63">
        <v>204066</v>
      </c>
      <c r="R18" s="63">
        <v>252392</v>
      </c>
      <c r="S18" s="63">
        <v>220784</v>
      </c>
      <c r="T18" s="59">
        <f t="shared" si="2"/>
        <v>4912589</v>
      </c>
    </row>
    <row r="19" spans="1:20" ht="20.100000000000001" customHeight="1">
      <c r="A19" s="56" t="s">
        <v>54</v>
      </c>
      <c r="B19" s="61" t="s">
        <v>198</v>
      </c>
      <c r="C19" s="61" t="s">
        <v>27</v>
      </c>
      <c r="D19" s="58" t="s">
        <v>28</v>
      </c>
      <c r="E19" s="63">
        <f>500*12*E60</f>
        <v>672000</v>
      </c>
      <c r="F19" s="63">
        <f t="shared" ref="F19:S19" si="11">500*12*F60</f>
        <v>432000</v>
      </c>
      <c r="G19" s="63">
        <f t="shared" si="11"/>
        <v>462000</v>
      </c>
      <c r="H19" s="63">
        <f t="shared" si="11"/>
        <v>510000</v>
      </c>
      <c r="I19" s="63">
        <f t="shared" si="11"/>
        <v>1134000</v>
      </c>
      <c r="J19" s="63">
        <f t="shared" si="11"/>
        <v>360000</v>
      </c>
      <c r="K19" s="63">
        <f t="shared" si="11"/>
        <v>330000</v>
      </c>
      <c r="L19" s="63">
        <f t="shared" si="11"/>
        <v>264000</v>
      </c>
      <c r="M19" s="63">
        <f t="shared" si="11"/>
        <v>240000</v>
      </c>
      <c r="N19" s="63">
        <f t="shared" si="11"/>
        <v>258000</v>
      </c>
      <c r="O19" s="63">
        <f t="shared" si="11"/>
        <v>774000</v>
      </c>
      <c r="P19" s="63">
        <f t="shared" si="11"/>
        <v>30000</v>
      </c>
      <c r="Q19" s="63">
        <f t="shared" si="11"/>
        <v>102000</v>
      </c>
      <c r="R19" s="63">
        <f t="shared" si="11"/>
        <v>504000</v>
      </c>
      <c r="S19" s="63">
        <f t="shared" si="11"/>
        <v>186000</v>
      </c>
      <c r="T19" s="59">
        <f t="shared" si="2"/>
        <v>6258000</v>
      </c>
    </row>
    <row r="20" spans="1:20" ht="20.100000000000001" customHeight="1">
      <c r="A20" s="56" t="s">
        <v>56</v>
      </c>
      <c r="B20" s="61" t="s">
        <v>199</v>
      </c>
      <c r="C20" s="61" t="s">
        <v>27</v>
      </c>
      <c r="D20" s="58" t="s">
        <v>28</v>
      </c>
      <c r="E20" s="63">
        <f t="shared" ref="E20:J20" si="12">E60*10000</f>
        <v>1120000</v>
      </c>
      <c r="F20" s="63">
        <f t="shared" si="12"/>
        <v>720000</v>
      </c>
      <c r="G20" s="63">
        <f t="shared" si="12"/>
        <v>770000</v>
      </c>
      <c r="H20" s="63">
        <f t="shared" si="12"/>
        <v>850000</v>
      </c>
      <c r="I20" s="63">
        <f t="shared" si="12"/>
        <v>1890000</v>
      </c>
      <c r="J20" s="63">
        <f t="shared" si="12"/>
        <v>600000</v>
      </c>
      <c r="K20" s="63"/>
      <c r="L20" s="63"/>
      <c r="M20" s="63"/>
      <c r="N20" s="63"/>
      <c r="O20" s="63">
        <f>O60*10000</f>
        <v>1290000</v>
      </c>
      <c r="P20" s="63"/>
      <c r="Q20" s="63"/>
      <c r="R20" s="63">
        <f>R60*10000</f>
        <v>840000</v>
      </c>
      <c r="S20" s="63"/>
      <c r="T20" s="59">
        <f t="shared" si="2"/>
        <v>8080000</v>
      </c>
    </row>
    <row r="21" spans="1:20" ht="20.100000000000001" customHeight="1">
      <c r="A21" s="56" t="s">
        <v>58</v>
      </c>
      <c r="B21" s="57" t="s">
        <v>59</v>
      </c>
      <c r="C21" s="57"/>
      <c r="D21" s="62" t="s">
        <v>21</v>
      </c>
      <c r="E21" s="64">
        <f>E22+E23</f>
        <v>4190160</v>
      </c>
      <c r="F21" s="64">
        <f t="shared" ref="F21:S21" si="13">F22+F23</f>
        <v>2476165.71</v>
      </c>
      <c r="G21" s="64">
        <f t="shared" si="13"/>
        <v>2573643.42</v>
      </c>
      <c r="H21" s="64">
        <f t="shared" si="13"/>
        <v>2712394.29</v>
      </c>
      <c r="I21" s="64">
        <f t="shared" si="13"/>
        <v>5857309.71</v>
      </c>
      <c r="J21" s="64">
        <f t="shared" si="13"/>
        <v>1750988.58</v>
      </c>
      <c r="K21" s="64">
        <f t="shared" si="13"/>
        <v>1613842.29</v>
      </c>
      <c r="L21" s="64">
        <f t="shared" si="13"/>
        <v>1288671.42</v>
      </c>
      <c r="M21" s="64">
        <f t="shared" si="13"/>
        <v>1132359.42</v>
      </c>
      <c r="N21" s="64">
        <f t="shared" si="13"/>
        <v>1252479.42</v>
      </c>
      <c r="O21" s="64">
        <f t="shared" si="13"/>
        <v>4181334.87</v>
      </c>
      <c r="P21" s="64">
        <f t="shared" si="13"/>
        <v>157857.13</v>
      </c>
      <c r="Q21" s="64">
        <f t="shared" si="13"/>
        <v>422046.87</v>
      </c>
      <c r="R21" s="64">
        <f t="shared" si="13"/>
        <v>2741098.29</v>
      </c>
      <c r="S21" s="64">
        <f t="shared" si="13"/>
        <v>872686.29</v>
      </c>
      <c r="T21" s="59">
        <f t="shared" si="2"/>
        <v>33223037.710000005</v>
      </c>
    </row>
    <row r="22" spans="1:20" ht="20.100000000000001" customHeight="1">
      <c r="A22" s="56" t="s">
        <v>60</v>
      </c>
      <c r="B22" s="57" t="s">
        <v>420</v>
      </c>
      <c r="C22" s="57" t="s">
        <v>61</v>
      </c>
      <c r="D22" s="58" t="s">
        <v>419</v>
      </c>
      <c r="E22" s="63">
        <f>ROUND(E30/0.07*0.09,2)</f>
        <v>2900880</v>
      </c>
      <c r="F22" s="63">
        <f t="shared" ref="F22:S22" si="14">ROUND(F30/0.07*0.09,2)</f>
        <v>1714268.57</v>
      </c>
      <c r="G22" s="63">
        <f t="shared" si="14"/>
        <v>1781753.14</v>
      </c>
      <c r="H22" s="63">
        <f t="shared" si="14"/>
        <v>1877811.43</v>
      </c>
      <c r="I22" s="63">
        <f t="shared" si="14"/>
        <v>4055060.57</v>
      </c>
      <c r="J22" s="63">
        <f t="shared" si="14"/>
        <v>1212222.8600000001</v>
      </c>
      <c r="K22" s="63">
        <f t="shared" si="14"/>
        <v>1117275.43</v>
      </c>
      <c r="L22" s="63">
        <f t="shared" si="14"/>
        <v>892157.14</v>
      </c>
      <c r="M22" s="63">
        <f t="shared" si="14"/>
        <v>783941.14</v>
      </c>
      <c r="N22" s="63">
        <f t="shared" si="14"/>
        <v>867101.14</v>
      </c>
      <c r="O22" s="63">
        <f t="shared" si="14"/>
        <v>2894770.29</v>
      </c>
      <c r="P22" s="63">
        <f t="shared" si="14"/>
        <v>109285.71</v>
      </c>
      <c r="Q22" s="63">
        <f t="shared" si="14"/>
        <v>292186.28999999998</v>
      </c>
      <c r="R22" s="63">
        <f t="shared" si="14"/>
        <v>1897683.43</v>
      </c>
      <c r="S22" s="63">
        <f t="shared" si="14"/>
        <v>604167.43000000005</v>
      </c>
      <c r="T22" s="59">
        <f t="shared" si="2"/>
        <v>23000564.569999997</v>
      </c>
    </row>
    <row r="23" spans="1:20" ht="20.100000000000001" customHeight="1">
      <c r="A23" s="56" t="s">
        <v>62</v>
      </c>
      <c r="B23" s="57" t="s">
        <v>421</v>
      </c>
      <c r="C23" s="57"/>
      <c r="D23" s="62" t="s">
        <v>43</v>
      </c>
      <c r="E23" s="64">
        <f>E24+E25</f>
        <v>1289280</v>
      </c>
      <c r="F23" s="64">
        <f t="shared" ref="F23:S23" si="15">F24+F25</f>
        <v>761897.14</v>
      </c>
      <c r="G23" s="64">
        <f t="shared" si="15"/>
        <v>791890.28</v>
      </c>
      <c r="H23" s="64">
        <f t="shared" si="15"/>
        <v>834582.86</v>
      </c>
      <c r="I23" s="64">
        <f t="shared" si="15"/>
        <v>1802249.14</v>
      </c>
      <c r="J23" s="64">
        <f t="shared" si="15"/>
        <v>538765.72</v>
      </c>
      <c r="K23" s="64">
        <f t="shared" si="15"/>
        <v>496566.86</v>
      </c>
      <c r="L23" s="64">
        <f t="shared" si="15"/>
        <v>396514.28</v>
      </c>
      <c r="M23" s="64">
        <f t="shared" si="15"/>
        <v>348418.28</v>
      </c>
      <c r="N23" s="64">
        <f t="shared" si="15"/>
        <v>385378.28</v>
      </c>
      <c r="O23" s="64">
        <f t="shared" si="15"/>
        <v>1286564.58</v>
      </c>
      <c r="P23" s="64">
        <f t="shared" si="15"/>
        <v>48571.42</v>
      </c>
      <c r="Q23" s="64">
        <f t="shared" si="15"/>
        <v>129860.58</v>
      </c>
      <c r="R23" s="64">
        <f t="shared" si="15"/>
        <v>843414.86</v>
      </c>
      <c r="S23" s="64">
        <f t="shared" si="15"/>
        <v>268518.86</v>
      </c>
      <c r="T23" s="59">
        <f t="shared" si="2"/>
        <v>10222473.140000001</v>
      </c>
    </row>
    <row r="24" spans="1:20" ht="20.100000000000001" customHeight="1">
      <c r="A24" s="56" t="s">
        <v>64</v>
      </c>
      <c r="B24" s="57" t="s">
        <v>422</v>
      </c>
      <c r="C24" s="57" t="s">
        <v>61</v>
      </c>
      <c r="D24" s="58" t="s">
        <v>423</v>
      </c>
      <c r="E24" s="63">
        <f>ROUND(E30/0.07*0.02,2)</f>
        <v>644640</v>
      </c>
      <c r="F24" s="63">
        <f t="shared" ref="F24:S24" si="16">ROUND(F30/0.07*0.02,2)</f>
        <v>380948.57</v>
      </c>
      <c r="G24" s="63">
        <f t="shared" si="16"/>
        <v>395945.14</v>
      </c>
      <c r="H24" s="63">
        <f t="shared" si="16"/>
        <v>417291.43</v>
      </c>
      <c r="I24" s="63">
        <f t="shared" si="16"/>
        <v>901124.57</v>
      </c>
      <c r="J24" s="63">
        <f t="shared" si="16"/>
        <v>269382.86</v>
      </c>
      <c r="K24" s="63">
        <f t="shared" si="16"/>
        <v>248283.43</v>
      </c>
      <c r="L24" s="63">
        <f t="shared" si="16"/>
        <v>198257.14</v>
      </c>
      <c r="M24" s="63">
        <f t="shared" si="16"/>
        <v>174209.14</v>
      </c>
      <c r="N24" s="63">
        <f t="shared" si="16"/>
        <v>192689.14</v>
      </c>
      <c r="O24" s="63">
        <f t="shared" si="16"/>
        <v>643282.29</v>
      </c>
      <c r="P24" s="63">
        <f t="shared" si="16"/>
        <v>24285.71</v>
      </c>
      <c r="Q24" s="63">
        <f t="shared" si="16"/>
        <v>64930.29</v>
      </c>
      <c r="R24" s="63">
        <f t="shared" si="16"/>
        <v>421707.43</v>
      </c>
      <c r="S24" s="63">
        <f t="shared" si="16"/>
        <v>134259.43</v>
      </c>
      <c r="T24" s="59">
        <f t="shared" si="2"/>
        <v>5111236.57</v>
      </c>
    </row>
    <row r="25" spans="1:20" ht="20.100000000000001" customHeight="1">
      <c r="A25" s="56" t="s">
        <v>65</v>
      </c>
      <c r="B25" s="57" t="s">
        <v>424</v>
      </c>
      <c r="C25" s="57" t="s">
        <v>61</v>
      </c>
      <c r="D25" s="58" t="s">
        <v>423</v>
      </c>
      <c r="E25" s="63">
        <f>ROUND(E30/0.07*0.02,2)</f>
        <v>644640</v>
      </c>
      <c r="F25" s="63">
        <f t="shared" ref="F25:S25" si="17">ROUND(F30/0.07*0.02,2)</f>
        <v>380948.57</v>
      </c>
      <c r="G25" s="63">
        <f t="shared" si="17"/>
        <v>395945.14</v>
      </c>
      <c r="H25" s="63">
        <f t="shared" si="17"/>
        <v>417291.43</v>
      </c>
      <c r="I25" s="63">
        <f t="shared" si="17"/>
        <v>901124.57</v>
      </c>
      <c r="J25" s="63">
        <f t="shared" si="17"/>
        <v>269382.86</v>
      </c>
      <c r="K25" s="63">
        <f t="shared" si="17"/>
        <v>248283.43</v>
      </c>
      <c r="L25" s="63">
        <f t="shared" si="17"/>
        <v>198257.14</v>
      </c>
      <c r="M25" s="63">
        <f t="shared" si="17"/>
        <v>174209.14</v>
      </c>
      <c r="N25" s="63">
        <f t="shared" si="17"/>
        <v>192689.14</v>
      </c>
      <c r="O25" s="63">
        <f t="shared" si="17"/>
        <v>643282.29</v>
      </c>
      <c r="P25" s="63">
        <f t="shared" si="17"/>
        <v>24285.71</v>
      </c>
      <c r="Q25" s="63">
        <f t="shared" si="17"/>
        <v>64930.29</v>
      </c>
      <c r="R25" s="63">
        <f t="shared" si="17"/>
        <v>421707.43</v>
      </c>
      <c r="S25" s="63">
        <f t="shared" si="17"/>
        <v>134259.43</v>
      </c>
      <c r="T25" s="59">
        <f t="shared" si="2"/>
        <v>5111236.57</v>
      </c>
    </row>
    <row r="26" spans="1:20" ht="20.100000000000001" customHeight="1">
      <c r="A26" s="56" t="s">
        <v>66</v>
      </c>
      <c r="B26" s="57" t="s">
        <v>67</v>
      </c>
      <c r="C26" s="57"/>
      <c r="D26" s="58" t="s">
        <v>21</v>
      </c>
      <c r="E26" s="51">
        <f t="shared" ref="E26:S26" si="18">E27</f>
        <v>5157120</v>
      </c>
      <c r="F26" s="51">
        <f t="shared" si="18"/>
        <v>3047588.57</v>
      </c>
      <c r="G26" s="51">
        <f t="shared" si="18"/>
        <v>3167561.14</v>
      </c>
      <c r="H26" s="51">
        <f t="shared" si="18"/>
        <v>3338331.43</v>
      </c>
      <c r="I26" s="51">
        <f t="shared" si="18"/>
        <v>7208996.5700000003</v>
      </c>
      <c r="J26" s="51">
        <f t="shared" si="18"/>
        <v>2155062.86</v>
      </c>
      <c r="K26" s="51">
        <f t="shared" si="18"/>
        <v>1986267.43</v>
      </c>
      <c r="L26" s="51">
        <f t="shared" si="18"/>
        <v>1586057.14</v>
      </c>
      <c r="M26" s="51">
        <f t="shared" si="18"/>
        <v>1393673.14</v>
      </c>
      <c r="N26" s="51">
        <f t="shared" si="18"/>
        <v>1541513.14</v>
      </c>
      <c r="O26" s="51">
        <f t="shared" si="18"/>
        <v>5146258.29</v>
      </c>
      <c r="P26" s="51">
        <f t="shared" si="18"/>
        <v>194285.71</v>
      </c>
      <c r="Q26" s="51">
        <f t="shared" si="18"/>
        <v>519442.29</v>
      </c>
      <c r="R26" s="51">
        <f t="shared" si="18"/>
        <v>3373659.43</v>
      </c>
      <c r="S26" s="51">
        <f t="shared" si="18"/>
        <v>1074075.43</v>
      </c>
      <c r="T26" s="59">
        <f t="shared" si="2"/>
        <v>40889892.57</v>
      </c>
    </row>
    <row r="27" spans="1:20" s="15" customFormat="1" ht="20.100000000000001" customHeight="1">
      <c r="A27" s="56" t="s">
        <v>68</v>
      </c>
      <c r="B27" s="60" t="s">
        <v>201</v>
      </c>
      <c r="C27" s="60" t="s">
        <v>70</v>
      </c>
      <c r="D27" s="58" t="s">
        <v>419</v>
      </c>
      <c r="E27" s="55">
        <f>ROUND(E30/0.07*0.16,2)</f>
        <v>5157120</v>
      </c>
      <c r="F27" s="55">
        <f t="shared" ref="F27:S27" si="19">ROUND(F30/0.07*0.16,2)</f>
        <v>3047588.57</v>
      </c>
      <c r="G27" s="55">
        <f t="shared" si="19"/>
        <v>3167561.14</v>
      </c>
      <c r="H27" s="55">
        <f t="shared" si="19"/>
        <v>3338331.43</v>
      </c>
      <c r="I27" s="55">
        <f t="shared" si="19"/>
        <v>7208996.5700000003</v>
      </c>
      <c r="J27" s="55">
        <f t="shared" si="19"/>
        <v>2155062.86</v>
      </c>
      <c r="K27" s="55">
        <f t="shared" si="19"/>
        <v>1986267.43</v>
      </c>
      <c r="L27" s="55">
        <f t="shared" si="19"/>
        <v>1586057.14</v>
      </c>
      <c r="M27" s="55">
        <f t="shared" si="19"/>
        <v>1393673.14</v>
      </c>
      <c r="N27" s="55">
        <f t="shared" si="19"/>
        <v>1541513.14</v>
      </c>
      <c r="O27" s="55">
        <f t="shared" si="19"/>
        <v>5146258.29</v>
      </c>
      <c r="P27" s="55">
        <f t="shared" si="19"/>
        <v>194285.71</v>
      </c>
      <c r="Q27" s="55">
        <f t="shared" si="19"/>
        <v>519442.29</v>
      </c>
      <c r="R27" s="55">
        <f t="shared" si="19"/>
        <v>3373659.43</v>
      </c>
      <c r="S27" s="55">
        <f t="shared" si="19"/>
        <v>1074075.43</v>
      </c>
      <c r="T27" s="59">
        <f t="shared" si="2"/>
        <v>40889892.57</v>
      </c>
    </row>
    <row r="28" spans="1:20" ht="20.100000000000001" customHeight="1">
      <c r="A28" s="56" t="s">
        <v>71</v>
      </c>
      <c r="B28" s="57" t="s">
        <v>72</v>
      </c>
      <c r="C28" s="57"/>
      <c r="D28" s="58" t="s">
        <v>21</v>
      </c>
      <c r="E28" s="51">
        <f t="shared" ref="E28:S28" si="20">E29</f>
        <v>2578560</v>
      </c>
      <c r="F28" s="51">
        <f t="shared" si="20"/>
        <v>1523794.29</v>
      </c>
      <c r="G28" s="51">
        <f t="shared" si="20"/>
        <v>1583780.57</v>
      </c>
      <c r="H28" s="51">
        <f t="shared" si="20"/>
        <v>1669165.71</v>
      </c>
      <c r="I28" s="51">
        <f t="shared" si="20"/>
        <v>3604498.29</v>
      </c>
      <c r="J28" s="51">
        <f t="shared" si="20"/>
        <v>1077531.43</v>
      </c>
      <c r="K28" s="51">
        <f t="shared" si="20"/>
        <v>993133.71</v>
      </c>
      <c r="L28" s="51">
        <f t="shared" si="20"/>
        <v>793028.57</v>
      </c>
      <c r="M28" s="51">
        <f t="shared" si="20"/>
        <v>696836.57</v>
      </c>
      <c r="N28" s="51">
        <f t="shared" si="20"/>
        <v>770756.57</v>
      </c>
      <c r="O28" s="51">
        <f t="shared" si="20"/>
        <v>2573129.14</v>
      </c>
      <c r="P28" s="51">
        <f t="shared" si="20"/>
        <v>97142.86</v>
      </c>
      <c r="Q28" s="51">
        <f t="shared" si="20"/>
        <v>259721.14</v>
      </c>
      <c r="R28" s="51">
        <f t="shared" si="20"/>
        <v>1686829.71</v>
      </c>
      <c r="S28" s="51">
        <f t="shared" si="20"/>
        <v>537037.71</v>
      </c>
      <c r="T28" s="59">
        <f t="shared" si="2"/>
        <v>20444946.270000003</v>
      </c>
    </row>
    <row r="29" spans="1:20" s="15" customFormat="1" ht="20.100000000000001" customHeight="1">
      <c r="A29" s="56" t="s">
        <v>73</v>
      </c>
      <c r="B29" s="60" t="s">
        <v>74</v>
      </c>
      <c r="C29" s="60" t="s">
        <v>75</v>
      </c>
      <c r="D29" s="58" t="s">
        <v>419</v>
      </c>
      <c r="E29" s="55">
        <f>ROUND(E30/0.07*0.08,2)</f>
        <v>2578560</v>
      </c>
      <c r="F29" s="55">
        <f t="shared" ref="F29:S29" si="21">ROUND(F30/0.07*0.08,2)</f>
        <v>1523794.29</v>
      </c>
      <c r="G29" s="55">
        <f t="shared" si="21"/>
        <v>1583780.57</v>
      </c>
      <c r="H29" s="55">
        <f t="shared" si="21"/>
        <v>1669165.71</v>
      </c>
      <c r="I29" s="55">
        <f t="shared" si="21"/>
        <v>3604498.29</v>
      </c>
      <c r="J29" s="55">
        <f t="shared" si="21"/>
        <v>1077531.43</v>
      </c>
      <c r="K29" s="55">
        <f t="shared" si="21"/>
        <v>993133.71</v>
      </c>
      <c r="L29" s="55">
        <f t="shared" si="21"/>
        <v>793028.57</v>
      </c>
      <c r="M29" s="55">
        <f t="shared" si="21"/>
        <v>696836.57</v>
      </c>
      <c r="N29" s="55">
        <f t="shared" si="21"/>
        <v>770756.57</v>
      </c>
      <c r="O29" s="55">
        <f t="shared" si="21"/>
        <v>2573129.14</v>
      </c>
      <c r="P29" s="55">
        <f t="shared" si="21"/>
        <v>97142.86</v>
      </c>
      <c r="Q29" s="55">
        <f t="shared" si="21"/>
        <v>259721.14</v>
      </c>
      <c r="R29" s="55">
        <f t="shared" si="21"/>
        <v>1686829.71</v>
      </c>
      <c r="S29" s="55">
        <f t="shared" si="21"/>
        <v>537037.71</v>
      </c>
      <c r="T29" s="59">
        <f t="shared" si="2"/>
        <v>20444946.270000003</v>
      </c>
    </row>
    <row r="30" spans="1:20" ht="20.100000000000001" customHeight="1">
      <c r="A30" s="56" t="s">
        <v>76</v>
      </c>
      <c r="B30" s="57" t="s">
        <v>425</v>
      </c>
      <c r="C30" s="57" t="s">
        <v>78</v>
      </c>
      <c r="D30" s="58" t="s">
        <v>28</v>
      </c>
      <c r="E30" s="63">
        <f>188020*12</f>
        <v>2256240</v>
      </c>
      <c r="F30" s="63">
        <f>111110*12</f>
        <v>1333320</v>
      </c>
      <c r="G30" s="63">
        <f>115484*12</f>
        <v>1385808</v>
      </c>
      <c r="H30" s="63">
        <f>121710*12</f>
        <v>1460520</v>
      </c>
      <c r="I30" s="63">
        <f>262828*12</f>
        <v>3153936</v>
      </c>
      <c r="J30" s="63">
        <f>78570*12</f>
        <v>942840</v>
      </c>
      <c r="K30" s="63">
        <f>72416*12</f>
        <v>868992</v>
      </c>
      <c r="L30" s="63">
        <f>57825*12</f>
        <v>693900</v>
      </c>
      <c r="M30" s="63">
        <f>50811*12</f>
        <v>609732</v>
      </c>
      <c r="N30" s="63">
        <f>56201*12</f>
        <v>674412</v>
      </c>
      <c r="O30" s="63">
        <f>187624*12</f>
        <v>2251488</v>
      </c>
      <c r="P30" s="63">
        <v>85000</v>
      </c>
      <c r="Q30" s="63">
        <f>18938*12</f>
        <v>227256</v>
      </c>
      <c r="R30" s="63">
        <f>122998*12</f>
        <v>1475976</v>
      </c>
      <c r="S30" s="63">
        <f>39159*12</f>
        <v>469908</v>
      </c>
      <c r="T30" s="59">
        <f t="shared" si="2"/>
        <v>17889328</v>
      </c>
    </row>
    <row r="31" spans="1:20" ht="20.100000000000001" customHeight="1">
      <c r="A31" s="56" t="s">
        <v>80</v>
      </c>
      <c r="B31" s="57" t="s">
        <v>203</v>
      </c>
      <c r="C31" s="61" t="s">
        <v>27</v>
      </c>
      <c r="D31" s="65" t="s">
        <v>204</v>
      </c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59">
        <f t="shared" si="2"/>
        <v>0</v>
      </c>
    </row>
    <row r="32" spans="1:20" ht="20.100000000000001" customHeight="1">
      <c r="A32" s="56" t="s">
        <v>83</v>
      </c>
      <c r="B32" s="57" t="s">
        <v>84</v>
      </c>
      <c r="C32" s="57"/>
      <c r="D32" s="58" t="s">
        <v>21</v>
      </c>
      <c r="E32" s="51">
        <f>E33+E35</f>
        <v>1810500</v>
      </c>
      <c r="F32" s="51">
        <f t="shared" ref="F32:S32" si="22">F33+F35</f>
        <v>1078140</v>
      </c>
      <c r="G32" s="51">
        <f t="shared" si="22"/>
        <v>1367880</v>
      </c>
      <c r="H32" s="51">
        <f t="shared" si="22"/>
        <v>876420</v>
      </c>
      <c r="I32" s="51">
        <f t="shared" si="22"/>
        <v>384420</v>
      </c>
      <c r="J32" s="51">
        <f t="shared" si="22"/>
        <v>2520</v>
      </c>
      <c r="K32" s="51">
        <f t="shared" si="22"/>
        <v>205560</v>
      </c>
      <c r="L32" s="51">
        <f t="shared" si="22"/>
        <v>319440</v>
      </c>
      <c r="M32" s="51">
        <f t="shared" si="22"/>
        <v>99660</v>
      </c>
      <c r="N32" s="51">
        <f t="shared" si="22"/>
        <v>16260</v>
      </c>
      <c r="O32" s="51">
        <f t="shared" si="22"/>
        <v>77340</v>
      </c>
      <c r="P32" s="51">
        <f t="shared" si="22"/>
        <v>78900</v>
      </c>
      <c r="Q32" s="51">
        <f t="shared" si="22"/>
        <v>360</v>
      </c>
      <c r="R32" s="51">
        <f t="shared" si="22"/>
        <v>74280</v>
      </c>
      <c r="S32" s="51">
        <f t="shared" si="22"/>
        <v>174360</v>
      </c>
      <c r="T32" s="59">
        <f t="shared" si="2"/>
        <v>6566040</v>
      </c>
    </row>
    <row r="33" spans="1:20" ht="20.100000000000001" customHeight="1">
      <c r="A33" s="56" t="s">
        <v>85</v>
      </c>
      <c r="B33" s="57" t="s">
        <v>205</v>
      </c>
      <c r="C33" s="57" t="s">
        <v>87</v>
      </c>
      <c r="D33" s="62" t="s">
        <v>206</v>
      </c>
      <c r="E33" s="64">
        <f>E34</f>
        <v>1807260</v>
      </c>
      <c r="F33" s="64">
        <f t="shared" ref="F33:S33" si="23">F34</f>
        <v>1074900</v>
      </c>
      <c r="G33" s="64">
        <f t="shared" si="23"/>
        <v>1365360</v>
      </c>
      <c r="H33" s="64">
        <f t="shared" si="23"/>
        <v>874260</v>
      </c>
      <c r="I33" s="64">
        <f t="shared" si="23"/>
        <v>380100</v>
      </c>
      <c r="J33" s="64">
        <f t="shared" si="23"/>
        <v>0</v>
      </c>
      <c r="K33" s="64">
        <f t="shared" si="23"/>
        <v>202320</v>
      </c>
      <c r="L33" s="64">
        <f t="shared" si="23"/>
        <v>316560</v>
      </c>
      <c r="M33" s="64">
        <f t="shared" si="23"/>
        <v>95340</v>
      </c>
      <c r="N33" s="64">
        <f t="shared" si="23"/>
        <v>13020</v>
      </c>
      <c r="O33" s="64">
        <f t="shared" si="23"/>
        <v>73380</v>
      </c>
      <c r="P33" s="64">
        <f t="shared" si="23"/>
        <v>78900</v>
      </c>
      <c r="Q33" s="64">
        <f t="shared" si="23"/>
        <v>0</v>
      </c>
      <c r="R33" s="64">
        <f t="shared" si="23"/>
        <v>70620</v>
      </c>
      <c r="S33" s="64">
        <f t="shared" si="23"/>
        <v>173280</v>
      </c>
      <c r="T33" s="59">
        <f t="shared" ref="T33:T61" si="24">SUM(E33:S33)</f>
        <v>6525300</v>
      </c>
    </row>
    <row r="34" spans="1:20" ht="20.100000000000001" customHeight="1">
      <c r="A34" s="56" t="s">
        <v>89</v>
      </c>
      <c r="B34" s="57" t="s">
        <v>207</v>
      </c>
      <c r="C34" s="57" t="s">
        <v>87</v>
      </c>
      <c r="D34" s="62" t="s">
        <v>206</v>
      </c>
      <c r="E34" s="55">
        <f>150605*12</f>
        <v>1807260</v>
      </c>
      <c r="F34" s="55">
        <f>89575*12</f>
        <v>1074900</v>
      </c>
      <c r="G34" s="55">
        <f>113780*12</f>
        <v>1365360</v>
      </c>
      <c r="H34" s="55">
        <f>72855*12</f>
        <v>874260</v>
      </c>
      <c r="I34" s="55">
        <f>31675*12</f>
        <v>380100</v>
      </c>
      <c r="J34" s="55"/>
      <c r="K34" s="55">
        <f>16860*12</f>
        <v>202320</v>
      </c>
      <c r="L34" s="55">
        <f>26380*12</f>
        <v>316560</v>
      </c>
      <c r="M34" s="55">
        <f>7945*12</f>
        <v>95340</v>
      </c>
      <c r="N34" s="55">
        <f>1085*12</f>
        <v>13020</v>
      </c>
      <c r="O34" s="55">
        <f>6115*12</f>
        <v>73380</v>
      </c>
      <c r="P34" s="55">
        <f>6575*12</f>
        <v>78900</v>
      </c>
      <c r="Q34" s="55"/>
      <c r="R34" s="55">
        <f>5885*12</f>
        <v>70620</v>
      </c>
      <c r="S34" s="55">
        <f>14440*12</f>
        <v>173280</v>
      </c>
      <c r="T34" s="59">
        <f t="shared" si="24"/>
        <v>6525300</v>
      </c>
    </row>
    <row r="35" spans="1:20" ht="20.100000000000001" customHeight="1">
      <c r="A35" s="56" t="s">
        <v>91</v>
      </c>
      <c r="B35" s="57" t="s">
        <v>92</v>
      </c>
      <c r="C35" s="57"/>
      <c r="D35" s="58" t="s">
        <v>21</v>
      </c>
      <c r="E35" s="51">
        <f>E36</f>
        <v>3240</v>
      </c>
      <c r="F35" s="51">
        <f t="shared" ref="F35:S35" si="25">F36</f>
        <v>3240</v>
      </c>
      <c r="G35" s="51">
        <f t="shared" si="25"/>
        <v>2520</v>
      </c>
      <c r="H35" s="51">
        <f t="shared" si="25"/>
        <v>2160</v>
      </c>
      <c r="I35" s="51">
        <f>360*12</f>
        <v>4320</v>
      </c>
      <c r="J35" s="51">
        <f t="shared" si="25"/>
        <v>2520</v>
      </c>
      <c r="K35" s="51">
        <f t="shared" si="25"/>
        <v>3240</v>
      </c>
      <c r="L35" s="51">
        <f t="shared" si="25"/>
        <v>2880</v>
      </c>
      <c r="M35" s="51">
        <f t="shared" si="25"/>
        <v>4320</v>
      </c>
      <c r="N35" s="51">
        <f t="shared" si="25"/>
        <v>3240</v>
      </c>
      <c r="O35" s="51">
        <f t="shared" si="25"/>
        <v>3960</v>
      </c>
      <c r="P35" s="51">
        <f t="shared" si="25"/>
        <v>0</v>
      </c>
      <c r="Q35" s="51">
        <f t="shared" si="25"/>
        <v>360</v>
      </c>
      <c r="R35" s="51">
        <f t="shared" si="25"/>
        <v>3660</v>
      </c>
      <c r="S35" s="51">
        <f t="shared" si="25"/>
        <v>1080</v>
      </c>
      <c r="T35" s="59">
        <f t="shared" si="24"/>
        <v>40740</v>
      </c>
    </row>
    <row r="36" spans="1:20" ht="20.100000000000001" customHeight="1">
      <c r="A36" s="56" t="s">
        <v>93</v>
      </c>
      <c r="B36" s="57" t="s">
        <v>94</v>
      </c>
      <c r="C36" s="57" t="s">
        <v>27</v>
      </c>
      <c r="D36" s="58" t="s">
        <v>28</v>
      </c>
      <c r="E36" s="55">
        <f>270*12</f>
        <v>3240</v>
      </c>
      <c r="F36" s="55">
        <f>270*12</f>
        <v>3240</v>
      </c>
      <c r="G36" s="55">
        <f>210*12</f>
        <v>2520</v>
      </c>
      <c r="H36" s="55">
        <f>180*12</f>
        <v>2160</v>
      </c>
      <c r="I36" s="55">
        <f>360*12</f>
        <v>4320</v>
      </c>
      <c r="J36" s="55">
        <f>210*12</f>
        <v>2520</v>
      </c>
      <c r="K36" s="55">
        <f>270*12</f>
        <v>3240</v>
      </c>
      <c r="L36" s="55">
        <f>240*12</f>
        <v>2880</v>
      </c>
      <c r="M36" s="55">
        <f>360*12</f>
        <v>4320</v>
      </c>
      <c r="N36" s="55">
        <f>270*12</f>
        <v>3240</v>
      </c>
      <c r="O36" s="55">
        <f>330*12</f>
        <v>3960</v>
      </c>
      <c r="P36" s="55"/>
      <c r="Q36" s="55">
        <f>30*12</f>
        <v>360</v>
      </c>
      <c r="R36" s="55">
        <v>3660</v>
      </c>
      <c r="S36" s="55">
        <f>90*12</f>
        <v>1080</v>
      </c>
      <c r="T36" s="59">
        <f t="shared" si="24"/>
        <v>40740</v>
      </c>
    </row>
    <row r="37" spans="1:20" ht="20.100000000000001" customHeight="1">
      <c r="A37" s="56" t="s">
        <v>95</v>
      </c>
      <c r="B37" s="57" t="s">
        <v>98</v>
      </c>
      <c r="C37" s="57"/>
      <c r="D37" s="58" t="s">
        <v>21</v>
      </c>
      <c r="E37" s="51">
        <f>E38+E40+E42+E44+E46+E49+E51+E53+E57+E55</f>
        <v>8090222</v>
      </c>
      <c r="F37" s="51">
        <f t="shared" ref="F37:S37" si="26">F38+F40+F42+F44+F46+F49+F51+F53+F57+F55</f>
        <v>4880854.57</v>
      </c>
      <c r="G37" s="51">
        <f t="shared" si="26"/>
        <v>4931060.1399999997</v>
      </c>
      <c r="H37" s="51">
        <f t="shared" si="26"/>
        <v>4750911.43</v>
      </c>
      <c r="I37" s="51">
        <f t="shared" si="26"/>
        <v>12770728.17</v>
      </c>
      <c r="J37" s="51">
        <f t="shared" si="26"/>
        <v>3686840.51</v>
      </c>
      <c r="K37" s="51">
        <f t="shared" si="26"/>
        <v>2874413.0300000003</v>
      </c>
      <c r="L37" s="51">
        <f t="shared" si="26"/>
        <v>3470842.34</v>
      </c>
      <c r="M37" s="51">
        <f t="shared" si="26"/>
        <v>2368886.89</v>
      </c>
      <c r="N37" s="51">
        <f t="shared" si="26"/>
        <v>2255402.94</v>
      </c>
      <c r="O37" s="51">
        <f t="shared" si="26"/>
        <v>8483400.6400000006</v>
      </c>
      <c r="P37" s="51">
        <f t="shared" si="26"/>
        <v>245265.71</v>
      </c>
      <c r="Q37" s="51">
        <f t="shared" si="26"/>
        <v>1114565.29</v>
      </c>
      <c r="R37" s="51">
        <f t="shared" si="26"/>
        <v>6065028.1299999999</v>
      </c>
      <c r="S37" s="51">
        <f t="shared" si="26"/>
        <v>1745996.23</v>
      </c>
      <c r="T37" s="59">
        <f t="shared" si="24"/>
        <v>67734418.019999996</v>
      </c>
    </row>
    <row r="38" spans="1:20" ht="20.100000000000001" customHeight="1">
      <c r="A38" s="56" t="s">
        <v>96</v>
      </c>
      <c r="B38" s="57" t="s">
        <v>100</v>
      </c>
      <c r="C38" s="57"/>
      <c r="D38" s="58" t="s">
        <v>101</v>
      </c>
      <c r="E38" s="55">
        <v>5721100</v>
      </c>
      <c r="F38" s="55">
        <v>3665200</v>
      </c>
      <c r="G38" s="55">
        <v>3502110</v>
      </c>
      <c r="H38" s="55">
        <v>3335190</v>
      </c>
      <c r="I38" s="55">
        <v>10291260</v>
      </c>
      <c r="J38" s="55">
        <v>2863320</v>
      </c>
      <c r="K38" s="55">
        <v>2016300</v>
      </c>
      <c r="L38" s="55">
        <v>2639780</v>
      </c>
      <c r="M38" s="55">
        <v>1716000</v>
      </c>
      <c r="N38" s="55">
        <v>1658800</v>
      </c>
      <c r="O38" s="55">
        <v>6492160</v>
      </c>
      <c r="P38" s="55">
        <v>112000</v>
      </c>
      <c r="Q38" s="55">
        <v>858000</v>
      </c>
      <c r="R38" s="55">
        <v>4935700</v>
      </c>
      <c r="S38" s="55">
        <v>1287000</v>
      </c>
      <c r="T38" s="59">
        <f t="shared" si="24"/>
        <v>51093920</v>
      </c>
    </row>
    <row r="39" spans="1:20" ht="20.100000000000001" customHeight="1">
      <c r="A39" s="66" t="s">
        <v>97</v>
      </c>
      <c r="B39" s="61" t="s">
        <v>208</v>
      </c>
      <c r="C39" s="61" t="s">
        <v>27</v>
      </c>
      <c r="D39" s="67" t="s">
        <v>209</v>
      </c>
      <c r="E39" s="63">
        <v>286055</v>
      </c>
      <c r="F39" s="63">
        <v>183260</v>
      </c>
      <c r="G39" s="63">
        <v>175105.5</v>
      </c>
      <c r="H39" s="63">
        <f>H38*0.05</f>
        <v>166759.5</v>
      </c>
      <c r="I39" s="63">
        <f>I38*0.05</f>
        <v>514563</v>
      </c>
      <c r="J39" s="63">
        <f>J38*0.05</f>
        <v>143166</v>
      </c>
      <c r="K39" s="63">
        <v>97097</v>
      </c>
      <c r="L39" s="63">
        <v>72358</v>
      </c>
      <c r="M39" s="63">
        <v>73359</v>
      </c>
      <c r="N39" s="63">
        <v>78364</v>
      </c>
      <c r="O39" s="63">
        <f>O38*0.05</f>
        <v>324608</v>
      </c>
      <c r="P39" s="63">
        <f>P38*0.05</f>
        <v>5600</v>
      </c>
      <c r="Q39" s="63">
        <v>34177</v>
      </c>
      <c r="R39" s="63">
        <f>R38*0.05</f>
        <v>246785</v>
      </c>
      <c r="S39" s="63">
        <v>55484</v>
      </c>
      <c r="T39" s="118">
        <f t="shared" si="24"/>
        <v>2456741</v>
      </c>
    </row>
    <row r="40" spans="1:20" ht="20.100000000000001" customHeight="1">
      <c r="A40" s="56" t="s">
        <v>99</v>
      </c>
      <c r="B40" s="57" t="s">
        <v>107</v>
      </c>
      <c r="C40" s="57"/>
      <c r="D40" s="58"/>
      <c r="E40" s="51">
        <f>E41</f>
        <v>44800</v>
      </c>
      <c r="F40" s="51">
        <f t="shared" ref="F40:S40" si="27">F41</f>
        <v>28800</v>
      </c>
      <c r="G40" s="51">
        <f t="shared" si="27"/>
        <v>30800</v>
      </c>
      <c r="H40" s="51">
        <f t="shared" si="27"/>
        <v>34000</v>
      </c>
      <c r="I40" s="51">
        <f t="shared" si="27"/>
        <v>75600</v>
      </c>
      <c r="J40" s="51">
        <f t="shared" si="27"/>
        <v>24000</v>
      </c>
      <c r="K40" s="51">
        <f t="shared" si="27"/>
        <v>22000</v>
      </c>
      <c r="L40" s="51">
        <f t="shared" si="27"/>
        <v>17600</v>
      </c>
      <c r="M40" s="51">
        <f t="shared" si="27"/>
        <v>16000</v>
      </c>
      <c r="N40" s="51">
        <f t="shared" si="27"/>
        <v>17200</v>
      </c>
      <c r="O40" s="51">
        <f t="shared" si="27"/>
        <v>51600</v>
      </c>
      <c r="P40" s="51">
        <f t="shared" si="27"/>
        <v>2000</v>
      </c>
      <c r="Q40" s="51">
        <f t="shared" si="27"/>
        <v>6800</v>
      </c>
      <c r="R40" s="51">
        <f t="shared" si="27"/>
        <v>33600</v>
      </c>
      <c r="S40" s="51">
        <f t="shared" si="27"/>
        <v>12400</v>
      </c>
      <c r="T40" s="59">
        <f t="shared" si="24"/>
        <v>417200</v>
      </c>
    </row>
    <row r="41" spans="1:20" s="15" customFormat="1" ht="20.100000000000001" customHeight="1">
      <c r="A41" s="56" t="s">
        <v>102</v>
      </c>
      <c r="B41" s="60" t="s">
        <v>109</v>
      </c>
      <c r="C41" s="60" t="s">
        <v>27</v>
      </c>
      <c r="D41" s="68" t="s">
        <v>426</v>
      </c>
      <c r="E41" s="55">
        <f>400*E60</f>
        <v>44800</v>
      </c>
      <c r="F41" s="55">
        <f t="shared" ref="F41:S41" si="28">400*F60</f>
        <v>28800</v>
      </c>
      <c r="G41" s="55">
        <f t="shared" si="28"/>
        <v>30800</v>
      </c>
      <c r="H41" s="55">
        <f t="shared" si="28"/>
        <v>34000</v>
      </c>
      <c r="I41" s="55">
        <f t="shared" si="28"/>
        <v>75600</v>
      </c>
      <c r="J41" s="55">
        <f t="shared" si="28"/>
        <v>24000</v>
      </c>
      <c r="K41" s="55">
        <f t="shared" si="28"/>
        <v>22000</v>
      </c>
      <c r="L41" s="55">
        <f t="shared" si="28"/>
        <v>17600</v>
      </c>
      <c r="M41" s="55">
        <f t="shared" si="28"/>
        <v>16000</v>
      </c>
      <c r="N41" s="55">
        <f t="shared" si="28"/>
        <v>17200</v>
      </c>
      <c r="O41" s="55">
        <f t="shared" si="28"/>
        <v>51600</v>
      </c>
      <c r="P41" s="55">
        <f t="shared" si="28"/>
        <v>2000</v>
      </c>
      <c r="Q41" s="55">
        <f t="shared" si="28"/>
        <v>6800</v>
      </c>
      <c r="R41" s="55">
        <f t="shared" si="28"/>
        <v>33600</v>
      </c>
      <c r="S41" s="55">
        <f t="shared" si="28"/>
        <v>12400</v>
      </c>
      <c r="T41" s="59">
        <f t="shared" si="24"/>
        <v>417200</v>
      </c>
    </row>
    <row r="42" spans="1:20" ht="20.100000000000001" customHeight="1">
      <c r="A42" s="56" t="s">
        <v>106</v>
      </c>
      <c r="B42" s="57" t="s">
        <v>112</v>
      </c>
      <c r="C42" s="57"/>
      <c r="D42" s="58" t="s">
        <v>21</v>
      </c>
      <c r="E42" s="51">
        <f>E43</f>
        <v>489330</v>
      </c>
      <c r="F42" s="51">
        <f t="shared" ref="F42:S42" si="29">F43</f>
        <v>135690</v>
      </c>
      <c r="G42" s="51">
        <f t="shared" si="29"/>
        <v>204405</v>
      </c>
      <c r="H42" s="51">
        <f t="shared" si="29"/>
        <v>268530</v>
      </c>
      <c r="I42" s="51">
        <f t="shared" si="29"/>
        <v>386583.60000000003</v>
      </c>
      <c r="J42" s="51">
        <f t="shared" si="29"/>
        <v>196585.65</v>
      </c>
      <c r="K42" s="51">
        <f t="shared" si="29"/>
        <v>205953.60000000003</v>
      </c>
      <c r="L42" s="51">
        <f t="shared" si="29"/>
        <v>244424.4</v>
      </c>
      <c r="M42" s="51">
        <f t="shared" si="29"/>
        <v>172176.15</v>
      </c>
      <c r="N42" s="51">
        <f t="shared" si="29"/>
        <v>136753.79999999999</v>
      </c>
      <c r="O42" s="51">
        <f t="shared" si="29"/>
        <v>509998.35</v>
      </c>
      <c r="P42" s="51">
        <f t="shared" si="29"/>
        <v>34500</v>
      </c>
      <c r="Q42" s="51">
        <f t="shared" si="29"/>
        <v>65355</v>
      </c>
      <c r="R42" s="51">
        <f t="shared" si="29"/>
        <v>199268.7</v>
      </c>
      <c r="S42" s="51">
        <f t="shared" si="29"/>
        <v>59392.800000000003</v>
      </c>
      <c r="T42" s="59">
        <f t="shared" si="24"/>
        <v>3308947.05</v>
      </c>
    </row>
    <row r="43" spans="1:20" s="15" customFormat="1" ht="20.100000000000001" customHeight="1">
      <c r="A43" s="56" t="s">
        <v>108</v>
      </c>
      <c r="B43" s="60" t="s">
        <v>114</v>
      </c>
      <c r="C43" s="60" t="s">
        <v>27</v>
      </c>
      <c r="D43" s="68" t="s">
        <v>427</v>
      </c>
      <c r="E43" s="55">
        <f>15*E71</f>
        <v>489330</v>
      </c>
      <c r="F43" s="55">
        <f t="shared" ref="F43:S43" si="30">15*F71</f>
        <v>135690</v>
      </c>
      <c r="G43" s="55">
        <f t="shared" si="30"/>
        <v>204405</v>
      </c>
      <c r="H43" s="55">
        <f t="shared" si="30"/>
        <v>268530</v>
      </c>
      <c r="I43" s="55">
        <f t="shared" si="30"/>
        <v>386583.60000000003</v>
      </c>
      <c r="J43" s="55">
        <f t="shared" si="30"/>
        <v>196585.65</v>
      </c>
      <c r="K43" s="55">
        <f t="shared" si="30"/>
        <v>205953.60000000003</v>
      </c>
      <c r="L43" s="55">
        <f t="shared" si="30"/>
        <v>244424.4</v>
      </c>
      <c r="M43" s="55">
        <f t="shared" si="30"/>
        <v>172176.15</v>
      </c>
      <c r="N43" s="55">
        <f t="shared" si="30"/>
        <v>136753.79999999999</v>
      </c>
      <c r="O43" s="55">
        <f t="shared" si="30"/>
        <v>509998.35</v>
      </c>
      <c r="P43" s="55">
        <f t="shared" si="30"/>
        <v>34500</v>
      </c>
      <c r="Q43" s="55">
        <f t="shared" si="30"/>
        <v>65355</v>
      </c>
      <c r="R43" s="55">
        <f t="shared" si="30"/>
        <v>199268.7</v>
      </c>
      <c r="S43" s="55">
        <f t="shared" si="30"/>
        <v>59392.800000000003</v>
      </c>
      <c r="T43" s="59">
        <f t="shared" si="24"/>
        <v>3308947.05</v>
      </c>
    </row>
    <row r="44" spans="1:20" ht="20.100000000000001" customHeight="1">
      <c r="A44" s="56" t="s">
        <v>111</v>
      </c>
      <c r="B44" s="57" t="s">
        <v>117</v>
      </c>
      <c r="C44" s="57"/>
      <c r="D44" s="58" t="s">
        <v>21</v>
      </c>
      <c r="E44" s="51">
        <f>E45</f>
        <v>238592</v>
      </c>
      <c r="F44" s="51">
        <f t="shared" ref="F44:S44" si="31">F45</f>
        <v>69296</v>
      </c>
      <c r="G44" s="51">
        <f t="shared" si="31"/>
        <v>64000</v>
      </c>
      <c r="H44" s="51">
        <f t="shared" si="31"/>
        <v>64000</v>
      </c>
      <c r="I44" s="51">
        <f t="shared" si="31"/>
        <v>126840</v>
      </c>
      <c r="J44" s="51">
        <f t="shared" si="31"/>
        <v>37352</v>
      </c>
      <c r="K44" s="51">
        <f t="shared" si="31"/>
        <v>51136</v>
      </c>
      <c r="L44" s="51">
        <f t="shared" si="31"/>
        <v>57700.800000000003</v>
      </c>
      <c r="M44" s="51">
        <f t="shared" si="31"/>
        <v>52681.599999999999</v>
      </c>
      <c r="N44" s="51">
        <f t="shared" si="31"/>
        <v>24480</v>
      </c>
      <c r="O44" s="51">
        <f t="shared" si="31"/>
        <v>168480</v>
      </c>
      <c r="P44" s="51">
        <f t="shared" si="31"/>
        <v>0</v>
      </c>
      <c r="Q44" s="51">
        <f t="shared" si="31"/>
        <v>12040</v>
      </c>
      <c r="R44" s="51">
        <f t="shared" si="31"/>
        <v>54272</v>
      </c>
      <c r="S44" s="51">
        <f t="shared" si="31"/>
        <v>32104</v>
      </c>
      <c r="T44" s="59">
        <f t="shared" si="24"/>
        <v>1052974.3999999999</v>
      </c>
    </row>
    <row r="45" spans="1:20" s="15" customFormat="1" ht="20.100000000000001" customHeight="1">
      <c r="A45" s="56" t="s">
        <v>113</v>
      </c>
      <c r="B45" s="60" t="s">
        <v>119</v>
      </c>
      <c r="C45" s="60" t="s">
        <v>27</v>
      </c>
      <c r="D45" s="68" t="s">
        <v>428</v>
      </c>
      <c r="E45" s="55">
        <f>8*E72</f>
        <v>238592</v>
      </c>
      <c r="F45" s="55">
        <f t="shared" ref="F45:S45" si="32">8*F72</f>
        <v>69296</v>
      </c>
      <c r="G45" s="55">
        <f t="shared" si="32"/>
        <v>64000</v>
      </c>
      <c r="H45" s="55">
        <f t="shared" si="32"/>
        <v>64000</v>
      </c>
      <c r="I45" s="55">
        <f t="shared" si="32"/>
        <v>126840</v>
      </c>
      <c r="J45" s="55">
        <f t="shared" si="32"/>
        <v>37352</v>
      </c>
      <c r="K45" s="55">
        <f t="shared" si="32"/>
        <v>51136</v>
      </c>
      <c r="L45" s="55">
        <f t="shared" si="32"/>
        <v>57700.800000000003</v>
      </c>
      <c r="M45" s="55">
        <f t="shared" si="32"/>
        <v>52681.599999999999</v>
      </c>
      <c r="N45" s="55">
        <f t="shared" si="32"/>
        <v>24480</v>
      </c>
      <c r="O45" s="55">
        <f t="shared" si="32"/>
        <v>168480</v>
      </c>
      <c r="P45" s="55">
        <f t="shared" si="32"/>
        <v>0</v>
      </c>
      <c r="Q45" s="55">
        <f t="shared" si="32"/>
        <v>12040</v>
      </c>
      <c r="R45" s="55">
        <f t="shared" si="32"/>
        <v>54272</v>
      </c>
      <c r="S45" s="55">
        <f t="shared" si="32"/>
        <v>32104</v>
      </c>
      <c r="T45" s="59">
        <f t="shared" si="24"/>
        <v>1052974.3999999999</v>
      </c>
    </row>
    <row r="46" spans="1:20" ht="20.100000000000001" customHeight="1">
      <c r="A46" s="56" t="s">
        <v>116</v>
      </c>
      <c r="B46" s="57" t="s">
        <v>210</v>
      </c>
      <c r="C46" s="57"/>
      <c r="D46" s="58" t="s">
        <v>21</v>
      </c>
      <c r="E46" s="51">
        <f>E47+E48</f>
        <v>876960</v>
      </c>
      <c r="F46" s="51">
        <f t="shared" ref="F46:S46" si="33">F47+F48</f>
        <v>544320</v>
      </c>
      <c r="G46" s="51">
        <f t="shared" si="33"/>
        <v>669600</v>
      </c>
      <c r="H46" s="51">
        <f t="shared" si="33"/>
        <v>583200</v>
      </c>
      <c r="I46" s="51">
        <f t="shared" si="33"/>
        <v>911520</v>
      </c>
      <c r="J46" s="51">
        <f t="shared" si="33"/>
        <v>259200</v>
      </c>
      <c r="K46" s="51">
        <f t="shared" si="33"/>
        <v>289440</v>
      </c>
      <c r="L46" s="51">
        <f t="shared" si="33"/>
        <v>276480</v>
      </c>
      <c r="M46" s="51">
        <f t="shared" si="33"/>
        <v>198720</v>
      </c>
      <c r="N46" s="51">
        <f t="shared" si="33"/>
        <v>190080</v>
      </c>
      <c r="O46" s="51">
        <f t="shared" si="33"/>
        <v>578880</v>
      </c>
      <c r="P46" s="51">
        <f t="shared" si="33"/>
        <v>38880</v>
      </c>
      <c r="Q46" s="51">
        <f t="shared" si="33"/>
        <v>73440</v>
      </c>
      <c r="R46" s="51">
        <f t="shared" si="33"/>
        <v>384480</v>
      </c>
      <c r="S46" s="51">
        <f t="shared" si="33"/>
        <v>181440</v>
      </c>
      <c r="T46" s="59">
        <f t="shared" si="24"/>
        <v>6056640</v>
      </c>
    </row>
    <row r="47" spans="1:20" s="15" customFormat="1" ht="20.100000000000001" customHeight="1">
      <c r="A47" s="56" t="s">
        <v>118</v>
      </c>
      <c r="B47" s="60" t="s">
        <v>211</v>
      </c>
      <c r="C47" s="60" t="s">
        <v>27</v>
      </c>
      <c r="D47" s="68" t="s">
        <v>429</v>
      </c>
      <c r="E47" s="55">
        <f>4320*E60</f>
        <v>483840</v>
      </c>
      <c r="F47" s="55">
        <f t="shared" ref="F47:S47" si="34">4320*F60</f>
        <v>311040</v>
      </c>
      <c r="G47" s="55">
        <f t="shared" si="34"/>
        <v>332640</v>
      </c>
      <c r="H47" s="55">
        <f t="shared" si="34"/>
        <v>367200</v>
      </c>
      <c r="I47" s="55">
        <f t="shared" si="34"/>
        <v>816480</v>
      </c>
      <c r="J47" s="55">
        <f t="shared" si="34"/>
        <v>259200</v>
      </c>
      <c r="K47" s="55">
        <f t="shared" si="34"/>
        <v>237600</v>
      </c>
      <c r="L47" s="55">
        <f t="shared" si="34"/>
        <v>190080</v>
      </c>
      <c r="M47" s="55">
        <f t="shared" si="34"/>
        <v>172800</v>
      </c>
      <c r="N47" s="55">
        <f t="shared" si="34"/>
        <v>185760</v>
      </c>
      <c r="O47" s="55">
        <f t="shared" si="34"/>
        <v>557280</v>
      </c>
      <c r="P47" s="55">
        <f t="shared" si="34"/>
        <v>21600</v>
      </c>
      <c r="Q47" s="55">
        <f t="shared" si="34"/>
        <v>73440</v>
      </c>
      <c r="R47" s="55">
        <f t="shared" si="34"/>
        <v>362880</v>
      </c>
      <c r="S47" s="55">
        <f t="shared" si="34"/>
        <v>133920</v>
      </c>
      <c r="T47" s="59">
        <f t="shared" si="24"/>
        <v>4505760</v>
      </c>
    </row>
    <row r="48" spans="1:20" s="15" customFormat="1" ht="20.100000000000001" customHeight="1">
      <c r="A48" s="56" t="s">
        <v>121</v>
      </c>
      <c r="B48" s="60" t="s">
        <v>212</v>
      </c>
      <c r="C48" s="60" t="s">
        <v>27</v>
      </c>
      <c r="D48" s="68" t="s">
        <v>430</v>
      </c>
      <c r="E48" s="55">
        <f>4320*E70</f>
        <v>393120</v>
      </c>
      <c r="F48" s="55">
        <f t="shared" ref="F48:S48" si="35">4320*F70</f>
        <v>233280</v>
      </c>
      <c r="G48" s="55">
        <f t="shared" si="35"/>
        <v>336960</v>
      </c>
      <c r="H48" s="55">
        <f t="shared" si="35"/>
        <v>216000</v>
      </c>
      <c r="I48" s="55">
        <f t="shared" si="35"/>
        <v>95040</v>
      </c>
      <c r="J48" s="55">
        <f t="shared" si="35"/>
        <v>0</v>
      </c>
      <c r="K48" s="55">
        <f t="shared" si="35"/>
        <v>51840</v>
      </c>
      <c r="L48" s="55">
        <f t="shared" si="35"/>
        <v>86400</v>
      </c>
      <c r="M48" s="55">
        <f t="shared" si="35"/>
        <v>25920</v>
      </c>
      <c r="N48" s="55">
        <f t="shared" si="35"/>
        <v>4320</v>
      </c>
      <c r="O48" s="55">
        <f t="shared" si="35"/>
        <v>21600</v>
      </c>
      <c r="P48" s="55">
        <f t="shared" si="35"/>
        <v>17280</v>
      </c>
      <c r="Q48" s="55">
        <f t="shared" si="35"/>
        <v>0</v>
      </c>
      <c r="R48" s="55">
        <f t="shared" si="35"/>
        <v>21600</v>
      </c>
      <c r="S48" s="55">
        <f t="shared" si="35"/>
        <v>47520</v>
      </c>
      <c r="T48" s="59">
        <f t="shared" si="24"/>
        <v>1550880</v>
      </c>
    </row>
    <row r="49" spans="1:20" ht="20.100000000000001" customHeight="1">
      <c r="A49" s="56" t="s">
        <v>123</v>
      </c>
      <c r="B49" s="57" t="s">
        <v>214</v>
      </c>
      <c r="C49" s="57"/>
      <c r="D49" s="58" t="s">
        <v>21</v>
      </c>
      <c r="E49" s="51">
        <f>E50</f>
        <v>644640</v>
      </c>
      <c r="F49" s="51">
        <f t="shared" ref="F49:S49" si="36">F50</f>
        <v>380948.57</v>
      </c>
      <c r="G49" s="51">
        <f t="shared" si="36"/>
        <v>395945.14</v>
      </c>
      <c r="H49" s="51">
        <f t="shared" si="36"/>
        <v>417291.43</v>
      </c>
      <c r="I49" s="51">
        <f t="shared" si="36"/>
        <v>901124.57</v>
      </c>
      <c r="J49" s="51">
        <f t="shared" si="36"/>
        <v>269382.86</v>
      </c>
      <c r="K49" s="51">
        <f t="shared" si="36"/>
        <v>248283.43</v>
      </c>
      <c r="L49" s="51">
        <f t="shared" si="36"/>
        <v>198257.14</v>
      </c>
      <c r="M49" s="51">
        <f t="shared" si="36"/>
        <v>174209.14</v>
      </c>
      <c r="N49" s="51">
        <f t="shared" si="36"/>
        <v>192689.14</v>
      </c>
      <c r="O49" s="51">
        <f t="shared" si="36"/>
        <v>643282.29</v>
      </c>
      <c r="P49" s="51">
        <f t="shared" si="36"/>
        <v>24285.71</v>
      </c>
      <c r="Q49" s="51">
        <f t="shared" si="36"/>
        <v>64930.29</v>
      </c>
      <c r="R49" s="51">
        <f t="shared" si="36"/>
        <v>421707.43</v>
      </c>
      <c r="S49" s="51">
        <f t="shared" si="36"/>
        <v>134259.43</v>
      </c>
      <c r="T49" s="59">
        <f t="shared" si="24"/>
        <v>5111236.57</v>
      </c>
    </row>
    <row r="50" spans="1:20" s="15" customFormat="1" ht="20.100000000000001" customHeight="1">
      <c r="A50" s="56" t="s">
        <v>125</v>
      </c>
      <c r="B50" s="60" t="s">
        <v>129</v>
      </c>
      <c r="C50" s="60" t="s">
        <v>27</v>
      </c>
      <c r="D50" s="58" t="s">
        <v>431</v>
      </c>
      <c r="E50" s="55">
        <f>ROUND(E30/0.07*0.02,2)</f>
        <v>644640</v>
      </c>
      <c r="F50" s="55">
        <f t="shared" ref="F50:S50" si="37">ROUND(F30/0.07*0.02,2)</f>
        <v>380948.57</v>
      </c>
      <c r="G50" s="55">
        <f t="shared" si="37"/>
        <v>395945.14</v>
      </c>
      <c r="H50" s="55">
        <f t="shared" si="37"/>
        <v>417291.43</v>
      </c>
      <c r="I50" s="55">
        <f t="shared" si="37"/>
        <v>901124.57</v>
      </c>
      <c r="J50" s="55">
        <f t="shared" si="37"/>
        <v>269382.86</v>
      </c>
      <c r="K50" s="55">
        <f t="shared" si="37"/>
        <v>248283.43</v>
      </c>
      <c r="L50" s="55">
        <f t="shared" si="37"/>
        <v>198257.14</v>
      </c>
      <c r="M50" s="55">
        <f t="shared" si="37"/>
        <v>174209.14</v>
      </c>
      <c r="N50" s="55">
        <f t="shared" si="37"/>
        <v>192689.14</v>
      </c>
      <c r="O50" s="55">
        <f t="shared" si="37"/>
        <v>643282.29</v>
      </c>
      <c r="P50" s="55">
        <f t="shared" si="37"/>
        <v>24285.71</v>
      </c>
      <c r="Q50" s="55">
        <f t="shared" si="37"/>
        <v>64930.29</v>
      </c>
      <c r="R50" s="55">
        <f t="shared" si="37"/>
        <v>421707.43</v>
      </c>
      <c r="S50" s="55">
        <f t="shared" si="37"/>
        <v>134259.43</v>
      </c>
      <c r="T50" s="59">
        <f t="shared" si="24"/>
        <v>5111236.57</v>
      </c>
    </row>
    <row r="51" spans="1:20" ht="20.100000000000001" customHeight="1">
      <c r="A51" s="56" t="s">
        <v>126</v>
      </c>
      <c r="B51" s="57" t="s">
        <v>215</v>
      </c>
      <c r="C51" s="57"/>
      <c r="D51" s="58" t="s">
        <v>21</v>
      </c>
      <c r="E51" s="51">
        <f>E52</f>
        <v>32000</v>
      </c>
      <c r="F51" s="51">
        <f t="shared" ref="F51:S51" si="38">F52</f>
        <v>32000</v>
      </c>
      <c r="G51" s="51">
        <f t="shared" si="38"/>
        <v>32000</v>
      </c>
      <c r="H51" s="51">
        <f t="shared" si="38"/>
        <v>25000</v>
      </c>
      <c r="I51" s="51">
        <f t="shared" si="38"/>
        <v>64000</v>
      </c>
      <c r="J51" s="51">
        <f t="shared" si="38"/>
        <v>0</v>
      </c>
      <c r="K51" s="51">
        <f t="shared" si="38"/>
        <v>32000</v>
      </c>
      <c r="L51" s="51">
        <f t="shared" si="38"/>
        <v>25000</v>
      </c>
      <c r="M51" s="51">
        <f t="shared" si="38"/>
        <v>0</v>
      </c>
      <c r="N51" s="51">
        <f t="shared" si="38"/>
        <v>0</v>
      </c>
      <c r="O51" s="51">
        <f t="shared" si="38"/>
        <v>32000</v>
      </c>
      <c r="P51" s="51">
        <f t="shared" si="38"/>
        <v>32000</v>
      </c>
      <c r="Q51" s="51">
        <f t="shared" si="38"/>
        <v>0</v>
      </c>
      <c r="R51" s="51">
        <f t="shared" si="38"/>
        <v>0</v>
      </c>
      <c r="S51" s="51">
        <f t="shared" si="38"/>
        <v>0</v>
      </c>
      <c r="T51" s="59">
        <f t="shared" si="24"/>
        <v>306000</v>
      </c>
    </row>
    <row r="52" spans="1:20" ht="20.100000000000001" customHeight="1">
      <c r="A52" s="56" t="s">
        <v>128</v>
      </c>
      <c r="B52" s="57" t="s">
        <v>132</v>
      </c>
      <c r="C52" s="57" t="s">
        <v>27</v>
      </c>
      <c r="D52" s="67" t="s">
        <v>432</v>
      </c>
      <c r="E52" s="55">
        <v>32000</v>
      </c>
      <c r="F52" s="55">
        <v>32000</v>
      </c>
      <c r="G52" s="55">
        <v>32000</v>
      </c>
      <c r="H52" s="169">
        <f>32000-7000</f>
        <v>25000</v>
      </c>
      <c r="I52" s="55">
        <v>64000</v>
      </c>
      <c r="J52" s="55"/>
      <c r="K52" s="55">
        <v>32000</v>
      </c>
      <c r="L52" s="169">
        <f>32000-7000</f>
        <v>25000</v>
      </c>
      <c r="M52" s="55"/>
      <c r="N52" s="55"/>
      <c r="O52" s="55">
        <v>32000</v>
      </c>
      <c r="P52" s="55">
        <v>32000</v>
      </c>
      <c r="Q52" s="55"/>
      <c r="R52" s="55"/>
      <c r="S52" s="55"/>
      <c r="T52" s="59">
        <f t="shared" si="24"/>
        <v>306000</v>
      </c>
    </row>
    <row r="53" spans="1:20" ht="20.100000000000001" customHeight="1">
      <c r="A53" s="56" t="s">
        <v>130</v>
      </c>
      <c r="B53" s="57" t="s">
        <v>433</v>
      </c>
      <c r="C53" s="57"/>
      <c r="D53" s="58" t="s">
        <v>21</v>
      </c>
      <c r="E53" s="51">
        <f>E54</f>
        <v>36400</v>
      </c>
      <c r="F53" s="51">
        <f t="shared" ref="F53:S53" si="39">F54</f>
        <v>21600</v>
      </c>
      <c r="G53" s="51">
        <f t="shared" si="39"/>
        <v>31200</v>
      </c>
      <c r="H53" s="51">
        <f t="shared" si="39"/>
        <v>20000</v>
      </c>
      <c r="I53" s="51">
        <f t="shared" si="39"/>
        <v>8800</v>
      </c>
      <c r="J53" s="51">
        <f t="shared" si="39"/>
        <v>0</v>
      </c>
      <c r="K53" s="51">
        <f t="shared" si="39"/>
        <v>4800</v>
      </c>
      <c r="L53" s="51">
        <f t="shared" si="39"/>
        <v>8000</v>
      </c>
      <c r="M53" s="51">
        <f t="shared" si="39"/>
        <v>2400</v>
      </c>
      <c r="N53" s="51">
        <f t="shared" si="39"/>
        <v>400</v>
      </c>
      <c r="O53" s="51">
        <f t="shared" si="39"/>
        <v>2000</v>
      </c>
      <c r="P53" s="51">
        <f t="shared" si="39"/>
        <v>1600</v>
      </c>
      <c r="Q53" s="51">
        <f t="shared" si="39"/>
        <v>0</v>
      </c>
      <c r="R53" s="51">
        <f t="shared" si="39"/>
        <v>2000</v>
      </c>
      <c r="S53" s="51">
        <f t="shared" si="39"/>
        <v>4400</v>
      </c>
      <c r="T53" s="59">
        <f t="shared" si="24"/>
        <v>143600</v>
      </c>
    </row>
    <row r="54" spans="1:20" s="15" customFormat="1" ht="20.100000000000001" customHeight="1">
      <c r="A54" s="56" t="s">
        <v>131</v>
      </c>
      <c r="B54" s="60" t="s">
        <v>434</v>
      </c>
      <c r="C54" s="60" t="s">
        <v>27</v>
      </c>
      <c r="D54" s="68" t="s">
        <v>435</v>
      </c>
      <c r="E54" s="55">
        <f>400*E70</f>
        <v>36400</v>
      </c>
      <c r="F54" s="55">
        <f t="shared" ref="F54:S54" si="40">400*F70</f>
        <v>21600</v>
      </c>
      <c r="G54" s="55">
        <f t="shared" si="40"/>
        <v>31200</v>
      </c>
      <c r="H54" s="55">
        <f t="shared" si="40"/>
        <v>20000</v>
      </c>
      <c r="I54" s="55">
        <f t="shared" si="40"/>
        <v>8800</v>
      </c>
      <c r="J54" s="55">
        <f t="shared" si="40"/>
        <v>0</v>
      </c>
      <c r="K54" s="55">
        <f t="shared" si="40"/>
        <v>4800</v>
      </c>
      <c r="L54" s="55">
        <f t="shared" si="40"/>
        <v>8000</v>
      </c>
      <c r="M54" s="55">
        <f t="shared" si="40"/>
        <v>2400</v>
      </c>
      <c r="N54" s="55">
        <f t="shared" si="40"/>
        <v>400</v>
      </c>
      <c r="O54" s="55">
        <f t="shared" si="40"/>
        <v>2000</v>
      </c>
      <c r="P54" s="55">
        <f t="shared" si="40"/>
        <v>1600</v>
      </c>
      <c r="Q54" s="55">
        <f t="shared" si="40"/>
        <v>0</v>
      </c>
      <c r="R54" s="55">
        <f t="shared" si="40"/>
        <v>2000</v>
      </c>
      <c r="S54" s="55">
        <f t="shared" si="40"/>
        <v>4400</v>
      </c>
      <c r="T54" s="59">
        <f t="shared" si="24"/>
        <v>143600</v>
      </c>
    </row>
    <row r="55" spans="1:20" s="15" customFormat="1" ht="20.100000000000001" customHeight="1">
      <c r="A55" s="56" t="s">
        <v>134</v>
      </c>
      <c r="B55" s="60" t="s">
        <v>436</v>
      </c>
      <c r="C55" s="60"/>
      <c r="D55" s="68"/>
      <c r="E55" s="55">
        <f>E56</f>
        <v>6400</v>
      </c>
      <c r="F55" s="55">
        <f t="shared" ref="F55:S55" si="41">F56</f>
        <v>3000</v>
      </c>
      <c r="G55" s="55">
        <f t="shared" si="41"/>
        <v>1000</v>
      </c>
      <c r="H55" s="55">
        <f t="shared" si="41"/>
        <v>3700</v>
      </c>
      <c r="I55" s="55">
        <f t="shared" si="41"/>
        <v>5000</v>
      </c>
      <c r="J55" s="55">
        <f t="shared" si="41"/>
        <v>5000</v>
      </c>
      <c r="K55" s="55">
        <f t="shared" si="41"/>
        <v>4500</v>
      </c>
      <c r="L55" s="55">
        <f t="shared" si="41"/>
        <v>3600</v>
      </c>
      <c r="M55" s="55">
        <f t="shared" si="41"/>
        <v>4700</v>
      </c>
      <c r="N55" s="55">
        <f t="shared" si="41"/>
        <v>3000</v>
      </c>
      <c r="O55" s="55">
        <f t="shared" si="41"/>
        <v>5000</v>
      </c>
      <c r="P55" s="55">
        <f t="shared" si="41"/>
        <v>0</v>
      </c>
      <c r="Q55" s="55">
        <f t="shared" si="41"/>
        <v>2000</v>
      </c>
      <c r="R55" s="55">
        <f t="shared" si="41"/>
        <v>2000</v>
      </c>
      <c r="S55" s="55">
        <f t="shared" si="41"/>
        <v>3000</v>
      </c>
      <c r="T55" s="59">
        <f t="shared" si="24"/>
        <v>51900</v>
      </c>
    </row>
    <row r="56" spans="1:20" ht="20.100000000000001" customHeight="1">
      <c r="A56" s="56" t="s">
        <v>135</v>
      </c>
      <c r="B56" s="57" t="s">
        <v>437</v>
      </c>
      <c r="C56" s="57" t="s">
        <v>27</v>
      </c>
      <c r="D56" s="67" t="s">
        <v>438</v>
      </c>
      <c r="E56" s="69">
        <v>6400</v>
      </c>
      <c r="F56" s="69">
        <v>3000</v>
      </c>
      <c r="G56" s="69">
        <v>1000</v>
      </c>
      <c r="H56" s="69">
        <v>3700</v>
      </c>
      <c r="I56" s="69">
        <v>5000</v>
      </c>
      <c r="J56" s="69">
        <v>5000</v>
      </c>
      <c r="K56" s="69">
        <v>4500</v>
      </c>
      <c r="L56" s="69">
        <v>3600</v>
      </c>
      <c r="M56" s="69">
        <v>4700</v>
      </c>
      <c r="N56" s="69">
        <v>3000</v>
      </c>
      <c r="O56" s="69">
        <v>5000</v>
      </c>
      <c r="P56" s="69"/>
      <c r="Q56" s="69">
        <v>2000</v>
      </c>
      <c r="R56" s="69">
        <v>2000</v>
      </c>
      <c r="S56" s="69">
        <v>3000</v>
      </c>
      <c r="T56" s="59">
        <f t="shared" si="24"/>
        <v>51900</v>
      </c>
    </row>
    <row r="57" spans="1:20" ht="20.100000000000001" customHeight="1">
      <c r="A57" s="56" t="s">
        <v>136</v>
      </c>
      <c r="B57" s="57" t="s">
        <v>439</v>
      </c>
      <c r="C57" s="57"/>
      <c r="D57" s="58" t="s">
        <v>21</v>
      </c>
      <c r="E57" s="51">
        <f>E58</f>
        <v>0</v>
      </c>
      <c r="F57" s="51">
        <f t="shared" ref="F57:S57" si="42">F58</f>
        <v>0</v>
      </c>
      <c r="G57" s="51">
        <f t="shared" si="42"/>
        <v>0</v>
      </c>
      <c r="H57" s="51">
        <f t="shared" si="42"/>
        <v>0</v>
      </c>
      <c r="I57" s="51">
        <f t="shared" si="42"/>
        <v>0</v>
      </c>
      <c r="J57" s="51">
        <f t="shared" si="42"/>
        <v>32000</v>
      </c>
      <c r="K57" s="51">
        <f t="shared" si="42"/>
        <v>0</v>
      </c>
      <c r="L57" s="51">
        <f t="shared" si="42"/>
        <v>0</v>
      </c>
      <c r="M57" s="51">
        <f t="shared" si="42"/>
        <v>32000</v>
      </c>
      <c r="N57" s="51">
        <f t="shared" si="42"/>
        <v>32000</v>
      </c>
      <c r="O57" s="51">
        <f t="shared" si="42"/>
        <v>0</v>
      </c>
      <c r="P57" s="51">
        <f t="shared" si="42"/>
        <v>0</v>
      </c>
      <c r="Q57" s="51">
        <f t="shared" si="42"/>
        <v>32000</v>
      </c>
      <c r="R57" s="51">
        <f t="shared" si="42"/>
        <v>32000</v>
      </c>
      <c r="S57" s="51">
        <f t="shared" si="42"/>
        <v>32000</v>
      </c>
      <c r="T57" s="59">
        <f t="shared" si="24"/>
        <v>192000</v>
      </c>
    </row>
    <row r="58" spans="1:20" ht="20.100000000000001" customHeight="1" thickBot="1">
      <c r="A58" s="56" t="s">
        <v>139</v>
      </c>
      <c r="B58" s="16" t="s">
        <v>143</v>
      </c>
      <c r="C58" s="57" t="s">
        <v>27</v>
      </c>
      <c r="D58" s="17" t="s">
        <v>440</v>
      </c>
      <c r="E58" s="7"/>
      <c r="F58" s="7"/>
      <c r="G58" s="7"/>
      <c r="H58" s="7"/>
      <c r="I58" s="7"/>
      <c r="J58" s="7">
        <v>32000</v>
      </c>
      <c r="K58" s="7"/>
      <c r="L58" s="7"/>
      <c r="M58" s="7">
        <v>32000</v>
      </c>
      <c r="N58" s="7">
        <v>32000</v>
      </c>
      <c r="O58" s="7"/>
      <c r="P58" s="7"/>
      <c r="Q58" s="7">
        <v>32000</v>
      </c>
      <c r="R58" s="7">
        <v>32000</v>
      </c>
      <c r="S58" s="7">
        <v>32000</v>
      </c>
      <c r="T58" s="59">
        <f t="shared" si="24"/>
        <v>192000</v>
      </c>
    </row>
    <row r="59" spans="1:20" ht="20.100000000000001" customHeight="1" thickTop="1">
      <c r="A59" s="56" t="s">
        <v>141</v>
      </c>
      <c r="B59" s="18" t="s">
        <v>145</v>
      </c>
      <c r="C59" s="18"/>
      <c r="D59" s="19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59">
        <f t="shared" si="24"/>
        <v>0</v>
      </c>
    </row>
    <row r="60" spans="1:20" ht="20.100000000000001" customHeight="1">
      <c r="A60" s="56" t="s">
        <v>142</v>
      </c>
      <c r="B60" s="57" t="s">
        <v>147</v>
      </c>
      <c r="C60" s="57"/>
      <c r="D60" s="58" t="s">
        <v>441</v>
      </c>
      <c r="E60" s="51">
        <f>E61+E62+E63+E64</f>
        <v>112</v>
      </c>
      <c r="F60" s="51">
        <f t="shared" ref="F60:S60" si="43">F61+F62+F63+F64</f>
        <v>72</v>
      </c>
      <c r="G60" s="51">
        <f t="shared" si="43"/>
        <v>77</v>
      </c>
      <c r="H60" s="51">
        <f t="shared" si="43"/>
        <v>85</v>
      </c>
      <c r="I60" s="51">
        <f t="shared" si="43"/>
        <v>189</v>
      </c>
      <c r="J60" s="51">
        <f t="shared" si="43"/>
        <v>60</v>
      </c>
      <c r="K60" s="51">
        <f t="shared" si="43"/>
        <v>55</v>
      </c>
      <c r="L60" s="51">
        <f t="shared" si="43"/>
        <v>44</v>
      </c>
      <c r="M60" s="51">
        <f t="shared" si="43"/>
        <v>40</v>
      </c>
      <c r="N60" s="51">
        <f t="shared" si="43"/>
        <v>43</v>
      </c>
      <c r="O60" s="51">
        <f t="shared" si="43"/>
        <v>129</v>
      </c>
      <c r="P60" s="51">
        <f t="shared" si="43"/>
        <v>5</v>
      </c>
      <c r="Q60" s="51">
        <v>17</v>
      </c>
      <c r="R60" s="51">
        <f t="shared" si="43"/>
        <v>84</v>
      </c>
      <c r="S60" s="51">
        <f t="shared" si="43"/>
        <v>31</v>
      </c>
      <c r="T60" s="59">
        <f t="shared" si="24"/>
        <v>1043</v>
      </c>
    </row>
    <row r="61" spans="1:20" ht="20.100000000000001" customHeight="1">
      <c r="A61" s="56" t="s">
        <v>144</v>
      </c>
      <c r="B61" s="70" t="s">
        <v>149</v>
      </c>
      <c r="C61" s="70"/>
      <c r="D61" s="62"/>
      <c r="E61" s="63">
        <v>112</v>
      </c>
      <c r="F61" s="63">
        <v>72</v>
      </c>
      <c r="G61" s="63"/>
      <c r="H61" s="63"/>
      <c r="I61" s="63"/>
      <c r="J61" s="63"/>
      <c r="K61" s="63"/>
      <c r="L61" s="63"/>
      <c r="M61" s="63"/>
      <c r="N61" s="63"/>
      <c r="O61" s="63">
        <v>60</v>
      </c>
      <c r="P61" s="63"/>
      <c r="Q61" s="63"/>
      <c r="R61" s="63">
        <v>84</v>
      </c>
      <c r="S61" s="63"/>
      <c r="T61" s="59">
        <f t="shared" si="24"/>
        <v>328</v>
      </c>
    </row>
    <row r="62" spans="1:20" ht="20.100000000000001" customHeight="1">
      <c r="A62" s="56" t="s">
        <v>146</v>
      </c>
      <c r="B62" s="70" t="s">
        <v>151</v>
      </c>
      <c r="C62" s="70"/>
      <c r="D62" s="58"/>
      <c r="E62" s="55"/>
      <c r="F62" s="55"/>
      <c r="G62" s="55">
        <v>77</v>
      </c>
      <c r="H62" s="55">
        <v>85</v>
      </c>
      <c r="I62" s="55">
        <v>189</v>
      </c>
      <c r="J62" s="55">
        <v>60</v>
      </c>
      <c r="K62" s="55"/>
      <c r="L62" s="55"/>
      <c r="M62" s="55"/>
      <c r="N62" s="55"/>
      <c r="O62" s="55">
        <v>69</v>
      </c>
      <c r="P62" s="55"/>
      <c r="Q62" s="55"/>
      <c r="R62" s="55"/>
      <c r="S62" s="55"/>
      <c r="T62" s="59">
        <f t="shared" ref="T62:T72" si="44">SUM(E62:S62)</f>
        <v>480</v>
      </c>
    </row>
    <row r="63" spans="1:20" ht="20.100000000000001" customHeight="1">
      <c r="A63" s="56" t="s">
        <v>148</v>
      </c>
      <c r="B63" s="70" t="s">
        <v>153</v>
      </c>
      <c r="C63" s="70"/>
      <c r="D63" s="62"/>
      <c r="E63" s="63"/>
      <c r="F63" s="63"/>
      <c r="G63" s="63"/>
      <c r="H63" s="63"/>
      <c r="I63" s="63"/>
      <c r="J63" s="63"/>
      <c r="K63" s="63">
        <v>55</v>
      </c>
      <c r="L63" s="63">
        <v>44</v>
      </c>
      <c r="M63" s="63">
        <v>40</v>
      </c>
      <c r="N63" s="63">
        <v>43</v>
      </c>
      <c r="O63" s="63"/>
      <c r="P63" s="63"/>
      <c r="Q63" s="63">
        <v>17</v>
      </c>
      <c r="R63" s="63"/>
      <c r="S63" s="63">
        <v>31</v>
      </c>
      <c r="T63" s="59">
        <f t="shared" si="44"/>
        <v>230</v>
      </c>
    </row>
    <row r="64" spans="1:20" ht="20.100000000000001" customHeight="1">
      <c r="A64" s="56" t="s">
        <v>150</v>
      </c>
      <c r="B64" s="70" t="s">
        <v>155</v>
      </c>
      <c r="C64" s="70"/>
      <c r="D64" s="62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>
        <v>5</v>
      </c>
      <c r="Q64" s="63"/>
      <c r="R64" s="63"/>
      <c r="S64" s="63"/>
      <c r="T64" s="59">
        <f t="shared" si="44"/>
        <v>5</v>
      </c>
    </row>
    <row r="65" spans="1:20" ht="20.100000000000001" customHeight="1">
      <c r="A65" s="56" t="s">
        <v>152</v>
      </c>
      <c r="B65" s="57" t="s">
        <v>157</v>
      </c>
      <c r="C65" s="57"/>
      <c r="D65" s="58" t="s">
        <v>442</v>
      </c>
      <c r="E65" s="51">
        <f>E66+E67+E68+E69</f>
        <v>1486</v>
      </c>
      <c r="F65" s="51">
        <f t="shared" ref="F65:S65" si="45">F66+F67+F68+F69</f>
        <v>952</v>
      </c>
      <c r="G65" s="51">
        <f t="shared" si="45"/>
        <v>1091</v>
      </c>
      <c r="H65" s="51">
        <f t="shared" si="45"/>
        <v>1039</v>
      </c>
      <c r="I65" s="51">
        <f t="shared" si="45"/>
        <v>3206</v>
      </c>
      <c r="J65" s="51">
        <f t="shared" si="45"/>
        <v>892</v>
      </c>
      <c r="K65" s="51">
        <f t="shared" si="45"/>
        <v>679</v>
      </c>
      <c r="L65" s="51">
        <f t="shared" si="45"/>
        <v>506</v>
      </c>
      <c r="M65" s="51">
        <f t="shared" si="45"/>
        <v>513</v>
      </c>
      <c r="N65" s="51">
        <f t="shared" si="45"/>
        <v>548</v>
      </c>
      <c r="O65" s="51">
        <f t="shared" si="45"/>
        <v>1856</v>
      </c>
      <c r="P65" s="51">
        <f t="shared" si="45"/>
        <v>0</v>
      </c>
      <c r="Q65" s="51">
        <f t="shared" si="45"/>
        <v>239</v>
      </c>
      <c r="R65" s="51">
        <f t="shared" si="45"/>
        <v>1282</v>
      </c>
      <c r="S65" s="51">
        <f t="shared" si="45"/>
        <v>388</v>
      </c>
      <c r="T65" s="59">
        <f t="shared" si="44"/>
        <v>14677</v>
      </c>
    </row>
    <row r="66" spans="1:20" ht="20.100000000000001" customHeight="1">
      <c r="A66" s="56" t="s">
        <v>154</v>
      </c>
      <c r="B66" s="70" t="s">
        <v>149</v>
      </c>
      <c r="C66" s="70"/>
      <c r="D66" s="62"/>
      <c r="E66" s="63">
        <v>1486</v>
      </c>
      <c r="F66" s="63">
        <v>952</v>
      </c>
      <c r="G66" s="63"/>
      <c r="H66" s="63"/>
      <c r="I66" s="63"/>
      <c r="J66" s="63"/>
      <c r="K66" s="63"/>
      <c r="L66" s="63"/>
      <c r="M66" s="63"/>
      <c r="N66" s="63"/>
      <c r="O66" s="63">
        <v>835</v>
      </c>
      <c r="P66" s="63"/>
      <c r="Q66" s="63"/>
      <c r="R66" s="63">
        <v>1282</v>
      </c>
      <c r="S66" s="63"/>
      <c r="T66" s="59">
        <f t="shared" si="44"/>
        <v>4555</v>
      </c>
    </row>
    <row r="67" spans="1:20" ht="20.100000000000001" customHeight="1">
      <c r="A67" s="56" t="s">
        <v>156</v>
      </c>
      <c r="B67" s="70" t="s">
        <v>151</v>
      </c>
      <c r="C67" s="70"/>
      <c r="D67" s="58"/>
      <c r="E67" s="55"/>
      <c r="F67" s="55"/>
      <c r="G67" s="55">
        <v>1091</v>
      </c>
      <c r="H67" s="55">
        <v>1039</v>
      </c>
      <c r="I67" s="55">
        <v>3206</v>
      </c>
      <c r="J67" s="55">
        <v>892</v>
      </c>
      <c r="K67" s="55"/>
      <c r="L67" s="55"/>
      <c r="M67" s="55"/>
      <c r="N67" s="55"/>
      <c r="O67" s="55">
        <v>1021</v>
      </c>
      <c r="P67" s="55"/>
      <c r="Q67" s="55"/>
      <c r="R67" s="55"/>
      <c r="S67" s="55"/>
      <c r="T67" s="59">
        <f t="shared" si="44"/>
        <v>7249</v>
      </c>
    </row>
    <row r="68" spans="1:20" ht="20.100000000000001" customHeight="1">
      <c r="A68" s="56" t="s">
        <v>158</v>
      </c>
      <c r="B68" s="70" t="s">
        <v>153</v>
      </c>
      <c r="C68" s="70"/>
      <c r="D68" s="62"/>
      <c r="E68" s="63"/>
      <c r="F68" s="63"/>
      <c r="G68" s="63"/>
      <c r="H68" s="63"/>
      <c r="I68" s="63"/>
      <c r="J68" s="63"/>
      <c r="K68" s="63">
        <v>679</v>
      </c>
      <c r="L68" s="63">
        <v>506</v>
      </c>
      <c r="M68" s="63">
        <v>513</v>
      </c>
      <c r="N68" s="63">
        <v>548</v>
      </c>
      <c r="O68" s="63"/>
      <c r="P68" s="63"/>
      <c r="Q68" s="63">
        <v>239</v>
      </c>
      <c r="R68" s="63"/>
      <c r="S68" s="63">
        <v>388</v>
      </c>
      <c r="T68" s="59">
        <f t="shared" si="44"/>
        <v>2873</v>
      </c>
    </row>
    <row r="69" spans="1:20" ht="20.100000000000001" customHeight="1">
      <c r="A69" s="56" t="s">
        <v>159</v>
      </c>
      <c r="B69" s="70" t="s">
        <v>155</v>
      </c>
      <c r="C69" s="70"/>
      <c r="D69" s="62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59">
        <f t="shared" si="44"/>
        <v>0</v>
      </c>
    </row>
    <row r="70" spans="1:20" ht="20.100000000000001" customHeight="1">
      <c r="A70" s="56" t="s">
        <v>160</v>
      </c>
      <c r="B70" s="57" t="s">
        <v>443</v>
      </c>
      <c r="C70" s="57"/>
      <c r="D70" s="58"/>
      <c r="E70" s="55">
        <v>91</v>
      </c>
      <c r="F70" s="55">
        <v>54</v>
      </c>
      <c r="G70" s="55">
        <v>78</v>
      </c>
      <c r="H70" s="55">
        <v>50</v>
      </c>
      <c r="I70" s="55">
        <v>22</v>
      </c>
      <c r="J70" s="55"/>
      <c r="K70" s="55">
        <v>12</v>
      </c>
      <c r="L70" s="55">
        <v>20</v>
      </c>
      <c r="M70" s="55">
        <v>6</v>
      </c>
      <c r="N70" s="55">
        <v>1</v>
      </c>
      <c r="O70" s="55">
        <v>5</v>
      </c>
      <c r="P70" s="55">
        <v>4</v>
      </c>
      <c r="Q70" s="55"/>
      <c r="R70" s="55">
        <v>5</v>
      </c>
      <c r="S70" s="55">
        <v>11</v>
      </c>
      <c r="T70" s="59">
        <f t="shared" si="44"/>
        <v>359</v>
      </c>
    </row>
    <row r="71" spans="1:20" ht="20.100000000000001" customHeight="1">
      <c r="A71" s="56" t="s">
        <v>161</v>
      </c>
      <c r="B71" s="70" t="s">
        <v>444</v>
      </c>
      <c r="C71" s="70"/>
      <c r="D71" s="67"/>
      <c r="E71" s="55">
        <v>32622</v>
      </c>
      <c r="F71" s="55">
        <v>9046</v>
      </c>
      <c r="G71" s="55">
        <v>13627</v>
      </c>
      <c r="H71" s="55">
        <v>17902</v>
      </c>
      <c r="I71" s="55">
        <v>25772.240000000002</v>
      </c>
      <c r="J71" s="55">
        <v>13105.71</v>
      </c>
      <c r="K71" s="55">
        <f>10602.95+3127.29</f>
        <v>13730.240000000002</v>
      </c>
      <c r="L71" s="55">
        <f>6627.96+9667</f>
        <v>16294.96</v>
      </c>
      <c r="M71" s="55">
        <v>11478.41</v>
      </c>
      <c r="N71" s="55">
        <v>9116.92</v>
      </c>
      <c r="O71" s="55">
        <v>33999.89</v>
      </c>
      <c r="P71" s="55">
        <v>2300</v>
      </c>
      <c r="Q71" s="55">
        <v>4357</v>
      </c>
      <c r="R71" s="55">
        <v>13284.58</v>
      </c>
      <c r="S71" s="55">
        <f>2564.98+1394.54</f>
        <v>3959.52</v>
      </c>
      <c r="T71" s="59">
        <f t="shared" si="44"/>
        <v>220596.47000000003</v>
      </c>
    </row>
    <row r="72" spans="1:20" ht="20.100000000000001" customHeight="1">
      <c r="A72" s="56" t="s">
        <v>162</v>
      </c>
      <c r="B72" s="70" t="s">
        <v>445</v>
      </c>
      <c r="C72" s="70"/>
      <c r="D72" s="67"/>
      <c r="E72" s="55">
        <v>29824</v>
      </c>
      <c r="F72" s="55">
        <v>8662</v>
      </c>
      <c r="G72" s="55">
        <v>8000</v>
      </c>
      <c r="H72" s="55">
        <v>8000</v>
      </c>
      <c r="I72" s="55">
        <v>15855</v>
      </c>
      <c r="J72" s="55">
        <v>4669</v>
      </c>
      <c r="K72" s="55">
        <f>4900+1492</f>
        <v>6392</v>
      </c>
      <c r="L72" s="55">
        <f>4663.8+2548.8</f>
        <v>7212.6</v>
      </c>
      <c r="M72" s="55">
        <v>6585.2</v>
      </c>
      <c r="N72" s="55">
        <v>3060</v>
      </c>
      <c r="O72" s="55">
        <v>21060</v>
      </c>
      <c r="P72" s="55"/>
      <c r="Q72" s="55">
        <v>1505</v>
      </c>
      <c r="R72" s="55">
        <v>6784</v>
      </c>
      <c r="S72" s="55">
        <v>4013</v>
      </c>
      <c r="T72" s="59">
        <f t="shared" si="44"/>
        <v>131621.79999999999</v>
      </c>
    </row>
    <row r="73" spans="1:20">
      <c r="E73" s="3">
        <f>E5/E60</f>
        <v>398592.64285714284</v>
      </c>
      <c r="F73" s="3">
        <f t="shared" ref="F73:T73" si="46">F5/F60</f>
        <v>389440.92847222224</v>
      </c>
      <c r="G73" s="3">
        <f t="shared" si="46"/>
        <v>377230.7494805195</v>
      </c>
      <c r="H73" s="3">
        <f t="shared" si="46"/>
        <v>371088.22529411764</v>
      </c>
      <c r="I73" s="3">
        <f t="shared" si="46"/>
        <v>360863.94100529095</v>
      </c>
      <c r="J73" s="3">
        <f t="shared" si="46"/>
        <v>349814.57149999996</v>
      </c>
      <c r="K73" s="3">
        <f t="shared" si="46"/>
        <v>328021.47545454552</v>
      </c>
      <c r="L73" s="3">
        <f t="shared" si="46"/>
        <v>328182.49340909091</v>
      </c>
      <c r="M73" s="3">
        <f t="shared" si="46"/>
        <v>319905.44275000005</v>
      </c>
      <c r="N73" s="3">
        <f t="shared" si="46"/>
        <v>325209.06302325585</v>
      </c>
      <c r="O73" s="3">
        <f t="shared" si="46"/>
        <v>376867.51503875968</v>
      </c>
      <c r="P73" s="3">
        <f t="shared" si="46"/>
        <v>368817.31199999998</v>
      </c>
      <c r="Q73" s="3">
        <f t="shared" si="46"/>
        <v>302397.84941176465</v>
      </c>
      <c r="R73" s="3">
        <f t="shared" si="46"/>
        <v>370543.77559523808</v>
      </c>
      <c r="S73" s="3">
        <f t="shared" si="46"/>
        <v>319395.77903225803</v>
      </c>
      <c r="T73" s="23">
        <f t="shared" si="46"/>
        <v>362754.24052732496</v>
      </c>
    </row>
    <row r="74" spans="1:20">
      <c r="E74" s="3">
        <f>E34/E70</f>
        <v>19860</v>
      </c>
      <c r="F74" s="3">
        <f t="shared" ref="F74:T74" si="47">F34/F70</f>
        <v>19905.555555555555</v>
      </c>
      <c r="G74" s="3">
        <f t="shared" si="47"/>
        <v>17504.615384615383</v>
      </c>
      <c r="H74" s="3">
        <f t="shared" si="47"/>
        <v>17485.2</v>
      </c>
      <c r="I74" s="3">
        <f t="shared" si="47"/>
        <v>17277.272727272728</v>
      </c>
      <c r="J74" s="3" t="e">
        <f t="shared" si="47"/>
        <v>#DIV/0!</v>
      </c>
      <c r="K74" s="3">
        <f t="shared" si="47"/>
        <v>16860</v>
      </c>
      <c r="L74" s="3">
        <f t="shared" si="47"/>
        <v>15828</v>
      </c>
      <c r="M74" s="3">
        <f t="shared" si="47"/>
        <v>15890</v>
      </c>
      <c r="N74" s="3">
        <f t="shared" si="47"/>
        <v>13020</v>
      </c>
      <c r="O74" s="3">
        <f t="shared" si="47"/>
        <v>14676</v>
      </c>
      <c r="P74" s="3">
        <f t="shared" si="47"/>
        <v>19725</v>
      </c>
      <c r="Q74" s="3" t="e">
        <f t="shared" si="47"/>
        <v>#DIV/0!</v>
      </c>
      <c r="R74" s="3">
        <f t="shared" si="47"/>
        <v>14124</v>
      </c>
      <c r="S74" s="3">
        <f t="shared" si="47"/>
        <v>15752.727272727272</v>
      </c>
      <c r="T74" s="23">
        <f t="shared" si="47"/>
        <v>18176.32311977716</v>
      </c>
    </row>
    <row r="75" spans="1:20">
      <c r="B75" s="795"/>
      <c r="C75" s="795"/>
      <c r="D75" s="795"/>
      <c r="E75" s="795"/>
      <c r="F75" s="795"/>
      <c r="G75" s="795"/>
      <c r="H75" s="795"/>
      <c r="I75" s="795"/>
      <c r="J75" s="795"/>
      <c r="K75" s="795"/>
    </row>
    <row r="82" spans="18:19">
      <c r="R82" s="23"/>
      <c r="S82" s="71"/>
    </row>
    <row r="83" spans="18:19">
      <c r="R83" s="24"/>
    </row>
  </sheetData>
  <protectedRanges>
    <protectedRange password="E9C1" sqref="D30 C31 A5:D6 A2:T2 C22:D22 B23:D23 C24:D25 B7:D13 C14:D14 B15:D21 B26:D26 C27:D27 B28:D29 B32:D72 A7:A72 T5:T72 A4:T4 A3:D3 T3" name="区域1_1"/>
    <protectedRange password="E9C1" sqref="B30:C30 B31" name="区域1_1_1"/>
    <protectedRange password="E9C1" sqref="D31" name="区域1_2"/>
    <protectedRange sqref="B22" name="区域1_1_2"/>
    <protectedRange sqref="B24:B25" name="区域1_1_3"/>
    <protectedRange sqref="B14" name="区域1_1_4"/>
    <protectedRange sqref="B27" name="区域1_1_5"/>
  </protectedRanges>
  <mergeCells count="7">
    <mergeCell ref="A1:T1"/>
    <mergeCell ref="B75:K75"/>
    <mergeCell ref="A2:A3"/>
    <mergeCell ref="B2:B3"/>
    <mergeCell ref="C2:C3"/>
    <mergeCell ref="D2:D3"/>
    <mergeCell ref="T2:T3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8" scale="85" orientation="landscape" verticalDpi="0" r:id="rId1"/>
  <headerFooter>
    <oddFooter>第 &amp;P 页，共 &amp;N 页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4"/>
  <sheetViews>
    <sheetView workbookViewId="0">
      <selection activeCell="A39" sqref="A39:XFD39"/>
    </sheetView>
  </sheetViews>
  <sheetFormatPr defaultRowHeight="11.25"/>
  <cols>
    <col min="1" max="1" width="3.875" style="13" customWidth="1"/>
    <col min="2" max="2" width="14.625" style="1" customWidth="1"/>
    <col min="3" max="3" width="0" style="1" hidden="1" customWidth="1"/>
    <col min="4" max="4" width="0" style="14" hidden="1" customWidth="1"/>
    <col min="5" max="16" width="11.625" style="1" customWidth="1"/>
    <col min="17" max="16384" width="9" style="1"/>
  </cols>
  <sheetData>
    <row r="1" spans="1:16" ht="25.5">
      <c r="A1" s="787" t="s">
        <v>832</v>
      </c>
      <c r="B1" s="788"/>
      <c r="C1" s="788"/>
      <c r="D1" s="788"/>
      <c r="E1" s="788"/>
      <c r="F1" s="788"/>
      <c r="G1" s="788"/>
      <c r="H1" s="788"/>
      <c r="I1" s="788"/>
      <c r="J1" s="788"/>
      <c r="K1" s="788"/>
      <c r="L1" s="788"/>
      <c r="M1" s="788"/>
      <c r="N1" s="788"/>
      <c r="O1" s="788"/>
      <c r="P1" s="788"/>
    </row>
    <row r="2" spans="1:16" ht="15" customHeight="1">
      <c r="A2" s="791" t="s">
        <v>12</v>
      </c>
      <c r="B2" s="791" t="s">
        <v>13</v>
      </c>
      <c r="C2" s="791" t="s">
        <v>14</v>
      </c>
      <c r="D2" s="791" t="s">
        <v>15</v>
      </c>
      <c r="E2" s="33" t="s">
        <v>188</v>
      </c>
      <c r="F2" s="33" t="s">
        <v>189</v>
      </c>
      <c r="G2" s="33" t="s">
        <v>446</v>
      </c>
      <c r="H2" s="33" t="s">
        <v>447</v>
      </c>
      <c r="I2" s="33" t="s">
        <v>190</v>
      </c>
      <c r="J2" s="33" t="s">
        <v>191</v>
      </c>
      <c r="K2" s="33" t="s">
        <v>192</v>
      </c>
      <c r="L2" s="33" t="s">
        <v>193</v>
      </c>
      <c r="M2" s="33" t="s">
        <v>194</v>
      </c>
      <c r="N2" s="33" t="s">
        <v>448</v>
      </c>
      <c r="O2" s="33" t="s">
        <v>273</v>
      </c>
      <c r="P2" s="791" t="s">
        <v>17</v>
      </c>
    </row>
    <row r="3" spans="1:16" ht="15" customHeight="1">
      <c r="A3" s="792"/>
      <c r="B3" s="792"/>
      <c r="C3" s="792"/>
      <c r="D3" s="792"/>
      <c r="E3" s="33" t="s">
        <v>464</v>
      </c>
      <c r="F3" s="33" t="s">
        <v>464</v>
      </c>
      <c r="G3" s="33" t="s">
        <v>462</v>
      </c>
      <c r="H3" s="33" t="s">
        <v>463</v>
      </c>
      <c r="I3" s="33" t="s">
        <v>463</v>
      </c>
      <c r="J3" s="33" t="s">
        <v>460</v>
      </c>
      <c r="K3" s="33" t="s">
        <v>460</v>
      </c>
      <c r="L3" s="33" t="s">
        <v>460</v>
      </c>
      <c r="M3" s="33" t="s">
        <v>460</v>
      </c>
      <c r="N3" s="33" t="s">
        <v>460</v>
      </c>
      <c r="O3" s="33" t="s">
        <v>461</v>
      </c>
      <c r="P3" s="792"/>
    </row>
    <row r="4" spans="1:16" ht="15" customHeight="1">
      <c r="A4" s="35" t="s">
        <v>19</v>
      </c>
      <c r="B4" s="36" t="s">
        <v>20</v>
      </c>
      <c r="C4" s="36"/>
      <c r="D4" s="37" t="s">
        <v>21</v>
      </c>
      <c r="E4" s="38">
        <f t="shared" ref="E4:O4" si="0">E5+E32+E37</f>
        <v>32928374.25</v>
      </c>
      <c r="F4" s="38">
        <f t="shared" si="0"/>
        <v>27322904.350000001</v>
      </c>
      <c r="G4" s="38">
        <f t="shared" si="0"/>
        <v>47045953.700000003</v>
      </c>
      <c r="H4" s="38">
        <f t="shared" si="0"/>
        <v>29863482.149999999</v>
      </c>
      <c r="I4" s="38">
        <f t="shared" si="0"/>
        <v>37091954.399999999</v>
      </c>
      <c r="J4" s="38">
        <f t="shared" si="0"/>
        <v>19579173.25</v>
      </c>
      <c r="K4" s="38">
        <f t="shared" si="0"/>
        <v>16427544.75</v>
      </c>
      <c r="L4" s="38">
        <f t="shared" si="0"/>
        <v>13859588.699999999</v>
      </c>
      <c r="M4" s="38">
        <f t="shared" si="0"/>
        <v>16906742.25</v>
      </c>
      <c r="N4" s="38">
        <f t="shared" si="0"/>
        <v>2394254.4</v>
      </c>
      <c r="O4" s="38">
        <f t="shared" si="0"/>
        <v>523401</v>
      </c>
      <c r="P4" s="38">
        <f t="shared" ref="P4:P67" si="1">SUM(E4:O4)</f>
        <v>243943373.20000002</v>
      </c>
    </row>
    <row r="5" spans="1:16" ht="15" customHeight="1">
      <c r="A5" s="35" t="s">
        <v>22</v>
      </c>
      <c r="B5" s="36" t="s">
        <v>0</v>
      </c>
      <c r="C5" s="36"/>
      <c r="D5" s="37" t="s">
        <v>21</v>
      </c>
      <c r="E5" s="38">
        <f>E6+E9+E13+E16+E21+E26+E28+E30+E31</f>
        <v>26959850</v>
      </c>
      <c r="F5" s="38">
        <f t="shared" ref="F5:O5" si="2">F6+F9+F13+F16+F21+F26+F28+F30+F31</f>
        <v>22765148</v>
      </c>
      <c r="G5" s="38">
        <f t="shared" si="2"/>
        <v>40357552</v>
      </c>
      <c r="H5" s="38">
        <f t="shared" si="2"/>
        <v>24963744</v>
      </c>
      <c r="I5" s="38">
        <f t="shared" si="2"/>
        <v>29189870</v>
      </c>
      <c r="J5" s="38">
        <f t="shared" si="2"/>
        <v>16883292</v>
      </c>
      <c r="K5" s="38">
        <f t="shared" si="2"/>
        <v>14170256</v>
      </c>
      <c r="L5" s="38">
        <f t="shared" si="2"/>
        <v>11897988</v>
      </c>
      <c r="M5" s="38">
        <f t="shared" si="2"/>
        <v>14764976</v>
      </c>
      <c r="N5" s="38">
        <f t="shared" si="2"/>
        <v>1330868</v>
      </c>
      <c r="O5" s="38">
        <f t="shared" si="2"/>
        <v>422136</v>
      </c>
      <c r="P5" s="38">
        <f t="shared" si="1"/>
        <v>203705680</v>
      </c>
    </row>
    <row r="6" spans="1:16" ht="15" customHeight="1">
      <c r="A6" s="35" t="s">
        <v>23</v>
      </c>
      <c r="B6" s="36" t="s">
        <v>24</v>
      </c>
      <c r="C6" s="36"/>
      <c r="D6" s="37" t="s">
        <v>21</v>
      </c>
      <c r="E6" s="38">
        <f>E7+E8</f>
        <v>3671290</v>
      </c>
      <c r="F6" s="38">
        <f t="shared" ref="F6:O6" si="3">F7+F8</f>
        <v>3123440</v>
      </c>
      <c r="G6" s="38">
        <f t="shared" si="3"/>
        <v>5508670</v>
      </c>
      <c r="H6" s="38">
        <f t="shared" si="3"/>
        <v>3289790</v>
      </c>
      <c r="I6" s="38">
        <f t="shared" si="3"/>
        <v>3939060</v>
      </c>
      <c r="J6" s="38">
        <f t="shared" si="3"/>
        <v>2280710</v>
      </c>
      <c r="K6" s="38">
        <f t="shared" si="3"/>
        <v>1943550</v>
      </c>
      <c r="L6" s="38">
        <f t="shared" si="3"/>
        <v>1667210</v>
      </c>
      <c r="M6" s="38">
        <f t="shared" si="3"/>
        <v>2097590</v>
      </c>
      <c r="N6" s="38">
        <f t="shared" si="3"/>
        <v>184990</v>
      </c>
      <c r="O6" s="38">
        <f t="shared" si="3"/>
        <v>69560</v>
      </c>
      <c r="P6" s="38">
        <f t="shared" si="1"/>
        <v>27775860</v>
      </c>
    </row>
    <row r="7" spans="1:16" ht="15" customHeight="1">
      <c r="A7" s="35" t="s">
        <v>25</v>
      </c>
      <c r="B7" s="36" t="s">
        <v>26</v>
      </c>
      <c r="C7" s="36" t="s">
        <v>27</v>
      </c>
      <c r="D7" s="37" t="s">
        <v>28</v>
      </c>
      <c r="E7" s="40">
        <v>2041210</v>
      </c>
      <c r="F7" s="40">
        <v>1720220</v>
      </c>
      <c r="G7" s="40">
        <v>2849420</v>
      </c>
      <c r="H7" s="40">
        <v>1751730</v>
      </c>
      <c r="I7" s="40">
        <v>2179470</v>
      </c>
      <c r="J7" s="40">
        <v>1348050</v>
      </c>
      <c r="K7" s="40">
        <v>1148220</v>
      </c>
      <c r="L7" s="40">
        <v>969590</v>
      </c>
      <c r="M7" s="40">
        <v>1185220</v>
      </c>
      <c r="N7" s="40">
        <v>115270</v>
      </c>
      <c r="O7" s="40">
        <v>33280</v>
      </c>
      <c r="P7" s="38">
        <f t="shared" si="1"/>
        <v>15341680</v>
      </c>
    </row>
    <row r="8" spans="1:16" ht="15" customHeight="1">
      <c r="A8" s="35" t="s">
        <v>29</v>
      </c>
      <c r="B8" s="36" t="s">
        <v>30</v>
      </c>
      <c r="C8" s="36" t="s">
        <v>27</v>
      </c>
      <c r="D8" s="37" t="s">
        <v>28</v>
      </c>
      <c r="E8" s="40">
        <v>1630080</v>
      </c>
      <c r="F8" s="40">
        <v>1403220</v>
      </c>
      <c r="G8" s="40">
        <v>2659250</v>
      </c>
      <c r="H8" s="40">
        <v>1538060</v>
      </c>
      <c r="I8" s="40">
        <v>1759590</v>
      </c>
      <c r="J8" s="40">
        <v>932660</v>
      </c>
      <c r="K8" s="40">
        <v>795330</v>
      </c>
      <c r="L8" s="40">
        <v>697620</v>
      </c>
      <c r="M8" s="40">
        <v>912370</v>
      </c>
      <c r="N8" s="40">
        <v>69720</v>
      </c>
      <c r="O8" s="40">
        <v>36280</v>
      </c>
      <c r="P8" s="38">
        <f t="shared" si="1"/>
        <v>12434180</v>
      </c>
    </row>
    <row r="9" spans="1:16" ht="15" customHeight="1">
      <c r="A9" s="35" t="s">
        <v>31</v>
      </c>
      <c r="B9" s="36" t="s">
        <v>32</v>
      </c>
      <c r="C9" s="36"/>
      <c r="D9" s="37" t="s">
        <v>21</v>
      </c>
      <c r="E9" s="38">
        <f>E10+E11</f>
        <v>375400</v>
      </c>
      <c r="F9" s="38">
        <f t="shared" ref="F9:O9" si="4">F10+F11</f>
        <v>305820</v>
      </c>
      <c r="G9" s="38">
        <f t="shared" si="4"/>
        <v>1087680</v>
      </c>
      <c r="H9" s="38">
        <f t="shared" si="4"/>
        <v>364200</v>
      </c>
      <c r="I9" s="38">
        <f t="shared" si="4"/>
        <v>423048</v>
      </c>
      <c r="J9" s="38">
        <f t="shared" si="4"/>
        <v>283340</v>
      </c>
      <c r="K9" s="38">
        <f t="shared" si="4"/>
        <v>235080</v>
      </c>
      <c r="L9" s="38">
        <f t="shared" si="4"/>
        <v>198180</v>
      </c>
      <c r="M9" s="38">
        <f t="shared" si="4"/>
        <v>241176</v>
      </c>
      <c r="N9" s="38">
        <f t="shared" si="4"/>
        <v>21432</v>
      </c>
      <c r="O9" s="38">
        <f t="shared" si="4"/>
        <v>5400</v>
      </c>
      <c r="P9" s="38">
        <f t="shared" si="1"/>
        <v>3540756</v>
      </c>
    </row>
    <row r="10" spans="1:16" ht="15" customHeight="1">
      <c r="A10" s="35" t="s">
        <v>33</v>
      </c>
      <c r="B10" s="36" t="s">
        <v>34</v>
      </c>
      <c r="C10" s="36" t="s">
        <v>27</v>
      </c>
      <c r="D10" s="37" t="s">
        <v>28</v>
      </c>
      <c r="E10" s="40">
        <v>5800</v>
      </c>
      <c r="F10" s="40">
        <v>4860</v>
      </c>
      <c r="G10" s="40">
        <v>543840</v>
      </c>
      <c r="H10" s="40">
        <v>5160</v>
      </c>
      <c r="I10" s="40">
        <v>5928</v>
      </c>
      <c r="J10" s="40">
        <v>3500</v>
      </c>
      <c r="K10" s="40">
        <v>2760</v>
      </c>
      <c r="L10" s="40">
        <v>2820</v>
      </c>
      <c r="M10" s="40">
        <v>3576</v>
      </c>
      <c r="N10" s="40">
        <v>312</v>
      </c>
      <c r="O10" s="40">
        <v>120</v>
      </c>
      <c r="P10" s="38">
        <f t="shared" si="1"/>
        <v>578676</v>
      </c>
    </row>
    <row r="11" spans="1:16" ht="15" customHeight="1">
      <c r="A11" s="35" t="s">
        <v>35</v>
      </c>
      <c r="B11" s="36" t="s">
        <v>36</v>
      </c>
      <c r="C11" s="36"/>
      <c r="D11" s="37" t="s">
        <v>21</v>
      </c>
      <c r="E11" s="38">
        <f>E12</f>
        <v>369600</v>
      </c>
      <c r="F11" s="38">
        <f t="shared" ref="F11:O11" si="5">F12</f>
        <v>300960</v>
      </c>
      <c r="G11" s="38">
        <f t="shared" si="5"/>
        <v>543840</v>
      </c>
      <c r="H11" s="38">
        <f t="shared" si="5"/>
        <v>359040</v>
      </c>
      <c r="I11" s="38">
        <f t="shared" si="5"/>
        <v>417120</v>
      </c>
      <c r="J11" s="38">
        <f t="shared" si="5"/>
        <v>279840</v>
      </c>
      <c r="K11" s="38">
        <f t="shared" si="5"/>
        <v>232320</v>
      </c>
      <c r="L11" s="38">
        <f t="shared" si="5"/>
        <v>195360</v>
      </c>
      <c r="M11" s="38">
        <f t="shared" si="5"/>
        <v>237600</v>
      </c>
      <c r="N11" s="38">
        <f t="shared" si="5"/>
        <v>21120</v>
      </c>
      <c r="O11" s="38">
        <f t="shared" si="5"/>
        <v>5280</v>
      </c>
      <c r="P11" s="38">
        <f t="shared" si="1"/>
        <v>2962080</v>
      </c>
    </row>
    <row r="12" spans="1:16" s="2" customFormat="1" ht="15" customHeight="1">
      <c r="A12" s="35" t="s">
        <v>37</v>
      </c>
      <c r="B12" s="42" t="s">
        <v>309</v>
      </c>
      <c r="C12" s="42" t="s">
        <v>27</v>
      </c>
      <c r="D12" s="39" t="s">
        <v>21</v>
      </c>
      <c r="E12" s="38">
        <f t="shared" ref="E12:O12" si="6">440*12*E60</f>
        <v>369600</v>
      </c>
      <c r="F12" s="38">
        <f t="shared" si="6"/>
        <v>300960</v>
      </c>
      <c r="G12" s="38">
        <f t="shared" si="6"/>
        <v>543840</v>
      </c>
      <c r="H12" s="38">
        <f t="shared" si="6"/>
        <v>359040</v>
      </c>
      <c r="I12" s="38">
        <f t="shared" si="6"/>
        <v>417120</v>
      </c>
      <c r="J12" s="38">
        <f t="shared" si="6"/>
        <v>279840</v>
      </c>
      <c r="K12" s="38">
        <f t="shared" si="6"/>
        <v>232320</v>
      </c>
      <c r="L12" s="38">
        <f t="shared" si="6"/>
        <v>195360</v>
      </c>
      <c r="M12" s="38">
        <f t="shared" si="6"/>
        <v>237600</v>
      </c>
      <c r="N12" s="38">
        <f t="shared" si="6"/>
        <v>21120</v>
      </c>
      <c r="O12" s="38">
        <f t="shared" si="6"/>
        <v>5280</v>
      </c>
      <c r="P12" s="38">
        <f t="shared" si="1"/>
        <v>2962080</v>
      </c>
    </row>
    <row r="13" spans="1:16" ht="15" customHeight="1">
      <c r="A13" s="35" t="s">
        <v>39</v>
      </c>
      <c r="B13" s="36" t="s">
        <v>40</v>
      </c>
      <c r="C13" s="36"/>
      <c r="D13" s="37" t="s">
        <v>41</v>
      </c>
      <c r="E13" s="38">
        <f>E14+E15</f>
        <v>177484</v>
      </c>
      <c r="F13" s="38">
        <f t="shared" ref="F13:O13" si="7">F14+F15</f>
        <v>159590</v>
      </c>
      <c r="G13" s="38">
        <f t="shared" si="7"/>
        <v>262180</v>
      </c>
      <c r="H13" s="38">
        <f t="shared" si="7"/>
        <v>167402</v>
      </c>
      <c r="I13" s="38">
        <f t="shared" si="7"/>
        <v>196056</v>
      </c>
      <c r="J13" s="38">
        <f t="shared" si="7"/>
        <v>112914</v>
      </c>
      <c r="K13" s="38">
        <f t="shared" si="7"/>
        <v>96050</v>
      </c>
      <c r="L13" s="38">
        <f t="shared" si="7"/>
        <v>79630</v>
      </c>
      <c r="M13" s="38">
        <f t="shared" si="7"/>
        <v>101834</v>
      </c>
      <c r="N13" s="38">
        <f t="shared" si="7"/>
        <v>9494</v>
      </c>
      <c r="O13" s="38">
        <f t="shared" si="7"/>
        <v>3170</v>
      </c>
      <c r="P13" s="38">
        <f t="shared" si="1"/>
        <v>1365804</v>
      </c>
    </row>
    <row r="14" spans="1:16" s="2" customFormat="1" ht="15" customHeight="1">
      <c r="A14" s="35" t="s">
        <v>42</v>
      </c>
      <c r="B14" s="42" t="s">
        <v>310</v>
      </c>
      <c r="C14" s="42" t="s">
        <v>27</v>
      </c>
      <c r="D14" s="39" t="s">
        <v>43</v>
      </c>
      <c r="E14" s="38">
        <f>ROUND(E30/0.07*0.005,2)</f>
        <v>88742</v>
      </c>
      <c r="F14" s="38">
        <f t="shared" ref="F14:O14" si="8">ROUND(F30/0.07*0.005,2)</f>
        <v>79795</v>
      </c>
      <c r="G14" s="38">
        <f t="shared" si="8"/>
        <v>131090</v>
      </c>
      <c r="H14" s="38">
        <f t="shared" si="8"/>
        <v>83701</v>
      </c>
      <c r="I14" s="38">
        <f t="shared" si="8"/>
        <v>98028</v>
      </c>
      <c r="J14" s="38">
        <f t="shared" si="8"/>
        <v>56457</v>
      </c>
      <c r="K14" s="38">
        <f t="shared" si="8"/>
        <v>48025</v>
      </c>
      <c r="L14" s="38">
        <f t="shared" si="8"/>
        <v>39815</v>
      </c>
      <c r="M14" s="38">
        <f t="shared" si="8"/>
        <v>50917</v>
      </c>
      <c r="N14" s="38">
        <f t="shared" si="8"/>
        <v>4747</v>
      </c>
      <c r="O14" s="38">
        <f t="shared" si="8"/>
        <v>1585</v>
      </c>
      <c r="P14" s="38">
        <f t="shared" si="1"/>
        <v>682902</v>
      </c>
    </row>
    <row r="15" spans="1:16" s="2" customFormat="1" ht="15" customHeight="1">
      <c r="A15" s="35" t="s">
        <v>44</v>
      </c>
      <c r="B15" s="42" t="s">
        <v>311</v>
      </c>
      <c r="C15" s="42" t="s">
        <v>27</v>
      </c>
      <c r="D15" s="39" t="s">
        <v>43</v>
      </c>
      <c r="E15" s="38">
        <f>ROUND(E30/0.07*0.005,2)</f>
        <v>88742</v>
      </c>
      <c r="F15" s="38">
        <f t="shared" ref="F15:O15" si="9">ROUND(F30/0.07*0.005,2)</f>
        <v>79795</v>
      </c>
      <c r="G15" s="38">
        <f t="shared" si="9"/>
        <v>131090</v>
      </c>
      <c r="H15" s="38">
        <f t="shared" si="9"/>
        <v>83701</v>
      </c>
      <c r="I15" s="38">
        <f t="shared" si="9"/>
        <v>98028</v>
      </c>
      <c r="J15" s="38">
        <f t="shared" si="9"/>
        <v>56457</v>
      </c>
      <c r="K15" s="38">
        <f t="shared" si="9"/>
        <v>48025</v>
      </c>
      <c r="L15" s="38">
        <f t="shared" si="9"/>
        <v>39815</v>
      </c>
      <c r="M15" s="38">
        <f t="shared" si="9"/>
        <v>50917</v>
      </c>
      <c r="N15" s="38">
        <f t="shared" si="9"/>
        <v>4747</v>
      </c>
      <c r="O15" s="38">
        <f t="shared" si="9"/>
        <v>1585</v>
      </c>
      <c r="P15" s="38">
        <f t="shared" si="1"/>
        <v>682902</v>
      </c>
    </row>
    <row r="16" spans="1:16" ht="15" customHeight="1">
      <c r="A16" s="35" t="s">
        <v>46</v>
      </c>
      <c r="B16" s="36" t="s">
        <v>47</v>
      </c>
      <c r="C16" s="36"/>
      <c r="D16" s="37" t="s">
        <v>21</v>
      </c>
      <c r="E16" s="38">
        <f>E17+E18+E19+E20</f>
        <v>14926380</v>
      </c>
      <c r="F16" s="38">
        <f t="shared" ref="F16:L16" si="10">F17+F18+F19+F20</f>
        <v>12154338</v>
      </c>
      <c r="G16" s="38">
        <f t="shared" si="10"/>
        <v>21963102</v>
      </c>
      <c r="H16" s="38">
        <f t="shared" si="10"/>
        <v>13776664</v>
      </c>
      <c r="I16" s="38">
        <f t="shared" si="10"/>
        <v>16005242</v>
      </c>
      <c r="J16" s="38">
        <f t="shared" si="10"/>
        <v>9238112</v>
      </c>
      <c r="K16" s="38">
        <f t="shared" si="10"/>
        <v>7669376</v>
      </c>
      <c r="L16" s="38">
        <f t="shared" si="10"/>
        <v>6449248</v>
      </c>
      <c r="M16" s="38">
        <f>M17+M18+M19+M20</f>
        <v>7843680</v>
      </c>
      <c r="N16" s="38">
        <f>N17+N18+N19+N20</f>
        <v>697216</v>
      </c>
      <c r="O16" s="38">
        <f>O17+O18+O19+O20</f>
        <v>204526</v>
      </c>
      <c r="P16" s="38">
        <f t="shared" si="1"/>
        <v>110927884</v>
      </c>
    </row>
    <row r="17" spans="1:16" ht="15" customHeight="1">
      <c r="A17" s="35" t="s">
        <v>48</v>
      </c>
      <c r="B17" s="43" t="s">
        <v>49</v>
      </c>
      <c r="C17" s="43" t="s">
        <v>27</v>
      </c>
      <c r="D17" s="44" t="s">
        <v>312</v>
      </c>
      <c r="E17" s="45">
        <v>13284396</v>
      </c>
      <c r="F17" s="45">
        <v>11012746</v>
      </c>
      <c r="G17" s="45">
        <v>19983300</v>
      </c>
      <c r="H17" s="45">
        <v>12449282</v>
      </c>
      <c r="I17" s="45">
        <v>14444409</v>
      </c>
      <c r="J17" s="45">
        <v>8697288</v>
      </c>
      <c r="K17" s="45">
        <v>7161900</v>
      </c>
      <c r="L17" s="45">
        <v>5980364</v>
      </c>
      <c r="M17" s="45">
        <v>7318264</v>
      </c>
      <c r="N17" s="45">
        <v>499260</v>
      </c>
      <c r="O17" s="45">
        <v>198526</v>
      </c>
      <c r="P17" s="38">
        <f t="shared" si="1"/>
        <v>101029735</v>
      </c>
    </row>
    <row r="18" spans="1:16" ht="15" customHeight="1">
      <c r="A18" s="35" t="s">
        <v>51</v>
      </c>
      <c r="B18" s="43" t="s">
        <v>52</v>
      </c>
      <c r="C18" s="43" t="s">
        <v>27</v>
      </c>
      <c r="D18" s="44" t="s">
        <v>53</v>
      </c>
      <c r="E18" s="45">
        <v>521984</v>
      </c>
      <c r="F18" s="45">
        <v>229592</v>
      </c>
      <c r="G18" s="45">
        <v>331802</v>
      </c>
      <c r="H18" s="45">
        <v>239382</v>
      </c>
      <c r="I18" s="45">
        <v>296833</v>
      </c>
      <c r="J18" s="45">
        <v>222824</v>
      </c>
      <c r="K18" s="45">
        <v>243476</v>
      </c>
      <c r="L18" s="45">
        <v>246884</v>
      </c>
      <c r="M18" s="45">
        <v>255416</v>
      </c>
      <c r="N18" s="45">
        <v>173956</v>
      </c>
      <c r="O18" s="45"/>
      <c r="P18" s="38">
        <f t="shared" si="1"/>
        <v>2762149</v>
      </c>
    </row>
    <row r="19" spans="1:16" ht="15" customHeight="1">
      <c r="A19" s="35" t="s">
        <v>54</v>
      </c>
      <c r="B19" s="43" t="s">
        <v>313</v>
      </c>
      <c r="C19" s="43" t="s">
        <v>27</v>
      </c>
      <c r="D19" s="37" t="s">
        <v>21</v>
      </c>
      <c r="E19" s="46">
        <f t="shared" ref="E19:O19" si="11">E60*500*12</f>
        <v>420000</v>
      </c>
      <c r="F19" s="46">
        <f t="shared" si="11"/>
        <v>342000</v>
      </c>
      <c r="G19" s="46">
        <f t="shared" si="11"/>
        <v>618000</v>
      </c>
      <c r="H19" s="46">
        <f t="shared" si="11"/>
        <v>408000</v>
      </c>
      <c r="I19" s="46">
        <f t="shared" si="11"/>
        <v>474000</v>
      </c>
      <c r="J19" s="46">
        <f t="shared" si="11"/>
        <v>318000</v>
      </c>
      <c r="K19" s="46">
        <f t="shared" si="11"/>
        <v>264000</v>
      </c>
      <c r="L19" s="46">
        <f t="shared" si="11"/>
        <v>222000</v>
      </c>
      <c r="M19" s="46">
        <f t="shared" si="11"/>
        <v>270000</v>
      </c>
      <c r="N19" s="46">
        <f t="shared" si="11"/>
        <v>24000</v>
      </c>
      <c r="O19" s="46">
        <f t="shared" si="11"/>
        <v>6000</v>
      </c>
      <c r="P19" s="38">
        <f t="shared" si="1"/>
        <v>3366000</v>
      </c>
    </row>
    <row r="20" spans="1:16" ht="15" customHeight="1">
      <c r="A20" s="35" t="s">
        <v>56</v>
      </c>
      <c r="B20" s="43" t="s">
        <v>314</v>
      </c>
      <c r="C20" s="43" t="s">
        <v>27</v>
      </c>
      <c r="D20" s="37" t="s">
        <v>28</v>
      </c>
      <c r="E20" s="45">
        <v>700000</v>
      </c>
      <c r="F20" s="45">
        <v>570000</v>
      </c>
      <c r="G20" s="45">
        <v>1030000</v>
      </c>
      <c r="H20" s="45">
        <v>680000</v>
      </c>
      <c r="I20" s="45">
        <v>790000</v>
      </c>
      <c r="J20" s="45"/>
      <c r="K20" s="45"/>
      <c r="L20" s="45"/>
      <c r="M20" s="45"/>
      <c r="N20" s="45"/>
      <c r="O20" s="45"/>
      <c r="P20" s="38">
        <f t="shared" si="1"/>
        <v>3770000</v>
      </c>
    </row>
    <row r="21" spans="1:16" ht="15" customHeight="1">
      <c r="A21" s="35" t="s">
        <v>58</v>
      </c>
      <c r="B21" s="36" t="s">
        <v>59</v>
      </c>
      <c r="C21" s="36"/>
      <c r="D21" s="44" t="s">
        <v>21</v>
      </c>
      <c r="E21" s="46">
        <f>E22+E23</f>
        <v>2307292</v>
      </c>
      <c r="F21" s="46">
        <f t="shared" ref="F21:O21" si="12">F22+F23</f>
        <v>2074670</v>
      </c>
      <c r="G21" s="46">
        <f t="shared" si="12"/>
        <v>3408340</v>
      </c>
      <c r="H21" s="46">
        <f t="shared" si="12"/>
        <v>2176226</v>
      </c>
      <c r="I21" s="46">
        <f t="shared" si="12"/>
        <v>2548728</v>
      </c>
      <c r="J21" s="46">
        <f t="shared" si="12"/>
        <v>1467882</v>
      </c>
      <c r="K21" s="46">
        <f t="shared" si="12"/>
        <v>1248650</v>
      </c>
      <c r="L21" s="46">
        <f t="shared" si="12"/>
        <v>1035190</v>
      </c>
      <c r="M21" s="46">
        <f t="shared" si="12"/>
        <v>1323842</v>
      </c>
      <c r="N21" s="46">
        <f t="shared" si="12"/>
        <v>123422</v>
      </c>
      <c r="O21" s="46">
        <f t="shared" si="12"/>
        <v>41210</v>
      </c>
      <c r="P21" s="38">
        <f t="shared" si="1"/>
        <v>17755452</v>
      </c>
    </row>
    <row r="22" spans="1:16" ht="15" customHeight="1">
      <c r="A22" s="35" t="s">
        <v>60</v>
      </c>
      <c r="B22" s="36" t="s">
        <v>315</v>
      </c>
      <c r="C22" s="36" t="s">
        <v>61</v>
      </c>
      <c r="D22" s="44" t="s">
        <v>21</v>
      </c>
      <c r="E22" s="46">
        <f>ROUND(E30/0.07*0.09,2)</f>
        <v>1597356</v>
      </c>
      <c r="F22" s="46">
        <f t="shared" ref="F22:O22" si="13">ROUND(F30/0.07*0.09,2)</f>
        <v>1436310</v>
      </c>
      <c r="G22" s="46">
        <f t="shared" si="13"/>
        <v>2359620</v>
      </c>
      <c r="H22" s="46">
        <f t="shared" si="13"/>
        <v>1506618</v>
      </c>
      <c r="I22" s="46">
        <f t="shared" si="13"/>
        <v>1764504</v>
      </c>
      <c r="J22" s="46">
        <f t="shared" si="13"/>
        <v>1016226</v>
      </c>
      <c r="K22" s="46">
        <f t="shared" si="13"/>
        <v>864450</v>
      </c>
      <c r="L22" s="46">
        <f t="shared" si="13"/>
        <v>716670</v>
      </c>
      <c r="M22" s="46">
        <f t="shared" si="13"/>
        <v>916506</v>
      </c>
      <c r="N22" s="46">
        <f t="shared" si="13"/>
        <v>85446</v>
      </c>
      <c r="O22" s="46">
        <f t="shared" si="13"/>
        <v>28530</v>
      </c>
      <c r="P22" s="38">
        <f t="shared" si="1"/>
        <v>12292236</v>
      </c>
    </row>
    <row r="23" spans="1:16" ht="15" customHeight="1">
      <c r="A23" s="35" t="s">
        <v>62</v>
      </c>
      <c r="B23" s="36" t="s">
        <v>316</v>
      </c>
      <c r="C23" s="36" t="s">
        <v>61</v>
      </c>
      <c r="D23" s="44" t="s">
        <v>43</v>
      </c>
      <c r="E23" s="46">
        <f>E24+E25</f>
        <v>709936</v>
      </c>
      <c r="F23" s="46">
        <f t="shared" ref="F23:O23" si="14">F24+F25</f>
        <v>638360</v>
      </c>
      <c r="G23" s="46">
        <f t="shared" si="14"/>
        <v>1048720</v>
      </c>
      <c r="H23" s="46">
        <f t="shared" si="14"/>
        <v>669608</v>
      </c>
      <c r="I23" s="46">
        <f t="shared" si="14"/>
        <v>784224</v>
      </c>
      <c r="J23" s="46">
        <f t="shared" si="14"/>
        <v>451656</v>
      </c>
      <c r="K23" s="46">
        <f t="shared" si="14"/>
        <v>384200</v>
      </c>
      <c r="L23" s="46">
        <f t="shared" si="14"/>
        <v>318520</v>
      </c>
      <c r="M23" s="46">
        <f t="shared" si="14"/>
        <v>407336</v>
      </c>
      <c r="N23" s="46">
        <f t="shared" si="14"/>
        <v>37976</v>
      </c>
      <c r="O23" s="46">
        <f t="shared" si="14"/>
        <v>12680</v>
      </c>
      <c r="P23" s="38">
        <f t="shared" si="1"/>
        <v>5463216</v>
      </c>
    </row>
    <row r="24" spans="1:16" ht="15" customHeight="1">
      <c r="A24" s="35" t="s">
        <v>64</v>
      </c>
      <c r="B24" s="36" t="s">
        <v>317</v>
      </c>
      <c r="C24" s="36" t="s">
        <v>61</v>
      </c>
      <c r="D24" s="44" t="s">
        <v>43</v>
      </c>
      <c r="E24" s="46">
        <f>ROUND(E30/0.07*0.02,2)</f>
        <v>354968</v>
      </c>
      <c r="F24" s="46">
        <f t="shared" ref="F24:O24" si="15">ROUND(F30/0.07*0.02,2)</f>
        <v>319180</v>
      </c>
      <c r="G24" s="46">
        <f t="shared" si="15"/>
        <v>524360</v>
      </c>
      <c r="H24" s="46">
        <f t="shared" si="15"/>
        <v>334804</v>
      </c>
      <c r="I24" s="46">
        <f t="shared" si="15"/>
        <v>392112</v>
      </c>
      <c r="J24" s="46">
        <f t="shared" si="15"/>
        <v>225828</v>
      </c>
      <c r="K24" s="46">
        <f t="shared" si="15"/>
        <v>192100</v>
      </c>
      <c r="L24" s="46">
        <f t="shared" si="15"/>
        <v>159260</v>
      </c>
      <c r="M24" s="46">
        <f t="shared" si="15"/>
        <v>203668</v>
      </c>
      <c r="N24" s="46">
        <f t="shared" si="15"/>
        <v>18988</v>
      </c>
      <c r="O24" s="46">
        <f t="shared" si="15"/>
        <v>6340</v>
      </c>
      <c r="P24" s="38">
        <f t="shared" si="1"/>
        <v>2731608</v>
      </c>
    </row>
    <row r="25" spans="1:16" ht="15" customHeight="1">
      <c r="A25" s="35" t="s">
        <v>65</v>
      </c>
      <c r="B25" s="36" t="s">
        <v>318</v>
      </c>
      <c r="C25" s="36" t="s">
        <v>61</v>
      </c>
      <c r="D25" s="44" t="s">
        <v>43</v>
      </c>
      <c r="E25" s="46">
        <f>ROUND(E30/0.07*0.02,2)</f>
        <v>354968</v>
      </c>
      <c r="F25" s="46">
        <f t="shared" ref="F25:O25" si="16">ROUND(F30/0.07*0.02,2)</f>
        <v>319180</v>
      </c>
      <c r="G25" s="46">
        <f t="shared" si="16"/>
        <v>524360</v>
      </c>
      <c r="H25" s="46">
        <f t="shared" si="16"/>
        <v>334804</v>
      </c>
      <c r="I25" s="46">
        <f t="shared" si="16"/>
        <v>392112</v>
      </c>
      <c r="J25" s="46">
        <f t="shared" si="16"/>
        <v>225828</v>
      </c>
      <c r="K25" s="46">
        <f t="shared" si="16"/>
        <v>192100</v>
      </c>
      <c r="L25" s="46">
        <f t="shared" si="16"/>
        <v>159260</v>
      </c>
      <c r="M25" s="46">
        <f t="shared" si="16"/>
        <v>203668</v>
      </c>
      <c r="N25" s="46">
        <f t="shared" si="16"/>
        <v>18988</v>
      </c>
      <c r="O25" s="46">
        <f t="shared" si="16"/>
        <v>6340</v>
      </c>
      <c r="P25" s="38">
        <f t="shared" si="1"/>
        <v>2731608</v>
      </c>
    </row>
    <row r="26" spans="1:16" ht="15" customHeight="1">
      <c r="A26" s="35" t="s">
        <v>66</v>
      </c>
      <c r="B26" s="36" t="s">
        <v>67</v>
      </c>
      <c r="C26" s="36"/>
      <c r="D26" s="37" t="s">
        <v>21</v>
      </c>
      <c r="E26" s="38">
        <f t="shared" ref="E26:O26" si="17">E27</f>
        <v>2839744</v>
      </c>
      <c r="F26" s="38">
        <f t="shared" si="17"/>
        <v>2553440</v>
      </c>
      <c r="G26" s="38">
        <f t="shared" si="17"/>
        <v>4194880</v>
      </c>
      <c r="H26" s="38">
        <f t="shared" si="17"/>
        <v>2678432</v>
      </c>
      <c r="I26" s="38">
        <f t="shared" si="17"/>
        <v>3136896</v>
      </c>
      <c r="J26" s="38">
        <f t="shared" si="17"/>
        <v>1806624</v>
      </c>
      <c r="K26" s="38">
        <f t="shared" si="17"/>
        <v>1536800</v>
      </c>
      <c r="L26" s="38">
        <f t="shared" si="17"/>
        <v>1274080</v>
      </c>
      <c r="M26" s="38">
        <f t="shared" si="17"/>
        <v>1629344</v>
      </c>
      <c r="N26" s="38">
        <f t="shared" si="17"/>
        <v>151904</v>
      </c>
      <c r="O26" s="38">
        <f t="shared" si="17"/>
        <v>50720</v>
      </c>
      <c r="P26" s="38">
        <f t="shared" si="1"/>
        <v>21852864</v>
      </c>
    </row>
    <row r="27" spans="1:16" s="2" customFormat="1" ht="15" customHeight="1">
      <c r="A27" s="35" t="s">
        <v>68</v>
      </c>
      <c r="B27" s="42" t="s">
        <v>319</v>
      </c>
      <c r="C27" s="42" t="s">
        <v>70</v>
      </c>
      <c r="D27" s="39" t="s">
        <v>43</v>
      </c>
      <c r="E27" s="38">
        <f>ROUND(E30/0.07*0.16,2)</f>
        <v>2839744</v>
      </c>
      <c r="F27" s="38">
        <f t="shared" ref="F27:O27" si="18">ROUND(F30/0.07*0.16,2)</f>
        <v>2553440</v>
      </c>
      <c r="G27" s="38">
        <f t="shared" si="18"/>
        <v>4194880</v>
      </c>
      <c r="H27" s="38">
        <f t="shared" si="18"/>
        <v>2678432</v>
      </c>
      <c r="I27" s="38">
        <f t="shared" si="18"/>
        <v>3136896</v>
      </c>
      <c r="J27" s="38">
        <f t="shared" si="18"/>
        <v>1806624</v>
      </c>
      <c r="K27" s="38">
        <f t="shared" si="18"/>
        <v>1536800</v>
      </c>
      <c r="L27" s="38">
        <f t="shared" si="18"/>
        <v>1274080</v>
      </c>
      <c r="M27" s="38">
        <f t="shared" si="18"/>
        <v>1629344</v>
      </c>
      <c r="N27" s="38">
        <f t="shared" si="18"/>
        <v>151904</v>
      </c>
      <c r="O27" s="38">
        <f t="shared" si="18"/>
        <v>50720</v>
      </c>
      <c r="P27" s="38">
        <f t="shared" si="1"/>
        <v>21852864</v>
      </c>
    </row>
    <row r="28" spans="1:16" ht="15" customHeight="1">
      <c r="A28" s="35" t="s">
        <v>71</v>
      </c>
      <c r="B28" s="36" t="s">
        <v>72</v>
      </c>
      <c r="C28" s="36"/>
      <c r="D28" s="37" t="s">
        <v>21</v>
      </c>
      <c r="E28" s="38">
        <f t="shared" ref="E28:O28" si="19">E29</f>
        <v>1419872</v>
      </c>
      <c r="F28" s="38">
        <f t="shared" si="19"/>
        <v>1276720</v>
      </c>
      <c r="G28" s="38">
        <f t="shared" si="19"/>
        <v>2097440</v>
      </c>
      <c r="H28" s="38">
        <f t="shared" si="19"/>
        <v>1339216</v>
      </c>
      <c r="I28" s="38">
        <f t="shared" si="19"/>
        <v>1568448</v>
      </c>
      <c r="J28" s="38">
        <f t="shared" si="19"/>
        <v>903312</v>
      </c>
      <c r="K28" s="38">
        <f t="shared" si="19"/>
        <v>768400</v>
      </c>
      <c r="L28" s="38">
        <f t="shared" si="19"/>
        <v>637040</v>
      </c>
      <c r="M28" s="38">
        <f t="shared" si="19"/>
        <v>814672</v>
      </c>
      <c r="N28" s="38">
        <f t="shared" si="19"/>
        <v>75952</v>
      </c>
      <c r="O28" s="38">
        <f t="shared" si="19"/>
        <v>25360</v>
      </c>
      <c r="P28" s="38">
        <f t="shared" si="1"/>
        <v>10926432</v>
      </c>
    </row>
    <row r="29" spans="1:16" s="2" customFormat="1" ht="15" customHeight="1">
      <c r="A29" s="35" t="s">
        <v>73</v>
      </c>
      <c r="B29" s="42" t="s">
        <v>74</v>
      </c>
      <c r="C29" s="42" t="s">
        <v>75</v>
      </c>
      <c r="D29" s="39" t="s">
        <v>43</v>
      </c>
      <c r="E29" s="38">
        <f>ROUND(E30/0.07*0.08,2)</f>
        <v>1419872</v>
      </c>
      <c r="F29" s="38">
        <f t="shared" ref="F29:O29" si="20">ROUND(F30/0.07*0.08,2)</f>
        <v>1276720</v>
      </c>
      <c r="G29" s="38">
        <f t="shared" si="20"/>
        <v>2097440</v>
      </c>
      <c r="H29" s="38">
        <f t="shared" si="20"/>
        <v>1339216</v>
      </c>
      <c r="I29" s="38">
        <f t="shared" si="20"/>
        <v>1568448</v>
      </c>
      <c r="J29" s="38">
        <f t="shared" si="20"/>
        <v>903312</v>
      </c>
      <c r="K29" s="38">
        <f t="shared" si="20"/>
        <v>768400</v>
      </c>
      <c r="L29" s="38">
        <f t="shared" si="20"/>
        <v>637040</v>
      </c>
      <c r="M29" s="38">
        <f t="shared" si="20"/>
        <v>814672</v>
      </c>
      <c r="N29" s="38">
        <f t="shared" si="20"/>
        <v>75952</v>
      </c>
      <c r="O29" s="38">
        <f t="shared" si="20"/>
        <v>25360</v>
      </c>
      <c r="P29" s="38">
        <f t="shared" si="1"/>
        <v>10926432</v>
      </c>
    </row>
    <row r="30" spans="1:16" ht="15" customHeight="1">
      <c r="A30" s="35" t="s">
        <v>76</v>
      </c>
      <c r="B30" s="36" t="s">
        <v>320</v>
      </c>
      <c r="C30" s="36" t="s">
        <v>78</v>
      </c>
      <c r="D30" s="37" t="s">
        <v>321</v>
      </c>
      <c r="E30" s="45">
        <v>1242388</v>
      </c>
      <c r="F30" s="45">
        <v>1117130</v>
      </c>
      <c r="G30" s="45">
        <v>1835260</v>
      </c>
      <c r="H30" s="45">
        <v>1171814</v>
      </c>
      <c r="I30" s="45">
        <v>1372392</v>
      </c>
      <c r="J30" s="45">
        <v>790398</v>
      </c>
      <c r="K30" s="45">
        <v>672350</v>
      </c>
      <c r="L30" s="45">
        <v>557410</v>
      </c>
      <c r="M30" s="45">
        <v>712838</v>
      </c>
      <c r="N30" s="45">
        <v>66458</v>
      </c>
      <c r="O30" s="45">
        <v>22190</v>
      </c>
      <c r="P30" s="38">
        <f t="shared" si="1"/>
        <v>9560628</v>
      </c>
    </row>
    <row r="31" spans="1:16" ht="15" customHeight="1">
      <c r="A31" s="35" t="s">
        <v>80</v>
      </c>
      <c r="B31" s="36" t="s">
        <v>322</v>
      </c>
      <c r="C31" s="43" t="s">
        <v>27</v>
      </c>
      <c r="D31" s="39" t="s">
        <v>323</v>
      </c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38">
        <f t="shared" si="1"/>
        <v>0</v>
      </c>
    </row>
    <row r="32" spans="1:16" ht="15" customHeight="1">
      <c r="A32" s="35" t="s">
        <v>83</v>
      </c>
      <c r="B32" s="36" t="s">
        <v>84</v>
      </c>
      <c r="C32" s="36"/>
      <c r="D32" s="37" t="s">
        <v>21</v>
      </c>
      <c r="E32" s="38">
        <f>E33+E35</f>
        <v>1563420</v>
      </c>
      <c r="F32" s="38">
        <f t="shared" ref="F32:O32" si="21">F33+F35</f>
        <v>716250</v>
      </c>
      <c r="G32" s="38">
        <f t="shared" si="21"/>
        <v>728070</v>
      </c>
      <c r="H32" s="38">
        <f t="shared" si="21"/>
        <v>654100</v>
      </c>
      <c r="I32" s="38">
        <f t="shared" si="21"/>
        <v>2181900</v>
      </c>
      <c r="J32" s="38">
        <f t="shared" si="21"/>
        <v>401520</v>
      </c>
      <c r="K32" s="38">
        <f t="shared" si="21"/>
        <v>138860</v>
      </c>
      <c r="L32" s="38">
        <f t="shared" si="21"/>
        <v>201540</v>
      </c>
      <c r="M32" s="38">
        <f t="shared" si="21"/>
        <v>145530</v>
      </c>
      <c r="N32" s="38">
        <f t="shared" si="21"/>
        <v>0</v>
      </c>
      <c r="O32" s="38">
        <f t="shared" si="21"/>
        <v>360</v>
      </c>
      <c r="P32" s="38">
        <f t="shared" si="1"/>
        <v>6731550</v>
      </c>
    </row>
    <row r="33" spans="1:16" ht="15" customHeight="1">
      <c r="A33" s="35" t="s">
        <v>85</v>
      </c>
      <c r="B33" s="36" t="s">
        <v>324</v>
      </c>
      <c r="C33" s="36" t="s">
        <v>87</v>
      </c>
      <c r="D33" s="44" t="s">
        <v>325</v>
      </c>
      <c r="E33" s="46">
        <f>E34</f>
        <v>1560600</v>
      </c>
      <c r="F33" s="46">
        <f t="shared" ref="F33:O33" si="22">F34</f>
        <v>712260</v>
      </c>
      <c r="G33" s="46">
        <f t="shared" si="22"/>
        <v>721860</v>
      </c>
      <c r="H33" s="46">
        <f t="shared" si="22"/>
        <v>652300</v>
      </c>
      <c r="I33" s="46">
        <f t="shared" si="22"/>
        <v>2179020</v>
      </c>
      <c r="J33" s="46">
        <f t="shared" si="22"/>
        <v>400320</v>
      </c>
      <c r="K33" s="46">
        <f t="shared" si="22"/>
        <v>136670</v>
      </c>
      <c r="L33" s="46">
        <f t="shared" si="22"/>
        <v>199020</v>
      </c>
      <c r="M33" s="46">
        <f t="shared" si="22"/>
        <v>142920</v>
      </c>
      <c r="N33" s="46">
        <f t="shared" si="22"/>
        <v>0</v>
      </c>
      <c r="O33" s="46">
        <f t="shared" si="22"/>
        <v>0</v>
      </c>
      <c r="P33" s="38">
        <f t="shared" si="1"/>
        <v>6704970</v>
      </c>
    </row>
    <row r="34" spans="1:16" ht="15" customHeight="1">
      <c r="A34" s="35" t="s">
        <v>89</v>
      </c>
      <c r="B34" s="36" t="s">
        <v>326</v>
      </c>
      <c r="C34" s="36" t="s">
        <v>87</v>
      </c>
      <c r="D34" s="44" t="s">
        <v>325</v>
      </c>
      <c r="E34" s="40">
        <v>1560600</v>
      </c>
      <c r="F34" s="40">
        <v>712260</v>
      </c>
      <c r="G34" s="40">
        <v>721860</v>
      </c>
      <c r="H34" s="40">
        <v>652300</v>
      </c>
      <c r="I34" s="40">
        <v>2179020</v>
      </c>
      <c r="J34" s="40">
        <v>400320</v>
      </c>
      <c r="K34" s="40">
        <v>136670</v>
      </c>
      <c r="L34" s="40">
        <v>199020</v>
      </c>
      <c r="M34" s="40">
        <v>142920</v>
      </c>
      <c r="N34" s="40"/>
      <c r="O34" s="40"/>
      <c r="P34" s="38">
        <f t="shared" si="1"/>
        <v>6704970</v>
      </c>
    </row>
    <row r="35" spans="1:16" ht="15" customHeight="1">
      <c r="A35" s="35" t="s">
        <v>91</v>
      </c>
      <c r="B35" s="36" t="s">
        <v>92</v>
      </c>
      <c r="C35" s="36"/>
      <c r="D35" s="37" t="s">
        <v>21</v>
      </c>
      <c r="E35" s="38">
        <f>E36</f>
        <v>2820</v>
      </c>
      <c r="F35" s="38">
        <f t="shared" ref="F35:O35" si="23">F36</f>
        <v>3990</v>
      </c>
      <c r="G35" s="38">
        <f t="shared" si="23"/>
        <v>6210</v>
      </c>
      <c r="H35" s="38">
        <f t="shared" si="23"/>
        <v>1800</v>
      </c>
      <c r="I35" s="38">
        <f t="shared" si="23"/>
        <v>2880</v>
      </c>
      <c r="J35" s="38">
        <f t="shared" si="23"/>
        <v>1200</v>
      </c>
      <c r="K35" s="38">
        <f t="shared" si="23"/>
        <v>2190</v>
      </c>
      <c r="L35" s="38">
        <f t="shared" si="23"/>
        <v>2520</v>
      </c>
      <c r="M35" s="38">
        <f t="shared" si="23"/>
        <v>2610</v>
      </c>
      <c r="N35" s="38">
        <f t="shared" si="23"/>
        <v>0</v>
      </c>
      <c r="O35" s="38">
        <f t="shared" si="23"/>
        <v>360</v>
      </c>
      <c r="P35" s="38">
        <f t="shared" si="1"/>
        <v>26580</v>
      </c>
    </row>
    <row r="36" spans="1:16" s="3" customFormat="1" ht="15" customHeight="1">
      <c r="A36" s="35" t="s">
        <v>93</v>
      </c>
      <c r="B36" s="57" t="s">
        <v>94</v>
      </c>
      <c r="C36" s="57" t="s">
        <v>27</v>
      </c>
      <c r="D36" s="58" t="s">
        <v>28</v>
      </c>
      <c r="E36" s="55">
        <v>2820</v>
      </c>
      <c r="F36" s="55">
        <v>3990</v>
      </c>
      <c r="G36" s="55">
        <v>6210</v>
      </c>
      <c r="H36" s="55">
        <v>1800</v>
      </c>
      <c r="I36" s="55">
        <v>2880</v>
      </c>
      <c r="J36" s="55">
        <v>1200</v>
      </c>
      <c r="K36" s="55">
        <v>2190</v>
      </c>
      <c r="L36" s="55">
        <v>2520</v>
      </c>
      <c r="M36" s="55">
        <v>2610</v>
      </c>
      <c r="N36" s="55"/>
      <c r="O36" s="55">
        <v>360</v>
      </c>
      <c r="P36" s="51">
        <f t="shared" si="1"/>
        <v>26580</v>
      </c>
    </row>
    <row r="37" spans="1:16" ht="15" customHeight="1">
      <c r="A37" s="35" t="s">
        <v>95</v>
      </c>
      <c r="B37" s="36" t="s">
        <v>98</v>
      </c>
      <c r="C37" s="36"/>
      <c r="D37" s="37" t="s">
        <v>21</v>
      </c>
      <c r="E37" s="72">
        <f>E38+E40+E42+E44+E46+E49+E51+E53+E55+E57</f>
        <v>4405104.25</v>
      </c>
      <c r="F37" s="72">
        <f t="shared" ref="F37:O37" si="24">F38+F40+F42+F44+F46+F49+F51+F53+F55+F57</f>
        <v>3841506.35</v>
      </c>
      <c r="G37" s="72">
        <f t="shared" si="24"/>
        <v>5960331.7000000002</v>
      </c>
      <c r="H37" s="72">
        <f t="shared" si="24"/>
        <v>4245638.1500000004</v>
      </c>
      <c r="I37" s="72">
        <f t="shared" si="24"/>
        <v>5720184.4000000004</v>
      </c>
      <c r="J37" s="72">
        <f t="shared" si="24"/>
        <v>2294361.25</v>
      </c>
      <c r="K37" s="72">
        <f t="shared" si="24"/>
        <v>2118428.75</v>
      </c>
      <c r="L37" s="72">
        <f t="shared" si="24"/>
        <v>1760060.7</v>
      </c>
      <c r="M37" s="72">
        <f t="shared" si="24"/>
        <v>1996236.25</v>
      </c>
      <c r="N37" s="72">
        <f t="shared" si="24"/>
        <v>1063386.3999999999</v>
      </c>
      <c r="O37" s="72">
        <f t="shared" si="24"/>
        <v>100905</v>
      </c>
      <c r="P37" s="38">
        <f t="shared" si="1"/>
        <v>33506143.199999999</v>
      </c>
    </row>
    <row r="38" spans="1:16" ht="15" customHeight="1">
      <c r="A38" s="35" t="s">
        <v>96</v>
      </c>
      <c r="B38" s="36" t="s">
        <v>100</v>
      </c>
      <c r="C38" s="36"/>
      <c r="D38" s="37" t="s">
        <v>101</v>
      </c>
      <c r="E38" s="40">
        <v>3110800</v>
      </c>
      <c r="F38" s="40">
        <v>2802800</v>
      </c>
      <c r="G38" s="40">
        <v>4350980</v>
      </c>
      <c r="H38" s="40">
        <v>3174690</v>
      </c>
      <c r="I38" s="40">
        <v>4118430</v>
      </c>
      <c r="J38" s="40">
        <v>1464320</v>
      </c>
      <c r="K38" s="40">
        <v>1530000</v>
      </c>
      <c r="L38" s="40">
        <v>1287000</v>
      </c>
      <c r="M38" s="40">
        <v>1377000</v>
      </c>
      <c r="N38" s="40">
        <v>858000</v>
      </c>
      <c r="O38" s="40">
        <v>22400</v>
      </c>
      <c r="P38" s="38">
        <f t="shared" si="1"/>
        <v>24096420</v>
      </c>
    </row>
    <row r="39" spans="1:16" ht="15" customHeight="1">
      <c r="A39" s="35" t="s">
        <v>97</v>
      </c>
      <c r="B39" s="36" t="s">
        <v>327</v>
      </c>
      <c r="C39" s="36" t="s">
        <v>328</v>
      </c>
      <c r="D39" s="47" t="s">
        <v>329</v>
      </c>
      <c r="E39" s="40">
        <v>155540</v>
      </c>
      <c r="F39" s="40">
        <v>140140</v>
      </c>
      <c r="G39" s="40">
        <v>217549</v>
      </c>
      <c r="H39" s="40">
        <v>158734.5</v>
      </c>
      <c r="I39" s="40">
        <v>205921.5</v>
      </c>
      <c r="J39" s="40">
        <v>65351</v>
      </c>
      <c r="K39" s="40">
        <v>55233</v>
      </c>
      <c r="L39" s="40">
        <v>42042</v>
      </c>
      <c r="M39" s="40">
        <v>50796</v>
      </c>
      <c r="N39" s="40">
        <v>5355</v>
      </c>
      <c r="O39" s="40">
        <v>1120</v>
      </c>
      <c r="P39" s="38">
        <f t="shared" si="1"/>
        <v>1097782</v>
      </c>
    </row>
    <row r="40" spans="1:16" ht="15" customHeight="1">
      <c r="A40" s="35" t="s">
        <v>99</v>
      </c>
      <c r="B40" s="36" t="s">
        <v>107</v>
      </c>
      <c r="C40" s="36"/>
      <c r="D40" s="37"/>
      <c r="E40" s="38">
        <f>E41</f>
        <v>28000</v>
      </c>
      <c r="F40" s="38">
        <f t="shared" ref="F40:N40" si="25">F41</f>
        <v>22800</v>
      </c>
      <c r="G40" s="38">
        <f t="shared" si="25"/>
        <v>41200</v>
      </c>
      <c r="H40" s="38">
        <f t="shared" si="25"/>
        <v>27200</v>
      </c>
      <c r="I40" s="38">
        <f t="shared" si="25"/>
        <v>31600</v>
      </c>
      <c r="J40" s="38">
        <f t="shared" si="25"/>
        <v>21200</v>
      </c>
      <c r="K40" s="38">
        <f t="shared" si="25"/>
        <v>17600</v>
      </c>
      <c r="L40" s="38">
        <f t="shared" si="25"/>
        <v>14800</v>
      </c>
      <c r="M40" s="38">
        <f t="shared" si="25"/>
        <v>18000</v>
      </c>
      <c r="N40" s="38">
        <f t="shared" si="25"/>
        <v>1600</v>
      </c>
      <c r="O40" s="38">
        <f>O41</f>
        <v>400</v>
      </c>
      <c r="P40" s="38">
        <f t="shared" si="1"/>
        <v>224400</v>
      </c>
    </row>
    <row r="41" spans="1:16" s="2" customFormat="1" ht="15" customHeight="1">
      <c r="A41" s="35" t="s">
        <v>102</v>
      </c>
      <c r="B41" s="42" t="s">
        <v>109</v>
      </c>
      <c r="C41" s="42" t="s">
        <v>27</v>
      </c>
      <c r="D41" s="48" t="s">
        <v>110</v>
      </c>
      <c r="E41" s="38">
        <f t="shared" ref="E41:O41" si="26">E60*400</f>
        <v>28000</v>
      </c>
      <c r="F41" s="38">
        <f t="shared" si="26"/>
        <v>22800</v>
      </c>
      <c r="G41" s="38">
        <f t="shared" si="26"/>
        <v>41200</v>
      </c>
      <c r="H41" s="38">
        <f t="shared" si="26"/>
        <v>27200</v>
      </c>
      <c r="I41" s="38">
        <f t="shared" si="26"/>
        <v>31600</v>
      </c>
      <c r="J41" s="38">
        <f t="shared" si="26"/>
        <v>21200</v>
      </c>
      <c r="K41" s="38">
        <f t="shared" si="26"/>
        <v>17600</v>
      </c>
      <c r="L41" s="38">
        <f t="shared" si="26"/>
        <v>14800</v>
      </c>
      <c r="M41" s="38">
        <f t="shared" si="26"/>
        <v>18000</v>
      </c>
      <c r="N41" s="38">
        <f t="shared" si="26"/>
        <v>1600</v>
      </c>
      <c r="O41" s="38">
        <f t="shared" si="26"/>
        <v>400</v>
      </c>
      <c r="P41" s="38">
        <f t="shared" si="1"/>
        <v>224400</v>
      </c>
    </row>
    <row r="42" spans="1:16" ht="15" customHeight="1">
      <c r="A42" s="35" t="s">
        <v>106</v>
      </c>
      <c r="B42" s="36" t="s">
        <v>112</v>
      </c>
      <c r="C42" s="36"/>
      <c r="D42" s="37" t="s">
        <v>21</v>
      </c>
      <c r="E42" s="38">
        <f>E43</f>
        <v>173576.25</v>
      </c>
      <c r="F42" s="38">
        <f t="shared" ref="F42:O42" si="27">F43</f>
        <v>181200.75</v>
      </c>
      <c r="G42" s="38">
        <f t="shared" si="27"/>
        <v>288657.3</v>
      </c>
      <c r="H42" s="38">
        <f t="shared" si="27"/>
        <v>179640.15</v>
      </c>
      <c r="I42" s="38">
        <f t="shared" si="27"/>
        <v>202718.4</v>
      </c>
      <c r="J42" s="38">
        <f t="shared" si="27"/>
        <v>183473.25</v>
      </c>
      <c r="K42" s="38">
        <f t="shared" si="27"/>
        <v>86520.75</v>
      </c>
      <c r="L42" s="38">
        <f t="shared" si="27"/>
        <v>41792.699999999997</v>
      </c>
      <c r="M42" s="38">
        <f t="shared" si="27"/>
        <v>97676.25</v>
      </c>
      <c r="N42" s="38">
        <f t="shared" si="27"/>
        <v>109320</v>
      </c>
      <c r="O42" s="38">
        <f t="shared" si="27"/>
        <v>64605</v>
      </c>
      <c r="P42" s="38">
        <f t="shared" si="1"/>
        <v>1609180.8</v>
      </c>
    </row>
    <row r="43" spans="1:16" s="2" customFormat="1" ht="15" customHeight="1">
      <c r="A43" s="35" t="s">
        <v>108</v>
      </c>
      <c r="B43" s="42" t="s">
        <v>114</v>
      </c>
      <c r="C43" s="42" t="s">
        <v>27</v>
      </c>
      <c r="D43" s="48" t="s">
        <v>115</v>
      </c>
      <c r="E43" s="38">
        <f t="shared" ref="E43:O43" si="28">E71*15</f>
        <v>173576.25</v>
      </c>
      <c r="F43" s="38">
        <f t="shared" si="28"/>
        <v>181200.75</v>
      </c>
      <c r="G43" s="38">
        <f t="shared" si="28"/>
        <v>288657.3</v>
      </c>
      <c r="H43" s="38">
        <f t="shared" si="28"/>
        <v>179640.15</v>
      </c>
      <c r="I43" s="38">
        <f t="shared" si="28"/>
        <v>202718.4</v>
      </c>
      <c r="J43" s="38">
        <f t="shared" si="28"/>
        <v>183473.25</v>
      </c>
      <c r="K43" s="38">
        <f t="shared" si="28"/>
        <v>86520.75</v>
      </c>
      <c r="L43" s="38">
        <f t="shared" si="28"/>
        <v>41792.699999999997</v>
      </c>
      <c r="M43" s="38">
        <f t="shared" si="28"/>
        <v>97676.25</v>
      </c>
      <c r="N43" s="38">
        <f t="shared" si="28"/>
        <v>109320</v>
      </c>
      <c r="O43" s="38">
        <f t="shared" si="28"/>
        <v>64605</v>
      </c>
      <c r="P43" s="38">
        <f t="shared" si="1"/>
        <v>1609180.8</v>
      </c>
    </row>
    <row r="44" spans="1:16" ht="15" customHeight="1">
      <c r="A44" s="35" t="s">
        <v>111</v>
      </c>
      <c r="B44" s="36" t="s">
        <v>117</v>
      </c>
      <c r="C44" s="36"/>
      <c r="D44" s="37" t="s">
        <v>21</v>
      </c>
      <c r="E44" s="38">
        <f>E45</f>
        <v>30700</v>
      </c>
      <c r="F44" s="38">
        <f t="shared" ref="F44:O44" si="29">F45</f>
        <v>48905.599999999999</v>
      </c>
      <c r="G44" s="38">
        <f t="shared" si="29"/>
        <v>71214.399999999994</v>
      </c>
      <c r="H44" s="38">
        <f t="shared" si="29"/>
        <v>26904</v>
      </c>
      <c r="I44" s="38">
        <f t="shared" si="29"/>
        <v>63744</v>
      </c>
      <c r="J44" s="38">
        <f t="shared" si="29"/>
        <v>30240</v>
      </c>
      <c r="K44" s="38">
        <f t="shared" si="29"/>
        <v>23868</v>
      </c>
      <c r="L44" s="38">
        <f t="shared" si="29"/>
        <v>5728</v>
      </c>
      <c r="M44" s="38">
        <f t="shared" si="29"/>
        <v>28232</v>
      </c>
      <c r="N44" s="38">
        <f t="shared" si="29"/>
        <v>25698.400000000001</v>
      </c>
      <c r="O44" s="38">
        <f t="shared" si="29"/>
        <v>2240</v>
      </c>
      <c r="P44" s="38">
        <f t="shared" si="1"/>
        <v>357474.4</v>
      </c>
    </row>
    <row r="45" spans="1:16" s="2" customFormat="1" ht="15" customHeight="1">
      <c r="A45" s="35" t="s">
        <v>113</v>
      </c>
      <c r="B45" s="42" t="s">
        <v>119</v>
      </c>
      <c r="C45" s="42" t="s">
        <v>27</v>
      </c>
      <c r="D45" s="48" t="s">
        <v>120</v>
      </c>
      <c r="E45" s="38">
        <f t="shared" ref="E45:O45" si="30">E72*8</f>
        <v>30700</v>
      </c>
      <c r="F45" s="38">
        <f t="shared" si="30"/>
        <v>48905.599999999999</v>
      </c>
      <c r="G45" s="38">
        <f t="shared" si="30"/>
        <v>71214.399999999994</v>
      </c>
      <c r="H45" s="38">
        <f t="shared" si="30"/>
        <v>26904</v>
      </c>
      <c r="I45" s="38">
        <f t="shared" si="30"/>
        <v>63744</v>
      </c>
      <c r="J45" s="38">
        <f t="shared" si="30"/>
        <v>30240</v>
      </c>
      <c r="K45" s="38">
        <f t="shared" si="30"/>
        <v>23868</v>
      </c>
      <c r="L45" s="38">
        <f t="shared" si="30"/>
        <v>5728</v>
      </c>
      <c r="M45" s="38">
        <f t="shared" si="30"/>
        <v>28232</v>
      </c>
      <c r="N45" s="38">
        <f t="shared" si="30"/>
        <v>25698.400000000001</v>
      </c>
      <c r="O45" s="38">
        <f t="shared" si="30"/>
        <v>2240</v>
      </c>
      <c r="P45" s="38">
        <f t="shared" si="1"/>
        <v>357474.4</v>
      </c>
    </row>
    <row r="46" spans="1:16" ht="15" customHeight="1">
      <c r="A46" s="35" t="s">
        <v>116</v>
      </c>
      <c r="B46" s="36" t="s">
        <v>330</v>
      </c>
      <c r="C46" s="36"/>
      <c r="D46" s="37" t="s">
        <v>21</v>
      </c>
      <c r="E46" s="38">
        <f>E47+E48</f>
        <v>639360</v>
      </c>
      <c r="F46" s="38">
        <f t="shared" ref="F46:O46" si="31">F47+F48</f>
        <v>414720</v>
      </c>
      <c r="G46" s="38">
        <f t="shared" si="31"/>
        <v>630720</v>
      </c>
      <c r="H46" s="38">
        <f t="shared" si="31"/>
        <v>453600</v>
      </c>
      <c r="I46" s="38">
        <f t="shared" si="31"/>
        <v>838080</v>
      </c>
      <c r="J46" s="38">
        <f t="shared" si="31"/>
        <v>324000</v>
      </c>
      <c r="K46" s="38">
        <f t="shared" si="31"/>
        <v>224640</v>
      </c>
      <c r="L46" s="38">
        <f t="shared" si="31"/>
        <v>211680</v>
      </c>
      <c r="M46" s="38">
        <f t="shared" si="31"/>
        <v>228960</v>
      </c>
      <c r="N46" s="38">
        <f t="shared" si="31"/>
        <v>17280</v>
      </c>
      <c r="O46" s="38">
        <f t="shared" si="31"/>
        <v>4320</v>
      </c>
      <c r="P46" s="38">
        <f t="shared" si="1"/>
        <v>3987360</v>
      </c>
    </row>
    <row r="47" spans="1:16" s="2" customFormat="1" ht="15" customHeight="1">
      <c r="A47" s="35" t="s">
        <v>118</v>
      </c>
      <c r="B47" s="42" t="s">
        <v>331</v>
      </c>
      <c r="C47" s="42" t="s">
        <v>27</v>
      </c>
      <c r="D47" s="48" t="s">
        <v>124</v>
      </c>
      <c r="E47" s="38">
        <f t="shared" ref="E47:O47" si="32">E60*4320</f>
        <v>302400</v>
      </c>
      <c r="F47" s="38">
        <f t="shared" si="32"/>
        <v>246240</v>
      </c>
      <c r="G47" s="38">
        <f t="shared" si="32"/>
        <v>444960</v>
      </c>
      <c r="H47" s="38">
        <f t="shared" si="32"/>
        <v>293760</v>
      </c>
      <c r="I47" s="38">
        <f t="shared" si="32"/>
        <v>341280</v>
      </c>
      <c r="J47" s="38">
        <f t="shared" si="32"/>
        <v>228960</v>
      </c>
      <c r="K47" s="38">
        <f t="shared" si="32"/>
        <v>190080</v>
      </c>
      <c r="L47" s="38">
        <f t="shared" si="32"/>
        <v>159840</v>
      </c>
      <c r="M47" s="38">
        <f t="shared" si="32"/>
        <v>194400</v>
      </c>
      <c r="N47" s="38">
        <f t="shared" si="32"/>
        <v>17280</v>
      </c>
      <c r="O47" s="38">
        <f t="shared" si="32"/>
        <v>4320</v>
      </c>
      <c r="P47" s="38">
        <f t="shared" si="1"/>
        <v>2423520</v>
      </c>
    </row>
    <row r="48" spans="1:16" s="2" customFormat="1" ht="15" customHeight="1">
      <c r="A48" s="35" t="s">
        <v>121</v>
      </c>
      <c r="B48" s="42" t="s">
        <v>332</v>
      </c>
      <c r="C48" s="42" t="s">
        <v>27</v>
      </c>
      <c r="D48" s="48" t="s">
        <v>333</v>
      </c>
      <c r="E48" s="38">
        <f t="shared" ref="E48:O48" si="33">E70*4320</f>
        <v>336960</v>
      </c>
      <c r="F48" s="38">
        <f t="shared" si="33"/>
        <v>168480</v>
      </c>
      <c r="G48" s="38">
        <f t="shared" si="33"/>
        <v>185760</v>
      </c>
      <c r="H48" s="38">
        <f t="shared" si="33"/>
        <v>159840</v>
      </c>
      <c r="I48" s="38">
        <f t="shared" si="33"/>
        <v>496800</v>
      </c>
      <c r="J48" s="38">
        <f t="shared" si="33"/>
        <v>95040</v>
      </c>
      <c r="K48" s="38">
        <f t="shared" si="33"/>
        <v>34560</v>
      </c>
      <c r="L48" s="38">
        <f t="shared" si="33"/>
        <v>51840</v>
      </c>
      <c r="M48" s="38">
        <f t="shared" si="33"/>
        <v>34560</v>
      </c>
      <c r="N48" s="38">
        <f t="shared" si="33"/>
        <v>0</v>
      </c>
      <c r="O48" s="38">
        <f t="shared" si="33"/>
        <v>0</v>
      </c>
      <c r="P48" s="38">
        <f t="shared" si="1"/>
        <v>1563840</v>
      </c>
    </row>
    <row r="49" spans="1:16" ht="15" customHeight="1">
      <c r="A49" s="35" t="s">
        <v>123</v>
      </c>
      <c r="B49" s="36" t="s">
        <v>334</v>
      </c>
      <c r="C49" s="36"/>
      <c r="D49" s="37" t="s">
        <v>21</v>
      </c>
      <c r="E49" s="38">
        <f>E50</f>
        <v>354968</v>
      </c>
      <c r="F49" s="38">
        <f t="shared" ref="F49:O49" si="34">F50</f>
        <v>319180</v>
      </c>
      <c r="G49" s="38">
        <f t="shared" si="34"/>
        <v>524360</v>
      </c>
      <c r="H49" s="38">
        <f t="shared" si="34"/>
        <v>334804</v>
      </c>
      <c r="I49" s="38">
        <f t="shared" si="34"/>
        <v>392112</v>
      </c>
      <c r="J49" s="38">
        <f t="shared" si="34"/>
        <v>225828</v>
      </c>
      <c r="K49" s="38">
        <f t="shared" si="34"/>
        <v>192100</v>
      </c>
      <c r="L49" s="38">
        <f t="shared" si="34"/>
        <v>159260</v>
      </c>
      <c r="M49" s="38">
        <f t="shared" si="34"/>
        <v>203668</v>
      </c>
      <c r="N49" s="38">
        <f t="shared" si="34"/>
        <v>18988</v>
      </c>
      <c r="O49" s="38">
        <f t="shared" si="34"/>
        <v>6340</v>
      </c>
      <c r="P49" s="38">
        <f t="shared" si="1"/>
        <v>2731608</v>
      </c>
    </row>
    <row r="50" spans="1:16" s="2" customFormat="1" ht="15" customHeight="1">
      <c r="A50" s="35" t="s">
        <v>125</v>
      </c>
      <c r="B50" s="42" t="s">
        <v>129</v>
      </c>
      <c r="C50" s="42" t="s">
        <v>27</v>
      </c>
      <c r="D50" s="39" t="s">
        <v>43</v>
      </c>
      <c r="E50" s="38">
        <f>ROUND(E30/0.07*0.02,2)</f>
        <v>354968</v>
      </c>
      <c r="F50" s="38">
        <f t="shared" ref="F50:O50" si="35">ROUND(F30/0.07*0.02,2)</f>
        <v>319180</v>
      </c>
      <c r="G50" s="38">
        <f t="shared" si="35"/>
        <v>524360</v>
      </c>
      <c r="H50" s="38">
        <f t="shared" si="35"/>
        <v>334804</v>
      </c>
      <c r="I50" s="38">
        <f t="shared" si="35"/>
        <v>392112</v>
      </c>
      <c r="J50" s="38">
        <f t="shared" si="35"/>
        <v>225828</v>
      </c>
      <c r="K50" s="38">
        <f t="shared" si="35"/>
        <v>192100</v>
      </c>
      <c r="L50" s="38">
        <f t="shared" si="35"/>
        <v>159260</v>
      </c>
      <c r="M50" s="38">
        <f t="shared" si="35"/>
        <v>203668</v>
      </c>
      <c r="N50" s="38">
        <f t="shared" si="35"/>
        <v>18988</v>
      </c>
      <c r="O50" s="38">
        <f t="shared" si="35"/>
        <v>6340</v>
      </c>
      <c r="P50" s="38">
        <f t="shared" si="1"/>
        <v>2731608</v>
      </c>
    </row>
    <row r="51" spans="1:16" ht="15" customHeight="1">
      <c r="A51" s="35" t="s">
        <v>126</v>
      </c>
      <c r="B51" s="36" t="s">
        <v>335</v>
      </c>
      <c r="C51" s="36"/>
      <c r="D51" s="37" t="s">
        <v>21</v>
      </c>
      <c r="E51" s="38">
        <f>E52</f>
        <v>32000</v>
      </c>
      <c r="F51" s="38">
        <f t="shared" ref="F51:O51" si="36">F52</f>
        <v>32000</v>
      </c>
      <c r="G51" s="38">
        <f t="shared" si="36"/>
        <v>32000</v>
      </c>
      <c r="H51" s="38">
        <f t="shared" si="36"/>
        <v>32000</v>
      </c>
      <c r="I51" s="38">
        <f t="shared" si="36"/>
        <v>25000</v>
      </c>
      <c r="J51" s="38">
        <f t="shared" si="36"/>
        <v>0</v>
      </c>
      <c r="K51" s="38">
        <f t="shared" si="36"/>
        <v>32000</v>
      </c>
      <c r="L51" s="38">
        <f t="shared" si="36"/>
        <v>0</v>
      </c>
      <c r="M51" s="38">
        <f t="shared" si="36"/>
        <v>32000</v>
      </c>
      <c r="N51" s="38">
        <f t="shared" si="36"/>
        <v>0</v>
      </c>
      <c r="O51" s="38">
        <f t="shared" si="36"/>
        <v>0</v>
      </c>
      <c r="P51" s="38">
        <f t="shared" si="1"/>
        <v>217000</v>
      </c>
    </row>
    <row r="52" spans="1:16" ht="15" customHeight="1">
      <c r="A52" s="35" t="s">
        <v>128</v>
      </c>
      <c r="B52" s="36" t="s">
        <v>132</v>
      </c>
      <c r="C52" s="36" t="s">
        <v>27</v>
      </c>
      <c r="D52" s="47" t="s">
        <v>133</v>
      </c>
      <c r="E52" s="40">
        <v>32000</v>
      </c>
      <c r="F52" s="40">
        <v>32000</v>
      </c>
      <c r="G52" s="40">
        <v>32000</v>
      </c>
      <c r="H52" s="40">
        <v>32000</v>
      </c>
      <c r="I52" s="168">
        <f>32000-7000</f>
        <v>25000</v>
      </c>
      <c r="J52" s="40"/>
      <c r="K52" s="40">
        <v>32000</v>
      </c>
      <c r="L52" s="40"/>
      <c r="M52" s="40">
        <v>32000</v>
      </c>
      <c r="N52" s="40"/>
      <c r="O52" s="40"/>
      <c r="P52" s="38">
        <f t="shared" si="1"/>
        <v>217000</v>
      </c>
    </row>
    <row r="53" spans="1:16" ht="15" customHeight="1">
      <c r="A53" s="35" t="s">
        <v>130</v>
      </c>
      <c r="B53" s="36" t="s">
        <v>449</v>
      </c>
      <c r="C53" s="36" t="s">
        <v>27</v>
      </c>
      <c r="D53" s="37" t="s">
        <v>21</v>
      </c>
      <c r="E53" s="38">
        <f>E54</f>
        <v>31200</v>
      </c>
      <c r="F53" s="38">
        <f t="shared" ref="F53:O53" si="37">F54</f>
        <v>15600</v>
      </c>
      <c r="G53" s="38">
        <f t="shared" si="37"/>
        <v>17200</v>
      </c>
      <c r="H53" s="38">
        <f t="shared" si="37"/>
        <v>14800</v>
      </c>
      <c r="I53" s="38">
        <f t="shared" si="37"/>
        <v>46000</v>
      </c>
      <c r="J53" s="38">
        <f t="shared" si="37"/>
        <v>8800</v>
      </c>
      <c r="K53" s="38">
        <f t="shared" si="37"/>
        <v>3200</v>
      </c>
      <c r="L53" s="38">
        <f t="shared" si="37"/>
        <v>4800</v>
      </c>
      <c r="M53" s="38">
        <f t="shared" si="37"/>
        <v>3200</v>
      </c>
      <c r="N53" s="38">
        <f t="shared" si="37"/>
        <v>0</v>
      </c>
      <c r="O53" s="38">
        <f t="shared" si="37"/>
        <v>0</v>
      </c>
      <c r="P53" s="38">
        <f t="shared" si="1"/>
        <v>144800</v>
      </c>
    </row>
    <row r="54" spans="1:16" s="2" customFormat="1" ht="15" customHeight="1">
      <c r="A54" s="35" t="s">
        <v>131</v>
      </c>
      <c r="B54" s="42" t="s">
        <v>137</v>
      </c>
      <c r="C54" s="42" t="s">
        <v>27</v>
      </c>
      <c r="D54" s="48" t="s">
        <v>336</v>
      </c>
      <c r="E54" s="38">
        <f t="shared" ref="E54:O54" si="38">E70*400</f>
        <v>31200</v>
      </c>
      <c r="F54" s="38">
        <f t="shared" si="38"/>
        <v>15600</v>
      </c>
      <c r="G54" s="38">
        <f t="shared" si="38"/>
        <v>17200</v>
      </c>
      <c r="H54" s="38">
        <f t="shared" si="38"/>
        <v>14800</v>
      </c>
      <c r="I54" s="38">
        <f t="shared" si="38"/>
        <v>46000</v>
      </c>
      <c r="J54" s="38">
        <f t="shared" si="38"/>
        <v>8800</v>
      </c>
      <c r="K54" s="38">
        <f t="shared" si="38"/>
        <v>3200</v>
      </c>
      <c r="L54" s="38">
        <f t="shared" si="38"/>
        <v>4800</v>
      </c>
      <c r="M54" s="38">
        <f t="shared" si="38"/>
        <v>3200</v>
      </c>
      <c r="N54" s="38">
        <f t="shared" si="38"/>
        <v>0</v>
      </c>
      <c r="O54" s="38">
        <f t="shared" si="38"/>
        <v>0</v>
      </c>
      <c r="P54" s="38">
        <f t="shared" si="1"/>
        <v>144800</v>
      </c>
    </row>
    <row r="55" spans="1:16" s="2" customFormat="1" ht="15" customHeight="1">
      <c r="A55" s="35" t="s">
        <v>134</v>
      </c>
      <c r="B55" s="36" t="s">
        <v>450</v>
      </c>
      <c r="C55" s="42"/>
      <c r="D55" s="48"/>
      <c r="E55" s="38">
        <f>E56</f>
        <v>4500</v>
      </c>
      <c r="F55" s="38">
        <f t="shared" ref="F55:O55" si="39">F56</f>
        <v>4300</v>
      </c>
      <c r="G55" s="38">
        <f t="shared" si="39"/>
        <v>4000</v>
      </c>
      <c r="H55" s="38">
        <f t="shared" si="39"/>
        <v>2000</v>
      </c>
      <c r="I55" s="38">
        <f t="shared" si="39"/>
        <v>2500</v>
      </c>
      <c r="J55" s="38">
        <f t="shared" si="39"/>
        <v>4500</v>
      </c>
      <c r="K55" s="38">
        <f t="shared" si="39"/>
        <v>3500</v>
      </c>
      <c r="L55" s="38">
        <f t="shared" si="39"/>
        <v>3000</v>
      </c>
      <c r="M55" s="38">
        <f t="shared" si="39"/>
        <v>2500</v>
      </c>
      <c r="N55" s="38">
        <f t="shared" si="39"/>
        <v>500</v>
      </c>
      <c r="O55" s="38">
        <f t="shared" si="39"/>
        <v>600</v>
      </c>
      <c r="P55" s="38">
        <f t="shared" si="1"/>
        <v>31900</v>
      </c>
    </row>
    <row r="56" spans="1:16" ht="15" customHeight="1">
      <c r="A56" s="35" t="s">
        <v>135</v>
      </c>
      <c r="B56" s="36" t="s">
        <v>282</v>
      </c>
      <c r="C56" s="36" t="s">
        <v>27</v>
      </c>
      <c r="D56" s="47" t="s">
        <v>140</v>
      </c>
      <c r="E56" s="49">
        <v>4500</v>
      </c>
      <c r="F56" s="49">
        <v>4300</v>
      </c>
      <c r="G56" s="49">
        <v>4000</v>
      </c>
      <c r="H56" s="49">
        <v>2000</v>
      </c>
      <c r="I56" s="49">
        <v>2500</v>
      </c>
      <c r="J56" s="49">
        <v>4500</v>
      </c>
      <c r="K56" s="49">
        <v>3500</v>
      </c>
      <c r="L56" s="49">
        <v>3000</v>
      </c>
      <c r="M56" s="49">
        <v>2500</v>
      </c>
      <c r="N56" s="49">
        <v>500</v>
      </c>
      <c r="O56" s="49">
        <v>600</v>
      </c>
      <c r="P56" s="38">
        <f t="shared" si="1"/>
        <v>31900</v>
      </c>
    </row>
    <row r="57" spans="1:16" ht="15" customHeight="1">
      <c r="A57" s="35" t="s">
        <v>136</v>
      </c>
      <c r="B57" s="36" t="s">
        <v>283</v>
      </c>
      <c r="C57" s="36"/>
      <c r="D57" s="37" t="s">
        <v>21</v>
      </c>
      <c r="E57" s="38">
        <f>E58</f>
        <v>0</v>
      </c>
      <c r="F57" s="38">
        <f t="shared" ref="F57:O57" si="40">F58</f>
        <v>0</v>
      </c>
      <c r="G57" s="38">
        <f t="shared" si="40"/>
        <v>0</v>
      </c>
      <c r="H57" s="38">
        <f t="shared" si="40"/>
        <v>0</v>
      </c>
      <c r="I57" s="38">
        <f t="shared" si="40"/>
        <v>0</v>
      </c>
      <c r="J57" s="38">
        <f t="shared" si="40"/>
        <v>32000</v>
      </c>
      <c r="K57" s="38">
        <f t="shared" si="40"/>
        <v>5000</v>
      </c>
      <c r="L57" s="38">
        <f t="shared" si="40"/>
        <v>32000</v>
      </c>
      <c r="M57" s="38">
        <f t="shared" si="40"/>
        <v>5000</v>
      </c>
      <c r="N57" s="38">
        <f t="shared" si="40"/>
        <v>32000</v>
      </c>
      <c r="O57" s="38">
        <f t="shared" si="40"/>
        <v>0</v>
      </c>
      <c r="P57" s="38">
        <f t="shared" si="1"/>
        <v>106000</v>
      </c>
    </row>
    <row r="58" spans="1:16" ht="15" customHeight="1" thickBot="1">
      <c r="A58" s="35" t="s">
        <v>139</v>
      </c>
      <c r="B58" s="4" t="s">
        <v>143</v>
      </c>
      <c r="C58" s="36" t="s">
        <v>27</v>
      </c>
      <c r="D58" s="5" t="s">
        <v>337</v>
      </c>
      <c r="E58" s="6"/>
      <c r="F58" s="6"/>
      <c r="G58" s="6"/>
      <c r="H58" s="6"/>
      <c r="I58" s="6"/>
      <c r="J58" s="6">
        <v>32000</v>
      </c>
      <c r="K58" s="6">
        <v>5000</v>
      </c>
      <c r="L58" s="6">
        <v>32000</v>
      </c>
      <c r="M58" s="6">
        <v>5000</v>
      </c>
      <c r="N58" s="6">
        <v>32000</v>
      </c>
      <c r="O58" s="6"/>
      <c r="P58" s="38">
        <f t="shared" si="1"/>
        <v>106000</v>
      </c>
    </row>
    <row r="59" spans="1:16" ht="15" customHeight="1" thickTop="1">
      <c r="A59" s="35" t="s">
        <v>141</v>
      </c>
      <c r="B59" s="9" t="s">
        <v>145</v>
      </c>
      <c r="C59" s="9"/>
      <c r="D59" s="10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38">
        <f t="shared" si="1"/>
        <v>0</v>
      </c>
    </row>
    <row r="60" spans="1:16" ht="15" customHeight="1">
      <c r="A60" s="35" t="s">
        <v>142</v>
      </c>
      <c r="B60" s="36" t="s">
        <v>147</v>
      </c>
      <c r="C60" s="36"/>
      <c r="D60" s="37" t="s">
        <v>338</v>
      </c>
      <c r="E60" s="38">
        <f>E61+E62+E63+E64</f>
        <v>70</v>
      </c>
      <c r="F60" s="38">
        <f t="shared" ref="F60:O60" si="41">F61+F62+F63+F64</f>
        <v>57</v>
      </c>
      <c r="G60" s="38">
        <f t="shared" si="41"/>
        <v>103</v>
      </c>
      <c r="H60" s="38">
        <f t="shared" si="41"/>
        <v>68</v>
      </c>
      <c r="I60" s="38">
        <f t="shared" si="41"/>
        <v>79</v>
      </c>
      <c r="J60" s="38">
        <f t="shared" si="41"/>
        <v>53</v>
      </c>
      <c r="K60" s="38">
        <f t="shared" si="41"/>
        <v>44</v>
      </c>
      <c r="L60" s="38">
        <f t="shared" si="41"/>
        <v>37</v>
      </c>
      <c r="M60" s="38">
        <f t="shared" si="41"/>
        <v>45</v>
      </c>
      <c r="N60" s="38">
        <f t="shared" si="41"/>
        <v>4</v>
      </c>
      <c r="O60" s="38">
        <f t="shared" si="41"/>
        <v>1</v>
      </c>
      <c r="P60" s="38">
        <f t="shared" si="1"/>
        <v>561</v>
      </c>
    </row>
    <row r="61" spans="1:16" ht="15" customHeight="1">
      <c r="A61" s="35" t="s">
        <v>144</v>
      </c>
      <c r="B61" s="50" t="s">
        <v>149</v>
      </c>
      <c r="C61" s="50"/>
      <c r="D61" s="44"/>
      <c r="E61" s="45">
        <v>70</v>
      </c>
      <c r="F61" s="45">
        <v>57</v>
      </c>
      <c r="G61" s="45">
        <v>49</v>
      </c>
      <c r="H61" s="45"/>
      <c r="I61" s="45"/>
      <c r="J61" s="45"/>
      <c r="K61" s="45"/>
      <c r="L61" s="45"/>
      <c r="M61" s="45"/>
      <c r="N61" s="45"/>
      <c r="O61" s="45"/>
      <c r="P61" s="38">
        <f t="shared" si="1"/>
        <v>176</v>
      </c>
    </row>
    <row r="62" spans="1:16" ht="15" customHeight="1">
      <c r="A62" s="35" t="s">
        <v>146</v>
      </c>
      <c r="B62" s="50" t="s">
        <v>151</v>
      </c>
      <c r="C62" s="50"/>
      <c r="D62" s="37"/>
      <c r="E62" s="40"/>
      <c r="F62" s="40"/>
      <c r="G62" s="40">
        <v>54</v>
      </c>
      <c r="H62" s="40">
        <v>68</v>
      </c>
      <c r="I62" s="40">
        <v>79</v>
      </c>
      <c r="J62" s="40"/>
      <c r="K62" s="40"/>
      <c r="L62" s="40"/>
      <c r="M62" s="40"/>
      <c r="N62" s="40"/>
      <c r="O62" s="40"/>
      <c r="P62" s="38">
        <f t="shared" si="1"/>
        <v>201</v>
      </c>
    </row>
    <row r="63" spans="1:16" ht="15" customHeight="1">
      <c r="A63" s="35" t="s">
        <v>148</v>
      </c>
      <c r="B63" s="50" t="s">
        <v>153</v>
      </c>
      <c r="C63" s="50"/>
      <c r="D63" s="44"/>
      <c r="E63" s="45"/>
      <c r="F63" s="45"/>
      <c r="G63" s="45"/>
      <c r="H63" s="45"/>
      <c r="I63" s="45"/>
      <c r="J63" s="45">
        <v>53</v>
      </c>
      <c r="K63" s="45">
        <v>44</v>
      </c>
      <c r="L63" s="45">
        <v>37</v>
      </c>
      <c r="M63" s="45">
        <v>45</v>
      </c>
      <c r="N63" s="45">
        <v>4</v>
      </c>
      <c r="O63" s="45"/>
      <c r="P63" s="38">
        <f t="shared" si="1"/>
        <v>183</v>
      </c>
    </row>
    <row r="64" spans="1:16" ht="15" customHeight="1">
      <c r="A64" s="35" t="s">
        <v>150</v>
      </c>
      <c r="B64" s="50" t="s">
        <v>155</v>
      </c>
      <c r="C64" s="50"/>
      <c r="D64" s="44"/>
      <c r="E64" s="45"/>
      <c r="F64" s="45"/>
      <c r="G64" s="45"/>
      <c r="H64" s="45"/>
      <c r="I64" s="45"/>
      <c r="J64" s="45"/>
      <c r="K64" s="45"/>
      <c r="L64" s="45"/>
      <c r="M64" s="45"/>
      <c r="N64" s="45"/>
      <c r="O64" s="45">
        <v>1</v>
      </c>
      <c r="P64" s="38">
        <f t="shared" si="1"/>
        <v>1</v>
      </c>
    </row>
    <row r="65" spans="1:16" ht="15" customHeight="1">
      <c r="A65" s="35" t="s">
        <v>152</v>
      </c>
      <c r="B65" s="36" t="s">
        <v>157</v>
      </c>
      <c r="C65" s="36"/>
      <c r="D65" s="37" t="s">
        <v>339</v>
      </c>
      <c r="E65" s="38">
        <f>E66+E67+E68+E69</f>
        <v>808</v>
      </c>
      <c r="F65" s="38">
        <f t="shared" ref="F65:O65" si="42">F66+F67+F68+F69</f>
        <v>728</v>
      </c>
      <c r="G65" s="38">
        <f t="shared" si="42"/>
        <v>1242</v>
      </c>
      <c r="H65" s="38">
        <f t="shared" si="42"/>
        <v>989</v>
      </c>
      <c r="I65" s="38">
        <f t="shared" si="42"/>
        <v>1283</v>
      </c>
      <c r="J65" s="38">
        <f t="shared" si="42"/>
        <v>457</v>
      </c>
      <c r="K65" s="38">
        <f t="shared" si="42"/>
        <v>361</v>
      </c>
      <c r="L65" s="38">
        <f t="shared" si="42"/>
        <v>294</v>
      </c>
      <c r="M65" s="38">
        <f t="shared" si="42"/>
        <v>332</v>
      </c>
      <c r="N65" s="38">
        <f t="shared" si="42"/>
        <v>35</v>
      </c>
      <c r="O65" s="38">
        <f t="shared" si="42"/>
        <v>0</v>
      </c>
      <c r="P65" s="38">
        <f t="shared" si="1"/>
        <v>6529</v>
      </c>
    </row>
    <row r="66" spans="1:16" ht="15" customHeight="1">
      <c r="A66" s="35" t="s">
        <v>154</v>
      </c>
      <c r="B66" s="50" t="s">
        <v>149</v>
      </c>
      <c r="C66" s="50"/>
      <c r="D66" s="44"/>
      <c r="E66" s="45">
        <v>808</v>
      </c>
      <c r="F66" s="45">
        <v>728</v>
      </c>
      <c r="G66" s="45">
        <v>569</v>
      </c>
      <c r="H66" s="45"/>
      <c r="I66" s="45"/>
      <c r="J66" s="45"/>
      <c r="K66" s="45"/>
      <c r="L66" s="45"/>
      <c r="M66" s="45"/>
      <c r="N66" s="45"/>
      <c r="O66" s="45"/>
      <c r="P66" s="38">
        <f t="shared" si="1"/>
        <v>2105</v>
      </c>
    </row>
    <row r="67" spans="1:16" ht="15" customHeight="1">
      <c r="A67" s="35" t="s">
        <v>156</v>
      </c>
      <c r="B67" s="50" t="s">
        <v>151</v>
      </c>
      <c r="C67" s="50"/>
      <c r="D67" s="37"/>
      <c r="E67" s="40"/>
      <c r="F67" s="40"/>
      <c r="G67" s="40">
        <v>673</v>
      </c>
      <c r="H67" s="40">
        <v>989</v>
      </c>
      <c r="I67" s="40">
        <v>1283</v>
      </c>
      <c r="J67" s="40"/>
      <c r="K67" s="40"/>
      <c r="L67" s="40"/>
      <c r="M67" s="40"/>
      <c r="N67" s="40"/>
      <c r="O67" s="40"/>
      <c r="P67" s="38">
        <f t="shared" si="1"/>
        <v>2945</v>
      </c>
    </row>
    <row r="68" spans="1:16" ht="15" customHeight="1">
      <c r="A68" s="35" t="s">
        <v>158</v>
      </c>
      <c r="B68" s="50" t="s">
        <v>153</v>
      </c>
      <c r="C68" s="50"/>
      <c r="D68" s="44"/>
      <c r="E68" s="45"/>
      <c r="F68" s="45"/>
      <c r="G68" s="45"/>
      <c r="H68" s="45"/>
      <c r="I68" s="45"/>
      <c r="J68" s="45">
        <v>457</v>
      </c>
      <c r="K68" s="45">
        <v>361</v>
      </c>
      <c r="L68" s="45">
        <v>294</v>
      </c>
      <c r="M68" s="45">
        <v>332</v>
      </c>
      <c r="N68" s="45">
        <v>35</v>
      </c>
      <c r="O68" s="45"/>
      <c r="P68" s="38">
        <f t="shared" ref="P68:P72" si="43">SUM(E68:O68)</f>
        <v>1479</v>
      </c>
    </row>
    <row r="69" spans="1:16" ht="15" customHeight="1">
      <c r="A69" s="35" t="s">
        <v>159</v>
      </c>
      <c r="B69" s="50" t="s">
        <v>155</v>
      </c>
      <c r="C69" s="50"/>
      <c r="D69" s="44"/>
      <c r="E69" s="45"/>
      <c r="F69" s="45"/>
      <c r="G69" s="45"/>
      <c r="H69" s="45"/>
      <c r="I69" s="45"/>
      <c r="J69" s="45"/>
      <c r="K69" s="45"/>
      <c r="L69" s="45"/>
      <c r="M69" s="45"/>
      <c r="N69" s="45"/>
      <c r="O69" s="45"/>
      <c r="P69" s="38">
        <f t="shared" si="43"/>
        <v>0</v>
      </c>
    </row>
    <row r="70" spans="1:16" ht="15" customHeight="1">
      <c r="A70" s="35" t="s">
        <v>160</v>
      </c>
      <c r="B70" s="36" t="s">
        <v>340</v>
      </c>
      <c r="C70" s="36"/>
      <c r="D70" s="37"/>
      <c r="E70" s="40">
        <v>78</v>
      </c>
      <c r="F70" s="40">
        <v>39</v>
      </c>
      <c r="G70" s="40">
        <v>43</v>
      </c>
      <c r="H70" s="40">
        <v>37</v>
      </c>
      <c r="I70" s="40">
        <v>115</v>
      </c>
      <c r="J70" s="40">
        <v>22</v>
      </c>
      <c r="K70" s="40">
        <v>8</v>
      </c>
      <c r="L70" s="40">
        <v>12</v>
      </c>
      <c r="M70" s="40">
        <v>8</v>
      </c>
      <c r="N70" s="40">
        <v>0</v>
      </c>
      <c r="O70" s="40"/>
      <c r="P70" s="38">
        <f t="shared" si="43"/>
        <v>362</v>
      </c>
    </row>
    <row r="71" spans="1:16" ht="15" customHeight="1">
      <c r="A71" s="35" t="s">
        <v>161</v>
      </c>
      <c r="B71" s="50" t="s">
        <v>341</v>
      </c>
      <c r="C71" s="50"/>
      <c r="D71" s="47"/>
      <c r="E71" s="40">
        <v>11571.75</v>
      </c>
      <c r="F71" s="40">
        <v>12080.05</v>
      </c>
      <c r="G71" s="40">
        <v>19243.82</v>
      </c>
      <c r="H71" s="40">
        <v>11976.01</v>
      </c>
      <c r="I71" s="40">
        <v>13514.56</v>
      </c>
      <c r="J71" s="55">
        <v>12231.55</v>
      </c>
      <c r="K71" s="55">
        <v>5768.05</v>
      </c>
      <c r="L71" s="40">
        <v>2786.18</v>
      </c>
      <c r="M71" s="40">
        <v>6511.75</v>
      </c>
      <c r="N71" s="40">
        <v>7288</v>
      </c>
      <c r="O71" s="40">
        <v>4307</v>
      </c>
      <c r="P71" s="38">
        <f t="shared" si="43"/>
        <v>107278.72</v>
      </c>
    </row>
    <row r="72" spans="1:16" ht="15" customHeight="1">
      <c r="A72" s="35" t="s">
        <v>162</v>
      </c>
      <c r="B72" s="50" t="s">
        <v>342</v>
      </c>
      <c r="C72" s="50"/>
      <c r="D72" s="47"/>
      <c r="E72" s="40">
        <v>3837.5</v>
      </c>
      <c r="F72" s="40">
        <v>6113.2</v>
      </c>
      <c r="G72" s="40">
        <v>8901.7999999999993</v>
      </c>
      <c r="H72" s="40">
        <v>3363</v>
      </c>
      <c r="I72" s="40">
        <v>7968</v>
      </c>
      <c r="J72" s="55">
        <v>3780</v>
      </c>
      <c r="K72" s="55">
        <v>2983.5</v>
      </c>
      <c r="L72" s="40">
        <v>716</v>
      </c>
      <c r="M72" s="40">
        <v>3529</v>
      </c>
      <c r="N72" s="40">
        <v>3212.3</v>
      </c>
      <c r="O72" s="40">
        <v>280</v>
      </c>
      <c r="P72" s="38">
        <f t="shared" si="43"/>
        <v>44684.3</v>
      </c>
    </row>
    <row r="73" spans="1:16">
      <c r="E73" s="1">
        <f t="shared" ref="E73:P73" si="44">E5/E60</f>
        <v>385140.71428571426</v>
      </c>
      <c r="F73" s="1">
        <f t="shared" si="44"/>
        <v>399388.56140350876</v>
      </c>
      <c r="G73" s="1">
        <f t="shared" si="44"/>
        <v>391820.89320388349</v>
      </c>
      <c r="H73" s="1">
        <f t="shared" si="44"/>
        <v>367113.8823529412</v>
      </c>
      <c r="I73" s="1">
        <f t="shared" si="44"/>
        <v>369492.02531645569</v>
      </c>
      <c r="J73" s="1">
        <f t="shared" si="44"/>
        <v>318552.67924528301</v>
      </c>
      <c r="K73" s="1">
        <f t="shared" si="44"/>
        <v>322051.27272727271</v>
      </c>
      <c r="L73" s="1">
        <f t="shared" si="44"/>
        <v>321567.24324324325</v>
      </c>
      <c r="M73" s="1">
        <f t="shared" si="44"/>
        <v>328110.5777777778</v>
      </c>
      <c r="N73" s="1">
        <f t="shared" si="44"/>
        <v>332717</v>
      </c>
      <c r="O73" s="1">
        <f t="shared" si="44"/>
        <v>422136</v>
      </c>
      <c r="P73" s="1">
        <f t="shared" si="44"/>
        <v>363111.72905525845</v>
      </c>
    </row>
    <row r="74" spans="1:16">
      <c r="E74" s="1">
        <f t="shared" ref="E74:P74" si="45">E34/E70</f>
        <v>20007.692307692309</v>
      </c>
      <c r="F74" s="1">
        <f t="shared" si="45"/>
        <v>18263.076923076922</v>
      </c>
      <c r="G74" s="1">
        <f t="shared" si="45"/>
        <v>16787.441860465115</v>
      </c>
      <c r="H74" s="1">
        <f t="shared" si="45"/>
        <v>17629.72972972973</v>
      </c>
      <c r="I74" s="1">
        <f t="shared" si="45"/>
        <v>18948</v>
      </c>
      <c r="J74" s="1">
        <f t="shared" si="45"/>
        <v>18196.363636363636</v>
      </c>
      <c r="K74" s="1">
        <f t="shared" si="45"/>
        <v>17083.75</v>
      </c>
      <c r="L74" s="1">
        <f t="shared" si="45"/>
        <v>16585</v>
      </c>
      <c r="M74" s="1">
        <f t="shared" si="45"/>
        <v>17865</v>
      </c>
      <c r="N74" s="1" t="e">
        <f t="shared" si="45"/>
        <v>#DIV/0!</v>
      </c>
      <c r="O74" s="1" t="e">
        <f t="shared" si="45"/>
        <v>#DIV/0!</v>
      </c>
      <c r="P74" s="1">
        <f t="shared" si="45"/>
        <v>18522.016574585636</v>
      </c>
    </row>
  </sheetData>
  <protectedRanges>
    <protectedRange password="E9C1" sqref="D30 C31 A5:D6 B7:D29 P5:P72 A4:P4 B32:D72 A7:A72 P3 A3:D3 A2:P2" name="区域1_1"/>
    <protectedRange password="E9C1" sqref="B30:C30 B31" name="区域1_1_1"/>
    <protectedRange password="E9C1" sqref="D31" name="区域1_2"/>
  </protectedRanges>
  <mergeCells count="6">
    <mergeCell ref="A1:P1"/>
    <mergeCell ref="A2:A3"/>
    <mergeCell ref="B2:B3"/>
    <mergeCell ref="C2:C3"/>
    <mergeCell ref="D2:D3"/>
    <mergeCell ref="P2:P3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80" orientation="landscape" verticalDpi="0" r:id="rId1"/>
  <headerFooter>
    <oddFooter>第 &amp;P 页，共 &amp;N 页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27"/>
  <sheetViews>
    <sheetView topLeftCell="B1" workbookViewId="0">
      <pane xSplit="4" ySplit="3" topLeftCell="F88" activePane="bottomRight" state="frozen"/>
      <selection activeCell="B1" sqref="B1"/>
      <selection pane="topRight" activeCell="F1" sqref="F1"/>
      <selection pane="bottomLeft" activeCell="B4" sqref="B4"/>
      <selection pane="bottomRight" activeCell="F90" sqref="F90"/>
    </sheetView>
  </sheetViews>
  <sheetFormatPr defaultRowHeight="13.5"/>
  <cols>
    <col min="1" max="1" width="0" style="170" hidden="1" customWidth="1"/>
    <col min="2" max="2" width="25.625" style="170" customWidth="1"/>
    <col min="3" max="3" width="6.5" style="170" hidden="1" customWidth="1"/>
    <col min="4" max="5" width="0" style="170" hidden="1" customWidth="1"/>
    <col min="6" max="7" width="12.625" style="170" customWidth="1"/>
    <col min="8" max="8" width="14.125" style="170" customWidth="1"/>
    <col min="9" max="17" width="12.625" style="170" customWidth="1"/>
    <col min="18" max="16384" width="9" style="170"/>
  </cols>
  <sheetData>
    <row r="1" spans="1:17" ht="20.25">
      <c r="A1" s="798" t="s">
        <v>979</v>
      </c>
      <c r="B1" s="799"/>
      <c r="C1" s="799"/>
      <c r="D1" s="799"/>
      <c r="E1" s="799"/>
      <c r="F1" s="799"/>
      <c r="G1" s="799"/>
      <c r="H1" s="799"/>
      <c r="I1" s="799"/>
      <c r="J1" s="799"/>
      <c r="K1" s="799"/>
      <c r="L1" s="799"/>
      <c r="M1" s="799"/>
      <c r="N1" s="799"/>
      <c r="O1" s="799"/>
      <c r="P1" s="799"/>
      <c r="Q1" s="799"/>
    </row>
    <row r="2" spans="1:17">
      <c r="A2" s="800" t="s">
        <v>631</v>
      </c>
      <c r="B2" s="802" t="s">
        <v>980</v>
      </c>
      <c r="C2" s="802" t="s">
        <v>12</v>
      </c>
      <c r="D2" s="800" t="s">
        <v>981</v>
      </c>
      <c r="E2" s="803" t="s">
        <v>982</v>
      </c>
      <c r="F2" s="804" t="s">
        <v>983</v>
      </c>
      <c r="G2" s="805"/>
      <c r="H2" s="805"/>
      <c r="I2" s="805"/>
      <c r="J2" s="804" t="s">
        <v>984</v>
      </c>
      <c r="K2" s="805"/>
      <c r="L2" s="805"/>
      <c r="M2" s="805"/>
      <c r="N2" s="804" t="s">
        <v>985</v>
      </c>
      <c r="O2" s="805"/>
      <c r="P2" s="805"/>
      <c r="Q2" s="805"/>
    </row>
    <row r="3" spans="1:17" ht="22.5">
      <c r="A3" s="801"/>
      <c r="B3" s="801"/>
      <c r="C3" s="801"/>
      <c r="D3" s="801"/>
      <c r="E3" s="801"/>
      <c r="F3" s="171" t="s">
        <v>986</v>
      </c>
      <c r="G3" s="172" t="s">
        <v>987</v>
      </c>
      <c r="H3" s="173" t="s">
        <v>1058</v>
      </c>
      <c r="I3" s="173" t="s">
        <v>988</v>
      </c>
      <c r="J3" s="171" t="s">
        <v>986</v>
      </c>
      <c r="K3" s="172" t="s">
        <v>987</v>
      </c>
      <c r="L3" s="173" t="s">
        <v>989</v>
      </c>
      <c r="M3" s="173" t="s">
        <v>988</v>
      </c>
      <c r="N3" s="171" t="s">
        <v>986</v>
      </c>
      <c r="O3" s="172" t="s">
        <v>987</v>
      </c>
      <c r="P3" s="173" t="s">
        <v>1058</v>
      </c>
      <c r="Q3" s="173" t="s">
        <v>988</v>
      </c>
    </row>
    <row r="4" spans="1:17" s="175" customFormat="1" ht="20.100000000000001" customHeight="1">
      <c r="A4" s="173" t="s">
        <v>2</v>
      </c>
      <c r="B4" s="91" t="s">
        <v>244</v>
      </c>
      <c r="C4" s="91">
        <v>1</v>
      </c>
      <c r="D4" s="91" t="s">
        <v>990</v>
      </c>
      <c r="E4" s="91" t="s">
        <v>991</v>
      </c>
      <c r="F4" s="86">
        <v>22974032</v>
      </c>
      <c r="G4" s="86">
        <v>670949</v>
      </c>
      <c r="H4" s="121">
        <v>1254943.5</v>
      </c>
      <c r="I4" s="121">
        <f>F4+H4</f>
        <v>24228975.5</v>
      </c>
      <c r="J4" s="174">
        <v>23865314</v>
      </c>
      <c r="K4" s="174">
        <v>622899</v>
      </c>
      <c r="L4" s="174">
        <v>1265957.75</v>
      </c>
      <c r="M4" s="174">
        <f>J4+L4</f>
        <v>25131271.75</v>
      </c>
      <c r="N4" s="174">
        <f>F4-J4</f>
        <v>-891282</v>
      </c>
      <c r="O4" s="174">
        <f t="shared" ref="O4:Q20" si="0">G4-K4</f>
        <v>48050</v>
      </c>
      <c r="P4" s="174">
        <f t="shared" si="0"/>
        <v>-11014.25</v>
      </c>
      <c r="Q4" s="174">
        <f t="shared" si="0"/>
        <v>-902296.25</v>
      </c>
    </row>
    <row r="5" spans="1:17" s="175" customFormat="1" ht="20.100000000000001" customHeight="1">
      <c r="A5" s="176" t="s">
        <v>2</v>
      </c>
      <c r="B5" s="91" t="s">
        <v>744</v>
      </c>
      <c r="C5" s="91">
        <v>2</v>
      </c>
      <c r="D5" s="91" t="s">
        <v>992</v>
      </c>
      <c r="E5" s="91" t="s">
        <v>993</v>
      </c>
      <c r="F5" s="86">
        <v>1229490</v>
      </c>
      <c r="G5" s="86">
        <v>0</v>
      </c>
      <c r="H5" s="121"/>
      <c r="I5" s="121">
        <f t="shared" ref="I5:I68" si="1">F5+H5</f>
        <v>1229490</v>
      </c>
      <c r="J5" s="174">
        <v>1191156</v>
      </c>
      <c r="K5" s="174"/>
      <c r="L5" s="174"/>
      <c r="M5" s="174">
        <f t="shared" ref="M5:M68" si="2">J5+L5</f>
        <v>1191156</v>
      </c>
      <c r="N5" s="174">
        <f t="shared" ref="N5:Q68" si="3">F5-J5</f>
        <v>38334</v>
      </c>
      <c r="O5" s="174">
        <f t="shared" si="0"/>
        <v>0</v>
      </c>
      <c r="P5" s="174">
        <f t="shared" si="0"/>
        <v>0</v>
      </c>
      <c r="Q5" s="174">
        <f t="shared" si="0"/>
        <v>38334</v>
      </c>
    </row>
    <row r="6" spans="1:17" s="175" customFormat="1" ht="20.100000000000001" customHeight="1">
      <c r="A6" s="176" t="s">
        <v>2</v>
      </c>
      <c r="B6" s="91" t="s">
        <v>716</v>
      </c>
      <c r="C6" s="91">
        <v>3</v>
      </c>
      <c r="D6" s="91" t="s">
        <v>992</v>
      </c>
      <c r="E6" s="91" t="s">
        <v>994</v>
      </c>
      <c r="F6" s="86">
        <v>11234264</v>
      </c>
      <c r="G6" s="86">
        <v>532544</v>
      </c>
      <c r="H6" s="121"/>
      <c r="I6" s="121">
        <f t="shared" si="1"/>
        <v>11234264</v>
      </c>
      <c r="J6" s="174">
        <v>11192216</v>
      </c>
      <c r="K6" s="174">
        <v>484544</v>
      </c>
      <c r="L6" s="174"/>
      <c r="M6" s="174">
        <f t="shared" si="2"/>
        <v>11192216</v>
      </c>
      <c r="N6" s="174">
        <f t="shared" si="3"/>
        <v>42048</v>
      </c>
      <c r="O6" s="174">
        <f t="shared" si="0"/>
        <v>48000</v>
      </c>
      <c r="P6" s="174">
        <f t="shared" si="0"/>
        <v>0</v>
      </c>
      <c r="Q6" s="174">
        <f t="shared" si="0"/>
        <v>42048</v>
      </c>
    </row>
    <row r="7" spans="1:17" s="175" customFormat="1" ht="20.100000000000001" customHeight="1">
      <c r="A7" s="176" t="s">
        <v>2</v>
      </c>
      <c r="B7" s="91" t="s">
        <v>995</v>
      </c>
      <c r="C7" s="91">
        <v>4</v>
      </c>
      <c r="D7" s="91" t="s">
        <v>992</v>
      </c>
      <c r="E7" s="91" t="s">
        <v>994</v>
      </c>
      <c r="F7" s="86">
        <v>7810466</v>
      </c>
      <c r="G7" s="86">
        <v>249104</v>
      </c>
      <c r="H7" s="121"/>
      <c r="I7" s="121">
        <f t="shared" si="1"/>
        <v>7810466</v>
      </c>
      <c r="J7" s="174">
        <v>7910288</v>
      </c>
      <c r="K7" s="174">
        <v>225104</v>
      </c>
      <c r="L7" s="174"/>
      <c r="M7" s="174">
        <f t="shared" si="2"/>
        <v>7910288</v>
      </c>
      <c r="N7" s="174">
        <f t="shared" si="3"/>
        <v>-99822</v>
      </c>
      <c r="O7" s="174">
        <f t="shared" si="0"/>
        <v>24000</v>
      </c>
      <c r="P7" s="174">
        <f t="shared" si="0"/>
        <v>0</v>
      </c>
      <c r="Q7" s="174">
        <f t="shared" si="0"/>
        <v>-99822</v>
      </c>
    </row>
    <row r="8" spans="1:17" s="175" customFormat="1" ht="20.100000000000001" customHeight="1">
      <c r="A8" s="176" t="s">
        <v>2</v>
      </c>
      <c r="B8" s="171" t="s">
        <v>996</v>
      </c>
      <c r="C8" s="91">
        <v>5</v>
      </c>
      <c r="D8" s="91" t="s">
        <v>992</v>
      </c>
      <c r="E8" s="91" t="s">
        <v>994</v>
      </c>
      <c r="F8" s="86">
        <v>4528810</v>
      </c>
      <c r="G8" s="86">
        <v>0</v>
      </c>
      <c r="H8" s="121"/>
      <c r="I8" s="121">
        <f t="shared" si="1"/>
        <v>4528810</v>
      </c>
      <c r="J8" s="174">
        <v>4544208</v>
      </c>
      <c r="K8" s="174"/>
      <c r="L8" s="174"/>
      <c r="M8" s="174">
        <f t="shared" si="2"/>
        <v>4544208</v>
      </c>
      <c r="N8" s="174">
        <f t="shared" si="3"/>
        <v>-15398</v>
      </c>
      <c r="O8" s="174">
        <f t="shared" si="0"/>
        <v>0</v>
      </c>
      <c r="P8" s="174">
        <f t="shared" si="0"/>
        <v>0</v>
      </c>
      <c r="Q8" s="174">
        <f t="shared" si="0"/>
        <v>-15398</v>
      </c>
    </row>
    <row r="9" spans="1:17" s="175" customFormat="1" ht="20.100000000000001" customHeight="1">
      <c r="A9" s="176"/>
      <c r="B9" s="171" t="s">
        <v>997</v>
      </c>
      <c r="C9" s="91"/>
      <c r="D9" s="91"/>
      <c r="E9" s="91"/>
      <c r="F9" s="86">
        <f>SUM(F4:F8)</f>
        <v>47777062</v>
      </c>
      <c r="G9" s="86">
        <f t="shared" ref="G9:Q9" si="4">SUM(G4:G8)</f>
        <v>1452597</v>
      </c>
      <c r="H9" s="86">
        <f t="shared" si="4"/>
        <v>1254943.5</v>
      </c>
      <c r="I9" s="86">
        <f t="shared" si="4"/>
        <v>49032005.5</v>
      </c>
      <c r="J9" s="86">
        <f t="shared" si="4"/>
        <v>48703182</v>
      </c>
      <c r="K9" s="86">
        <f t="shared" si="4"/>
        <v>1332547</v>
      </c>
      <c r="L9" s="86">
        <f t="shared" si="4"/>
        <v>1265957.75</v>
      </c>
      <c r="M9" s="86">
        <f t="shared" si="4"/>
        <v>49969139.75</v>
      </c>
      <c r="N9" s="86">
        <f t="shared" si="4"/>
        <v>-926120</v>
      </c>
      <c r="O9" s="86">
        <f t="shared" si="4"/>
        <v>120050</v>
      </c>
      <c r="P9" s="86">
        <f t="shared" si="4"/>
        <v>-11014.25</v>
      </c>
      <c r="Q9" s="86">
        <f t="shared" si="4"/>
        <v>-937134.25</v>
      </c>
    </row>
    <row r="10" spans="1:17" s="175" customFormat="1" ht="20.100000000000001" customHeight="1">
      <c r="A10" s="176" t="s">
        <v>3</v>
      </c>
      <c r="B10" s="91" t="s">
        <v>165</v>
      </c>
      <c r="C10" s="91">
        <v>2</v>
      </c>
      <c r="D10" s="91" t="s">
        <v>990</v>
      </c>
      <c r="E10" s="91" t="s">
        <v>998</v>
      </c>
      <c r="F10" s="86">
        <v>12404858</v>
      </c>
      <c r="G10" s="86">
        <v>530480</v>
      </c>
      <c r="H10" s="121">
        <v>589792.5</v>
      </c>
      <c r="I10" s="121">
        <f t="shared" si="1"/>
        <v>12994650.5</v>
      </c>
      <c r="J10" s="174">
        <v>12315468</v>
      </c>
      <c r="K10" s="174">
        <v>453486</v>
      </c>
      <c r="L10" s="174">
        <v>683465.25</v>
      </c>
      <c r="M10" s="174">
        <f t="shared" si="2"/>
        <v>12998933.25</v>
      </c>
      <c r="N10" s="174">
        <f t="shared" si="3"/>
        <v>89390</v>
      </c>
      <c r="O10" s="174">
        <f t="shared" si="0"/>
        <v>76994</v>
      </c>
      <c r="P10" s="174">
        <f t="shared" si="0"/>
        <v>-93672.75</v>
      </c>
      <c r="Q10" s="174">
        <f t="shared" si="0"/>
        <v>-4282.75</v>
      </c>
    </row>
    <row r="11" spans="1:17" s="175" customFormat="1" ht="20.100000000000001" customHeight="1">
      <c r="A11" s="176" t="s">
        <v>3</v>
      </c>
      <c r="B11" s="91" t="s">
        <v>999</v>
      </c>
      <c r="C11" s="91">
        <v>3</v>
      </c>
      <c r="D11" s="91" t="s">
        <v>990</v>
      </c>
      <c r="E11" s="91" t="s">
        <v>998</v>
      </c>
      <c r="F11" s="86">
        <v>8331088</v>
      </c>
      <c r="G11" s="86">
        <v>514984</v>
      </c>
      <c r="H11" s="121">
        <v>592380</v>
      </c>
      <c r="I11" s="121">
        <f t="shared" si="1"/>
        <v>8923468</v>
      </c>
      <c r="J11" s="174">
        <v>8396910</v>
      </c>
      <c r="K11" s="174">
        <v>466984</v>
      </c>
      <c r="L11" s="174">
        <v>717184.75</v>
      </c>
      <c r="M11" s="174">
        <f t="shared" si="2"/>
        <v>9114094.75</v>
      </c>
      <c r="N11" s="174">
        <f t="shared" si="3"/>
        <v>-65822</v>
      </c>
      <c r="O11" s="174">
        <f t="shared" si="0"/>
        <v>48000</v>
      </c>
      <c r="P11" s="174">
        <f t="shared" si="0"/>
        <v>-124804.75</v>
      </c>
      <c r="Q11" s="174">
        <f t="shared" si="0"/>
        <v>-190626.75</v>
      </c>
    </row>
    <row r="12" spans="1:17" s="175" customFormat="1" ht="20.100000000000001" customHeight="1">
      <c r="A12" s="176" t="s">
        <v>3</v>
      </c>
      <c r="B12" s="91" t="s">
        <v>169</v>
      </c>
      <c r="C12" s="91">
        <v>4</v>
      </c>
      <c r="D12" s="91" t="s">
        <v>992</v>
      </c>
      <c r="E12" s="91" t="s">
        <v>993</v>
      </c>
      <c r="F12" s="86">
        <v>863604</v>
      </c>
      <c r="G12" s="86">
        <v>0</v>
      </c>
      <c r="H12" s="121"/>
      <c r="I12" s="121">
        <f t="shared" si="1"/>
        <v>863604</v>
      </c>
      <c r="J12" s="174">
        <v>794104</v>
      </c>
      <c r="K12" s="174"/>
      <c r="L12" s="174"/>
      <c r="M12" s="174">
        <f t="shared" si="2"/>
        <v>794104</v>
      </c>
      <c r="N12" s="174">
        <f t="shared" si="3"/>
        <v>69500</v>
      </c>
      <c r="O12" s="174">
        <f t="shared" si="0"/>
        <v>0</v>
      </c>
      <c r="P12" s="174">
        <f t="shared" si="0"/>
        <v>0</v>
      </c>
      <c r="Q12" s="174">
        <f t="shared" si="0"/>
        <v>69500</v>
      </c>
    </row>
    <row r="13" spans="1:17" s="175" customFormat="1" ht="20.100000000000001" customHeight="1">
      <c r="A13" s="176" t="s">
        <v>3</v>
      </c>
      <c r="B13" s="91" t="s">
        <v>166</v>
      </c>
      <c r="C13" s="91">
        <v>5</v>
      </c>
      <c r="D13" s="91" t="s">
        <v>992</v>
      </c>
      <c r="E13" s="91" t="s">
        <v>994</v>
      </c>
      <c r="F13" s="86">
        <v>2522250</v>
      </c>
      <c r="G13" s="86">
        <v>0</v>
      </c>
      <c r="H13" s="121"/>
      <c r="I13" s="121">
        <f t="shared" si="1"/>
        <v>2522250</v>
      </c>
      <c r="J13" s="174">
        <v>2524560</v>
      </c>
      <c r="K13" s="174"/>
      <c r="L13" s="174"/>
      <c r="M13" s="174">
        <f t="shared" si="2"/>
        <v>2524560</v>
      </c>
      <c r="N13" s="174">
        <f t="shared" si="3"/>
        <v>-2310</v>
      </c>
      <c r="O13" s="174">
        <f t="shared" si="0"/>
        <v>0</v>
      </c>
      <c r="P13" s="174">
        <f t="shared" si="0"/>
        <v>0</v>
      </c>
      <c r="Q13" s="174">
        <f t="shared" si="0"/>
        <v>-2310</v>
      </c>
    </row>
    <row r="14" spans="1:17" s="175" customFormat="1" ht="20.100000000000001" customHeight="1">
      <c r="A14" s="176" t="s">
        <v>3</v>
      </c>
      <c r="B14" s="91" t="s">
        <v>167</v>
      </c>
      <c r="C14" s="91">
        <v>6</v>
      </c>
      <c r="D14" s="91" t="s">
        <v>992</v>
      </c>
      <c r="E14" s="91" t="s">
        <v>994</v>
      </c>
      <c r="F14" s="86">
        <v>5607146</v>
      </c>
      <c r="G14" s="86">
        <v>284216</v>
      </c>
      <c r="H14" s="121"/>
      <c r="I14" s="121">
        <f t="shared" si="1"/>
        <v>5607146</v>
      </c>
      <c r="J14" s="174">
        <v>5385728</v>
      </c>
      <c r="K14" s="174">
        <v>260216</v>
      </c>
      <c r="L14" s="174"/>
      <c r="M14" s="174">
        <f t="shared" si="2"/>
        <v>5385728</v>
      </c>
      <c r="N14" s="174">
        <f t="shared" si="3"/>
        <v>221418</v>
      </c>
      <c r="O14" s="174">
        <f t="shared" si="0"/>
        <v>24000</v>
      </c>
      <c r="P14" s="174">
        <f t="shared" si="0"/>
        <v>0</v>
      </c>
      <c r="Q14" s="174">
        <f t="shared" si="0"/>
        <v>221418</v>
      </c>
    </row>
    <row r="15" spans="1:17" s="175" customFormat="1" ht="20.100000000000001" customHeight="1">
      <c r="A15" s="176" t="s">
        <v>3</v>
      </c>
      <c r="B15" s="91" t="s">
        <v>168</v>
      </c>
      <c r="C15" s="91">
        <v>7</v>
      </c>
      <c r="D15" s="91" t="s">
        <v>992</v>
      </c>
      <c r="E15" s="91" t="s">
        <v>994</v>
      </c>
      <c r="F15" s="86">
        <v>8728942</v>
      </c>
      <c r="G15" s="86">
        <v>306224</v>
      </c>
      <c r="H15" s="121"/>
      <c r="I15" s="121">
        <f t="shared" si="1"/>
        <v>8728942</v>
      </c>
      <c r="J15" s="174">
        <v>8499352</v>
      </c>
      <c r="K15" s="174">
        <v>262571</v>
      </c>
      <c r="L15" s="174"/>
      <c r="M15" s="174">
        <f t="shared" si="2"/>
        <v>8499352</v>
      </c>
      <c r="N15" s="174">
        <f t="shared" si="3"/>
        <v>229590</v>
      </c>
      <c r="O15" s="174">
        <f t="shared" si="0"/>
        <v>43653</v>
      </c>
      <c r="P15" s="174">
        <f t="shared" si="0"/>
        <v>0</v>
      </c>
      <c r="Q15" s="174">
        <f t="shared" si="0"/>
        <v>229590</v>
      </c>
    </row>
    <row r="16" spans="1:17" s="175" customFormat="1" ht="20.100000000000001" customHeight="1">
      <c r="A16" s="176"/>
      <c r="B16" s="91" t="s">
        <v>1000</v>
      </c>
      <c r="C16" s="91"/>
      <c r="D16" s="91"/>
      <c r="E16" s="91"/>
      <c r="F16" s="86">
        <f t="shared" ref="F16:Q16" si="5">SUM(F10:F15)</f>
        <v>38457888</v>
      </c>
      <c r="G16" s="86">
        <f t="shared" si="5"/>
        <v>1635904</v>
      </c>
      <c r="H16" s="86">
        <f t="shared" si="5"/>
        <v>1182172.5</v>
      </c>
      <c r="I16" s="86">
        <f t="shared" si="5"/>
        <v>39640060.5</v>
      </c>
      <c r="J16" s="86">
        <f t="shared" si="5"/>
        <v>37916122</v>
      </c>
      <c r="K16" s="86">
        <f t="shared" si="5"/>
        <v>1443257</v>
      </c>
      <c r="L16" s="86">
        <f t="shared" si="5"/>
        <v>1400650</v>
      </c>
      <c r="M16" s="86">
        <f t="shared" si="5"/>
        <v>39316772</v>
      </c>
      <c r="N16" s="86">
        <f t="shared" si="5"/>
        <v>541766</v>
      </c>
      <c r="O16" s="86">
        <f t="shared" si="5"/>
        <v>192647</v>
      </c>
      <c r="P16" s="86">
        <f t="shared" si="5"/>
        <v>-218477.5</v>
      </c>
      <c r="Q16" s="86">
        <f t="shared" si="5"/>
        <v>323288.5</v>
      </c>
    </row>
    <row r="17" spans="1:17" s="175" customFormat="1" ht="20.100000000000001" customHeight="1">
      <c r="A17" s="176" t="s">
        <v>4</v>
      </c>
      <c r="B17" s="91" t="s">
        <v>236</v>
      </c>
      <c r="C17" s="91">
        <v>1</v>
      </c>
      <c r="D17" s="91" t="s">
        <v>990</v>
      </c>
      <c r="E17" s="91" t="s">
        <v>1001</v>
      </c>
      <c r="F17" s="86">
        <v>14843507</v>
      </c>
      <c r="G17" s="86">
        <v>526464</v>
      </c>
      <c r="H17" s="121">
        <v>1192503</v>
      </c>
      <c r="I17" s="121">
        <f t="shared" si="1"/>
        <v>16036010</v>
      </c>
      <c r="J17" s="174">
        <v>15187018</v>
      </c>
      <c r="K17" s="174">
        <v>478464</v>
      </c>
      <c r="L17" s="174">
        <v>1285859.25</v>
      </c>
      <c r="M17" s="174">
        <f t="shared" si="2"/>
        <v>16472877.25</v>
      </c>
      <c r="N17" s="174">
        <f t="shared" si="3"/>
        <v>-343511</v>
      </c>
      <c r="O17" s="174">
        <f t="shared" si="0"/>
        <v>48000</v>
      </c>
      <c r="P17" s="174">
        <f t="shared" si="0"/>
        <v>-93356.25</v>
      </c>
      <c r="Q17" s="174">
        <f t="shared" si="0"/>
        <v>-436867.25</v>
      </c>
    </row>
    <row r="18" spans="1:17" s="175" customFormat="1" ht="20.100000000000001" customHeight="1">
      <c r="A18" s="176" t="s">
        <v>4</v>
      </c>
      <c r="B18" s="91" t="s">
        <v>237</v>
      </c>
      <c r="C18" s="91">
        <v>2</v>
      </c>
      <c r="D18" s="91" t="s">
        <v>990</v>
      </c>
      <c r="E18" s="91" t="s">
        <v>1001</v>
      </c>
      <c r="F18" s="86">
        <v>51814138</v>
      </c>
      <c r="G18" s="86">
        <v>716578</v>
      </c>
      <c r="H18" s="121">
        <v>4058729</v>
      </c>
      <c r="I18" s="121">
        <f t="shared" si="1"/>
        <v>55872867</v>
      </c>
      <c r="J18" s="174">
        <v>53154563</v>
      </c>
      <c r="K18" s="174">
        <v>651624</v>
      </c>
      <c r="L18" s="174">
        <v>5187203.7</v>
      </c>
      <c r="M18" s="174">
        <f t="shared" si="2"/>
        <v>58341766.700000003</v>
      </c>
      <c r="N18" s="174">
        <f t="shared" si="3"/>
        <v>-1340425</v>
      </c>
      <c r="O18" s="174">
        <f t="shared" si="0"/>
        <v>64954</v>
      </c>
      <c r="P18" s="174">
        <f t="shared" si="0"/>
        <v>-1128474.7000000002</v>
      </c>
      <c r="Q18" s="174">
        <f t="shared" si="0"/>
        <v>-2468899.700000003</v>
      </c>
    </row>
    <row r="19" spans="1:17" s="175" customFormat="1" ht="20.100000000000001" customHeight="1">
      <c r="A19" s="176" t="s">
        <v>4</v>
      </c>
      <c r="B19" s="91" t="s">
        <v>238</v>
      </c>
      <c r="C19" s="91">
        <v>3</v>
      </c>
      <c r="D19" s="91" t="s">
        <v>990</v>
      </c>
      <c r="E19" s="91" t="s">
        <v>1001</v>
      </c>
      <c r="F19" s="86">
        <v>17888471</v>
      </c>
      <c r="G19" s="86">
        <v>279216</v>
      </c>
      <c r="H19" s="121">
        <v>1036842.75</v>
      </c>
      <c r="I19" s="121">
        <f t="shared" si="1"/>
        <v>18925313.75</v>
      </c>
      <c r="J19" s="174">
        <v>18046911</v>
      </c>
      <c r="K19" s="174">
        <v>255216</v>
      </c>
      <c r="L19" s="174">
        <v>1114783.5</v>
      </c>
      <c r="M19" s="174">
        <f t="shared" si="2"/>
        <v>19161694.5</v>
      </c>
      <c r="N19" s="174">
        <f t="shared" si="3"/>
        <v>-158440</v>
      </c>
      <c r="O19" s="174">
        <f t="shared" si="0"/>
        <v>24000</v>
      </c>
      <c r="P19" s="174">
        <f t="shared" si="0"/>
        <v>-77940.75</v>
      </c>
      <c r="Q19" s="174">
        <f t="shared" si="0"/>
        <v>-236380.75</v>
      </c>
    </row>
    <row r="20" spans="1:17" s="175" customFormat="1" ht="20.100000000000001" customHeight="1">
      <c r="A20" s="176" t="s">
        <v>4</v>
      </c>
      <c r="B20" s="91" t="s">
        <v>239</v>
      </c>
      <c r="C20" s="91">
        <v>4</v>
      </c>
      <c r="D20" s="91" t="s">
        <v>990</v>
      </c>
      <c r="E20" s="91" t="s">
        <v>1001</v>
      </c>
      <c r="F20" s="86">
        <v>20403273</v>
      </c>
      <c r="G20" s="86">
        <v>328268</v>
      </c>
      <c r="H20" s="121">
        <v>1690566</v>
      </c>
      <c r="I20" s="121">
        <f t="shared" si="1"/>
        <v>22093839</v>
      </c>
      <c r="J20" s="174">
        <v>20315102</v>
      </c>
      <c r="K20" s="174">
        <v>304268</v>
      </c>
      <c r="L20" s="174">
        <v>2067699</v>
      </c>
      <c r="M20" s="174">
        <f t="shared" si="2"/>
        <v>22382801</v>
      </c>
      <c r="N20" s="174">
        <f t="shared" si="3"/>
        <v>88171</v>
      </c>
      <c r="O20" s="174">
        <f t="shared" si="0"/>
        <v>24000</v>
      </c>
      <c r="P20" s="174">
        <f t="shared" si="0"/>
        <v>-377133</v>
      </c>
      <c r="Q20" s="174">
        <f t="shared" si="0"/>
        <v>-288962</v>
      </c>
    </row>
    <row r="21" spans="1:17" s="175" customFormat="1" ht="20.100000000000001" customHeight="1">
      <c r="A21" s="176" t="s">
        <v>4</v>
      </c>
      <c r="B21" s="91" t="s">
        <v>265</v>
      </c>
      <c r="C21" s="91">
        <v>5</v>
      </c>
      <c r="D21" s="91" t="s">
        <v>990</v>
      </c>
      <c r="E21" s="91" t="s">
        <v>991</v>
      </c>
      <c r="F21" s="86">
        <v>18912243</v>
      </c>
      <c r="G21" s="86">
        <v>273028</v>
      </c>
      <c r="H21" s="121">
        <v>1449794.5</v>
      </c>
      <c r="I21" s="121">
        <f t="shared" si="1"/>
        <v>20362037.5</v>
      </c>
      <c r="J21" s="174">
        <v>19920634</v>
      </c>
      <c r="K21" s="174">
        <v>248428</v>
      </c>
      <c r="L21" s="174">
        <v>1313589.75</v>
      </c>
      <c r="M21" s="174">
        <f t="shared" si="2"/>
        <v>21234223.75</v>
      </c>
      <c r="N21" s="174">
        <f t="shared" si="3"/>
        <v>-1008391</v>
      </c>
      <c r="O21" s="174">
        <f t="shared" si="3"/>
        <v>24600</v>
      </c>
      <c r="P21" s="174">
        <f t="shared" si="3"/>
        <v>136204.75</v>
      </c>
      <c r="Q21" s="174">
        <f t="shared" si="3"/>
        <v>-872186.25</v>
      </c>
    </row>
    <row r="22" spans="1:17" s="175" customFormat="1" ht="20.100000000000001" customHeight="1">
      <c r="A22" s="176" t="s">
        <v>4</v>
      </c>
      <c r="B22" s="91" t="s">
        <v>240</v>
      </c>
      <c r="C22" s="91">
        <v>6</v>
      </c>
      <c r="D22" s="91" t="s">
        <v>990</v>
      </c>
      <c r="E22" s="91" t="s">
        <v>998</v>
      </c>
      <c r="F22" s="86">
        <v>10160836</v>
      </c>
      <c r="G22" s="86">
        <v>275535</v>
      </c>
      <c r="H22" s="121">
        <v>474534.5</v>
      </c>
      <c r="I22" s="121">
        <f t="shared" si="1"/>
        <v>10635370.5</v>
      </c>
      <c r="J22" s="174">
        <v>10542787</v>
      </c>
      <c r="K22" s="174">
        <v>251535</v>
      </c>
      <c r="L22" s="174">
        <v>543674.5</v>
      </c>
      <c r="M22" s="174">
        <f t="shared" si="2"/>
        <v>11086461.5</v>
      </c>
      <c r="N22" s="174">
        <f t="shared" si="3"/>
        <v>-381951</v>
      </c>
      <c r="O22" s="174">
        <f t="shared" si="3"/>
        <v>24000</v>
      </c>
      <c r="P22" s="174">
        <f t="shared" si="3"/>
        <v>-69140</v>
      </c>
      <c r="Q22" s="174">
        <f t="shared" si="3"/>
        <v>-451091</v>
      </c>
    </row>
    <row r="23" spans="1:17" s="175" customFormat="1" ht="20.100000000000001" customHeight="1">
      <c r="A23" s="176" t="s">
        <v>4</v>
      </c>
      <c r="B23" s="91" t="s">
        <v>241</v>
      </c>
      <c r="C23" s="91">
        <v>7</v>
      </c>
      <c r="D23" s="91" t="s">
        <v>990</v>
      </c>
      <c r="E23" s="91" t="s">
        <v>998</v>
      </c>
      <c r="F23" s="86">
        <v>65891003</v>
      </c>
      <c r="G23" s="86">
        <v>746384</v>
      </c>
      <c r="H23" s="121">
        <v>3084066</v>
      </c>
      <c r="I23" s="121">
        <f t="shared" si="1"/>
        <v>68975069</v>
      </c>
      <c r="J23" s="174">
        <v>66708785</v>
      </c>
      <c r="K23" s="174">
        <v>678708</v>
      </c>
      <c r="L23" s="174">
        <v>3251283</v>
      </c>
      <c r="M23" s="174">
        <f t="shared" si="2"/>
        <v>69960068</v>
      </c>
      <c r="N23" s="174">
        <f t="shared" si="3"/>
        <v>-817782</v>
      </c>
      <c r="O23" s="174">
        <f t="shared" si="3"/>
        <v>67676</v>
      </c>
      <c r="P23" s="174">
        <f t="shared" si="3"/>
        <v>-167217</v>
      </c>
      <c r="Q23" s="174">
        <f t="shared" si="3"/>
        <v>-984999</v>
      </c>
    </row>
    <row r="24" spans="1:17" s="175" customFormat="1" ht="20.100000000000001" customHeight="1">
      <c r="A24" s="176" t="s">
        <v>4</v>
      </c>
      <c r="B24" s="91" t="s">
        <v>242</v>
      </c>
      <c r="C24" s="91">
        <v>8</v>
      </c>
      <c r="D24" s="91" t="s">
        <v>990</v>
      </c>
      <c r="E24" s="91" t="s">
        <v>998</v>
      </c>
      <c r="F24" s="86">
        <v>11053527</v>
      </c>
      <c r="G24" s="86">
        <v>535352</v>
      </c>
      <c r="H24" s="121">
        <v>444975</v>
      </c>
      <c r="I24" s="121">
        <f t="shared" si="1"/>
        <v>11498502</v>
      </c>
      <c r="J24" s="174">
        <v>11102581</v>
      </c>
      <c r="K24" s="174">
        <v>448352</v>
      </c>
      <c r="L24" s="174">
        <v>446696.25</v>
      </c>
      <c r="M24" s="174">
        <f t="shared" si="2"/>
        <v>11549277.25</v>
      </c>
      <c r="N24" s="174">
        <f t="shared" si="3"/>
        <v>-49054</v>
      </c>
      <c r="O24" s="174">
        <f t="shared" si="3"/>
        <v>87000</v>
      </c>
      <c r="P24" s="174">
        <f t="shared" si="3"/>
        <v>-1721.25</v>
      </c>
      <c r="Q24" s="174">
        <f t="shared" si="3"/>
        <v>-50775.25</v>
      </c>
    </row>
    <row r="25" spans="1:17" s="175" customFormat="1" ht="20.100000000000001" customHeight="1">
      <c r="A25" s="176" t="s">
        <v>4</v>
      </c>
      <c r="B25" s="91" t="s">
        <v>243</v>
      </c>
      <c r="C25" s="91">
        <v>9</v>
      </c>
      <c r="D25" s="91" t="s">
        <v>990</v>
      </c>
      <c r="E25" s="91" t="s">
        <v>998</v>
      </c>
      <c r="F25" s="86">
        <v>24991005</v>
      </c>
      <c r="G25" s="86">
        <v>642084</v>
      </c>
      <c r="H25" s="121">
        <v>1562176</v>
      </c>
      <c r="I25" s="121">
        <f t="shared" si="1"/>
        <v>26553181</v>
      </c>
      <c r="J25" s="174">
        <v>25004132</v>
      </c>
      <c r="K25" s="174">
        <v>594084</v>
      </c>
      <c r="L25" s="174">
        <v>1723843.25</v>
      </c>
      <c r="M25" s="174">
        <f t="shared" si="2"/>
        <v>26727975.25</v>
      </c>
      <c r="N25" s="174">
        <f t="shared" si="3"/>
        <v>-13127</v>
      </c>
      <c r="O25" s="174">
        <f t="shared" si="3"/>
        <v>48000</v>
      </c>
      <c r="P25" s="174">
        <f t="shared" si="3"/>
        <v>-161667.25</v>
      </c>
      <c r="Q25" s="174">
        <f t="shared" si="3"/>
        <v>-174794.25</v>
      </c>
    </row>
    <row r="26" spans="1:17" s="175" customFormat="1" ht="20.100000000000001" customHeight="1">
      <c r="A26" s="176" t="s">
        <v>4</v>
      </c>
      <c r="B26" s="91" t="s">
        <v>747</v>
      </c>
      <c r="C26" s="91">
        <v>10</v>
      </c>
      <c r="D26" s="91" t="s">
        <v>990</v>
      </c>
      <c r="E26" s="91" t="s">
        <v>998</v>
      </c>
      <c r="F26" s="86">
        <v>23648221</v>
      </c>
      <c r="G26" s="86">
        <v>293636</v>
      </c>
      <c r="H26" s="121">
        <v>1122814.5</v>
      </c>
      <c r="I26" s="121">
        <f t="shared" si="1"/>
        <v>24771035.5</v>
      </c>
      <c r="J26" s="174">
        <v>24071142</v>
      </c>
      <c r="K26" s="174">
        <v>269636</v>
      </c>
      <c r="L26" s="174">
        <v>1748827.5</v>
      </c>
      <c r="M26" s="174">
        <f t="shared" si="2"/>
        <v>25819969.5</v>
      </c>
      <c r="N26" s="174">
        <f t="shared" si="3"/>
        <v>-422921</v>
      </c>
      <c r="O26" s="174">
        <f t="shared" si="3"/>
        <v>24000</v>
      </c>
      <c r="P26" s="174">
        <f t="shared" si="3"/>
        <v>-626013</v>
      </c>
      <c r="Q26" s="174">
        <f t="shared" si="3"/>
        <v>-1048934</v>
      </c>
    </row>
    <row r="27" spans="1:17" s="175" customFormat="1" ht="20.100000000000001" customHeight="1">
      <c r="A27" s="176" t="s">
        <v>4</v>
      </c>
      <c r="B27" s="91" t="s">
        <v>757</v>
      </c>
      <c r="C27" s="91">
        <v>11</v>
      </c>
      <c r="D27" s="91" t="s">
        <v>992</v>
      </c>
      <c r="E27" s="91" t="s">
        <v>993</v>
      </c>
      <c r="F27" s="86">
        <v>1417780</v>
      </c>
      <c r="G27" s="86">
        <v>0</v>
      </c>
      <c r="H27" s="121"/>
      <c r="I27" s="121">
        <f t="shared" si="1"/>
        <v>1417780</v>
      </c>
      <c r="J27" s="174">
        <v>1389682</v>
      </c>
      <c r="K27" s="174"/>
      <c r="L27" s="174"/>
      <c r="M27" s="174">
        <f t="shared" si="2"/>
        <v>1389682</v>
      </c>
      <c r="N27" s="174">
        <f t="shared" si="3"/>
        <v>28098</v>
      </c>
      <c r="O27" s="174">
        <f t="shared" si="3"/>
        <v>0</v>
      </c>
      <c r="P27" s="174">
        <f t="shared" si="3"/>
        <v>0</v>
      </c>
      <c r="Q27" s="174">
        <f t="shared" si="3"/>
        <v>28098</v>
      </c>
    </row>
    <row r="28" spans="1:17" s="175" customFormat="1" ht="20.100000000000001" customHeight="1">
      <c r="A28" s="176" t="s">
        <v>4</v>
      </c>
      <c r="B28" s="91" t="s">
        <v>1002</v>
      </c>
      <c r="C28" s="91">
        <v>12</v>
      </c>
      <c r="D28" s="91" t="s">
        <v>992</v>
      </c>
      <c r="E28" s="91" t="s">
        <v>994</v>
      </c>
      <c r="F28" s="86">
        <v>6793861</v>
      </c>
      <c r="G28" s="86">
        <v>246704</v>
      </c>
      <c r="H28" s="121"/>
      <c r="I28" s="121">
        <f t="shared" si="1"/>
        <v>6793861</v>
      </c>
      <c r="J28" s="174">
        <v>6984616</v>
      </c>
      <c r="K28" s="174">
        <v>222704</v>
      </c>
      <c r="L28" s="174"/>
      <c r="M28" s="174">
        <f t="shared" si="2"/>
        <v>6984616</v>
      </c>
      <c r="N28" s="174">
        <f t="shared" si="3"/>
        <v>-190755</v>
      </c>
      <c r="O28" s="174">
        <f t="shared" si="3"/>
        <v>24000</v>
      </c>
      <c r="P28" s="174">
        <f t="shared" si="3"/>
        <v>0</v>
      </c>
      <c r="Q28" s="174">
        <f t="shared" si="3"/>
        <v>-190755</v>
      </c>
    </row>
    <row r="29" spans="1:17" s="175" customFormat="1" ht="20.100000000000001" customHeight="1">
      <c r="A29" s="176" t="s">
        <v>4</v>
      </c>
      <c r="B29" s="91" t="s">
        <v>701</v>
      </c>
      <c r="C29" s="91">
        <v>13</v>
      </c>
      <c r="D29" s="91" t="s">
        <v>992</v>
      </c>
      <c r="E29" s="91" t="s">
        <v>994</v>
      </c>
      <c r="F29" s="86">
        <v>15953411</v>
      </c>
      <c r="G29" s="86">
        <v>330427</v>
      </c>
      <c r="H29" s="121"/>
      <c r="I29" s="121">
        <f t="shared" si="1"/>
        <v>15953411</v>
      </c>
      <c r="J29" s="174">
        <v>15820576</v>
      </c>
      <c r="K29" s="174">
        <v>290684</v>
      </c>
      <c r="L29" s="174"/>
      <c r="M29" s="174">
        <f t="shared" si="2"/>
        <v>15820576</v>
      </c>
      <c r="N29" s="174">
        <f t="shared" si="3"/>
        <v>132835</v>
      </c>
      <c r="O29" s="174">
        <f t="shared" si="3"/>
        <v>39743</v>
      </c>
      <c r="P29" s="174">
        <f t="shared" si="3"/>
        <v>0</v>
      </c>
      <c r="Q29" s="174">
        <f t="shared" si="3"/>
        <v>132835</v>
      </c>
    </row>
    <row r="30" spans="1:17" s="175" customFormat="1" ht="20.100000000000001" customHeight="1">
      <c r="A30" s="176" t="s">
        <v>4</v>
      </c>
      <c r="B30" s="91" t="s">
        <v>1003</v>
      </c>
      <c r="C30" s="91">
        <v>14</v>
      </c>
      <c r="D30" s="91" t="s">
        <v>992</v>
      </c>
      <c r="E30" s="91" t="s">
        <v>994</v>
      </c>
      <c r="F30" s="86">
        <v>6966087</v>
      </c>
      <c r="G30" s="86">
        <v>246116</v>
      </c>
      <c r="H30" s="121"/>
      <c r="I30" s="121">
        <f t="shared" si="1"/>
        <v>6966087</v>
      </c>
      <c r="J30" s="174">
        <v>7152920</v>
      </c>
      <c r="K30" s="174">
        <v>222116</v>
      </c>
      <c r="L30" s="174"/>
      <c r="M30" s="174">
        <f t="shared" si="2"/>
        <v>7152920</v>
      </c>
      <c r="N30" s="174">
        <f t="shared" si="3"/>
        <v>-186833</v>
      </c>
      <c r="O30" s="174">
        <f t="shared" si="3"/>
        <v>24000</v>
      </c>
      <c r="P30" s="174">
        <f t="shared" si="3"/>
        <v>0</v>
      </c>
      <c r="Q30" s="174">
        <f t="shared" si="3"/>
        <v>-186833</v>
      </c>
    </row>
    <row r="31" spans="1:17" s="175" customFormat="1" ht="20.100000000000001" customHeight="1">
      <c r="A31" s="176" t="s">
        <v>4</v>
      </c>
      <c r="B31" s="91" t="s">
        <v>1004</v>
      </c>
      <c r="C31" s="91">
        <v>15</v>
      </c>
      <c r="D31" s="91" t="s">
        <v>992</v>
      </c>
      <c r="E31" s="91" t="s">
        <v>994</v>
      </c>
      <c r="F31" s="86">
        <v>7984864</v>
      </c>
      <c r="G31" s="86">
        <v>246104</v>
      </c>
      <c r="H31" s="121"/>
      <c r="I31" s="121">
        <f t="shared" si="1"/>
        <v>7984864</v>
      </c>
      <c r="J31" s="174">
        <v>8078592</v>
      </c>
      <c r="K31" s="174">
        <v>222104</v>
      </c>
      <c r="L31" s="174"/>
      <c r="M31" s="174">
        <f t="shared" si="2"/>
        <v>8078592</v>
      </c>
      <c r="N31" s="174">
        <f t="shared" si="3"/>
        <v>-93728</v>
      </c>
      <c r="O31" s="174">
        <f t="shared" si="3"/>
        <v>24000</v>
      </c>
      <c r="P31" s="174">
        <f t="shared" si="3"/>
        <v>0</v>
      </c>
      <c r="Q31" s="174">
        <f t="shared" si="3"/>
        <v>-93728</v>
      </c>
    </row>
    <row r="32" spans="1:17" s="175" customFormat="1" ht="20.100000000000001" customHeight="1">
      <c r="A32" s="176" t="s">
        <v>4</v>
      </c>
      <c r="B32" s="91" t="s">
        <v>1005</v>
      </c>
      <c r="C32" s="91">
        <v>16</v>
      </c>
      <c r="D32" s="91" t="s">
        <v>992</v>
      </c>
      <c r="E32" s="91" t="s">
        <v>994</v>
      </c>
      <c r="F32" s="86">
        <v>4742916</v>
      </c>
      <c r="G32" s="86">
        <v>246476</v>
      </c>
      <c r="H32" s="121"/>
      <c r="I32" s="121">
        <f t="shared" si="1"/>
        <v>4742916</v>
      </c>
      <c r="J32" s="174">
        <v>4880816</v>
      </c>
      <c r="K32" s="174">
        <v>221276</v>
      </c>
      <c r="L32" s="174"/>
      <c r="M32" s="174">
        <f t="shared" si="2"/>
        <v>4880816</v>
      </c>
      <c r="N32" s="174">
        <f t="shared" si="3"/>
        <v>-137900</v>
      </c>
      <c r="O32" s="174">
        <f t="shared" si="3"/>
        <v>25200</v>
      </c>
      <c r="P32" s="174">
        <f t="shared" si="3"/>
        <v>0</v>
      </c>
      <c r="Q32" s="174">
        <f t="shared" si="3"/>
        <v>-137900</v>
      </c>
    </row>
    <row r="33" spans="1:17" s="175" customFormat="1" ht="20.100000000000001" customHeight="1">
      <c r="A33" s="176" t="s">
        <v>4</v>
      </c>
      <c r="B33" s="171" t="s">
        <v>1006</v>
      </c>
      <c r="C33" s="91">
        <v>17</v>
      </c>
      <c r="D33" s="91" t="s">
        <v>992</v>
      </c>
      <c r="E33" s="91" t="s">
        <v>994</v>
      </c>
      <c r="F33" s="86">
        <v>5107831</v>
      </c>
      <c r="G33" s="86">
        <v>88852</v>
      </c>
      <c r="H33" s="121"/>
      <c r="I33" s="121">
        <f t="shared" si="1"/>
        <v>5107831</v>
      </c>
      <c r="J33" s="174">
        <v>5554032</v>
      </c>
      <c r="K33" s="174">
        <v>58052</v>
      </c>
      <c r="L33" s="174"/>
      <c r="M33" s="174">
        <f t="shared" si="2"/>
        <v>5554032</v>
      </c>
      <c r="N33" s="174">
        <f t="shared" si="3"/>
        <v>-446201</v>
      </c>
      <c r="O33" s="174">
        <f t="shared" si="3"/>
        <v>30800</v>
      </c>
      <c r="P33" s="174">
        <f t="shared" si="3"/>
        <v>0</v>
      </c>
      <c r="Q33" s="174">
        <f t="shared" si="3"/>
        <v>-446201</v>
      </c>
    </row>
    <row r="34" spans="1:17" s="175" customFormat="1" ht="20.100000000000001" customHeight="1">
      <c r="A34" s="176" t="s">
        <v>4</v>
      </c>
      <c r="B34" s="171" t="s">
        <v>1007</v>
      </c>
      <c r="C34" s="91">
        <v>18</v>
      </c>
      <c r="D34" s="91" t="s">
        <v>992</v>
      </c>
      <c r="E34" s="91" t="s">
        <v>994</v>
      </c>
      <c r="F34" s="86">
        <v>3218756</v>
      </c>
      <c r="G34" s="86">
        <v>229316</v>
      </c>
      <c r="H34" s="121"/>
      <c r="I34" s="121">
        <f t="shared" si="1"/>
        <v>3218756</v>
      </c>
      <c r="J34" s="174">
        <v>3197776</v>
      </c>
      <c r="K34" s="174">
        <v>205316</v>
      </c>
      <c r="L34" s="174"/>
      <c r="M34" s="174">
        <f t="shared" si="2"/>
        <v>3197776</v>
      </c>
      <c r="N34" s="174">
        <f t="shared" si="3"/>
        <v>20980</v>
      </c>
      <c r="O34" s="174">
        <f t="shared" si="3"/>
        <v>24000</v>
      </c>
      <c r="P34" s="174">
        <f t="shared" si="3"/>
        <v>0</v>
      </c>
      <c r="Q34" s="174">
        <f t="shared" si="3"/>
        <v>20980</v>
      </c>
    </row>
    <row r="35" spans="1:17" s="175" customFormat="1" ht="20.100000000000001" customHeight="1">
      <c r="A35" s="176" t="s">
        <v>4</v>
      </c>
      <c r="B35" s="171" t="s">
        <v>1008</v>
      </c>
      <c r="C35" s="91">
        <v>19</v>
      </c>
      <c r="D35" s="91" t="s">
        <v>992</v>
      </c>
      <c r="E35" s="91" t="s">
        <v>994</v>
      </c>
      <c r="F35" s="86">
        <v>12298585</v>
      </c>
      <c r="G35" s="86">
        <v>0</v>
      </c>
      <c r="H35" s="121"/>
      <c r="I35" s="121">
        <f t="shared" si="1"/>
        <v>12298585</v>
      </c>
      <c r="J35" s="174">
        <v>12622800</v>
      </c>
      <c r="K35" s="174"/>
      <c r="L35" s="174"/>
      <c r="M35" s="174">
        <f t="shared" si="2"/>
        <v>12622800</v>
      </c>
      <c r="N35" s="174">
        <f t="shared" si="3"/>
        <v>-324215</v>
      </c>
      <c r="O35" s="174">
        <f t="shared" si="3"/>
        <v>0</v>
      </c>
      <c r="P35" s="174">
        <f t="shared" si="3"/>
        <v>0</v>
      </c>
      <c r="Q35" s="174">
        <f t="shared" si="3"/>
        <v>-324215</v>
      </c>
    </row>
    <row r="36" spans="1:17" s="175" customFormat="1" ht="20.100000000000001" customHeight="1">
      <c r="A36" s="176" t="s">
        <v>4</v>
      </c>
      <c r="B36" s="171" t="s">
        <v>1009</v>
      </c>
      <c r="C36" s="91">
        <v>20</v>
      </c>
      <c r="D36" s="91" t="s">
        <v>992</v>
      </c>
      <c r="E36" s="91" t="s">
        <v>994</v>
      </c>
      <c r="F36" s="86">
        <v>2009279</v>
      </c>
      <c r="G36" s="86">
        <v>230756</v>
      </c>
      <c r="H36" s="121"/>
      <c r="I36" s="121">
        <f t="shared" si="1"/>
        <v>2009279</v>
      </c>
      <c r="J36" s="174">
        <v>2019648</v>
      </c>
      <c r="K36" s="174">
        <v>206756</v>
      </c>
      <c r="L36" s="174"/>
      <c r="M36" s="174">
        <f t="shared" si="2"/>
        <v>2019648</v>
      </c>
      <c r="N36" s="174">
        <f t="shared" si="3"/>
        <v>-10369</v>
      </c>
      <c r="O36" s="174">
        <f t="shared" si="3"/>
        <v>24000</v>
      </c>
      <c r="P36" s="174">
        <f t="shared" si="3"/>
        <v>0</v>
      </c>
      <c r="Q36" s="174">
        <f t="shared" si="3"/>
        <v>-10369</v>
      </c>
    </row>
    <row r="37" spans="1:17" s="175" customFormat="1" ht="20.100000000000001" customHeight="1">
      <c r="A37" s="176"/>
      <c r="B37" s="171" t="s">
        <v>1010</v>
      </c>
      <c r="C37" s="91"/>
      <c r="D37" s="91"/>
      <c r="E37" s="91"/>
      <c r="F37" s="86">
        <f>SUM(F17:F36)</f>
        <v>326099594</v>
      </c>
      <c r="G37" s="86">
        <f t="shared" ref="G37:Q37" si="6">SUM(G17:G36)</f>
        <v>6481296</v>
      </c>
      <c r="H37" s="86">
        <f t="shared" si="6"/>
        <v>16117001.25</v>
      </c>
      <c r="I37" s="86">
        <f t="shared" si="6"/>
        <v>342216595.25</v>
      </c>
      <c r="J37" s="86">
        <f t="shared" si="6"/>
        <v>331755113</v>
      </c>
      <c r="K37" s="86">
        <f t="shared" si="6"/>
        <v>5829323</v>
      </c>
      <c r="L37" s="86">
        <f t="shared" si="6"/>
        <v>18683459.699999999</v>
      </c>
      <c r="M37" s="86">
        <f t="shared" si="6"/>
        <v>350438572.69999999</v>
      </c>
      <c r="N37" s="86">
        <f t="shared" si="6"/>
        <v>-5655519</v>
      </c>
      <c r="O37" s="86">
        <f t="shared" si="6"/>
        <v>651973</v>
      </c>
      <c r="P37" s="86">
        <f t="shared" si="6"/>
        <v>-2566458.4500000002</v>
      </c>
      <c r="Q37" s="86">
        <f t="shared" si="6"/>
        <v>-8221977.450000003</v>
      </c>
    </row>
    <row r="38" spans="1:17" s="175" customFormat="1" ht="20.100000000000001" customHeight="1">
      <c r="A38" s="176" t="s">
        <v>5</v>
      </c>
      <c r="B38" s="91" t="s">
        <v>227</v>
      </c>
      <c r="C38" s="91">
        <v>1</v>
      </c>
      <c r="D38" s="91" t="s">
        <v>990</v>
      </c>
      <c r="E38" s="91" t="s">
        <v>1001</v>
      </c>
      <c r="F38" s="86">
        <v>15853699</v>
      </c>
      <c r="G38" s="86">
        <v>304239</v>
      </c>
      <c r="H38" s="121">
        <v>1265430.5</v>
      </c>
      <c r="I38" s="121">
        <f t="shared" si="1"/>
        <v>17119129.5</v>
      </c>
      <c r="J38" s="174">
        <v>16173188</v>
      </c>
      <c r="K38" s="174">
        <v>280089</v>
      </c>
      <c r="L38" s="174">
        <v>1458671.5</v>
      </c>
      <c r="M38" s="174">
        <f t="shared" si="2"/>
        <v>17631859.5</v>
      </c>
      <c r="N38" s="174">
        <f t="shared" si="3"/>
        <v>-319489</v>
      </c>
      <c r="O38" s="174">
        <f t="shared" si="3"/>
        <v>24150</v>
      </c>
      <c r="P38" s="174">
        <f t="shared" si="3"/>
        <v>-193241</v>
      </c>
      <c r="Q38" s="174">
        <f t="shared" si="3"/>
        <v>-512730</v>
      </c>
    </row>
    <row r="39" spans="1:17" s="175" customFormat="1" ht="20.100000000000001" customHeight="1">
      <c r="A39" s="176" t="s">
        <v>5</v>
      </c>
      <c r="B39" s="91" t="s">
        <v>228</v>
      </c>
      <c r="C39" s="91">
        <v>2</v>
      </c>
      <c r="D39" s="91" t="s">
        <v>990</v>
      </c>
      <c r="E39" s="91" t="s">
        <v>1001</v>
      </c>
      <c r="F39" s="86">
        <v>16019621</v>
      </c>
      <c r="G39" s="86">
        <v>282996</v>
      </c>
      <c r="H39" s="121">
        <v>1469123.5</v>
      </c>
      <c r="I39" s="121">
        <f t="shared" si="1"/>
        <v>17488744.5</v>
      </c>
      <c r="J39" s="174">
        <v>16074571</v>
      </c>
      <c r="K39" s="174">
        <v>258996</v>
      </c>
      <c r="L39" s="174">
        <v>1775126.25</v>
      </c>
      <c r="M39" s="174">
        <f t="shared" si="2"/>
        <v>17849697.25</v>
      </c>
      <c r="N39" s="174">
        <f t="shared" si="3"/>
        <v>-54950</v>
      </c>
      <c r="O39" s="174">
        <f t="shared" si="3"/>
        <v>24000</v>
      </c>
      <c r="P39" s="174">
        <f t="shared" si="3"/>
        <v>-306002.75</v>
      </c>
      <c r="Q39" s="174">
        <f t="shared" si="3"/>
        <v>-360952.75</v>
      </c>
    </row>
    <row r="40" spans="1:17" s="175" customFormat="1" ht="20.100000000000001" customHeight="1">
      <c r="A40" s="176" t="s">
        <v>5</v>
      </c>
      <c r="B40" s="171" t="s">
        <v>229</v>
      </c>
      <c r="C40" s="91">
        <v>3</v>
      </c>
      <c r="D40" s="91" t="s">
        <v>990</v>
      </c>
      <c r="E40" s="91" t="s">
        <v>1001</v>
      </c>
      <c r="F40" s="86">
        <v>16338146</v>
      </c>
      <c r="G40" s="86">
        <v>275492</v>
      </c>
      <c r="H40" s="121">
        <v>1360175</v>
      </c>
      <c r="I40" s="121">
        <f t="shared" si="1"/>
        <v>17698321</v>
      </c>
      <c r="J40" s="174">
        <v>16173188</v>
      </c>
      <c r="K40" s="174">
        <v>251492</v>
      </c>
      <c r="L40" s="174">
        <v>1428525.75</v>
      </c>
      <c r="M40" s="174">
        <f t="shared" si="2"/>
        <v>17601713.75</v>
      </c>
      <c r="N40" s="174">
        <f t="shared" si="3"/>
        <v>164958</v>
      </c>
      <c r="O40" s="174">
        <f t="shared" si="3"/>
        <v>24000</v>
      </c>
      <c r="P40" s="174">
        <f t="shared" si="3"/>
        <v>-68350.75</v>
      </c>
      <c r="Q40" s="174">
        <f t="shared" si="3"/>
        <v>96607.25</v>
      </c>
    </row>
    <row r="41" spans="1:17" s="175" customFormat="1" ht="20.100000000000001" customHeight="1">
      <c r="A41" s="176" t="s">
        <v>5</v>
      </c>
      <c r="B41" s="91" t="s">
        <v>230</v>
      </c>
      <c r="C41" s="91">
        <v>4</v>
      </c>
      <c r="D41" s="91" t="s">
        <v>990</v>
      </c>
      <c r="E41" s="91" t="s">
        <v>991</v>
      </c>
      <c r="F41" s="86">
        <v>16827218</v>
      </c>
      <c r="G41" s="86">
        <v>290008</v>
      </c>
      <c r="H41" s="121">
        <v>1733829</v>
      </c>
      <c r="I41" s="121">
        <f t="shared" si="1"/>
        <v>18561047</v>
      </c>
      <c r="J41" s="174">
        <v>17553826</v>
      </c>
      <c r="K41" s="174">
        <v>266008</v>
      </c>
      <c r="L41" s="174">
        <v>1781931.25</v>
      </c>
      <c r="M41" s="174">
        <f t="shared" si="2"/>
        <v>19335757.25</v>
      </c>
      <c r="N41" s="174">
        <f t="shared" si="3"/>
        <v>-726608</v>
      </c>
      <c r="O41" s="174">
        <f t="shared" si="3"/>
        <v>24000</v>
      </c>
      <c r="P41" s="174">
        <f t="shared" si="3"/>
        <v>-48102.25</v>
      </c>
      <c r="Q41" s="174">
        <f t="shared" si="3"/>
        <v>-774710.25</v>
      </c>
    </row>
    <row r="42" spans="1:17" s="175" customFormat="1" ht="20.100000000000001" customHeight="1">
      <c r="A42" s="176" t="s">
        <v>5</v>
      </c>
      <c r="B42" s="176" t="s">
        <v>235</v>
      </c>
      <c r="C42" s="91">
        <v>5</v>
      </c>
      <c r="D42" s="91" t="s">
        <v>990</v>
      </c>
      <c r="E42" s="91" t="s">
        <v>991</v>
      </c>
      <c r="F42" s="86">
        <v>5484721</v>
      </c>
      <c r="G42" s="86">
        <v>0</v>
      </c>
      <c r="H42" s="121">
        <v>426266.5</v>
      </c>
      <c r="I42" s="121">
        <f t="shared" si="1"/>
        <v>5910987.5</v>
      </c>
      <c r="J42" s="174">
        <v>5818403</v>
      </c>
      <c r="K42" s="174">
        <v>0</v>
      </c>
      <c r="L42" s="174">
        <v>540024.5</v>
      </c>
      <c r="M42" s="174">
        <f t="shared" si="2"/>
        <v>6358427.5</v>
      </c>
      <c r="N42" s="174">
        <f t="shared" si="3"/>
        <v>-333682</v>
      </c>
      <c r="O42" s="174">
        <f t="shared" si="3"/>
        <v>0</v>
      </c>
      <c r="P42" s="174">
        <f t="shared" si="3"/>
        <v>-113758</v>
      </c>
      <c r="Q42" s="174">
        <f t="shared" si="3"/>
        <v>-447440</v>
      </c>
    </row>
    <row r="43" spans="1:17" s="175" customFormat="1" ht="20.100000000000001" customHeight="1">
      <c r="A43" s="176" t="s">
        <v>5</v>
      </c>
      <c r="B43" s="91" t="s">
        <v>231</v>
      </c>
      <c r="C43" s="91">
        <v>6</v>
      </c>
      <c r="D43" s="91" t="s">
        <v>990</v>
      </c>
      <c r="E43" s="91" t="s">
        <v>998</v>
      </c>
      <c r="F43" s="86">
        <v>17973398</v>
      </c>
      <c r="G43" s="86">
        <v>612058</v>
      </c>
      <c r="H43" s="121">
        <v>1003496.5</v>
      </c>
      <c r="I43" s="121">
        <f t="shared" si="1"/>
        <v>18976894.5</v>
      </c>
      <c r="J43" s="174">
        <v>18006707</v>
      </c>
      <c r="K43" s="174">
        <v>564058</v>
      </c>
      <c r="L43" s="174">
        <v>1069892.5</v>
      </c>
      <c r="M43" s="174">
        <f t="shared" si="2"/>
        <v>19076599.5</v>
      </c>
      <c r="N43" s="174">
        <f t="shared" si="3"/>
        <v>-33309</v>
      </c>
      <c r="O43" s="174">
        <f t="shared" si="3"/>
        <v>48000</v>
      </c>
      <c r="P43" s="174">
        <f t="shared" si="3"/>
        <v>-66396</v>
      </c>
      <c r="Q43" s="174">
        <f t="shared" si="3"/>
        <v>-99705</v>
      </c>
    </row>
    <row r="44" spans="1:17" s="175" customFormat="1" ht="20.100000000000001" customHeight="1">
      <c r="A44" s="176" t="s">
        <v>5</v>
      </c>
      <c r="B44" s="91" t="s">
        <v>232</v>
      </c>
      <c r="C44" s="91">
        <v>7</v>
      </c>
      <c r="D44" s="91" t="s">
        <v>990</v>
      </c>
      <c r="E44" s="91" t="s">
        <v>998</v>
      </c>
      <c r="F44" s="86">
        <v>14414268</v>
      </c>
      <c r="G44" s="86">
        <v>287836</v>
      </c>
      <c r="H44" s="121">
        <v>845636</v>
      </c>
      <c r="I44" s="121">
        <f t="shared" si="1"/>
        <v>15259904</v>
      </c>
      <c r="J44" s="174">
        <v>14461345</v>
      </c>
      <c r="K44" s="174">
        <v>263836</v>
      </c>
      <c r="L44" s="174">
        <v>1078468.5</v>
      </c>
      <c r="M44" s="174">
        <f t="shared" si="2"/>
        <v>15539813.5</v>
      </c>
      <c r="N44" s="174">
        <f t="shared" si="3"/>
        <v>-47077</v>
      </c>
      <c r="O44" s="174">
        <f t="shared" si="3"/>
        <v>24000</v>
      </c>
      <c r="P44" s="174">
        <f t="shared" si="3"/>
        <v>-232832.5</v>
      </c>
      <c r="Q44" s="174">
        <f t="shared" si="3"/>
        <v>-279909.5</v>
      </c>
    </row>
    <row r="45" spans="1:17" s="175" customFormat="1" ht="20.100000000000001" customHeight="1">
      <c r="A45" s="176" t="s">
        <v>5</v>
      </c>
      <c r="B45" s="91" t="s">
        <v>233</v>
      </c>
      <c r="C45" s="91">
        <v>8</v>
      </c>
      <c r="D45" s="91" t="s">
        <v>990</v>
      </c>
      <c r="E45" s="91" t="s">
        <v>998</v>
      </c>
      <c r="F45" s="86">
        <v>16638593</v>
      </c>
      <c r="G45" s="86">
        <v>323204</v>
      </c>
      <c r="H45" s="121">
        <v>1036896.63</v>
      </c>
      <c r="I45" s="121">
        <f t="shared" si="1"/>
        <v>17675489.629999999</v>
      </c>
      <c r="J45" s="174">
        <v>16420624</v>
      </c>
      <c r="K45" s="174">
        <v>299204</v>
      </c>
      <c r="L45" s="174">
        <v>1298048</v>
      </c>
      <c r="M45" s="174">
        <f t="shared" si="2"/>
        <v>17718672</v>
      </c>
      <c r="N45" s="174">
        <f t="shared" si="3"/>
        <v>217969</v>
      </c>
      <c r="O45" s="174">
        <f t="shared" si="3"/>
        <v>24000</v>
      </c>
      <c r="P45" s="174">
        <f t="shared" si="3"/>
        <v>-261151.37</v>
      </c>
      <c r="Q45" s="174">
        <f t="shared" si="3"/>
        <v>-43182.370000001043</v>
      </c>
    </row>
    <row r="46" spans="1:17" s="175" customFormat="1" ht="20.100000000000001" customHeight="1">
      <c r="A46" s="176" t="s">
        <v>5</v>
      </c>
      <c r="B46" s="91" t="s">
        <v>234</v>
      </c>
      <c r="C46" s="91">
        <v>9</v>
      </c>
      <c r="D46" s="91" t="s">
        <v>990</v>
      </c>
      <c r="E46" s="91" t="s">
        <v>998</v>
      </c>
      <c r="F46" s="86">
        <v>10777924</v>
      </c>
      <c r="G46" s="86">
        <v>384912</v>
      </c>
      <c r="H46" s="121">
        <v>702676</v>
      </c>
      <c r="I46" s="121">
        <f t="shared" si="1"/>
        <v>11480600</v>
      </c>
      <c r="J46" s="174">
        <v>10542787</v>
      </c>
      <c r="K46" s="174">
        <v>360912</v>
      </c>
      <c r="L46" s="174">
        <v>956048.75</v>
      </c>
      <c r="M46" s="174">
        <f t="shared" si="2"/>
        <v>11498835.75</v>
      </c>
      <c r="N46" s="174">
        <f t="shared" si="3"/>
        <v>235137</v>
      </c>
      <c r="O46" s="174">
        <f t="shared" si="3"/>
        <v>24000</v>
      </c>
      <c r="P46" s="174">
        <f t="shared" si="3"/>
        <v>-253372.75</v>
      </c>
      <c r="Q46" s="174">
        <f t="shared" si="3"/>
        <v>-18235.75</v>
      </c>
    </row>
    <row r="47" spans="1:17" s="175" customFormat="1" ht="20.100000000000001" customHeight="1">
      <c r="A47" s="176" t="s">
        <v>5</v>
      </c>
      <c r="B47" s="91" t="s">
        <v>1011</v>
      </c>
      <c r="C47" s="91">
        <v>10</v>
      </c>
      <c r="D47" s="91" t="s">
        <v>990</v>
      </c>
      <c r="E47" s="91" t="s">
        <v>998</v>
      </c>
      <c r="F47" s="86">
        <v>12263202</v>
      </c>
      <c r="G47" s="86">
        <v>278180</v>
      </c>
      <c r="H47" s="121">
        <v>666225.25</v>
      </c>
      <c r="I47" s="121">
        <f t="shared" si="1"/>
        <v>12929427.25</v>
      </c>
      <c r="J47" s="174">
        <v>12408767</v>
      </c>
      <c r="K47" s="174">
        <v>254180</v>
      </c>
      <c r="L47" s="174">
        <v>749453.75</v>
      </c>
      <c r="M47" s="174">
        <f t="shared" si="2"/>
        <v>13158220.75</v>
      </c>
      <c r="N47" s="174">
        <f t="shared" si="3"/>
        <v>-145565</v>
      </c>
      <c r="O47" s="174">
        <f t="shared" si="3"/>
        <v>24000</v>
      </c>
      <c r="P47" s="174">
        <f t="shared" si="3"/>
        <v>-83228.5</v>
      </c>
      <c r="Q47" s="174">
        <f t="shared" si="3"/>
        <v>-228793.5</v>
      </c>
    </row>
    <row r="48" spans="1:17" s="175" customFormat="1" ht="20.100000000000001" customHeight="1">
      <c r="A48" s="176" t="s">
        <v>5</v>
      </c>
      <c r="B48" s="91" t="s">
        <v>768</v>
      </c>
      <c r="C48" s="91">
        <v>11</v>
      </c>
      <c r="D48" s="91" t="s">
        <v>992</v>
      </c>
      <c r="E48" s="91" t="s">
        <v>993</v>
      </c>
      <c r="F48" s="86">
        <v>1057184</v>
      </c>
      <c r="G48" s="86">
        <v>0</v>
      </c>
      <c r="H48" s="121"/>
      <c r="I48" s="121">
        <f t="shared" si="1"/>
        <v>1057184</v>
      </c>
      <c r="J48" s="174">
        <v>1191156</v>
      </c>
      <c r="K48" s="174"/>
      <c r="L48" s="174"/>
      <c r="M48" s="174">
        <f t="shared" si="2"/>
        <v>1191156</v>
      </c>
      <c r="N48" s="174">
        <f t="shared" si="3"/>
        <v>-133972</v>
      </c>
      <c r="O48" s="174">
        <f t="shared" si="3"/>
        <v>0</v>
      </c>
      <c r="P48" s="174">
        <f t="shared" si="3"/>
        <v>0</v>
      </c>
      <c r="Q48" s="174">
        <f t="shared" si="3"/>
        <v>-133972</v>
      </c>
    </row>
    <row r="49" spans="1:17" s="175" customFormat="1" ht="20.100000000000001" customHeight="1">
      <c r="A49" s="176" t="s">
        <v>5</v>
      </c>
      <c r="B49" s="91" t="s">
        <v>1012</v>
      </c>
      <c r="C49" s="91">
        <v>12</v>
      </c>
      <c r="D49" s="91" t="s">
        <v>992</v>
      </c>
      <c r="E49" s="91" t="s">
        <v>994</v>
      </c>
      <c r="F49" s="86">
        <v>9991452</v>
      </c>
      <c r="G49" s="86">
        <v>372752</v>
      </c>
      <c r="H49" s="121"/>
      <c r="I49" s="121">
        <f t="shared" si="1"/>
        <v>9991452</v>
      </c>
      <c r="J49" s="174">
        <v>9677480</v>
      </c>
      <c r="K49" s="174">
        <v>325472</v>
      </c>
      <c r="L49" s="174"/>
      <c r="M49" s="174">
        <f t="shared" si="2"/>
        <v>9677480</v>
      </c>
      <c r="N49" s="174">
        <f t="shared" si="3"/>
        <v>313972</v>
      </c>
      <c r="O49" s="174">
        <f t="shared" si="3"/>
        <v>47280</v>
      </c>
      <c r="P49" s="174">
        <f t="shared" si="3"/>
        <v>0</v>
      </c>
      <c r="Q49" s="174">
        <f t="shared" si="3"/>
        <v>313972</v>
      </c>
    </row>
    <row r="50" spans="1:17" s="175" customFormat="1" ht="20.100000000000001" customHeight="1">
      <c r="A50" s="176" t="s">
        <v>5</v>
      </c>
      <c r="B50" s="91" t="s">
        <v>684</v>
      </c>
      <c r="C50" s="91">
        <v>13</v>
      </c>
      <c r="D50" s="91" t="s">
        <v>992</v>
      </c>
      <c r="E50" s="91" t="s">
        <v>994</v>
      </c>
      <c r="F50" s="86">
        <v>10402615</v>
      </c>
      <c r="G50" s="86">
        <v>269132</v>
      </c>
      <c r="H50" s="121"/>
      <c r="I50" s="121">
        <f t="shared" si="1"/>
        <v>10402615</v>
      </c>
      <c r="J50" s="174">
        <v>10098240</v>
      </c>
      <c r="K50" s="174">
        <v>245132</v>
      </c>
      <c r="L50" s="174"/>
      <c r="M50" s="174">
        <f t="shared" si="2"/>
        <v>10098240</v>
      </c>
      <c r="N50" s="174">
        <f t="shared" si="3"/>
        <v>304375</v>
      </c>
      <c r="O50" s="174">
        <f t="shared" si="3"/>
        <v>24000</v>
      </c>
      <c r="P50" s="174">
        <f t="shared" si="3"/>
        <v>0</v>
      </c>
      <c r="Q50" s="174">
        <f t="shared" si="3"/>
        <v>304375</v>
      </c>
    </row>
    <row r="51" spans="1:17" s="175" customFormat="1" ht="20.100000000000001" customHeight="1">
      <c r="A51" s="176" t="s">
        <v>5</v>
      </c>
      <c r="B51" s="91" t="s">
        <v>1013</v>
      </c>
      <c r="C51" s="91">
        <v>14</v>
      </c>
      <c r="D51" s="91" t="s">
        <v>992</v>
      </c>
      <c r="E51" s="91" t="s">
        <v>994</v>
      </c>
      <c r="F51" s="86">
        <v>9698932</v>
      </c>
      <c r="G51" s="86">
        <v>284528</v>
      </c>
      <c r="H51" s="121"/>
      <c r="I51" s="121">
        <f t="shared" si="1"/>
        <v>9698932</v>
      </c>
      <c r="J51" s="174">
        <v>9425024</v>
      </c>
      <c r="K51" s="174">
        <v>260528</v>
      </c>
      <c r="L51" s="174"/>
      <c r="M51" s="174">
        <f t="shared" si="2"/>
        <v>9425024</v>
      </c>
      <c r="N51" s="174">
        <f t="shared" si="3"/>
        <v>273908</v>
      </c>
      <c r="O51" s="174">
        <f t="shared" si="3"/>
        <v>24000</v>
      </c>
      <c r="P51" s="174">
        <f t="shared" si="3"/>
        <v>0</v>
      </c>
      <c r="Q51" s="174">
        <f t="shared" si="3"/>
        <v>273908</v>
      </c>
    </row>
    <row r="52" spans="1:17" s="175" customFormat="1" ht="20.100000000000001" customHeight="1">
      <c r="A52" s="176" t="s">
        <v>5</v>
      </c>
      <c r="B52" s="91" t="s">
        <v>1014</v>
      </c>
      <c r="C52" s="91">
        <v>15</v>
      </c>
      <c r="D52" s="91" t="s">
        <v>992</v>
      </c>
      <c r="E52" s="91" t="s">
        <v>994</v>
      </c>
      <c r="F52" s="86">
        <v>6865690</v>
      </c>
      <c r="G52" s="86">
        <v>267580</v>
      </c>
      <c r="H52" s="121"/>
      <c r="I52" s="121">
        <f t="shared" si="1"/>
        <v>6865690</v>
      </c>
      <c r="J52" s="174">
        <v>6648008</v>
      </c>
      <c r="K52" s="174">
        <v>243580</v>
      </c>
      <c r="L52" s="174"/>
      <c r="M52" s="174">
        <f t="shared" si="2"/>
        <v>6648008</v>
      </c>
      <c r="N52" s="174">
        <f t="shared" si="3"/>
        <v>217682</v>
      </c>
      <c r="O52" s="174">
        <f t="shared" si="3"/>
        <v>24000</v>
      </c>
      <c r="P52" s="174">
        <f t="shared" si="3"/>
        <v>0</v>
      </c>
      <c r="Q52" s="174">
        <f t="shared" si="3"/>
        <v>217682</v>
      </c>
    </row>
    <row r="53" spans="1:17" s="175" customFormat="1" ht="20.100000000000001" customHeight="1">
      <c r="A53" s="176" t="s">
        <v>5</v>
      </c>
      <c r="B53" s="91" t="s">
        <v>1015</v>
      </c>
      <c r="C53" s="91">
        <v>16</v>
      </c>
      <c r="D53" s="91" t="s">
        <v>992</v>
      </c>
      <c r="E53" s="91" t="s">
        <v>994</v>
      </c>
      <c r="F53" s="86">
        <v>6640343</v>
      </c>
      <c r="G53" s="86">
        <v>252064</v>
      </c>
      <c r="H53" s="121"/>
      <c r="I53" s="121">
        <f t="shared" si="1"/>
        <v>6640343</v>
      </c>
      <c r="J53" s="174">
        <v>6479704</v>
      </c>
      <c r="K53" s="174">
        <v>228064</v>
      </c>
      <c r="L53" s="174"/>
      <c r="M53" s="174">
        <f t="shared" si="2"/>
        <v>6479704</v>
      </c>
      <c r="N53" s="174">
        <f t="shared" si="3"/>
        <v>160639</v>
      </c>
      <c r="O53" s="174">
        <f t="shared" si="3"/>
        <v>24000</v>
      </c>
      <c r="P53" s="174">
        <f t="shared" si="3"/>
        <v>0</v>
      </c>
      <c r="Q53" s="174">
        <f t="shared" si="3"/>
        <v>160639</v>
      </c>
    </row>
    <row r="54" spans="1:17" s="175" customFormat="1" ht="20.100000000000001" customHeight="1">
      <c r="A54" s="176" t="s">
        <v>5</v>
      </c>
      <c r="B54" s="91" t="s">
        <v>542</v>
      </c>
      <c r="C54" s="91">
        <v>17</v>
      </c>
      <c r="D54" s="91" t="s">
        <v>992</v>
      </c>
      <c r="E54" s="91" t="s">
        <v>994</v>
      </c>
      <c r="F54" s="86">
        <v>4273588</v>
      </c>
      <c r="G54" s="86">
        <v>255704</v>
      </c>
      <c r="H54" s="121"/>
      <c r="I54" s="121">
        <f t="shared" si="1"/>
        <v>4273588</v>
      </c>
      <c r="J54" s="174">
        <v>4207600</v>
      </c>
      <c r="K54" s="174">
        <v>231704</v>
      </c>
      <c r="L54" s="174"/>
      <c r="M54" s="174">
        <f t="shared" si="2"/>
        <v>4207600</v>
      </c>
      <c r="N54" s="174">
        <f t="shared" si="3"/>
        <v>65988</v>
      </c>
      <c r="O54" s="174">
        <f t="shared" si="3"/>
        <v>24000</v>
      </c>
      <c r="P54" s="174">
        <f t="shared" si="3"/>
        <v>0</v>
      </c>
      <c r="Q54" s="174">
        <f t="shared" si="3"/>
        <v>65988</v>
      </c>
    </row>
    <row r="55" spans="1:17" s="175" customFormat="1" ht="20.100000000000001" customHeight="1">
      <c r="A55" s="176" t="s">
        <v>5</v>
      </c>
      <c r="B55" s="171" t="s">
        <v>1016</v>
      </c>
      <c r="C55" s="91">
        <v>18</v>
      </c>
      <c r="D55" s="91" t="s">
        <v>992</v>
      </c>
      <c r="E55" s="91" t="s">
        <v>994</v>
      </c>
      <c r="F55" s="86">
        <v>3417791</v>
      </c>
      <c r="G55" s="86">
        <v>243556</v>
      </c>
      <c r="H55" s="121"/>
      <c r="I55" s="121">
        <f t="shared" si="1"/>
        <v>3417791</v>
      </c>
      <c r="J55" s="174">
        <v>3366080</v>
      </c>
      <c r="K55" s="174">
        <v>219556</v>
      </c>
      <c r="L55" s="174"/>
      <c r="M55" s="174">
        <f t="shared" si="2"/>
        <v>3366080</v>
      </c>
      <c r="N55" s="174">
        <f t="shared" si="3"/>
        <v>51711</v>
      </c>
      <c r="O55" s="174">
        <f t="shared" si="3"/>
        <v>24000</v>
      </c>
      <c r="P55" s="174">
        <f t="shared" si="3"/>
        <v>0</v>
      </c>
      <c r="Q55" s="174">
        <f t="shared" si="3"/>
        <v>51711</v>
      </c>
    </row>
    <row r="56" spans="1:17" s="175" customFormat="1" ht="20.100000000000001" customHeight="1">
      <c r="A56" s="176" t="s">
        <v>5</v>
      </c>
      <c r="B56" s="171" t="s">
        <v>1017</v>
      </c>
      <c r="C56" s="91">
        <v>19</v>
      </c>
      <c r="D56" s="91" t="s">
        <v>992</v>
      </c>
      <c r="E56" s="91" t="s">
        <v>994</v>
      </c>
      <c r="F56" s="86">
        <v>4417698</v>
      </c>
      <c r="G56" s="86">
        <v>244916</v>
      </c>
      <c r="H56" s="121"/>
      <c r="I56" s="121">
        <f t="shared" si="1"/>
        <v>4417698</v>
      </c>
      <c r="J56" s="174">
        <v>4291752</v>
      </c>
      <c r="K56" s="174">
        <v>220916</v>
      </c>
      <c r="L56" s="174"/>
      <c r="M56" s="174">
        <f t="shared" si="2"/>
        <v>4291752</v>
      </c>
      <c r="N56" s="174">
        <f t="shared" si="3"/>
        <v>125946</v>
      </c>
      <c r="O56" s="174">
        <f t="shared" si="3"/>
        <v>24000</v>
      </c>
      <c r="P56" s="174">
        <f t="shared" si="3"/>
        <v>0</v>
      </c>
      <c r="Q56" s="174">
        <f t="shared" si="3"/>
        <v>125946</v>
      </c>
    </row>
    <row r="57" spans="1:17" s="175" customFormat="1" ht="20.100000000000001" customHeight="1">
      <c r="A57" s="176"/>
      <c r="B57" s="171" t="s">
        <v>1018</v>
      </c>
      <c r="C57" s="91"/>
      <c r="D57" s="91"/>
      <c r="E57" s="91"/>
      <c r="F57" s="86">
        <f>SUM(F38:F56)</f>
        <v>199356083</v>
      </c>
      <c r="G57" s="86">
        <f t="shared" ref="G57:Q57" si="7">SUM(G38:G56)</f>
        <v>5229157</v>
      </c>
      <c r="H57" s="86">
        <f t="shared" si="7"/>
        <v>10509754.880000001</v>
      </c>
      <c r="I57" s="86">
        <f t="shared" si="7"/>
        <v>209865837.88</v>
      </c>
      <c r="J57" s="86">
        <f t="shared" si="7"/>
        <v>199018450</v>
      </c>
      <c r="K57" s="86">
        <f t="shared" si="7"/>
        <v>4773727</v>
      </c>
      <c r="L57" s="86">
        <f t="shared" si="7"/>
        <v>12136190.75</v>
      </c>
      <c r="M57" s="86">
        <f t="shared" si="7"/>
        <v>211154640.75</v>
      </c>
      <c r="N57" s="86">
        <f t="shared" si="7"/>
        <v>337633</v>
      </c>
      <c r="O57" s="86">
        <f t="shared" si="7"/>
        <v>455430</v>
      </c>
      <c r="P57" s="86">
        <f t="shared" si="7"/>
        <v>-1626435.87</v>
      </c>
      <c r="Q57" s="86">
        <f t="shared" si="7"/>
        <v>-1288802.870000001</v>
      </c>
    </row>
    <row r="58" spans="1:17" s="175" customFormat="1" ht="20.100000000000001" customHeight="1">
      <c r="A58" s="176" t="s">
        <v>6</v>
      </c>
      <c r="B58" s="177" t="s">
        <v>1019</v>
      </c>
      <c r="C58" s="91">
        <v>1</v>
      </c>
      <c r="D58" s="91" t="s">
        <v>990</v>
      </c>
      <c r="E58" s="91" t="s">
        <v>991</v>
      </c>
      <c r="F58" s="86">
        <v>24425446</v>
      </c>
      <c r="G58" s="86">
        <v>663592</v>
      </c>
      <c r="H58" s="121">
        <v>1525431.5</v>
      </c>
      <c r="I58" s="121">
        <f t="shared" si="1"/>
        <v>25950877.5</v>
      </c>
      <c r="J58" s="174">
        <v>25443186</v>
      </c>
      <c r="K58" s="174">
        <v>615592</v>
      </c>
      <c r="L58" s="174">
        <v>1717989.25</v>
      </c>
      <c r="M58" s="174">
        <f t="shared" si="2"/>
        <v>27161175.25</v>
      </c>
      <c r="N58" s="174">
        <f t="shared" si="3"/>
        <v>-1017740</v>
      </c>
      <c r="O58" s="174">
        <f t="shared" si="3"/>
        <v>48000</v>
      </c>
      <c r="P58" s="174">
        <f t="shared" si="3"/>
        <v>-192557.75</v>
      </c>
      <c r="Q58" s="174">
        <f t="shared" si="3"/>
        <v>-1210297.75</v>
      </c>
    </row>
    <row r="59" spans="1:17" s="175" customFormat="1" ht="20.100000000000001" customHeight="1">
      <c r="A59" s="176" t="s">
        <v>6</v>
      </c>
      <c r="B59" s="91" t="s">
        <v>226</v>
      </c>
      <c r="C59" s="91">
        <v>2</v>
      </c>
      <c r="D59" s="91" t="s">
        <v>990</v>
      </c>
      <c r="E59" s="91" t="s">
        <v>1001</v>
      </c>
      <c r="F59" s="86">
        <v>13749547</v>
      </c>
      <c r="G59" s="86">
        <v>740608</v>
      </c>
      <c r="H59" s="121">
        <v>1043255.5</v>
      </c>
      <c r="I59" s="121">
        <f t="shared" si="1"/>
        <v>14792802.5</v>
      </c>
      <c r="J59" s="174">
        <v>13806380</v>
      </c>
      <c r="K59" s="174">
        <v>664608</v>
      </c>
      <c r="L59" s="174">
        <v>1226664.25</v>
      </c>
      <c r="M59" s="174">
        <f t="shared" si="2"/>
        <v>15033044.25</v>
      </c>
      <c r="N59" s="174">
        <f t="shared" si="3"/>
        <v>-56833</v>
      </c>
      <c r="O59" s="174">
        <f t="shared" si="3"/>
        <v>76000</v>
      </c>
      <c r="P59" s="174">
        <f t="shared" si="3"/>
        <v>-183408.75</v>
      </c>
      <c r="Q59" s="174">
        <f t="shared" si="3"/>
        <v>-240241.75</v>
      </c>
    </row>
    <row r="60" spans="1:17" s="175" customFormat="1" ht="20.100000000000001" customHeight="1">
      <c r="A60" s="176" t="s">
        <v>6</v>
      </c>
      <c r="B60" s="91" t="s">
        <v>466</v>
      </c>
      <c r="C60" s="91">
        <v>3</v>
      </c>
      <c r="D60" s="91" t="s">
        <v>990</v>
      </c>
      <c r="E60" s="91" t="s">
        <v>1001</v>
      </c>
      <c r="F60" s="86">
        <v>13281169</v>
      </c>
      <c r="G60" s="86">
        <v>257912</v>
      </c>
      <c r="H60" s="121">
        <v>1066420</v>
      </c>
      <c r="I60" s="121">
        <f t="shared" si="1"/>
        <v>14347589</v>
      </c>
      <c r="J60" s="174">
        <v>13707763</v>
      </c>
      <c r="K60" s="174">
        <v>233912</v>
      </c>
      <c r="L60" s="174">
        <v>1233887</v>
      </c>
      <c r="M60" s="174">
        <f t="shared" si="2"/>
        <v>14941650</v>
      </c>
      <c r="N60" s="174">
        <f t="shared" si="3"/>
        <v>-426594</v>
      </c>
      <c r="O60" s="174">
        <f t="shared" si="3"/>
        <v>24000</v>
      </c>
      <c r="P60" s="174">
        <f t="shared" si="3"/>
        <v>-167467</v>
      </c>
      <c r="Q60" s="174">
        <f t="shared" si="3"/>
        <v>-594061</v>
      </c>
    </row>
    <row r="61" spans="1:17" s="175" customFormat="1" ht="20.100000000000001" customHeight="1">
      <c r="A61" s="176" t="s">
        <v>6</v>
      </c>
      <c r="B61" s="91" t="s">
        <v>1020</v>
      </c>
      <c r="C61" s="91">
        <v>4</v>
      </c>
      <c r="D61" s="91" t="s">
        <v>990</v>
      </c>
      <c r="E61" s="91" t="s">
        <v>1001</v>
      </c>
      <c r="F61" s="86">
        <v>16449656</v>
      </c>
      <c r="G61" s="86">
        <v>288656</v>
      </c>
      <c r="H61" s="121">
        <v>1546522</v>
      </c>
      <c r="I61" s="121">
        <f t="shared" si="1"/>
        <v>17996178</v>
      </c>
      <c r="J61" s="174">
        <v>16567656</v>
      </c>
      <c r="K61" s="174">
        <v>263936</v>
      </c>
      <c r="L61" s="174">
        <v>1690881.5</v>
      </c>
      <c r="M61" s="174">
        <f t="shared" si="2"/>
        <v>18258537.5</v>
      </c>
      <c r="N61" s="174">
        <f t="shared" si="3"/>
        <v>-118000</v>
      </c>
      <c r="O61" s="174">
        <f t="shared" si="3"/>
        <v>24720</v>
      </c>
      <c r="P61" s="174">
        <f t="shared" si="3"/>
        <v>-144359.5</v>
      </c>
      <c r="Q61" s="174">
        <f t="shared" si="3"/>
        <v>-262359.5</v>
      </c>
    </row>
    <row r="62" spans="1:17" s="175" customFormat="1" ht="20.100000000000001" customHeight="1">
      <c r="A62" s="176" t="s">
        <v>6</v>
      </c>
      <c r="B62" s="91" t="s">
        <v>468</v>
      </c>
      <c r="C62" s="91">
        <v>5</v>
      </c>
      <c r="D62" s="91" t="s">
        <v>990</v>
      </c>
      <c r="E62" s="91" t="s">
        <v>998</v>
      </c>
      <c r="F62" s="86">
        <v>11214422</v>
      </c>
      <c r="G62" s="86">
        <v>370192</v>
      </c>
      <c r="H62" s="121">
        <v>580294</v>
      </c>
      <c r="I62" s="121">
        <f t="shared" si="1"/>
        <v>11794716</v>
      </c>
      <c r="J62" s="174">
        <v>11662375</v>
      </c>
      <c r="K62" s="174">
        <v>334467</v>
      </c>
      <c r="L62" s="174">
        <v>622688.25</v>
      </c>
      <c r="M62" s="174">
        <f t="shared" si="2"/>
        <v>12285063.25</v>
      </c>
      <c r="N62" s="174">
        <f t="shared" si="3"/>
        <v>-447953</v>
      </c>
      <c r="O62" s="174">
        <f t="shared" si="3"/>
        <v>35725</v>
      </c>
      <c r="P62" s="174">
        <f t="shared" si="3"/>
        <v>-42394.25</v>
      </c>
      <c r="Q62" s="174">
        <f t="shared" si="3"/>
        <v>-490347.25</v>
      </c>
    </row>
    <row r="63" spans="1:17" s="175" customFormat="1" ht="20.100000000000001" customHeight="1">
      <c r="A63" s="176" t="s">
        <v>6</v>
      </c>
      <c r="B63" s="91" t="s">
        <v>1021</v>
      </c>
      <c r="C63" s="91">
        <v>6</v>
      </c>
      <c r="D63" s="91" t="s">
        <v>990</v>
      </c>
      <c r="E63" s="91" t="s">
        <v>998</v>
      </c>
      <c r="F63" s="86">
        <v>21458676</v>
      </c>
      <c r="G63" s="86">
        <v>607800</v>
      </c>
      <c r="H63" s="121">
        <v>1239336</v>
      </c>
      <c r="I63" s="121">
        <f t="shared" si="1"/>
        <v>22698012</v>
      </c>
      <c r="J63" s="174">
        <v>21738667</v>
      </c>
      <c r="K63" s="174">
        <v>559800</v>
      </c>
      <c r="L63" s="174">
        <v>1449430</v>
      </c>
      <c r="M63" s="174">
        <f t="shared" si="2"/>
        <v>23188097</v>
      </c>
      <c r="N63" s="174">
        <f t="shared" si="3"/>
        <v>-279991</v>
      </c>
      <c r="O63" s="174">
        <f t="shared" si="3"/>
        <v>48000</v>
      </c>
      <c r="P63" s="174">
        <f t="shared" si="3"/>
        <v>-210094</v>
      </c>
      <c r="Q63" s="174">
        <f t="shared" si="3"/>
        <v>-490085</v>
      </c>
    </row>
    <row r="64" spans="1:17" s="175" customFormat="1" ht="20.100000000000001" customHeight="1">
      <c r="A64" s="176" t="s">
        <v>6</v>
      </c>
      <c r="B64" s="91" t="s">
        <v>467</v>
      </c>
      <c r="C64" s="91">
        <v>7</v>
      </c>
      <c r="D64" s="91" t="s">
        <v>990</v>
      </c>
      <c r="E64" s="91" t="s">
        <v>998</v>
      </c>
      <c r="F64" s="86">
        <v>13062034</v>
      </c>
      <c r="G64" s="86">
        <v>264707</v>
      </c>
      <c r="H64" s="121">
        <v>561411</v>
      </c>
      <c r="I64" s="121">
        <f t="shared" si="1"/>
        <v>13623445</v>
      </c>
      <c r="J64" s="174">
        <v>13714953</v>
      </c>
      <c r="K64" s="174">
        <v>240707</v>
      </c>
      <c r="L64" s="174">
        <v>624178.75</v>
      </c>
      <c r="M64" s="174">
        <f t="shared" si="2"/>
        <v>14339131.75</v>
      </c>
      <c r="N64" s="174">
        <f t="shared" si="3"/>
        <v>-652919</v>
      </c>
      <c r="O64" s="174">
        <f t="shared" si="3"/>
        <v>24000</v>
      </c>
      <c r="P64" s="174">
        <f t="shared" si="3"/>
        <v>-62767.75</v>
      </c>
      <c r="Q64" s="174">
        <f t="shared" si="3"/>
        <v>-715686.75</v>
      </c>
    </row>
    <row r="65" spans="1:17" s="175" customFormat="1" ht="20.100000000000001" customHeight="1">
      <c r="A65" s="176" t="s">
        <v>6</v>
      </c>
      <c r="B65" s="91" t="s">
        <v>1022</v>
      </c>
      <c r="C65" s="91">
        <v>8</v>
      </c>
      <c r="D65" s="91" t="s">
        <v>992</v>
      </c>
      <c r="E65" s="91" t="s">
        <v>993</v>
      </c>
      <c r="F65" s="86">
        <v>851160</v>
      </c>
      <c r="G65" s="86">
        <v>0</v>
      </c>
      <c r="H65" s="121"/>
      <c r="I65" s="121">
        <f t="shared" si="1"/>
        <v>851160</v>
      </c>
      <c r="J65" s="174">
        <v>893367</v>
      </c>
      <c r="K65" s="174">
        <v>0</v>
      </c>
      <c r="L65" s="174">
        <v>0</v>
      </c>
      <c r="M65" s="174">
        <f t="shared" si="2"/>
        <v>893367</v>
      </c>
      <c r="N65" s="174">
        <f t="shared" si="3"/>
        <v>-42207</v>
      </c>
      <c r="O65" s="174">
        <f t="shared" si="3"/>
        <v>0</v>
      </c>
      <c r="P65" s="174">
        <f t="shared" si="3"/>
        <v>0</v>
      </c>
      <c r="Q65" s="174">
        <f t="shared" si="3"/>
        <v>-42207</v>
      </c>
    </row>
    <row r="66" spans="1:17" s="175" customFormat="1" ht="20.100000000000001" customHeight="1">
      <c r="A66" s="176" t="s">
        <v>6</v>
      </c>
      <c r="B66" s="91" t="s">
        <v>469</v>
      </c>
      <c r="C66" s="91">
        <v>9</v>
      </c>
      <c r="D66" s="91" t="s">
        <v>992</v>
      </c>
      <c r="E66" s="91" t="s">
        <v>994</v>
      </c>
      <c r="F66" s="86">
        <v>9383634</v>
      </c>
      <c r="G66" s="86">
        <v>273188</v>
      </c>
      <c r="H66" s="121"/>
      <c r="I66" s="121">
        <f t="shared" si="1"/>
        <v>9383634</v>
      </c>
      <c r="J66" s="174">
        <v>9340872</v>
      </c>
      <c r="K66" s="174">
        <v>249188</v>
      </c>
      <c r="L66" s="174">
        <v>0</v>
      </c>
      <c r="M66" s="174">
        <f t="shared" si="2"/>
        <v>9340872</v>
      </c>
      <c r="N66" s="174">
        <f t="shared" si="3"/>
        <v>42762</v>
      </c>
      <c r="O66" s="174">
        <f t="shared" si="3"/>
        <v>24000</v>
      </c>
      <c r="P66" s="174">
        <f t="shared" si="3"/>
        <v>0</v>
      </c>
      <c r="Q66" s="174">
        <f t="shared" si="3"/>
        <v>42762</v>
      </c>
    </row>
    <row r="67" spans="1:17" s="175" customFormat="1" ht="20.100000000000001" customHeight="1">
      <c r="A67" s="176" t="s">
        <v>6</v>
      </c>
      <c r="B67" s="91" t="s">
        <v>470</v>
      </c>
      <c r="C67" s="91">
        <v>10</v>
      </c>
      <c r="D67" s="91" t="s">
        <v>992</v>
      </c>
      <c r="E67" s="91" t="s">
        <v>994</v>
      </c>
      <c r="F67" s="86">
        <v>6933758</v>
      </c>
      <c r="G67" s="86">
        <v>225428</v>
      </c>
      <c r="H67" s="121"/>
      <c r="I67" s="121">
        <f t="shared" si="1"/>
        <v>6933758</v>
      </c>
      <c r="J67" s="174">
        <v>7068768</v>
      </c>
      <c r="K67" s="174">
        <v>217428</v>
      </c>
      <c r="L67" s="174">
        <v>0</v>
      </c>
      <c r="M67" s="174">
        <f t="shared" si="2"/>
        <v>7068768</v>
      </c>
      <c r="N67" s="174">
        <f t="shared" si="3"/>
        <v>-135010</v>
      </c>
      <c r="O67" s="174">
        <f t="shared" si="3"/>
        <v>8000</v>
      </c>
      <c r="P67" s="174">
        <f t="shared" si="3"/>
        <v>0</v>
      </c>
      <c r="Q67" s="174">
        <f t="shared" si="3"/>
        <v>-135010</v>
      </c>
    </row>
    <row r="68" spans="1:17" s="175" customFormat="1" ht="20.100000000000001" customHeight="1">
      <c r="A68" s="176" t="s">
        <v>6</v>
      </c>
      <c r="B68" s="91" t="s">
        <v>1023</v>
      </c>
      <c r="C68" s="91">
        <v>11</v>
      </c>
      <c r="D68" s="91" t="s">
        <v>992</v>
      </c>
      <c r="E68" s="91" t="s">
        <v>994</v>
      </c>
      <c r="F68" s="86">
        <v>11556583</v>
      </c>
      <c r="G68" s="86">
        <v>310628</v>
      </c>
      <c r="H68" s="121"/>
      <c r="I68" s="121">
        <f t="shared" si="1"/>
        <v>11556583</v>
      </c>
      <c r="J68" s="174">
        <v>11697128</v>
      </c>
      <c r="K68" s="174">
        <v>286628</v>
      </c>
      <c r="L68" s="174">
        <v>0</v>
      </c>
      <c r="M68" s="174">
        <f t="shared" si="2"/>
        <v>11697128</v>
      </c>
      <c r="N68" s="174">
        <f t="shared" si="3"/>
        <v>-140545</v>
      </c>
      <c r="O68" s="174">
        <f t="shared" si="3"/>
        <v>24000</v>
      </c>
      <c r="P68" s="174">
        <f t="shared" si="3"/>
        <v>0</v>
      </c>
      <c r="Q68" s="174">
        <f t="shared" si="3"/>
        <v>-140545</v>
      </c>
    </row>
    <row r="69" spans="1:17" s="175" customFormat="1" ht="20.100000000000001" customHeight="1">
      <c r="A69" s="176" t="s">
        <v>6</v>
      </c>
      <c r="B69" s="91" t="s">
        <v>1024</v>
      </c>
      <c r="C69" s="91">
        <v>12</v>
      </c>
      <c r="D69" s="91" t="s">
        <v>992</v>
      </c>
      <c r="E69" s="91" t="s">
        <v>994</v>
      </c>
      <c r="F69" s="86">
        <v>7949699</v>
      </c>
      <c r="G69" s="86">
        <v>247424</v>
      </c>
      <c r="H69" s="121"/>
      <c r="I69" s="121">
        <f t="shared" ref="I69:I124" si="8">F69+H69</f>
        <v>7949699</v>
      </c>
      <c r="J69" s="174">
        <v>7994440</v>
      </c>
      <c r="K69" s="174">
        <v>223424</v>
      </c>
      <c r="L69" s="174">
        <v>0</v>
      </c>
      <c r="M69" s="174">
        <f t="shared" ref="M69:M124" si="9">J69+L69</f>
        <v>7994440</v>
      </c>
      <c r="N69" s="174">
        <f t="shared" ref="N69:Q124" si="10">F69-J69</f>
        <v>-44741</v>
      </c>
      <c r="O69" s="174">
        <f t="shared" si="10"/>
        <v>24000</v>
      </c>
      <c r="P69" s="174">
        <f t="shared" si="10"/>
        <v>0</v>
      </c>
      <c r="Q69" s="174">
        <f t="shared" si="10"/>
        <v>-44741</v>
      </c>
    </row>
    <row r="70" spans="1:17" s="175" customFormat="1" ht="20.100000000000001" customHeight="1">
      <c r="A70" s="176" t="s">
        <v>6</v>
      </c>
      <c r="B70" s="91" t="s">
        <v>1025</v>
      </c>
      <c r="C70" s="91">
        <v>13</v>
      </c>
      <c r="D70" s="91" t="s">
        <v>992</v>
      </c>
      <c r="E70" s="91" t="s">
        <v>994</v>
      </c>
      <c r="F70" s="86">
        <v>7655654</v>
      </c>
      <c r="G70" s="86">
        <v>246104</v>
      </c>
      <c r="H70" s="121"/>
      <c r="I70" s="121">
        <f t="shared" si="8"/>
        <v>7655654</v>
      </c>
      <c r="J70" s="174">
        <v>7741984</v>
      </c>
      <c r="K70" s="174">
        <v>222104</v>
      </c>
      <c r="L70" s="174">
        <v>0</v>
      </c>
      <c r="M70" s="174">
        <f t="shared" si="9"/>
        <v>7741984</v>
      </c>
      <c r="N70" s="174">
        <f t="shared" si="10"/>
        <v>-86330</v>
      </c>
      <c r="O70" s="174">
        <f t="shared" si="10"/>
        <v>24000</v>
      </c>
      <c r="P70" s="174">
        <f t="shared" si="10"/>
        <v>0</v>
      </c>
      <c r="Q70" s="174">
        <f t="shared" si="10"/>
        <v>-86330</v>
      </c>
    </row>
    <row r="71" spans="1:17" s="175" customFormat="1" ht="20.100000000000001" customHeight="1">
      <c r="A71" s="176" t="s">
        <v>6</v>
      </c>
      <c r="B71" s="171" t="s">
        <v>1026</v>
      </c>
      <c r="C71" s="91">
        <v>14</v>
      </c>
      <c r="D71" s="91" t="s">
        <v>992</v>
      </c>
      <c r="E71" s="91" t="s">
        <v>994</v>
      </c>
      <c r="F71" s="86">
        <v>6440234</v>
      </c>
      <c r="G71" s="86">
        <v>243644</v>
      </c>
      <c r="H71" s="121"/>
      <c r="I71" s="121">
        <f t="shared" si="8"/>
        <v>6440234</v>
      </c>
      <c r="J71" s="174">
        <v>6479704</v>
      </c>
      <c r="K71" s="174">
        <v>219644</v>
      </c>
      <c r="L71" s="174">
        <v>0</v>
      </c>
      <c r="M71" s="174">
        <f t="shared" si="9"/>
        <v>6479704</v>
      </c>
      <c r="N71" s="174">
        <f t="shared" si="10"/>
        <v>-39470</v>
      </c>
      <c r="O71" s="174">
        <f t="shared" si="10"/>
        <v>24000</v>
      </c>
      <c r="P71" s="174">
        <f t="shared" si="10"/>
        <v>0</v>
      </c>
      <c r="Q71" s="174">
        <f t="shared" si="10"/>
        <v>-39470</v>
      </c>
    </row>
    <row r="72" spans="1:17" s="175" customFormat="1" ht="20.100000000000001" customHeight="1">
      <c r="A72" s="176" t="s">
        <v>6</v>
      </c>
      <c r="B72" s="171" t="s">
        <v>1027</v>
      </c>
      <c r="C72" s="91">
        <v>15</v>
      </c>
      <c r="D72" s="91" t="s">
        <v>992</v>
      </c>
      <c r="E72" s="91" t="s">
        <v>994</v>
      </c>
      <c r="F72" s="86">
        <v>2710277</v>
      </c>
      <c r="G72" s="86">
        <v>241277</v>
      </c>
      <c r="H72" s="121"/>
      <c r="I72" s="121">
        <f t="shared" si="8"/>
        <v>2710277</v>
      </c>
      <c r="J72" s="174">
        <v>2692864</v>
      </c>
      <c r="K72" s="174">
        <v>217277</v>
      </c>
      <c r="L72" s="174">
        <v>0</v>
      </c>
      <c r="M72" s="174">
        <f t="shared" si="9"/>
        <v>2692864</v>
      </c>
      <c r="N72" s="174">
        <f t="shared" si="10"/>
        <v>17413</v>
      </c>
      <c r="O72" s="174">
        <f t="shared" si="10"/>
        <v>24000</v>
      </c>
      <c r="P72" s="174">
        <f t="shared" si="10"/>
        <v>0</v>
      </c>
      <c r="Q72" s="174">
        <f t="shared" si="10"/>
        <v>17413</v>
      </c>
    </row>
    <row r="73" spans="1:17" s="175" customFormat="1" ht="20.100000000000001" customHeight="1">
      <c r="A73" s="176" t="s">
        <v>6</v>
      </c>
      <c r="B73" s="171" t="s">
        <v>1028</v>
      </c>
      <c r="C73" s="91">
        <v>16</v>
      </c>
      <c r="D73" s="91" t="s">
        <v>992</v>
      </c>
      <c r="E73" s="91" t="s">
        <v>994</v>
      </c>
      <c r="F73" s="86">
        <v>1439007</v>
      </c>
      <c r="G73" s="86">
        <v>69509</v>
      </c>
      <c r="H73" s="121"/>
      <c r="I73" s="121">
        <f t="shared" si="8"/>
        <v>1439007</v>
      </c>
      <c r="J73" s="174">
        <v>1514736</v>
      </c>
      <c r="K73" s="174">
        <v>69509</v>
      </c>
      <c r="L73" s="174">
        <v>0</v>
      </c>
      <c r="M73" s="174">
        <f t="shared" si="9"/>
        <v>1514736</v>
      </c>
      <c r="N73" s="174">
        <f t="shared" si="10"/>
        <v>-75729</v>
      </c>
      <c r="O73" s="174">
        <f t="shared" si="10"/>
        <v>0</v>
      </c>
      <c r="P73" s="174">
        <f t="shared" si="10"/>
        <v>0</v>
      </c>
      <c r="Q73" s="174">
        <f t="shared" si="10"/>
        <v>-75729</v>
      </c>
    </row>
    <row r="74" spans="1:17" s="175" customFormat="1" ht="20.100000000000001" customHeight="1">
      <c r="A74" s="176"/>
      <c r="B74" s="171" t="s">
        <v>1029</v>
      </c>
      <c r="C74" s="91"/>
      <c r="D74" s="91"/>
      <c r="E74" s="91"/>
      <c r="F74" s="86">
        <f>SUM(F58:F73)</f>
        <v>168560956</v>
      </c>
      <c r="G74" s="86">
        <f t="shared" ref="G74:Q74" si="11">SUM(G58:G73)</f>
        <v>5050669</v>
      </c>
      <c r="H74" s="86">
        <f t="shared" si="11"/>
        <v>7562670</v>
      </c>
      <c r="I74" s="86">
        <f t="shared" si="11"/>
        <v>176123626</v>
      </c>
      <c r="J74" s="86">
        <f t="shared" si="11"/>
        <v>172064843</v>
      </c>
      <c r="K74" s="86">
        <f t="shared" si="11"/>
        <v>4618224</v>
      </c>
      <c r="L74" s="86">
        <f t="shared" si="11"/>
        <v>8565719</v>
      </c>
      <c r="M74" s="86">
        <f t="shared" si="11"/>
        <v>180630562</v>
      </c>
      <c r="N74" s="86">
        <f t="shared" si="11"/>
        <v>-3503887</v>
      </c>
      <c r="O74" s="86">
        <f t="shared" si="11"/>
        <v>432445</v>
      </c>
      <c r="P74" s="86">
        <f t="shared" si="11"/>
        <v>-1003049</v>
      </c>
      <c r="Q74" s="86">
        <f t="shared" si="11"/>
        <v>-4506936</v>
      </c>
    </row>
    <row r="75" spans="1:17" s="175" customFormat="1" ht="20.100000000000001" customHeight="1">
      <c r="A75" s="176" t="s">
        <v>7</v>
      </c>
      <c r="B75" s="91" t="s">
        <v>1030</v>
      </c>
      <c r="C75" s="91">
        <v>1</v>
      </c>
      <c r="D75" s="91" t="s">
        <v>990</v>
      </c>
      <c r="E75" s="91" t="s">
        <v>1001</v>
      </c>
      <c r="F75" s="86">
        <v>15404722</v>
      </c>
      <c r="G75" s="86">
        <v>284192</v>
      </c>
      <c r="H75" s="121">
        <v>1439824.5</v>
      </c>
      <c r="I75" s="121">
        <f t="shared" si="8"/>
        <v>16844546.5</v>
      </c>
      <c r="J75" s="174">
        <v>15285635</v>
      </c>
      <c r="K75" s="174">
        <v>260192</v>
      </c>
      <c r="L75" s="174">
        <v>1620100.5</v>
      </c>
      <c r="M75" s="174">
        <f t="shared" si="9"/>
        <v>16905735.5</v>
      </c>
      <c r="N75" s="174">
        <f t="shared" si="10"/>
        <v>119087</v>
      </c>
      <c r="O75" s="174">
        <f t="shared" si="10"/>
        <v>24000</v>
      </c>
      <c r="P75" s="174">
        <f t="shared" si="10"/>
        <v>-180276</v>
      </c>
      <c r="Q75" s="174">
        <f t="shared" si="10"/>
        <v>-61189</v>
      </c>
    </row>
    <row r="76" spans="1:17" s="175" customFormat="1" ht="20.100000000000001" customHeight="1">
      <c r="A76" s="176" t="s">
        <v>7</v>
      </c>
      <c r="B76" s="91" t="s">
        <v>1031</v>
      </c>
      <c r="C76" s="91">
        <v>2</v>
      </c>
      <c r="D76" s="91" t="s">
        <v>990</v>
      </c>
      <c r="E76" s="91" t="s">
        <v>991</v>
      </c>
      <c r="F76" s="86">
        <v>29679558</v>
      </c>
      <c r="G76" s="86">
        <v>601620</v>
      </c>
      <c r="H76" s="121">
        <v>1622574</v>
      </c>
      <c r="I76" s="121">
        <f t="shared" si="8"/>
        <v>31302132</v>
      </c>
      <c r="J76" s="174">
        <v>30275419</v>
      </c>
      <c r="K76" s="174">
        <v>552960</v>
      </c>
      <c r="L76" s="174">
        <v>1846255</v>
      </c>
      <c r="M76" s="174">
        <f t="shared" si="9"/>
        <v>32121674</v>
      </c>
      <c r="N76" s="174">
        <f t="shared" si="10"/>
        <v>-595861</v>
      </c>
      <c r="O76" s="174">
        <f t="shared" si="10"/>
        <v>48660</v>
      </c>
      <c r="P76" s="174">
        <f t="shared" si="10"/>
        <v>-223681</v>
      </c>
      <c r="Q76" s="174">
        <f t="shared" si="10"/>
        <v>-819542</v>
      </c>
    </row>
    <row r="77" spans="1:17" s="175" customFormat="1" ht="20.100000000000001" customHeight="1">
      <c r="A77" s="176" t="s">
        <v>7</v>
      </c>
      <c r="B77" s="91" t="s">
        <v>266</v>
      </c>
      <c r="C77" s="91">
        <v>3</v>
      </c>
      <c r="D77" s="91" t="s">
        <v>990</v>
      </c>
      <c r="E77" s="91" t="s">
        <v>991</v>
      </c>
      <c r="F77" s="86">
        <v>20751323</v>
      </c>
      <c r="G77" s="86">
        <v>289880</v>
      </c>
      <c r="H77" s="121">
        <v>1807998.5</v>
      </c>
      <c r="I77" s="121">
        <f t="shared" si="8"/>
        <v>22559321.5</v>
      </c>
      <c r="J77" s="174">
        <v>20709570</v>
      </c>
      <c r="K77" s="174">
        <v>265880</v>
      </c>
      <c r="L77" s="174">
        <v>1965797.25</v>
      </c>
      <c r="M77" s="174">
        <f t="shared" si="9"/>
        <v>22675367.25</v>
      </c>
      <c r="N77" s="174">
        <f t="shared" si="10"/>
        <v>41753</v>
      </c>
      <c r="O77" s="174">
        <f t="shared" si="10"/>
        <v>24000</v>
      </c>
      <c r="P77" s="174">
        <f t="shared" si="10"/>
        <v>-157798.75</v>
      </c>
      <c r="Q77" s="174">
        <f t="shared" si="10"/>
        <v>-116045.75</v>
      </c>
    </row>
    <row r="78" spans="1:17" s="175" customFormat="1" ht="20.100000000000001" customHeight="1">
      <c r="A78" s="176" t="s">
        <v>7</v>
      </c>
      <c r="B78" s="91" t="s">
        <v>1032</v>
      </c>
      <c r="C78" s="91">
        <v>4</v>
      </c>
      <c r="D78" s="91" t="s">
        <v>990</v>
      </c>
      <c r="E78" s="91" t="s">
        <v>998</v>
      </c>
      <c r="F78" s="86">
        <v>32055253</v>
      </c>
      <c r="G78" s="86">
        <v>719170</v>
      </c>
      <c r="H78" s="121">
        <v>1553226.75</v>
      </c>
      <c r="I78" s="121">
        <f t="shared" si="8"/>
        <v>33608479.75</v>
      </c>
      <c r="J78" s="174">
        <v>32001557</v>
      </c>
      <c r="K78" s="174">
        <v>668544</v>
      </c>
      <c r="L78" s="174">
        <v>1723273</v>
      </c>
      <c r="M78" s="174">
        <f t="shared" si="9"/>
        <v>33724830</v>
      </c>
      <c r="N78" s="174">
        <f t="shared" si="10"/>
        <v>53696</v>
      </c>
      <c r="O78" s="174">
        <f t="shared" si="10"/>
        <v>50626</v>
      </c>
      <c r="P78" s="174">
        <f t="shared" si="10"/>
        <v>-170046.25</v>
      </c>
      <c r="Q78" s="174">
        <f t="shared" si="10"/>
        <v>-116350.25</v>
      </c>
    </row>
    <row r="79" spans="1:17" s="175" customFormat="1" ht="20.100000000000001" customHeight="1">
      <c r="A79" s="176" t="s">
        <v>7</v>
      </c>
      <c r="B79" s="91" t="s">
        <v>787</v>
      </c>
      <c r="C79" s="91">
        <v>5</v>
      </c>
      <c r="D79" s="91" t="s">
        <v>992</v>
      </c>
      <c r="E79" s="91" t="s">
        <v>993</v>
      </c>
      <c r="F79" s="86">
        <v>1714656</v>
      </c>
      <c r="G79" s="86">
        <v>0</v>
      </c>
      <c r="H79" s="121"/>
      <c r="I79" s="121">
        <f t="shared" si="8"/>
        <v>1714656</v>
      </c>
      <c r="J79" s="174">
        <v>1786734</v>
      </c>
      <c r="K79" s="174"/>
      <c r="L79" s="174"/>
      <c r="M79" s="174">
        <f t="shared" si="9"/>
        <v>1786734</v>
      </c>
      <c r="N79" s="174">
        <f t="shared" si="10"/>
        <v>-72078</v>
      </c>
      <c r="O79" s="174">
        <f t="shared" si="10"/>
        <v>0</v>
      </c>
      <c r="P79" s="174">
        <f t="shared" si="10"/>
        <v>0</v>
      </c>
      <c r="Q79" s="174">
        <f t="shared" si="10"/>
        <v>-72078</v>
      </c>
    </row>
    <row r="80" spans="1:17" s="175" customFormat="1" ht="20.100000000000001" customHeight="1">
      <c r="A80" s="176" t="s">
        <v>7</v>
      </c>
      <c r="B80" s="91" t="s">
        <v>471</v>
      </c>
      <c r="C80" s="91">
        <v>6</v>
      </c>
      <c r="D80" s="91" t="s">
        <v>992</v>
      </c>
      <c r="E80" s="91" t="s">
        <v>994</v>
      </c>
      <c r="F80" s="86">
        <v>4954356</v>
      </c>
      <c r="G80" s="86">
        <v>235916</v>
      </c>
      <c r="H80" s="121"/>
      <c r="I80" s="121">
        <f t="shared" si="8"/>
        <v>4954356</v>
      </c>
      <c r="J80" s="174">
        <v>4880816</v>
      </c>
      <c r="K80" s="174">
        <v>211916</v>
      </c>
      <c r="L80" s="174">
        <v>0</v>
      </c>
      <c r="M80" s="174">
        <f t="shared" si="9"/>
        <v>4880816</v>
      </c>
      <c r="N80" s="174">
        <f t="shared" si="10"/>
        <v>73540</v>
      </c>
      <c r="O80" s="174">
        <f t="shared" si="10"/>
        <v>24000</v>
      </c>
      <c r="P80" s="174">
        <f t="shared" si="10"/>
        <v>0</v>
      </c>
      <c r="Q80" s="174">
        <f t="shared" si="10"/>
        <v>73540</v>
      </c>
    </row>
    <row r="81" spans="1:17" s="175" customFormat="1" ht="20.100000000000001" customHeight="1">
      <c r="A81" s="176" t="s">
        <v>7</v>
      </c>
      <c r="B81" s="91" t="s">
        <v>1033</v>
      </c>
      <c r="C81" s="91">
        <v>7</v>
      </c>
      <c r="D81" s="91" t="s">
        <v>992</v>
      </c>
      <c r="E81" s="91" t="s">
        <v>994</v>
      </c>
      <c r="F81" s="86">
        <v>3713510</v>
      </c>
      <c r="G81" s="86">
        <v>234356</v>
      </c>
      <c r="H81" s="121"/>
      <c r="I81" s="121">
        <f t="shared" si="8"/>
        <v>3713510</v>
      </c>
      <c r="J81" s="174">
        <v>3618536</v>
      </c>
      <c r="K81" s="174">
        <v>210356</v>
      </c>
      <c r="L81" s="174">
        <v>0</v>
      </c>
      <c r="M81" s="174">
        <f t="shared" si="9"/>
        <v>3618536</v>
      </c>
      <c r="N81" s="174">
        <f t="shared" si="10"/>
        <v>94974</v>
      </c>
      <c r="O81" s="174">
        <f t="shared" si="10"/>
        <v>24000</v>
      </c>
      <c r="P81" s="174">
        <f t="shared" si="10"/>
        <v>0</v>
      </c>
      <c r="Q81" s="174">
        <f t="shared" si="10"/>
        <v>94974</v>
      </c>
    </row>
    <row r="82" spans="1:17" s="175" customFormat="1" ht="20.100000000000001" customHeight="1">
      <c r="A82" s="176" t="s">
        <v>7</v>
      </c>
      <c r="B82" s="91" t="s">
        <v>1034</v>
      </c>
      <c r="C82" s="91">
        <v>8</v>
      </c>
      <c r="D82" s="91" t="s">
        <v>992</v>
      </c>
      <c r="E82" s="91" t="s">
        <v>994</v>
      </c>
      <c r="F82" s="86">
        <v>4562666</v>
      </c>
      <c r="G82" s="86">
        <v>239066</v>
      </c>
      <c r="H82" s="121"/>
      <c r="I82" s="121">
        <f t="shared" si="8"/>
        <v>4562666</v>
      </c>
      <c r="J82" s="174">
        <v>4375904</v>
      </c>
      <c r="K82" s="174">
        <v>221066</v>
      </c>
      <c r="L82" s="174">
        <v>0</v>
      </c>
      <c r="M82" s="174">
        <f t="shared" si="9"/>
        <v>4375904</v>
      </c>
      <c r="N82" s="174">
        <f t="shared" si="10"/>
        <v>186762</v>
      </c>
      <c r="O82" s="174">
        <f t="shared" si="10"/>
        <v>18000</v>
      </c>
      <c r="P82" s="174">
        <f t="shared" si="10"/>
        <v>0</v>
      </c>
      <c r="Q82" s="174">
        <f t="shared" si="10"/>
        <v>186762</v>
      </c>
    </row>
    <row r="83" spans="1:17" s="175" customFormat="1" ht="20.100000000000001" customHeight="1">
      <c r="A83" s="176" t="s">
        <v>7</v>
      </c>
      <c r="B83" s="91" t="s">
        <v>1035</v>
      </c>
      <c r="C83" s="91">
        <v>9</v>
      </c>
      <c r="D83" s="91" t="s">
        <v>992</v>
      </c>
      <c r="E83" s="91" t="s">
        <v>994</v>
      </c>
      <c r="F83" s="86">
        <v>8530465</v>
      </c>
      <c r="G83" s="86">
        <v>257024</v>
      </c>
      <c r="H83" s="121"/>
      <c r="I83" s="121">
        <f t="shared" si="8"/>
        <v>8530465</v>
      </c>
      <c r="J83" s="174">
        <v>8331048</v>
      </c>
      <c r="K83" s="174">
        <v>233024</v>
      </c>
      <c r="L83" s="174">
        <v>0</v>
      </c>
      <c r="M83" s="174">
        <f t="shared" si="9"/>
        <v>8331048</v>
      </c>
      <c r="N83" s="174">
        <f t="shared" si="10"/>
        <v>199417</v>
      </c>
      <c r="O83" s="174">
        <f t="shared" si="10"/>
        <v>24000</v>
      </c>
      <c r="P83" s="174">
        <f t="shared" si="10"/>
        <v>0</v>
      </c>
      <c r="Q83" s="174">
        <f t="shared" si="10"/>
        <v>199417</v>
      </c>
    </row>
    <row r="84" spans="1:17" s="175" customFormat="1" ht="20.100000000000001" customHeight="1">
      <c r="A84" s="176" t="s">
        <v>7</v>
      </c>
      <c r="B84" s="91" t="s">
        <v>1036</v>
      </c>
      <c r="C84" s="91">
        <v>10</v>
      </c>
      <c r="D84" s="91" t="s">
        <v>992</v>
      </c>
      <c r="E84" s="91" t="s">
        <v>994</v>
      </c>
      <c r="F84" s="86">
        <v>4169033</v>
      </c>
      <c r="G84" s="86">
        <v>252676</v>
      </c>
      <c r="H84" s="121"/>
      <c r="I84" s="121">
        <f t="shared" si="8"/>
        <v>4169033</v>
      </c>
      <c r="J84" s="174">
        <v>4123448</v>
      </c>
      <c r="K84" s="174">
        <v>228676</v>
      </c>
      <c r="L84" s="174">
        <v>0</v>
      </c>
      <c r="M84" s="174">
        <f t="shared" si="9"/>
        <v>4123448</v>
      </c>
      <c r="N84" s="174">
        <f t="shared" si="10"/>
        <v>45585</v>
      </c>
      <c r="O84" s="174">
        <f t="shared" si="10"/>
        <v>24000</v>
      </c>
      <c r="P84" s="174">
        <f t="shared" si="10"/>
        <v>0</v>
      </c>
      <c r="Q84" s="174">
        <f t="shared" si="10"/>
        <v>45585</v>
      </c>
    </row>
    <row r="85" spans="1:17" s="175" customFormat="1" ht="20.100000000000001" customHeight="1">
      <c r="A85" s="176" t="s">
        <v>7</v>
      </c>
      <c r="B85" s="171" t="s">
        <v>1037</v>
      </c>
      <c r="C85" s="91">
        <v>11</v>
      </c>
      <c r="D85" s="91" t="s">
        <v>992</v>
      </c>
      <c r="E85" s="91" t="s">
        <v>994</v>
      </c>
      <c r="F85" s="86">
        <v>3949391</v>
      </c>
      <c r="G85" s="86">
        <v>236106</v>
      </c>
      <c r="H85" s="121"/>
      <c r="I85" s="121">
        <f t="shared" si="8"/>
        <v>3949391</v>
      </c>
      <c r="J85" s="174">
        <v>3870992</v>
      </c>
      <c r="K85" s="174">
        <v>212106</v>
      </c>
      <c r="L85" s="174">
        <v>0</v>
      </c>
      <c r="M85" s="174">
        <f t="shared" si="9"/>
        <v>3870992</v>
      </c>
      <c r="N85" s="174">
        <f t="shared" si="10"/>
        <v>78399</v>
      </c>
      <c r="O85" s="174">
        <f t="shared" si="10"/>
        <v>24000</v>
      </c>
      <c r="P85" s="174">
        <f t="shared" si="10"/>
        <v>0</v>
      </c>
      <c r="Q85" s="174">
        <f t="shared" si="10"/>
        <v>78399</v>
      </c>
    </row>
    <row r="86" spans="1:17" s="175" customFormat="1" ht="20.100000000000001" customHeight="1">
      <c r="A86" s="176" t="s">
        <v>7</v>
      </c>
      <c r="B86" s="171" t="s">
        <v>1038</v>
      </c>
      <c r="C86" s="91">
        <v>12</v>
      </c>
      <c r="D86" s="91" t="s">
        <v>992</v>
      </c>
      <c r="E86" s="91" t="s">
        <v>994</v>
      </c>
      <c r="F86" s="86">
        <v>4469887</v>
      </c>
      <c r="G86" s="86">
        <v>249716</v>
      </c>
      <c r="H86" s="121"/>
      <c r="I86" s="121">
        <f t="shared" si="8"/>
        <v>4469887</v>
      </c>
      <c r="J86" s="174">
        <v>4375904</v>
      </c>
      <c r="K86" s="174">
        <v>225716</v>
      </c>
      <c r="L86" s="174">
        <v>0</v>
      </c>
      <c r="M86" s="174">
        <f t="shared" si="9"/>
        <v>4375904</v>
      </c>
      <c r="N86" s="174">
        <f t="shared" si="10"/>
        <v>93983</v>
      </c>
      <c r="O86" s="174">
        <f t="shared" si="10"/>
        <v>24000</v>
      </c>
      <c r="P86" s="174">
        <f t="shared" si="10"/>
        <v>0</v>
      </c>
      <c r="Q86" s="174">
        <f t="shared" si="10"/>
        <v>93983</v>
      </c>
    </row>
    <row r="87" spans="1:17" s="175" customFormat="1" ht="20.100000000000001" customHeight="1">
      <c r="A87" s="176"/>
      <c r="B87" s="171" t="s">
        <v>1039</v>
      </c>
      <c r="C87" s="91"/>
      <c r="D87" s="91"/>
      <c r="E87" s="91"/>
      <c r="F87" s="86">
        <f>SUM(F75:F86)</f>
        <v>133954820</v>
      </c>
      <c r="G87" s="86">
        <f t="shared" ref="G87:Q87" si="12">SUM(G75:G86)</f>
        <v>3599722</v>
      </c>
      <c r="H87" s="86">
        <f t="shared" si="12"/>
        <v>6423623.75</v>
      </c>
      <c r="I87" s="86">
        <f t="shared" si="12"/>
        <v>140378443.75</v>
      </c>
      <c r="J87" s="86">
        <f t="shared" si="12"/>
        <v>133635563</v>
      </c>
      <c r="K87" s="86">
        <f t="shared" si="12"/>
        <v>3290436</v>
      </c>
      <c r="L87" s="86">
        <f t="shared" si="12"/>
        <v>7155425.75</v>
      </c>
      <c r="M87" s="86">
        <f t="shared" si="12"/>
        <v>140790988.75</v>
      </c>
      <c r="N87" s="86">
        <f t="shared" si="12"/>
        <v>319257</v>
      </c>
      <c r="O87" s="86">
        <f t="shared" si="12"/>
        <v>309286</v>
      </c>
      <c r="P87" s="86">
        <f t="shared" si="12"/>
        <v>-731802</v>
      </c>
      <c r="Q87" s="86">
        <f t="shared" si="12"/>
        <v>-412545</v>
      </c>
    </row>
    <row r="88" spans="1:17" s="175" customFormat="1" ht="20.100000000000001" customHeight="1">
      <c r="A88" s="176" t="s">
        <v>8</v>
      </c>
      <c r="B88" s="91" t="s">
        <v>1040</v>
      </c>
      <c r="C88" s="91">
        <v>1</v>
      </c>
      <c r="D88" s="91" t="s">
        <v>990</v>
      </c>
      <c r="E88" s="91" t="s">
        <v>991</v>
      </c>
      <c r="F88" s="86">
        <v>22493075</v>
      </c>
      <c r="G88" s="86">
        <v>566372</v>
      </c>
      <c r="H88" s="121">
        <v>1540509.5</v>
      </c>
      <c r="I88" s="121">
        <f t="shared" si="8"/>
        <v>24033584.5</v>
      </c>
      <c r="J88" s="174">
        <v>22977761</v>
      </c>
      <c r="K88" s="174">
        <v>518112</v>
      </c>
      <c r="L88" s="174">
        <v>1627687.5</v>
      </c>
      <c r="M88" s="174">
        <f t="shared" si="9"/>
        <v>24605448.5</v>
      </c>
      <c r="N88" s="174">
        <f t="shared" si="10"/>
        <v>-484686</v>
      </c>
      <c r="O88" s="174">
        <f t="shared" si="10"/>
        <v>48260</v>
      </c>
      <c r="P88" s="174">
        <f t="shared" si="10"/>
        <v>-87178</v>
      </c>
      <c r="Q88" s="174">
        <f t="shared" si="10"/>
        <v>-571864</v>
      </c>
    </row>
    <row r="89" spans="1:17" s="175" customFormat="1" ht="20.100000000000001" customHeight="1">
      <c r="A89" s="176" t="s">
        <v>8</v>
      </c>
      <c r="B89" s="91" t="s">
        <v>224</v>
      </c>
      <c r="C89" s="91">
        <v>2</v>
      </c>
      <c r="D89" s="91" t="s">
        <v>990</v>
      </c>
      <c r="E89" s="91" t="s">
        <v>991</v>
      </c>
      <c r="F89" s="86">
        <v>27972239</v>
      </c>
      <c r="G89" s="86">
        <v>535577</v>
      </c>
      <c r="H89" s="121">
        <v>1860422.25</v>
      </c>
      <c r="I89" s="121">
        <f t="shared" si="8"/>
        <v>29832661.25</v>
      </c>
      <c r="J89" s="174">
        <v>28993398</v>
      </c>
      <c r="K89" s="174">
        <v>487577</v>
      </c>
      <c r="L89" s="174">
        <v>1894224.75</v>
      </c>
      <c r="M89" s="174">
        <f t="shared" si="9"/>
        <v>30887622.75</v>
      </c>
      <c r="N89" s="174">
        <f t="shared" si="10"/>
        <v>-1021159</v>
      </c>
      <c r="O89" s="174">
        <f t="shared" si="10"/>
        <v>48000</v>
      </c>
      <c r="P89" s="174">
        <f t="shared" si="10"/>
        <v>-33802.5</v>
      </c>
      <c r="Q89" s="174">
        <f t="shared" si="10"/>
        <v>-1054961.5</v>
      </c>
    </row>
    <row r="90" spans="1:17" s="175" customFormat="1" ht="20.100000000000001" customHeight="1">
      <c r="A90" s="176" t="s">
        <v>8</v>
      </c>
      <c r="B90" s="91" t="s">
        <v>225</v>
      </c>
      <c r="C90" s="91">
        <v>3</v>
      </c>
      <c r="D90" s="91" t="s">
        <v>990</v>
      </c>
      <c r="E90" s="91" t="s">
        <v>991</v>
      </c>
      <c r="F90" s="221">
        <f>28370306-40000</f>
        <v>28330306</v>
      </c>
      <c r="G90" s="86">
        <v>403745</v>
      </c>
      <c r="H90" s="121">
        <v>1889870</v>
      </c>
      <c r="I90" s="121">
        <f t="shared" si="8"/>
        <v>30220176</v>
      </c>
      <c r="J90" s="174">
        <v>28401696</v>
      </c>
      <c r="K90" s="174">
        <v>365841</v>
      </c>
      <c r="L90" s="174">
        <v>2098896.5</v>
      </c>
      <c r="M90" s="174">
        <f t="shared" si="9"/>
        <v>30500592.5</v>
      </c>
      <c r="N90" s="174">
        <f t="shared" si="10"/>
        <v>-71390</v>
      </c>
      <c r="O90" s="174">
        <f t="shared" si="10"/>
        <v>37904</v>
      </c>
      <c r="P90" s="174">
        <f t="shared" si="10"/>
        <v>-209026.5</v>
      </c>
      <c r="Q90" s="174">
        <f t="shared" si="10"/>
        <v>-280416.5</v>
      </c>
    </row>
    <row r="91" spans="1:17" s="175" customFormat="1" ht="20.100000000000001" customHeight="1">
      <c r="A91" s="176" t="s">
        <v>8</v>
      </c>
      <c r="B91" s="91" t="s">
        <v>1041</v>
      </c>
      <c r="C91" s="91">
        <v>4</v>
      </c>
      <c r="D91" s="91" t="s">
        <v>992</v>
      </c>
      <c r="E91" s="91" t="s">
        <v>993</v>
      </c>
      <c r="F91" s="86">
        <v>1380580</v>
      </c>
      <c r="G91" s="86">
        <v>0</v>
      </c>
      <c r="H91" s="121"/>
      <c r="I91" s="121">
        <f t="shared" si="8"/>
        <v>1380580</v>
      </c>
      <c r="J91" s="174">
        <v>1389682</v>
      </c>
      <c r="K91" s="174">
        <v>0</v>
      </c>
      <c r="L91" s="174">
        <v>0</v>
      </c>
      <c r="M91" s="174">
        <f t="shared" si="9"/>
        <v>1389682</v>
      </c>
      <c r="N91" s="174">
        <f>F91-J91</f>
        <v>-9102</v>
      </c>
      <c r="O91" s="174">
        <f t="shared" si="10"/>
        <v>0</v>
      </c>
      <c r="P91" s="174">
        <f t="shared" si="10"/>
        <v>0</v>
      </c>
      <c r="Q91" s="174">
        <f t="shared" si="10"/>
        <v>-9102</v>
      </c>
    </row>
    <row r="92" spans="1:17" s="175" customFormat="1" ht="20.100000000000001" customHeight="1">
      <c r="A92" s="176"/>
      <c r="B92" s="91" t="s">
        <v>1042</v>
      </c>
      <c r="C92" s="91"/>
      <c r="D92" s="91"/>
      <c r="E92" s="91"/>
      <c r="F92" s="86">
        <v>439504</v>
      </c>
      <c r="G92" s="86">
        <v>86065</v>
      </c>
      <c r="H92" s="121"/>
      <c r="I92" s="121">
        <f t="shared" si="8"/>
        <v>439504</v>
      </c>
      <c r="J92" s="174">
        <v>504912</v>
      </c>
      <c r="K92" s="174">
        <v>76065</v>
      </c>
      <c r="L92" s="174">
        <v>0</v>
      </c>
      <c r="M92" s="174">
        <f t="shared" si="9"/>
        <v>504912</v>
      </c>
      <c r="N92" s="174">
        <f>F92-J92</f>
        <v>-65408</v>
      </c>
      <c r="O92" s="174">
        <f t="shared" si="10"/>
        <v>10000</v>
      </c>
      <c r="P92" s="174">
        <f t="shared" si="10"/>
        <v>0</v>
      </c>
      <c r="Q92" s="174">
        <f t="shared" si="10"/>
        <v>-65408</v>
      </c>
    </row>
    <row r="93" spans="1:17" s="175" customFormat="1" ht="20.100000000000001" customHeight="1">
      <c r="A93" s="176" t="s">
        <v>8</v>
      </c>
      <c r="B93" s="91" t="s">
        <v>659</v>
      </c>
      <c r="C93" s="91">
        <v>5</v>
      </c>
      <c r="D93" s="91" t="s">
        <v>992</v>
      </c>
      <c r="E93" s="91" t="s">
        <v>994</v>
      </c>
      <c r="F93" s="86">
        <v>6129444</v>
      </c>
      <c r="G93" s="86">
        <v>240244</v>
      </c>
      <c r="H93" s="121"/>
      <c r="I93" s="121">
        <f t="shared" si="8"/>
        <v>6129444</v>
      </c>
      <c r="J93" s="174">
        <v>6058944</v>
      </c>
      <c r="K93" s="174">
        <v>203044</v>
      </c>
      <c r="L93" s="174">
        <v>0</v>
      </c>
      <c r="M93" s="174">
        <f t="shared" si="9"/>
        <v>6058944</v>
      </c>
      <c r="N93" s="174">
        <f t="shared" si="10"/>
        <v>70500</v>
      </c>
      <c r="O93" s="174">
        <f t="shared" si="10"/>
        <v>37200</v>
      </c>
      <c r="P93" s="174">
        <f t="shared" si="10"/>
        <v>0</v>
      </c>
      <c r="Q93" s="174">
        <f t="shared" si="10"/>
        <v>70500</v>
      </c>
    </row>
    <row r="94" spans="1:17" s="175" customFormat="1" ht="20.100000000000001" customHeight="1">
      <c r="A94" s="176" t="s">
        <v>8</v>
      </c>
      <c r="B94" s="91" t="s">
        <v>1043</v>
      </c>
      <c r="C94" s="91">
        <v>6</v>
      </c>
      <c r="D94" s="91" t="s">
        <v>992</v>
      </c>
      <c r="E94" s="91" t="s">
        <v>994</v>
      </c>
      <c r="F94" s="86">
        <v>10279648</v>
      </c>
      <c r="G94" s="86">
        <v>318193</v>
      </c>
      <c r="H94" s="121"/>
      <c r="I94" s="121">
        <f t="shared" si="8"/>
        <v>10279648</v>
      </c>
      <c r="J94" s="174">
        <v>10014088</v>
      </c>
      <c r="K94" s="174">
        <v>250943</v>
      </c>
      <c r="L94" s="174">
        <v>0</v>
      </c>
      <c r="M94" s="174">
        <f t="shared" si="9"/>
        <v>10014088</v>
      </c>
      <c r="N94" s="174">
        <f t="shared" si="10"/>
        <v>265560</v>
      </c>
      <c r="O94" s="174">
        <f t="shared" si="10"/>
        <v>67250</v>
      </c>
      <c r="P94" s="174">
        <f t="shared" si="10"/>
        <v>0</v>
      </c>
      <c r="Q94" s="174">
        <f t="shared" si="10"/>
        <v>265560</v>
      </c>
    </row>
    <row r="95" spans="1:17" s="175" customFormat="1" ht="20.100000000000001" customHeight="1">
      <c r="A95" s="176" t="s">
        <v>8</v>
      </c>
      <c r="B95" s="91" t="s">
        <v>657</v>
      </c>
      <c r="C95" s="91">
        <v>7</v>
      </c>
      <c r="D95" s="91" t="s">
        <v>992</v>
      </c>
      <c r="E95" s="91" t="s">
        <v>994</v>
      </c>
      <c r="F95" s="86">
        <v>4745672</v>
      </c>
      <c r="G95" s="86">
        <v>239636</v>
      </c>
      <c r="H95" s="121"/>
      <c r="I95" s="121">
        <f t="shared" si="8"/>
        <v>4745672</v>
      </c>
      <c r="J95" s="174">
        <v>4712512</v>
      </c>
      <c r="K95" s="174">
        <v>215636</v>
      </c>
      <c r="L95" s="174">
        <v>0</v>
      </c>
      <c r="M95" s="174">
        <f t="shared" si="9"/>
        <v>4712512</v>
      </c>
      <c r="N95" s="174">
        <f t="shared" si="10"/>
        <v>33160</v>
      </c>
      <c r="O95" s="174">
        <f t="shared" si="10"/>
        <v>24000</v>
      </c>
      <c r="P95" s="174">
        <f t="shared" si="10"/>
        <v>0</v>
      </c>
      <c r="Q95" s="174">
        <f t="shared" si="10"/>
        <v>33160</v>
      </c>
    </row>
    <row r="96" spans="1:17" s="175" customFormat="1" ht="20.100000000000001" customHeight="1">
      <c r="A96" s="176" t="s">
        <v>8</v>
      </c>
      <c r="B96" s="91" t="s">
        <v>1044</v>
      </c>
      <c r="C96" s="91">
        <v>8</v>
      </c>
      <c r="D96" s="91" t="s">
        <v>992</v>
      </c>
      <c r="E96" s="91" t="s">
        <v>994</v>
      </c>
      <c r="F96" s="86">
        <v>7470439</v>
      </c>
      <c r="G96" s="86">
        <v>247004</v>
      </c>
      <c r="H96" s="121"/>
      <c r="I96" s="121">
        <f t="shared" si="8"/>
        <v>7470439</v>
      </c>
      <c r="J96" s="174">
        <v>7237072</v>
      </c>
      <c r="K96" s="174">
        <v>223004</v>
      </c>
      <c r="L96" s="174">
        <v>0</v>
      </c>
      <c r="M96" s="174">
        <f t="shared" si="9"/>
        <v>7237072</v>
      </c>
      <c r="N96" s="174">
        <f t="shared" si="10"/>
        <v>233367</v>
      </c>
      <c r="O96" s="174">
        <f t="shared" si="10"/>
        <v>24000</v>
      </c>
      <c r="P96" s="174">
        <f t="shared" si="10"/>
        <v>0</v>
      </c>
      <c r="Q96" s="174">
        <f t="shared" si="10"/>
        <v>233367</v>
      </c>
    </row>
    <row r="97" spans="1:17" s="175" customFormat="1" ht="20.100000000000001" customHeight="1">
      <c r="A97" s="176"/>
      <c r="B97" s="91" t="s">
        <v>1045</v>
      </c>
      <c r="C97" s="91"/>
      <c r="D97" s="91"/>
      <c r="E97" s="91"/>
      <c r="F97" s="86">
        <f>SUM(F88:F96)</f>
        <v>109240907</v>
      </c>
      <c r="G97" s="86">
        <f t="shared" ref="G97:Q97" si="13">SUM(G88:G96)</f>
        <v>2636836</v>
      </c>
      <c r="H97" s="86">
        <f t="shared" si="13"/>
        <v>5290801.75</v>
      </c>
      <c r="I97" s="86">
        <f t="shared" si="13"/>
        <v>114531708.75</v>
      </c>
      <c r="J97" s="86">
        <f t="shared" si="13"/>
        <v>110290065</v>
      </c>
      <c r="K97" s="86">
        <f t="shared" si="13"/>
        <v>2340222</v>
      </c>
      <c r="L97" s="86">
        <f t="shared" si="13"/>
        <v>5620808.75</v>
      </c>
      <c r="M97" s="86">
        <f t="shared" si="13"/>
        <v>115910873.75</v>
      </c>
      <c r="N97" s="86">
        <f t="shared" si="13"/>
        <v>-1049158</v>
      </c>
      <c r="O97" s="86">
        <f t="shared" si="13"/>
        <v>296614</v>
      </c>
      <c r="P97" s="86">
        <f t="shared" si="13"/>
        <v>-330007</v>
      </c>
      <c r="Q97" s="86">
        <f t="shared" si="13"/>
        <v>-1379165</v>
      </c>
    </row>
    <row r="98" spans="1:17" s="175" customFormat="1" ht="20.100000000000001" customHeight="1">
      <c r="A98" s="176" t="s">
        <v>9</v>
      </c>
      <c r="B98" s="91" t="s">
        <v>245</v>
      </c>
      <c r="C98" s="91">
        <v>1</v>
      </c>
      <c r="D98" s="91" t="s">
        <v>990</v>
      </c>
      <c r="E98" s="91" t="s">
        <v>1001</v>
      </c>
      <c r="F98" s="86">
        <v>22255808</v>
      </c>
      <c r="G98" s="86">
        <v>642076</v>
      </c>
      <c r="H98" s="121">
        <v>1718217.5</v>
      </c>
      <c r="I98" s="121">
        <f t="shared" si="8"/>
        <v>23974025.5</v>
      </c>
      <c r="J98" s="174">
        <v>22287442</v>
      </c>
      <c r="K98" s="174">
        <v>593276</v>
      </c>
      <c r="L98" s="174">
        <v>1854201.5</v>
      </c>
      <c r="M98" s="174">
        <f t="shared" si="9"/>
        <v>24141643.5</v>
      </c>
      <c r="N98" s="174">
        <f t="shared" si="10"/>
        <v>-31634</v>
      </c>
      <c r="O98" s="174">
        <f t="shared" si="10"/>
        <v>48800</v>
      </c>
      <c r="P98" s="174">
        <f t="shared" si="10"/>
        <v>-135984</v>
      </c>
      <c r="Q98" s="174">
        <f t="shared" si="10"/>
        <v>-167618</v>
      </c>
    </row>
    <row r="99" spans="1:17" s="175" customFormat="1" ht="20.100000000000001" customHeight="1">
      <c r="A99" s="176" t="s">
        <v>9</v>
      </c>
      <c r="B99" s="91" t="s">
        <v>246</v>
      </c>
      <c r="C99" s="91">
        <v>2</v>
      </c>
      <c r="D99" s="91" t="s">
        <v>990</v>
      </c>
      <c r="E99" s="91" t="s">
        <v>1001</v>
      </c>
      <c r="F99" s="86">
        <v>14022155</v>
      </c>
      <c r="G99" s="86">
        <v>264632</v>
      </c>
      <c r="H99" s="121">
        <v>1121905</v>
      </c>
      <c r="I99" s="121">
        <f t="shared" si="8"/>
        <v>15144060</v>
      </c>
      <c r="J99" s="174">
        <v>14299465</v>
      </c>
      <c r="K99" s="174">
        <v>240532</v>
      </c>
      <c r="L99" s="174">
        <v>1236940</v>
      </c>
      <c r="M99" s="174">
        <f t="shared" si="9"/>
        <v>15536405</v>
      </c>
      <c r="N99" s="174">
        <f t="shared" si="10"/>
        <v>-277310</v>
      </c>
      <c r="O99" s="174">
        <f t="shared" si="10"/>
        <v>24100</v>
      </c>
      <c r="P99" s="174">
        <f t="shared" si="10"/>
        <v>-115035</v>
      </c>
      <c r="Q99" s="174">
        <f t="shared" si="10"/>
        <v>-392345</v>
      </c>
    </row>
    <row r="100" spans="1:17" s="175" customFormat="1" ht="20.100000000000001" customHeight="1">
      <c r="A100" s="176" t="s">
        <v>9</v>
      </c>
      <c r="B100" s="91" t="s">
        <v>247</v>
      </c>
      <c r="C100" s="91">
        <v>3</v>
      </c>
      <c r="D100" s="91" t="s">
        <v>990</v>
      </c>
      <c r="E100" s="91" t="s">
        <v>1001</v>
      </c>
      <c r="F100" s="86">
        <v>15798819</v>
      </c>
      <c r="G100" s="86">
        <v>276392</v>
      </c>
      <c r="H100" s="121">
        <v>1266696</v>
      </c>
      <c r="I100" s="121">
        <f t="shared" si="8"/>
        <v>17065515</v>
      </c>
      <c r="J100" s="174">
        <v>16271805</v>
      </c>
      <c r="K100" s="174">
        <v>252392</v>
      </c>
      <c r="L100" s="174">
        <v>1357680.5</v>
      </c>
      <c r="M100" s="174">
        <f t="shared" si="9"/>
        <v>17629485.5</v>
      </c>
      <c r="N100" s="174">
        <f t="shared" si="10"/>
        <v>-472986</v>
      </c>
      <c r="O100" s="174">
        <f t="shared" si="10"/>
        <v>24000</v>
      </c>
      <c r="P100" s="174">
        <f t="shared" si="10"/>
        <v>-90984.5</v>
      </c>
      <c r="Q100" s="174">
        <f t="shared" si="10"/>
        <v>-563970.5</v>
      </c>
    </row>
    <row r="101" spans="1:17" s="175" customFormat="1" ht="20.100000000000001" customHeight="1">
      <c r="A101" s="176" t="s">
        <v>9</v>
      </c>
      <c r="B101" s="91" t="s">
        <v>248</v>
      </c>
      <c r="C101" s="91">
        <v>4</v>
      </c>
      <c r="D101" s="91" t="s">
        <v>990</v>
      </c>
      <c r="E101" s="91" t="s">
        <v>991</v>
      </c>
      <c r="F101" s="86">
        <v>25193369</v>
      </c>
      <c r="G101" s="86">
        <v>661643</v>
      </c>
      <c r="H101" s="121">
        <v>1697345</v>
      </c>
      <c r="I101" s="121">
        <f t="shared" si="8"/>
        <v>26890714</v>
      </c>
      <c r="J101" s="121">
        <v>25837654</v>
      </c>
      <c r="K101" s="174">
        <v>612923</v>
      </c>
      <c r="L101" s="174">
        <v>2051632.5</v>
      </c>
      <c r="M101" s="174">
        <f t="shared" si="9"/>
        <v>27889286.5</v>
      </c>
      <c r="N101" s="174">
        <f t="shared" si="10"/>
        <v>-644285</v>
      </c>
      <c r="O101" s="174">
        <f t="shared" si="10"/>
        <v>48720</v>
      </c>
      <c r="P101" s="174">
        <f t="shared" si="10"/>
        <v>-354287.5</v>
      </c>
      <c r="Q101" s="174">
        <f t="shared" si="10"/>
        <v>-998572.5</v>
      </c>
    </row>
    <row r="102" spans="1:17" s="175" customFormat="1" ht="20.100000000000001" customHeight="1">
      <c r="A102" s="176" t="s">
        <v>9</v>
      </c>
      <c r="B102" s="91" t="s">
        <v>725</v>
      </c>
      <c r="C102" s="91">
        <v>5</v>
      </c>
      <c r="D102" s="91" t="s">
        <v>990</v>
      </c>
      <c r="E102" s="91" t="s">
        <v>998</v>
      </c>
      <c r="F102" s="86">
        <v>14549625</v>
      </c>
      <c r="G102" s="86">
        <v>675330</v>
      </c>
      <c r="H102" s="121">
        <v>842568.5</v>
      </c>
      <c r="I102" s="121">
        <f t="shared" si="8"/>
        <v>15392193.5</v>
      </c>
      <c r="J102" s="121">
        <v>14554644</v>
      </c>
      <c r="K102" s="174">
        <v>627330</v>
      </c>
      <c r="L102" s="174">
        <v>942489.25</v>
      </c>
      <c r="M102" s="174">
        <f t="shared" si="9"/>
        <v>15497133.25</v>
      </c>
      <c r="N102" s="174">
        <f t="shared" si="10"/>
        <v>-5019</v>
      </c>
      <c r="O102" s="174">
        <f t="shared" si="10"/>
        <v>48000</v>
      </c>
      <c r="P102" s="174">
        <f t="shared" si="10"/>
        <v>-99920.75</v>
      </c>
      <c r="Q102" s="174">
        <f t="shared" si="10"/>
        <v>-104939.75</v>
      </c>
    </row>
    <row r="103" spans="1:17" s="175" customFormat="1" ht="20.100000000000001" customHeight="1">
      <c r="A103" s="176" t="s">
        <v>9</v>
      </c>
      <c r="B103" s="91" t="s">
        <v>249</v>
      </c>
      <c r="C103" s="91">
        <v>6</v>
      </c>
      <c r="D103" s="91" t="s">
        <v>990</v>
      </c>
      <c r="E103" s="91" t="s">
        <v>998</v>
      </c>
      <c r="F103" s="86">
        <v>35542871</v>
      </c>
      <c r="G103" s="86">
        <f>706288+15000</f>
        <v>721288</v>
      </c>
      <c r="H103" s="121">
        <v>2004672.25</v>
      </c>
      <c r="I103" s="121">
        <f t="shared" si="8"/>
        <v>37547543.25</v>
      </c>
      <c r="J103" s="121">
        <v>35826816</v>
      </c>
      <c r="K103" s="174">
        <v>673288</v>
      </c>
      <c r="L103" s="174">
        <v>2211827</v>
      </c>
      <c r="M103" s="174">
        <f t="shared" si="9"/>
        <v>38038643</v>
      </c>
      <c r="N103" s="174">
        <f t="shared" si="10"/>
        <v>-283945</v>
      </c>
      <c r="O103" s="174">
        <f t="shared" si="10"/>
        <v>48000</v>
      </c>
      <c r="P103" s="174">
        <f t="shared" si="10"/>
        <v>-207154.75</v>
      </c>
      <c r="Q103" s="174">
        <f t="shared" si="10"/>
        <v>-491099.75</v>
      </c>
    </row>
    <row r="104" spans="1:17" s="175" customFormat="1" ht="20.100000000000001" customHeight="1">
      <c r="A104" s="176" t="s">
        <v>9</v>
      </c>
      <c r="B104" s="91" t="s">
        <v>250</v>
      </c>
      <c r="C104" s="91">
        <v>7</v>
      </c>
      <c r="D104" s="91" t="s">
        <v>990</v>
      </c>
      <c r="E104" s="91" t="s">
        <v>998</v>
      </c>
      <c r="F104" s="86">
        <v>16344375</v>
      </c>
      <c r="G104" s="86">
        <v>589420</v>
      </c>
      <c r="H104" s="121">
        <v>839214.75</v>
      </c>
      <c r="I104" s="121">
        <f t="shared" si="8"/>
        <v>17183589.75</v>
      </c>
      <c r="J104" s="121">
        <v>16607222</v>
      </c>
      <c r="K104" s="174">
        <v>511420</v>
      </c>
      <c r="L104" s="174">
        <v>954638.5</v>
      </c>
      <c r="M104" s="174">
        <f t="shared" si="9"/>
        <v>17561860.5</v>
      </c>
      <c r="N104" s="174">
        <f t="shared" si="10"/>
        <v>-262847</v>
      </c>
      <c r="O104" s="174">
        <f t="shared" si="10"/>
        <v>78000</v>
      </c>
      <c r="P104" s="174">
        <f t="shared" si="10"/>
        <v>-115423.75</v>
      </c>
      <c r="Q104" s="174">
        <f t="shared" si="10"/>
        <v>-378270.75</v>
      </c>
    </row>
    <row r="105" spans="1:17" s="175" customFormat="1" ht="20.100000000000001" customHeight="1">
      <c r="A105" s="176" t="s">
        <v>9</v>
      </c>
      <c r="B105" s="91" t="s">
        <v>251</v>
      </c>
      <c r="C105" s="91">
        <v>8</v>
      </c>
      <c r="D105" s="91" t="s">
        <v>990</v>
      </c>
      <c r="E105" s="91" t="s">
        <v>998</v>
      </c>
      <c r="F105" s="86">
        <v>11021724</v>
      </c>
      <c r="G105" s="86">
        <f>273872-15000</f>
        <v>258872</v>
      </c>
      <c r="H105" s="121">
        <v>590333.5</v>
      </c>
      <c r="I105" s="121">
        <f t="shared" si="8"/>
        <v>11612057.5</v>
      </c>
      <c r="J105" s="121">
        <v>11102581</v>
      </c>
      <c r="K105" s="174">
        <v>234872</v>
      </c>
      <c r="L105" s="174">
        <v>633357.5</v>
      </c>
      <c r="M105" s="174">
        <f t="shared" si="9"/>
        <v>11735938.5</v>
      </c>
      <c r="N105" s="174">
        <f t="shared" si="10"/>
        <v>-80857</v>
      </c>
      <c r="O105" s="174">
        <f t="shared" si="10"/>
        <v>24000</v>
      </c>
      <c r="P105" s="174">
        <f t="shared" si="10"/>
        <v>-43024</v>
      </c>
      <c r="Q105" s="174">
        <f t="shared" si="10"/>
        <v>-123881</v>
      </c>
    </row>
    <row r="106" spans="1:17" s="175" customFormat="1" ht="20.100000000000001" customHeight="1">
      <c r="A106" s="176" t="s">
        <v>9</v>
      </c>
      <c r="B106" s="91" t="s">
        <v>815</v>
      </c>
      <c r="C106" s="91">
        <v>9</v>
      </c>
      <c r="D106" s="91" t="s">
        <v>992</v>
      </c>
      <c r="E106" s="91" t="s">
        <v>993</v>
      </c>
      <c r="F106" s="86">
        <v>914384</v>
      </c>
      <c r="G106" s="86">
        <v>0</v>
      </c>
      <c r="H106" s="121"/>
      <c r="I106" s="121">
        <f t="shared" si="8"/>
        <v>914384</v>
      </c>
      <c r="J106" s="121">
        <v>893367</v>
      </c>
      <c r="K106" s="174">
        <v>0</v>
      </c>
      <c r="L106" s="174">
        <v>0</v>
      </c>
      <c r="M106" s="174">
        <f t="shared" si="9"/>
        <v>893367</v>
      </c>
      <c r="N106" s="174">
        <f t="shared" si="10"/>
        <v>21017</v>
      </c>
      <c r="O106" s="174">
        <f t="shared" si="10"/>
        <v>0</v>
      </c>
      <c r="P106" s="174">
        <f t="shared" si="10"/>
        <v>0</v>
      </c>
      <c r="Q106" s="174">
        <f t="shared" si="10"/>
        <v>21017</v>
      </c>
    </row>
    <row r="107" spans="1:17" s="175" customFormat="1" ht="20.100000000000001" customHeight="1">
      <c r="A107" s="176" t="s">
        <v>9</v>
      </c>
      <c r="B107" s="91" t="s">
        <v>1046</v>
      </c>
      <c r="C107" s="91">
        <v>10</v>
      </c>
      <c r="D107" s="91" t="s">
        <v>992</v>
      </c>
      <c r="E107" s="91" t="s">
        <v>994</v>
      </c>
      <c r="F107" s="86">
        <v>7482663</v>
      </c>
      <c r="G107" s="86">
        <v>293540</v>
      </c>
      <c r="H107" s="121"/>
      <c r="I107" s="121">
        <f t="shared" si="8"/>
        <v>7482663</v>
      </c>
      <c r="J107" s="121">
        <v>7573680</v>
      </c>
      <c r="K107" s="174">
        <v>269540</v>
      </c>
      <c r="L107" s="174">
        <v>0</v>
      </c>
      <c r="M107" s="174">
        <f t="shared" si="9"/>
        <v>7573680</v>
      </c>
      <c r="N107" s="174">
        <f t="shared" si="10"/>
        <v>-91017</v>
      </c>
      <c r="O107" s="174">
        <f t="shared" si="10"/>
        <v>24000</v>
      </c>
      <c r="P107" s="174">
        <f t="shared" si="10"/>
        <v>0</v>
      </c>
      <c r="Q107" s="174">
        <f t="shared" si="10"/>
        <v>-91017</v>
      </c>
    </row>
    <row r="108" spans="1:17" s="175" customFormat="1" ht="20.100000000000001" customHeight="1">
      <c r="A108" s="176" t="s">
        <v>9</v>
      </c>
      <c r="B108" s="91" t="s">
        <v>1047</v>
      </c>
      <c r="C108" s="91">
        <v>11</v>
      </c>
      <c r="D108" s="91" t="s">
        <v>992</v>
      </c>
      <c r="E108" s="91" t="s">
        <v>994</v>
      </c>
      <c r="F108" s="86">
        <v>9337641</v>
      </c>
      <c r="G108" s="86">
        <v>262352</v>
      </c>
      <c r="H108" s="121"/>
      <c r="I108" s="121">
        <f t="shared" si="8"/>
        <v>9337641</v>
      </c>
      <c r="J108" s="121">
        <v>9340872</v>
      </c>
      <c r="K108" s="174">
        <v>238352</v>
      </c>
      <c r="L108" s="174">
        <v>0</v>
      </c>
      <c r="M108" s="174">
        <f t="shared" si="9"/>
        <v>9340872</v>
      </c>
      <c r="N108" s="174">
        <f t="shared" si="10"/>
        <v>-3231</v>
      </c>
      <c r="O108" s="174">
        <f t="shared" si="10"/>
        <v>24000</v>
      </c>
      <c r="P108" s="174">
        <f t="shared" si="10"/>
        <v>0</v>
      </c>
      <c r="Q108" s="174">
        <f t="shared" si="10"/>
        <v>-3231</v>
      </c>
    </row>
    <row r="109" spans="1:17" s="175" customFormat="1" ht="20.100000000000001" customHeight="1">
      <c r="A109" s="176" t="s">
        <v>9</v>
      </c>
      <c r="B109" s="91" t="s">
        <v>1048</v>
      </c>
      <c r="C109" s="91">
        <v>12</v>
      </c>
      <c r="D109" s="91" t="s">
        <v>992</v>
      </c>
      <c r="E109" s="91" t="s">
        <v>994</v>
      </c>
      <c r="F109" s="86">
        <v>7150197</v>
      </c>
      <c r="G109" s="86">
        <v>281574</v>
      </c>
      <c r="H109" s="121"/>
      <c r="I109" s="121">
        <f t="shared" si="8"/>
        <v>7150197</v>
      </c>
      <c r="J109" s="121">
        <v>6984616</v>
      </c>
      <c r="K109" s="174">
        <v>218187</v>
      </c>
      <c r="L109" s="174">
        <v>0</v>
      </c>
      <c r="M109" s="174">
        <f t="shared" si="9"/>
        <v>6984616</v>
      </c>
      <c r="N109" s="174">
        <f t="shared" si="10"/>
        <v>165581</v>
      </c>
      <c r="O109" s="174">
        <f t="shared" si="10"/>
        <v>63387</v>
      </c>
      <c r="P109" s="174">
        <f t="shared" si="10"/>
        <v>0</v>
      </c>
      <c r="Q109" s="174">
        <f t="shared" si="10"/>
        <v>165581</v>
      </c>
    </row>
    <row r="110" spans="1:17" s="175" customFormat="1" ht="20.100000000000001" customHeight="1">
      <c r="A110" s="176" t="s">
        <v>9</v>
      </c>
      <c r="B110" s="91" t="s">
        <v>719</v>
      </c>
      <c r="C110" s="91">
        <v>13</v>
      </c>
      <c r="D110" s="91" t="s">
        <v>992</v>
      </c>
      <c r="E110" s="91" t="s">
        <v>994</v>
      </c>
      <c r="F110" s="86">
        <v>7220832</v>
      </c>
      <c r="G110" s="86">
        <v>260072</v>
      </c>
      <c r="H110" s="121"/>
      <c r="I110" s="121">
        <f t="shared" si="8"/>
        <v>7220832</v>
      </c>
      <c r="J110" s="121">
        <v>7237072</v>
      </c>
      <c r="K110" s="174">
        <v>236072</v>
      </c>
      <c r="L110" s="174">
        <v>0</v>
      </c>
      <c r="M110" s="174">
        <f t="shared" si="9"/>
        <v>7237072</v>
      </c>
      <c r="N110" s="174">
        <f t="shared" si="10"/>
        <v>-16240</v>
      </c>
      <c r="O110" s="174">
        <f t="shared" si="10"/>
        <v>24000</v>
      </c>
      <c r="P110" s="174">
        <f t="shared" si="10"/>
        <v>0</v>
      </c>
      <c r="Q110" s="174">
        <f t="shared" si="10"/>
        <v>-16240</v>
      </c>
    </row>
    <row r="111" spans="1:17" s="175" customFormat="1" ht="20.100000000000001" customHeight="1">
      <c r="A111" s="176" t="s">
        <v>9</v>
      </c>
      <c r="B111" s="171" t="s">
        <v>1049</v>
      </c>
      <c r="C111" s="91">
        <v>14</v>
      </c>
      <c r="D111" s="91" t="s">
        <v>992</v>
      </c>
      <c r="E111" s="91" t="s">
        <v>994</v>
      </c>
      <c r="F111" s="86">
        <v>5271024</v>
      </c>
      <c r="G111" s="86">
        <v>244784</v>
      </c>
      <c r="H111" s="121"/>
      <c r="I111" s="121">
        <f t="shared" si="8"/>
        <v>5271024</v>
      </c>
      <c r="J111" s="121">
        <v>5301576</v>
      </c>
      <c r="K111" s="174">
        <v>220784</v>
      </c>
      <c r="L111" s="174">
        <v>0</v>
      </c>
      <c r="M111" s="174">
        <f t="shared" si="9"/>
        <v>5301576</v>
      </c>
      <c r="N111" s="174">
        <f t="shared" si="10"/>
        <v>-30552</v>
      </c>
      <c r="O111" s="174">
        <f t="shared" si="10"/>
        <v>24000</v>
      </c>
      <c r="P111" s="174">
        <f t="shared" si="10"/>
        <v>0</v>
      </c>
      <c r="Q111" s="174">
        <f t="shared" si="10"/>
        <v>-30552</v>
      </c>
    </row>
    <row r="112" spans="1:17" s="175" customFormat="1" ht="20.100000000000001" customHeight="1">
      <c r="A112" s="176" t="s">
        <v>9</v>
      </c>
      <c r="B112" s="171" t="s">
        <v>1050</v>
      </c>
      <c r="C112" s="91">
        <v>15</v>
      </c>
      <c r="D112" s="91" t="s">
        <v>992</v>
      </c>
      <c r="E112" s="91" t="s">
        <v>994</v>
      </c>
      <c r="F112" s="86">
        <v>2768003</v>
      </c>
      <c r="G112" s="86">
        <v>228116</v>
      </c>
      <c r="H112" s="121"/>
      <c r="I112" s="121">
        <f t="shared" si="8"/>
        <v>2768003</v>
      </c>
      <c r="J112" s="121">
        <v>2777016</v>
      </c>
      <c r="K112" s="174">
        <v>204066</v>
      </c>
      <c r="L112" s="174">
        <v>0</v>
      </c>
      <c r="M112" s="174">
        <f t="shared" si="9"/>
        <v>2777016</v>
      </c>
      <c r="N112" s="174">
        <f t="shared" si="10"/>
        <v>-9013</v>
      </c>
      <c r="O112" s="174">
        <f t="shared" si="10"/>
        <v>24050</v>
      </c>
      <c r="P112" s="174">
        <f t="shared" si="10"/>
        <v>0</v>
      </c>
      <c r="Q112" s="174">
        <f t="shared" si="10"/>
        <v>-9013</v>
      </c>
    </row>
    <row r="113" spans="1:17" s="175" customFormat="1" ht="20.100000000000001" customHeight="1">
      <c r="A113" s="176"/>
      <c r="B113" s="171" t="s">
        <v>1051</v>
      </c>
      <c r="C113" s="91"/>
      <c r="D113" s="91"/>
      <c r="E113" s="91"/>
      <c r="F113" s="86">
        <f>SUM(F98:F112)</f>
        <v>194873490</v>
      </c>
      <c r="G113" s="86">
        <f t="shared" ref="G113:Q113" si="14">SUM(G98:G112)</f>
        <v>5660091</v>
      </c>
      <c r="H113" s="86">
        <f t="shared" si="14"/>
        <v>10080952.5</v>
      </c>
      <c r="I113" s="86">
        <f t="shared" si="14"/>
        <v>204954442.5</v>
      </c>
      <c r="J113" s="86">
        <f t="shared" si="14"/>
        <v>196895828</v>
      </c>
      <c r="K113" s="86">
        <f t="shared" si="14"/>
        <v>5133034</v>
      </c>
      <c r="L113" s="86">
        <f t="shared" si="14"/>
        <v>11242766.75</v>
      </c>
      <c r="M113" s="86">
        <f t="shared" si="14"/>
        <v>208138594.75</v>
      </c>
      <c r="N113" s="86">
        <f t="shared" si="14"/>
        <v>-2022338</v>
      </c>
      <c r="O113" s="86">
        <f t="shared" si="14"/>
        <v>527057</v>
      </c>
      <c r="P113" s="86">
        <f t="shared" si="14"/>
        <v>-1161814.25</v>
      </c>
      <c r="Q113" s="86">
        <f t="shared" si="14"/>
        <v>-3184152.25</v>
      </c>
    </row>
    <row r="114" spans="1:17" s="175" customFormat="1" ht="20.100000000000001" customHeight="1">
      <c r="A114" s="176" t="s">
        <v>10</v>
      </c>
      <c r="B114" s="91" t="s">
        <v>654</v>
      </c>
      <c r="C114" s="91">
        <v>1</v>
      </c>
      <c r="D114" s="91" t="s">
        <v>990</v>
      </c>
      <c r="E114" s="91" t="s">
        <v>1001</v>
      </c>
      <c r="F114" s="86">
        <v>13738156</v>
      </c>
      <c r="G114" s="86">
        <v>569984</v>
      </c>
      <c r="H114" s="121">
        <v>1056336</v>
      </c>
      <c r="I114" s="121">
        <f t="shared" si="8"/>
        <v>14794492</v>
      </c>
      <c r="J114" s="121">
        <v>14003614</v>
      </c>
      <c r="K114" s="174">
        <v>521984</v>
      </c>
      <c r="L114" s="174">
        <v>1205097</v>
      </c>
      <c r="M114" s="174">
        <f t="shared" si="9"/>
        <v>15208711</v>
      </c>
      <c r="N114" s="174">
        <f t="shared" si="10"/>
        <v>-265458</v>
      </c>
      <c r="O114" s="174">
        <f t="shared" si="10"/>
        <v>48000</v>
      </c>
      <c r="P114" s="174">
        <f t="shared" si="10"/>
        <v>-148761</v>
      </c>
      <c r="Q114" s="174">
        <f t="shared" si="10"/>
        <v>-414219</v>
      </c>
    </row>
    <row r="115" spans="1:17" s="175" customFormat="1" ht="20.100000000000001" customHeight="1">
      <c r="A115" s="176" t="s">
        <v>10</v>
      </c>
      <c r="B115" s="91" t="s">
        <v>221</v>
      </c>
      <c r="C115" s="91">
        <v>2</v>
      </c>
      <c r="D115" s="91" t="s">
        <v>990</v>
      </c>
      <c r="E115" s="91" t="s">
        <v>1001</v>
      </c>
      <c r="F115" s="86">
        <v>10975865</v>
      </c>
      <c r="G115" s="86">
        <v>267092</v>
      </c>
      <c r="H115" s="121">
        <v>1006552</v>
      </c>
      <c r="I115" s="121">
        <f t="shared" si="8"/>
        <v>11982417</v>
      </c>
      <c r="J115" s="121">
        <v>11242338</v>
      </c>
      <c r="K115" s="174">
        <v>229592</v>
      </c>
      <c r="L115" s="174">
        <v>1008561.75</v>
      </c>
      <c r="M115" s="174">
        <f t="shared" si="9"/>
        <v>12250899.75</v>
      </c>
      <c r="N115" s="174">
        <f t="shared" si="10"/>
        <v>-266473</v>
      </c>
      <c r="O115" s="174">
        <f t="shared" si="10"/>
        <v>37500</v>
      </c>
      <c r="P115" s="174">
        <f t="shared" si="10"/>
        <v>-2009.75</v>
      </c>
      <c r="Q115" s="174">
        <f t="shared" si="10"/>
        <v>-268482.75</v>
      </c>
    </row>
    <row r="116" spans="1:17" s="175" customFormat="1" ht="20.100000000000001" customHeight="1">
      <c r="A116" s="176" t="s">
        <v>10</v>
      </c>
      <c r="B116" s="178" t="s">
        <v>1052</v>
      </c>
      <c r="C116" s="91">
        <v>3</v>
      </c>
      <c r="D116" s="91" t="s">
        <v>990</v>
      </c>
      <c r="E116" s="91" t="s">
        <v>991</v>
      </c>
      <c r="F116" s="86">
        <v>19042578</v>
      </c>
      <c r="G116" s="86">
        <v>377302</v>
      </c>
      <c r="H116" s="121">
        <v>1440208.25</v>
      </c>
      <c r="I116" s="121">
        <f t="shared" si="8"/>
        <v>20482786.25</v>
      </c>
      <c r="J116" s="121">
        <v>20216485</v>
      </c>
      <c r="K116" s="174">
        <v>331802</v>
      </c>
      <c r="L116" s="174">
        <v>1527286.5</v>
      </c>
      <c r="M116" s="174">
        <f t="shared" si="9"/>
        <v>21743771.5</v>
      </c>
      <c r="N116" s="174">
        <f t="shared" si="10"/>
        <v>-1173907</v>
      </c>
      <c r="O116" s="174">
        <f t="shared" si="10"/>
        <v>45500</v>
      </c>
      <c r="P116" s="174">
        <f t="shared" si="10"/>
        <v>-87078.25</v>
      </c>
      <c r="Q116" s="174">
        <f t="shared" si="10"/>
        <v>-1260985.25</v>
      </c>
    </row>
    <row r="117" spans="1:17" s="175" customFormat="1" ht="20.100000000000001" customHeight="1">
      <c r="A117" s="176"/>
      <c r="B117" s="178" t="s">
        <v>1053</v>
      </c>
      <c r="C117" s="91"/>
      <c r="D117" s="91"/>
      <c r="E117" s="91"/>
      <c r="F117" s="86">
        <v>276502</v>
      </c>
      <c r="G117" s="86">
        <v>82315</v>
      </c>
      <c r="H117" s="121"/>
      <c r="I117" s="121">
        <f t="shared" si="8"/>
        <v>276502</v>
      </c>
      <c r="J117" s="121">
        <v>336608</v>
      </c>
      <c r="K117" s="174">
        <v>72315</v>
      </c>
      <c r="L117" s="174">
        <v>0</v>
      </c>
      <c r="M117" s="174">
        <f t="shared" si="9"/>
        <v>336608</v>
      </c>
      <c r="N117" s="174">
        <f t="shared" si="10"/>
        <v>-60106</v>
      </c>
      <c r="O117" s="174">
        <f t="shared" si="10"/>
        <v>10000</v>
      </c>
      <c r="P117" s="174">
        <f t="shared" si="10"/>
        <v>0</v>
      </c>
      <c r="Q117" s="174">
        <f t="shared" si="10"/>
        <v>-60106</v>
      </c>
    </row>
    <row r="118" spans="1:17" s="175" customFormat="1" ht="20.100000000000001" customHeight="1">
      <c r="A118" s="176" t="s">
        <v>10</v>
      </c>
      <c r="B118" s="91" t="s">
        <v>222</v>
      </c>
      <c r="C118" s="91">
        <v>4</v>
      </c>
      <c r="D118" s="91" t="s">
        <v>990</v>
      </c>
      <c r="E118" s="91" t="s">
        <v>998</v>
      </c>
      <c r="F118" s="86">
        <v>14791825</v>
      </c>
      <c r="G118" s="86">
        <v>320833</v>
      </c>
      <c r="H118" s="121">
        <v>814773</v>
      </c>
      <c r="I118" s="121">
        <f t="shared" si="8"/>
        <v>15606598</v>
      </c>
      <c r="J118" s="121">
        <v>14834541</v>
      </c>
      <c r="K118" s="174">
        <v>296833</v>
      </c>
      <c r="L118" s="174">
        <v>887638</v>
      </c>
      <c r="M118" s="174">
        <f t="shared" si="9"/>
        <v>15722179</v>
      </c>
      <c r="N118" s="174">
        <f t="shared" si="10"/>
        <v>-42716</v>
      </c>
      <c r="O118" s="174">
        <f t="shared" si="10"/>
        <v>24000</v>
      </c>
      <c r="P118" s="174">
        <f t="shared" si="10"/>
        <v>-72865</v>
      </c>
      <c r="Q118" s="174">
        <f t="shared" si="10"/>
        <v>-115581</v>
      </c>
    </row>
    <row r="119" spans="1:17" s="175" customFormat="1" ht="20.100000000000001" customHeight="1">
      <c r="A119" s="176" t="s">
        <v>10</v>
      </c>
      <c r="B119" s="91" t="s">
        <v>223</v>
      </c>
      <c r="C119" s="91">
        <v>5</v>
      </c>
      <c r="D119" s="91" t="s">
        <v>990</v>
      </c>
      <c r="E119" s="91" t="s">
        <v>998</v>
      </c>
      <c r="F119" s="86">
        <v>12476965</v>
      </c>
      <c r="G119" s="86">
        <v>263382</v>
      </c>
      <c r="H119" s="121">
        <v>562512.75</v>
      </c>
      <c r="I119" s="121">
        <f t="shared" si="8"/>
        <v>13039477.75</v>
      </c>
      <c r="J119" s="121">
        <v>12781963</v>
      </c>
      <c r="K119" s="174">
        <v>239382</v>
      </c>
      <c r="L119" s="174">
        <v>638382.5</v>
      </c>
      <c r="M119" s="174">
        <f t="shared" si="9"/>
        <v>13420345.5</v>
      </c>
      <c r="N119" s="174">
        <f t="shared" si="10"/>
        <v>-304998</v>
      </c>
      <c r="O119" s="174">
        <f t="shared" si="10"/>
        <v>24000</v>
      </c>
      <c r="P119" s="174">
        <f t="shared" si="10"/>
        <v>-75869.75</v>
      </c>
      <c r="Q119" s="174">
        <f t="shared" si="10"/>
        <v>-380867.75</v>
      </c>
    </row>
    <row r="120" spans="1:17" s="175" customFormat="1" ht="20.100000000000001" customHeight="1">
      <c r="A120" s="176" t="s">
        <v>10</v>
      </c>
      <c r="B120" s="91" t="s">
        <v>824</v>
      </c>
      <c r="C120" s="91">
        <v>6</v>
      </c>
      <c r="D120" s="91" t="s">
        <v>992</v>
      </c>
      <c r="E120" s="91" t="s">
        <v>993</v>
      </c>
      <c r="F120" s="86">
        <v>191040</v>
      </c>
      <c r="G120" s="86">
        <v>0</v>
      </c>
      <c r="H120" s="121"/>
      <c r="I120" s="121">
        <f t="shared" si="8"/>
        <v>191040</v>
      </c>
      <c r="J120" s="121">
        <v>198526</v>
      </c>
      <c r="K120" s="174">
        <v>0</v>
      </c>
      <c r="L120" s="174">
        <v>0</v>
      </c>
      <c r="M120" s="174">
        <f t="shared" si="9"/>
        <v>198526</v>
      </c>
      <c r="N120" s="174">
        <f t="shared" si="10"/>
        <v>-7486</v>
      </c>
      <c r="O120" s="174">
        <f t="shared" si="10"/>
        <v>0</v>
      </c>
      <c r="P120" s="174">
        <f t="shared" si="10"/>
        <v>0</v>
      </c>
      <c r="Q120" s="174">
        <f t="shared" si="10"/>
        <v>-7486</v>
      </c>
    </row>
    <row r="121" spans="1:17" s="175" customFormat="1" ht="20.100000000000001" customHeight="1">
      <c r="A121" s="176" t="s">
        <v>10</v>
      </c>
      <c r="B121" s="91" t="s">
        <v>652</v>
      </c>
      <c r="C121" s="91">
        <v>7</v>
      </c>
      <c r="D121" s="91" t="s">
        <v>992</v>
      </c>
      <c r="E121" s="91" t="s">
        <v>994</v>
      </c>
      <c r="F121" s="86">
        <v>8994253</v>
      </c>
      <c r="G121" s="86">
        <v>246824</v>
      </c>
      <c r="H121" s="121"/>
      <c r="I121" s="121">
        <f t="shared" si="8"/>
        <v>8994253</v>
      </c>
      <c r="J121" s="121">
        <v>9004264</v>
      </c>
      <c r="K121" s="174">
        <v>222824</v>
      </c>
      <c r="L121" s="174">
        <v>0</v>
      </c>
      <c r="M121" s="174">
        <f t="shared" si="9"/>
        <v>9004264</v>
      </c>
      <c r="N121" s="174">
        <f t="shared" si="10"/>
        <v>-10011</v>
      </c>
      <c r="O121" s="174">
        <f t="shared" si="10"/>
        <v>24000</v>
      </c>
      <c r="P121" s="174">
        <f t="shared" si="10"/>
        <v>0</v>
      </c>
      <c r="Q121" s="174">
        <f t="shared" si="10"/>
        <v>-10011</v>
      </c>
    </row>
    <row r="122" spans="1:17" s="175" customFormat="1" ht="20.100000000000001" customHeight="1">
      <c r="A122" s="176" t="s">
        <v>10</v>
      </c>
      <c r="B122" s="91" t="s">
        <v>1054</v>
      </c>
      <c r="C122" s="91">
        <v>8</v>
      </c>
      <c r="D122" s="91" t="s">
        <v>992</v>
      </c>
      <c r="E122" s="91" t="s">
        <v>1055</v>
      </c>
      <c r="F122" s="86">
        <v>7888578</v>
      </c>
      <c r="G122" s="86">
        <v>267476</v>
      </c>
      <c r="H122" s="121"/>
      <c r="I122" s="121">
        <f t="shared" si="8"/>
        <v>7888578</v>
      </c>
      <c r="J122" s="121">
        <v>7741984</v>
      </c>
      <c r="K122" s="174">
        <v>243476</v>
      </c>
      <c r="L122" s="174">
        <v>0</v>
      </c>
      <c r="M122" s="174">
        <f t="shared" si="9"/>
        <v>7741984</v>
      </c>
      <c r="N122" s="174">
        <f t="shared" si="10"/>
        <v>146594</v>
      </c>
      <c r="O122" s="174">
        <f t="shared" si="10"/>
        <v>24000</v>
      </c>
      <c r="P122" s="174">
        <f t="shared" si="10"/>
        <v>0</v>
      </c>
      <c r="Q122" s="174">
        <f t="shared" si="10"/>
        <v>146594</v>
      </c>
    </row>
    <row r="123" spans="1:17" s="175" customFormat="1" ht="20.100000000000001" customHeight="1">
      <c r="A123" s="176" t="s">
        <v>10</v>
      </c>
      <c r="B123" s="91" t="s">
        <v>650</v>
      </c>
      <c r="C123" s="91">
        <v>9</v>
      </c>
      <c r="D123" s="91" t="s">
        <v>992</v>
      </c>
      <c r="E123" s="91" t="s">
        <v>994</v>
      </c>
      <c r="F123" s="86">
        <v>6329564</v>
      </c>
      <c r="G123" s="86">
        <v>270884</v>
      </c>
      <c r="H123" s="121"/>
      <c r="I123" s="121">
        <f t="shared" si="8"/>
        <v>6329564</v>
      </c>
      <c r="J123" s="121">
        <v>6227248</v>
      </c>
      <c r="K123" s="174">
        <v>246884</v>
      </c>
      <c r="L123" s="174">
        <v>0</v>
      </c>
      <c r="M123" s="174">
        <f t="shared" si="9"/>
        <v>6227248</v>
      </c>
      <c r="N123" s="174">
        <f t="shared" si="10"/>
        <v>102316</v>
      </c>
      <c r="O123" s="174">
        <f t="shared" si="10"/>
        <v>24000</v>
      </c>
      <c r="P123" s="174">
        <f t="shared" si="10"/>
        <v>0</v>
      </c>
      <c r="Q123" s="174">
        <f t="shared" si="10"/>
        <v>102316</v>
      </c>
    </row>
    <row r="124" spans="1:17" s="175" customFormat="1" ht="20.100000000000001" customHeight="1">
      <c r="A124" s="176" t="s">
        <v>10</v>
      </c>
      <c r="B124" s="91" t="s">
        <v>648</v>
      </c>
      <c r="C124" s="91">
        <v>10</v>
      </c>
      <c r="D124" s="91" t="s">
        <v>992</v>
      </c>
      <c r="E124" s="91" t="s">
        <v>994</v>
      </c>
      <c r="F124" s="86">
        <v>7704736</v>
      </c>
      <c r="G124" s="86">
        <v>279416</v>
      </c>
      <c r="H124" s="121"/>
      <c r="I124" s="121">
        <f t="shared" si="8"/>
        <v>7704736</v>
      </c>
      <c r="J124" s="121">
        <v>7573680</v>
      </c>
      <c r="K124" s="174">
        <v>255416</v>
      </c>
      <c r="L124" s="174">
        <v>0</v>
      </c>
      <c r="M124" s="174">
        <f t="shared" si="9"/>
        <v>7573680</v>
      </c>
      <c r="N124" s="174">
        <f t="shared" si="10"/>
        <v>131056</v>
      </c>
      <c r="O124" s="174">
        <f t="shared" si="10"/>
        <v>24000</v>
      </c>
      <c r="P124" s="174">
        <f t="shared" si="10"/>
        <v>0</v>
      </c>
      <c r="Q124" s="174">
        <f t="shared" si="10"/>
        <v>131056</v>
      </c>
    </row>
    <row r="125" spans="1:17" s="181" customFormat="1" ht="20.100000000000001" customHeight="1">
      <c r="A125" s="173"/>
      <c r="B125" s="179" t="s">
        <v>1056</v>
      </c>
      <c r="C125" s="173"/>
      <c r="D125" s="173"/>
      <c r="E125" s="173"/>
      <c r="F125" s="180">
        <f>SUM(F114:F124)</f>
        <v>102410062</v>
      </c>
      <c r="G125" s="121">
        <f t="shared" ref="G125:Q125" si="15">SUM(G114:G124)</f>
        <v>2945508</v>
      </c>
      <c r="H125" s="121">
        <f t="shared" si="15"/>
        <v>4880382</v>
      </c>
      <c r="I125" s="121">
        <f t="shared" si="15"/>
        <v>107290444</v>
      </c>
      <c r="J125" s="121">
        <f t="shared" si="15"/>
        <v>104161251</v>
      </c>
      <c r="K125" s="121">
        <f t="shared" si="15"/>
        <v>2660508</v>
      </c>
      <c r="L125" s="121">
        <f t="shared" si="15"/>
        <v>5266965.75</v>
      </c>
      <c r="M125" s="121">
        <f t="shared" si="15"/>
        <v>109428216.75</v>
      </c>
      <c r="N125" s="121">
        <f t="shared" si="15"/>
        <v>-1751189</v>
      </c>
      <c r="O125" s="121">
        <f t="shared" si="15"/>
        <v>285000</v>
      </c>
      <c r="P125" s="121">
        <f t="shared" si="15"/>
        <v>-386583.75</v>
      </c>
      <c r="Q125" s="121">
        <f t="shared" si="15"/>
        <v>-2137772.75</v>
      </c>
    </row>
    <row r="126" spans="1:17" s="175" customFormat="1" ht="20.100000000000001" customHeight="1">
      <c r="A126" s="176"/>
      <c r="B126" s="179" t="s">
        <v>1057</v>
      </c>
      <c r="C126" s="176"/>
      <c r="D126" s="176"/>
      <c r="E126" s="176"/>
      <c r="F126" s="121">
        <f t="shared" ref="F126:Q126" si="16">SUM(F125,F113,F97,F87,F74,F57,F37,F16,F9)</f>
        <v>1320730862</v>
      </c>
      <c r="G126" s="121">
        <f t="shared" si="16"/>
        <v>34691780</v>
      </c>
      <c r="H126" s="121">
        <f t="shared" si="16"/>
        <v>63302302.130000003</v>
      </c>
      <c r="I126" s="121">
        <f t="shared" si="16"/>
        <v>1384033164.1300001</v>
      </c>
      <c r="J126" s="121">
        <f t="shared" si="16"/>
        <v>1334440417</v>
      </c>
      <c r="K126" s="121">
        <f t="shared" si="16"/>
        <v>31421278</v>
      </c>
      <c r="L126" s="121">
        <f t="shared" si="16"/>
        <v>71337944.200000003</v>
      </c>
      <c r="M126" s="121">
        <f t="shared" si="16"/>
        <v>1405778361.2</v>
      </c>
      <c r="N126" s="121">
        <f t="shared" si="16"/>
        <v>-13709555</v>
      </c>
      <c r="O126" s="121">
        <f t="shared" si="16"/>
        <v>3270502</v>
      </c>
      <c r="P126" s="121">
        <f t="shared" si="16"/>
        <v>-8035642.0700000003</v>
      </c>
      <c r="Q126" s="121">
        <f t="shared" si="16"/>
        <v>-21745197.070000004</v>
      </c>
    </row>
    <row r="127" spans="1:17">
      <c r="M127" s="182"/>
    </row>
  </sheetData>
  <mergeCells count="9">
    <mergeCell ref="A1:Q1"/>
    <mergeCell ref="A2:A3"/>
    <mergeCell ref="B2:B3"/>
    <mergeCell ref="C2:C3"/>
    <mergeCell ref="D2:D3"/>
    <mergeCell ref="E2:E3"/>
    <mergeCell ref="F2:I2"/>
    <mergeCell ref="J2:M2"/>
    <mergeCell ref="N2:Q2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33</vt:i4>
      </vt:variant>
      <vt:variant>
        <vt:lpstr>命名范围</vt:lpstr>
      </vt:variant>
      <vt:variant>
        <vt:i4>46</vt:i4>
      </vt:variant>
    </vt:vector>
  </HeadingPairs>
  <TitlesOfParts>
    <vt:vector size="79" baseType="lpstr">
      <vt:lpstr>基本支出</vt:lpstr>
      <vt:lpstr>莘庄</vt:lpstr>
      <vt:lpstr>吴泾</vt:lpstr>
      <vt:lpstr>七宝</vt:lpstr>
      <vt:lpstr>马桥</vt:lpstr>
      <vt:lpstr>华漕</vt:lpstr>
      <vt:lpstr>颛桥</vt:lpstr>
      <vt:lpstr>虹桥</vt:lpstr>
      <vt:lpstr>清算2024年绩效</vt:lpstr>
      <vt:lpstr>2024年绩效增量</vt:lpstr>
      <vt:lpstr>补缴年金</vt:lpstr>
      <vt:lpstr>残疾就业保障</vt:lpstr>
      <vt:lpstr>社区教育</vt:lpstr>
      <vt:lpstr>保安经费</vt:lpstr>
      <vt:lpstr>补充公用经费</vt:lpstr>
      <vt:lpstr>清算补充公用经费</vt:lpstr>
      <vt:lpstr>Sheet1</vt:lpstr>
      <vt:lpstr>抚恤金</vt:lpstr>
      <vt:lpstr>中小学教育补充</vt:lpstr>
      <vt:lpstr>2025年设备购置与更新</vt:lpstr>
      <vt:lpstr>附件龙柏一幼细化表</vt:lpstr>
      <vt:lpstr>附件启英宝盛细化表</vt:lpstr>
      <vt:lpstr>附件实验幼儿园细化表</vt:lpstr>
      <vt:lpstr>附件田外初中细化表</vt:lpstr>
      <vt:lpstr>2025年校舍维修</vt:lpstr>
      <vt:lpstr>北桥中学应急维修</vt:lpstr>
      <vt:lpstr>晶城中学应急维修</vt:lpstr>
      <vt:lpstr>2024年校舍维修尾款</vt:lpstr>
      <vt:lpstr>保安经费追加</vt:lpstr>
      <vt:lpstr>颛桥镇</vt:lpstr>
      <vt:lpstr>扩班设备</vt:lpstr>
      <vt:lpstr>教育学院</vt:lpstr>
      <vt:lpstr>党建经费</vt:lpstr>
      <vt:lpstr>'2024年校舍维修尾款'!Print_Area</vt:lpstr>
      <vt:lpstr>'2025年设备购置与更新'!Print_Area</vt:lpstr>
      <vt:lpstr>'2025年校舍维修'!Print_Area</vt:lpstr>
      <vt:lpstr>保安经费!Print_Area</vt:lpstr>
      <vt:lpstr>保安经费追加!Print_Area</vt:lpstr>
      <vt:lpstr>北桥中学应急维修!Print_Area</vt:lpstr>
      <vt:lpstr>补充公用经费!Print_Area</vt:lpstr>
      <vt:lpstr>残疾就业保障!Print_Area</vt:lpstr>
      <vt:lpstr>附件龙柏一幼细化表!Print_Area</vt:lpstr>
      <vt:lpstr>附件启英宝盛细化表!Print_Area</vt:lpstr>
      <vt:lpstr>附件实验幼儿园细化表!Print_Area</vt:lpstr>
      <vt:lpstr>附件田外初中细化表!Print_Area</vt:lpstr>
      <vt:lpstr>虹桥!Print_Area</vt:lpstr>
      <vt:lpstr>华漕!Print_Area</vt:lpstr>
      <vt:lpstr>基本支出!Print_Area</vt:lpstr>
      <vt:lpstr>晶城中学应急维修!Print_Area</vt:lpstr>
      <vt:lpstr>扩班设备!Print_Area</vt:lpstr>
      <vt:lpstr>马桥!Print_Area</vt:lpstr>
      <vt:lpstr>七宝!Print_Area</vt:lpstr>
      <vt:lpstr>社区教育!Print_Area</vt:lpstr>
      <vt:lpstr>莘庄!Print_Area</vt:lpstr>
      <vt:lpstr>吴泾!Print_Area</vt:lpstr>
      <vt:lpstr>中小学教育补充!Print_Area</vt:lpstr>
      <vt:lpstr>颛桥!Print_Area</vt:lpstr>
      <vt:lpstr>'2024年校舍维修尾款'!Print_Titles</vt:lpstr>
      <vt:lpstr>'2025年设备购置与更新'!Print_Titles</vt:lpstr>
      <vt:lpstr>'2025年校舍维修'!Print_Titles</vt:lpstr>
      <vt:lpstr>保安经费!Print_Titles</vt:lpstr>
      <vt:lpstr>保安经费追加!Print_Titles</vt:lpstr>
      <vt:lpstr>北桥中学应急维修!Print_Titles</vt:lpstr>
      <vt:lpstr>补充公用经费!Print_Titles</vt:lpstr>
      <vt:lpstr>残疾就业保障!Print_Titles</vt:lpstr>
      <vt:lpstr>附件龙柏一幼细化表!Print_Titles</vt:lpstr>
      <vt:lpstr>附件启英宝盛细化表!Print_Titles</vt:lpstr>
      <vt:lpstr>附件实验幼儿园细化表!Print_Titles</vt:lpstr>
      <vt:lpstr>虹桥!Print_Titles</vt:lpstr>
      <vt:lpstr>华漕!Print_Titles</vt:lpstr>
      <vt:lpstr>基本支出!Print_Titles</vt:lpstr>
      <vt:lpstr>晶城中学应急维修!Print_Titles</vt:lpstr>
      <vt:lpstr>扩班设备!Print_Titles</vt:lpstr>
      <vt:lpstr>马桥!Print_Titles</vt:lpstr>
      <vt:lpstr>七宝!Print_Titles</vt:lpstr>
      <vt:lpstr>莘庄!Print_Titles</vt:lpstr>
      <vt:lpstr>吴泾!Print_Titles</vt:lpstr>
      <vt:lpstr>中小学教育补充!Print_Titles</vt:lpstr>
      <vt:lpstr>颛桥!Print_Titles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孟爱红</dc:creator>
  <cp:lastModifiedBy>黄雅雯</cp:lastModifiedBy>
  <cp:lastPrinted>2025-06-26T07:07:50Z</cp:lastPrinted>
  <dcterms:created xsi:type="dcterms:W3CDTF">2022-11-10T02:18:00Z</dcterms:created>
  <dcterms:modified xsi:type="dcterms:W3CDTF">2025-07-08T06:13:45Z</dcterms:modified>
</cp:coreProperties>
</file>