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59" activeTab="59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（补充）" sheetId="91" state="hidden" r:id="rId30"/>
    <sheet name="扩班设备" sheetId="83" state="hidden" r:id="rId31"/>
    <sheet name="华漕镇06-02地块设备" sheetId="90" state="hidden" r:id="rId32"/>
    <sheet name="塘湾小学维修" sheetId="84" state="hidden" r:id="rId33"/>
    <sheet name="启英宝盛茂盛分园维修" sheetId="85" state="hidden" r:id="rId34"/>
    <sheet name="龙柏一幼雨林分园维修" sheetId="86" state="hidden" r:id="rId35"/>
    <sheet name="实验幼儿园群英分园维修" sheetId="87" state="hidden" r:id="rId36"/>
    <sheet name="上虹中学维修" sheetId="89" state="hidden" r:id="rId37"/>
    <sheet name="教育学院" sheetId="82" state="hidden" r:id="rId38"/>
    <sheet name="党建经费" sheetId="88" state="hidden" r:id="rId39"/>
    <sheet name="学前科（补充）" sheetId="92" state="hidden" r:id="rId40"/>
    <sheet name="普教一科（补充）" sheetId="93" state="hidden" r:id="rId41"/>
    <sheet name="基本支出调整" sheetId="103" state="hidden" r:id="rId42"/>
    <sheet name="莘庄基本支出调整" sheetId="94" state="hidden" r:id="rId43"/>
    <sheet name="吴泾基本支出调整" sheetId="95" state="hidden" r:id="rId44"/>
    <sheet name="七宝基本支出调整" sheetId="96" state="hidden" r:id="rId45"/>
    <sheet name="浦江基本支出调整" sheetId="97" state="hidden" r:id="rId46"/>
    <sheet name="梅陇基本支出调整" sheetId="98" state="hidden" r:id="rId47"/>
    <sheet name="马桥基本支出调整" sheetId="99" state="hidden" r:id="rId48"/>
    <sheet name="华漕基本支出调整" sheetId="100" state="hidden" r:id="rId49"/>
    <sheet name="颛桥基本支出调整" sheetId="101" state="hidden" r:id="rId50"/>
    <sheet name="虹桥基本支出调整" sheetId="102" state="hidden" r:id="rId51"/>
    <sheet name="社区教育调整" sheetId="107" state="hidden" r:id="rId52"/>
    <sheet name="补充公用经费调整" sheetId="104" state="hidden" r:id="rId53"/>
    <sheet name="残疾人保障金调整" sheetId="105" state="hidden" r:id="rId54"/>
    <sheet name="抚恤金调整" sheetId="106" state="hidden" r:id="rId55"/>
    <sheet name="2025年镇级维修尾款清算" sheetId="108" state="hidden" r:id="rId56"/>
    <sheet name="普教二科调整" sheetId="111" state="hidden" r:id="rId57"/>
    <sheet name="储备教师" sheetId="112" state="hidden" r:id="rId58"/>
    <sheet name="普教二科学区化集团化" sheetId="113" state="hidden" r:id="rId59"/>
    <sheet name="浦江镇" sheetId="115" r:id="rId60"/>
    <sheet name="补充公用经费课后延时清算" sheetId="114" r:id="rId61"/>
  </sheets>
  <externalReferences>
    <externalReference r:id="rId62"/>
    <externalReference r:id="rId63"/>
  </externalReference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52" hidden="1">补充公用经费调整!$A$4:$AV$115</definedName>
    <definedName name="_xlnm._FilterDatabase" localSheetId="11" hidden="1">残疾就业保障!$A$2:$E$122</definedName>
    <definedName name="_xlnm._FilterDatabase" localSheetId="38" hidden="1">党建经费!$A$2:$D$105</definedName>
    <definedName name="_xlnm._FilterDatabase" localSheetId="30" hidden="1">扩班设备!$A$2:$K$389</definedName>
    <definedName name="_xlnm._FilterDatabase" localSheetId="56" hidden="1">普教二科调整!$A$3:$N$107</definedName>
    <definedName name="_xlnm._FilterDatabase" localSheetId="40" hidden="1">'普教一科（补充）'!$A$2:$AN$39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55">'2025年镇级维修尾款清算'!$A$1:$K$87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52">补充公用经费调整!$A$1:$AW$115</definedName>
    <definedName name="_xlnm.Print_Area" localSheetId="11">残疾就业保障!$A$1:$E$122</definedName>
    <definedName name="_xlnm.Print_Area" localSheetId="53">残疾人保障金调整!$A$1:$G$125</definedName>
    <definedName name="_xlnm.Print_Area" localSheetId="54">抚恤金调整!$A$1:$G$38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0">虹桥基本支出调整!$A$1:$Q$75</definedName>
    <definedName name="_xlnm.Print_Area" localSheetId="5">华漕!$A$1:$O$72</definedName>
    <definedName name="_xlnm.Print_Area" localSheetId="48">华漕基本支出调整!$A$1:$O$75</definedName>
    <definedName name="_xlnm.Print_Area" localSheetId="31">'华漕镇06-02地块设备'!$A$1:$L$168</definedName>
    <definedName name="_xlnm.Print_Area" localSheetId="0">基本支出!$A$1:$N$71</definedName>
    <definedName name="_xlnm.Print_Area" localSheetId="41">基本支出调整!$B$2:$Q$75</definedName>
    <definedName name="_xlnm.Print_Area" localSheetId="26">晶城中学应急维修!$A$1:$K$18</definedName>
    <definedName name="_xlnm.Print_Area" localSheetId="30">扩班设备!$A$1:$K$391</definedName>
    <definedName name="_xlnm.Print_Area" localSheetId="29">'扩班设备（补充）'!$A$1:$K$16</definedName>
    <definedName name="_xlnm.Print_Area" localSheetId="34">龙柏一幼雨林分园维修!$A$1:$M$57</definedName>
    <definedName name="_xlnm.Print_Area" localSheetId="4">马桥!$A$1:$Q$72</definedName>
    <definedName name="_xlnm.Print_Area" localSheetId="47">马桥基本支出调整!$A$1:$R$75</definedName>
    <definedName name="_xlnm.Print_Area" localSheetId="46">梅陇基本支出调整!$A$1:$V$75</definedName>
    <definedName name="_xlnm.Print_Area" localSheetId="45">浦江基本支出调整!$A$1:$Y$75</definedName>
    <definedName name="_xlnm.Print_Area" localSheetId="56">普教二科调整!$A$2:$N$108</definedName>
    <definedName name="_xlnm.Print_Area" localSheetId="40">'普教一科（补充）'!$A$1:$I$39</definedName>
    <definedName name="_xlnm.Print_Area" localSheetId="3">七宝!$A$1:$Y$72</definedName>
    <definedName name="_xlnm.Print_Area" localSheetId="44">七宝基本支出调整!$A$1:$Z$75</definedName>
    <definedName name="_xlnm.Print_Area" localSheetId="33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42">莘庄基本支出调整!$A$1:$K$75</definedName>
    <definedName name="_xlnm.Print_Area" localSheetId="35">实验幼儿园群英分园维修!$A$1:$O$64</definedName>
    <definedName name="_xlnm.Print_Area" localSheetId="32">塘湾小学维修!$A$1:$O$55</definedName>
    <definedName name="_xlnm.Print_Area" localSheetId="2">吴泾!$A$1:$K$72</definedName>
    <definedName name="_xlnm.Print_Area" localSheetId="43">吴泾基本支出调整!$A$1:$K$75</definedName>
    <definedName name="_xlnm.Print_Area" localSheetId="18">中小学教育补充!$A$1:$J$126</definedName>
    <definedName name="_xlnm.Print_Area" localSheetId="6">颛桥!$A$1:$T$72</definedName>
    <definedName name="_xlnm.Print_Area" localSheetId="49">颛桥基本支出调整!$A$1:$U$75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55">'2025年镇级维修尾款清算'!$1:$3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52">补充公用经费调整!$1:$4</definedName>
    <definedName name="_xlnm.Print_Titles" localSheetId="11">残疾就业保障!$1:$2</definedName>
    <definedName name="_xlnm.Print_Titles" localSheetId="53">残疾人保障金调整!$1:$3</definedName>
    <definedName name="_xlnm.Print_Titles" localSheetId="54">抚恤金调整!$1:$3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0">虹桥基本支出调整!$1:$4</definedName>
    <definedName name="_xlnm.Print_Titles" localSheetId="5">华漕!$1:$3</definedName>
    <definedName name="_xlnm.Print_Titles" localSheetId="48">华漕基本支出调整!$1:$4</definedName>
    <definedName name="_xlnm.Print_Titles" localSheetId="31">'华漕镇06-02地块设备'!$1:$2</definedName>
    <definedName name="_xlnm.Print_Titles" localSheetId="0">基本支出!$1:$2</definedName>
    <definedName name="_xlnm.Print_Titles" localSheetId="41">基本支出调整!$1:$4</definedName>
    <definedName name="_xlnm.Print_Titles" localSheetId="26">晶城中学应急维修!$1:$2</definedName>
    <definedName name="_xlnm.Print_Titles" localSheetId="30">扩班设备!$1:$2</definedName>
    <definedName name="_xlnm.Print_Titles" localSheetId="34">龙柏一幼雨林分园维修!$1:$3</definedName>
    <definedName name="_xlnm.Print_Titles" localSheetId="4">马桥!$1:$3</definedName>
    <definedName name="_xlnm.Print_Titles" localSheetId="47">马桥基本支出调整!$1:$4</definedName>
    <definedName name="_xlnm.Print_Titles" localSheetId="46">梅陇基本支出调整!$1:$4</definedName>
    <definedName name="_xlnm.Print_Titles" localSheetId="45">浦江基本支出调整!$1:$4</definedName>
    <definedName name="_xlnm.Print_Titles" localSheetId="56">普教二科调整!$1:$5</definedName>
    <definedName name="_xlnm.Print_Titles" localSheetId="40">'普教一科（补充）'!$1:$2</definedName>
    <definedName name="_xlnm.Print_Titles" localSheetId="3">七宝!$1:$3</definedName>
    <definedName name="_xlnm.Print_Titles" localSheetId="44">七宝基本支出调整!$1:$4</definedName>
    <definedName name="_xlnm.Print_Titles" localSheetId="33">启英宝盛茂盛分园维修!$1:$3</definedName>
    <definedName name="_xlnm.Print_Titles" localSheetId="1">莘庄!$1:$3</definedName>
    <definedName name="_xlnm.Print_Titles" localSheetId="42">莘庄基本支出调整!$1:$4</definedName>
    <definedName name="_xlnm.Print_Titles" localSheetId="35">实验幼儿园群英分园维修!$1:$4</definedName>
    <definedName name="_xlnm.Print_Titles" localSheetId="32">塘湾小学维修!$1:$3</definedName>
    <definedName name="_xlnm.Print_Titles" localSheetId="2">吴泾!$1:$3</definedName>
    <definedName name="_xlnm.Print_Titles" localSheetId="43">吴泾基本支出调整!$1:$4</definedName>
    <definedName name="_xlnm.Print_Titles" localSheetId="18">中小学教育补充!$1:$2</definedName>
    <definedName name="_xlnm.Print_Titles" localSheetId="6">颛桥!$1:$3</definedName>
    <definedName name="_xlnm.Print_Titles" localSheetId="49">颛桥基本支出调整!$1:$4</definedName>
  </definedNames>
  <calcPr calcId="124519"/>
</workbook>
</file>

<file path=xl/calcChain.xml><?xml version="1.0" encoding="utf-8"?>
<calcChain xmlns="http://schemas.openxmlformats.org/spreadsheetml/2006/main">
  <c r="C4" i="115"/>
  <c r="C5" s="1"/>
  <c r="D14" i="114" l="1"/>
  <c r="C14"/>
  <c r="E13"/>
  <c r="E12"/>
  <c r="E11"/>
  <c r="E10"/>
  <c r="E9"/>
  <c r="E8"/>
  <c r="E7"/>
  <c r="E6"/>
  <c r="E5"/>
  <c r="E4"/>
  <c r="E14" l="1"/>
  <c r="AX115" i="104" l="1"/>
  <c r="AY115"/>
  <c r="AZ115"/>
  <c r="AX114"/>
  <c r="AY114"/>
  <c r="AZ114"/>
  <c r="AX99"/>
  <c r="AY99"/>
  <c r="AZ99"/>
  <c r="AX94"/>
  <c r="AY94"/>
  <c r="AZ94"/>
  <c r="AX90"/>
  <c r="AY90"/>
  <c r="AZ90"/>
  <c r="AX71"/>
  <c r="AY71"/>
  <c r="AZ71"/>
  <c r="AX52"/>
  <c r="AY52"/>
  <c r="AZ52"/>
  <c r="AX36"/>
  <c r="AY36"/>
  <c r="AZ36"/>
  <c r="AX24"/>
  <c r="AY24"/>
  <c r="AZ24"/>
  <c r="AX15"/>
  <c r="AY15"/>
  <c r="AZ15"/>
  <c r="I5"/>
  <c r="N5"/>
  <c r="O5"/>
  <c r="P5"/>
  <c r="Q5"/>
  <c r="R5"/>
  <c r="S5" s="1"/>
  <c r="X5"/>
  <c r="AC5"/>
  <c r="AD5"/>
  <c r="AE5"/>
  <c r="AF5"/>
  <c r="AG5"/>
  <c r="AH5"/>
  <c r="AM5" s="1"/>
  <c r="AI5"/>
  <c r="AJ5"/>
  <c r="AK5"/>
  <c r="AL5"/>
  <c r="AQ5"/>
  <c r="AT5"/>
  <c r="AU5"/>
  <c r="AW5" s="1"/>
  <c r="I6"/>
  <c r="N6"/>
  <c r="O6"/>
  <c r="P6"/>
  <c r="Q6"/>
  <c r="R6"/>
  <c r="S6"/>
  <c r="X6"/>
  <c r="AC6"/>
  <c r="AF6" s="1"/>
  <c r="AD6"/>
  <c r="AE6"/>
  <c r="AG6"/>
  <c r="AI6"/>
  <c r="AJ6"/>
  <c r="AK6"/>
  <c r="AQ6"/>
  <c r="AU6" s="1"/>
  <c r="AT6"/>
  <c r="I7"/>
  <c r="N7"/>
  <c r="O7"/>
  <c r="P7"/>
  <c r="S7" s="1"/>
  <c r="Q7"/>
  <c r="R7"/>
  <c r="X7"/>
  <c r="AC7"/>
  <c r="AE7" s="1"/>
  <c r="AD7"/>
  <c r="AF7"/>
  <c r="AG7"/>
  <c r="AH7"/>
  <c r="AJ7"/>
  <c r="AK7"/>
  <c r="AL7"/>
  <c r="AQ7"/>
  <c r="AU7" s="1"/>
  <c r="AW7" s="1"/>
  <c r="AT7"/>
  <c r="I8"/>
  <c r="N8"/>
  <c r="N15" s="1"/>
  <c r="O8"/>
  <c r="P8"/>
  <c r="Q8"/>
  <c r="S8" s="1"/>
  <c r="R8"/>
  <c r="R15" s="1"/>
  <c r="X8"/>
  <c r="AC8"/>
  <c r="AE8" s="1"/>
  <c r="AD8"/>
  <c r="AD15" s="1"/>
  <c r="AG8"/>
  <c r="AJ8"/>
  <c r="AK8"/>
  <c r="AQ8"/>
  <c r="AT8"/>
  <c r="AT15" s="1"/>
  <c r="AU8"/>
  <c r="AW8"/>
  <c r="I9"/>
  <c r="N9"/>
  <c r="O9"/>
  <c r="P9"/>
  <c r="S9" s="1"/>
  <c r="Q9"/>
  <c r="R9"/>
  <c r="X9"/>
  <c r="AC9"/>
  <c r="AD9"/>
  <c r="AM9" s="1"/>
  <c r="AE9"/>
  <c r="AF9"/>
  <c r="AG9"/>
  <c r="AH9"/>
  <c r="AI9"/>
  <c r="AJ9"/>
  <c r="AK9"/>
  <c r="AL9"/>
  <c r="AQ9"/>
  <c r="AT9"/>
  <c r="AU9"/>
  <c r="AW9" s="1"/>
  <c r="I10"/>
  <c r="N10"/>
  <c r="O10"/>
  <c r="P10"/>
  <c r="Q10"/>
  <c r="R10"/>
  <c r="S10"/>
  <c r="X10"/>
  <c r="AC10"/>
  <c r="AF10" s="1"/>
  <c r="AD10"/>
  <c r="AE10"/>
  <c r="AG10"/>
  <c r="AI10"/>
  <c r="AJ10"/>
  <c r="AK10"/>
  <c r="AQ10"/>
  <c r="AU10" s="1"/>
  <c r="AW10" s="1"/>
  <c r="AT10"/>
  <c r="I11"/>
  <c r="N11"/>
  <c r="O11"/>
  <c r="P11"/>
  <c r="S11" s="1"/>
  <c r="Q11"/>
  <c r="R11"/>
  <c r="X11"/>
  <c r="AC11"/>
  <c r="AE11" s="1"/>
  <c r="AD11"/>
  <c r="AF11"/>
  <c r="AG11"/>
  <c r="AH11"/>
  <c r="AJ11"/>
  <c r="AK11"/>
  <c r="AL11"/>
  <c r="AQ11"/>
  <c r="AU11" s="1"/>
  <c r="AW11" s="1"/>
  <c r="AT11"/>
  <c r="I12"/>
  <c r="N12"/>
  <c r="O12"/>
  <c r="P12"/>
  <c r="Q12"/>
  <c r="S12" s="1"/>
  <c r="R12"/>
  <c r="X12"/>
  <c r="AC12"/>
  <c r="AE12" s="1"/>
  <c r="AD12"/>
  <c r="AG12"/>
  <c r="AH12"/>
  <c r="AJ12"/>
  <c r="AK12"/>
  <c r="AQ12"/>
  <c r="AT12"/>
  <c r="AU12"/>
  <c r="AW12"/>
  <c r="I13"/>
  <c r="N13"/>
  <c r="O13"/>
  <c r="P13"/>
  <c r="S13" s="1"/>
  <c r="Q13"/>
  <c r="R13"/>
  <c r="X13"/>
  <c r="AC13"/>
  <c r="AD13"/>
  <c r="AM13" s="1"/>
  <c r="AE13"/>
  <c r="AF13"/>
  <c r="AG13"/>
  <c r="AH13"/>
  <c r="AI13"/>
  <c r="AJ13"/>
  <c r="AK13"/>
  <c r="AL13"/>
  <c r="AQ13"/>
  <c r="AT13"/>
  <c r="AU13"/>
  <c r="AW13" s="1"/>
  <c r="I14"/>
  <c r="N14"/>
  <c r="O14"/>
  <c r="P14"/>
  <c r="Q14"/>
  <c r="R14"/>
  <c r="S14"/>
  <c r="X14"/>
  <c r="AC14"/>
  <c r="AF14" s="1"/>
  <c r="AD14"/>
  <c r="AE14"/>
  <c r="AG14"/>
  <c r="AI14"/>
  <c r="AJ14"/>
  <c r="AK14"/>
  <c r="AQ14"/>
  <c r="AU14" s="1"/>
  <c r="AW14" s="1"/>
  <c r="AT14"/>
  <c r="D15"/>
  <c r="E15"/>
  <c r="F15"/>
  <c r="G15"/>
  <c r="H15"/>
  <c r="I15"/>
  <c r="J15"/>
  <c r="K15"/>
  <c r="L15"/>
  <c r="M15"/>
  <c r="O15"/>
  <c r="P15"/>
  <c r="Q15"/>
  <c r="T15"/>
  <c r="U15"/>
  <c r="V15"/>
  <c r="W15"/>
  <c r="X15"/>
  <c r="Y15"/>
  <c r="Z15"/>
  <c r="AA15"/>
  <c r="AB15"/>
  <c r="AC15"/>
  <c r="AG15"/>
  <c r="AJ15"/>
  <c r="AK15"/>
  <c r="AN15"/>
  <c r="AO15"/>
  <c r="AP15"/>
  <c r="AQ15"/>
  <c r="AR15"/>
  <c r="AS15"/>
  <c r="AV15"/>
  <c r="I16"/>
  <c r="N16"/>
  <c r="O16"/>
  <c r="P16"/>
  <c r="Q16"/>
  <c r="Q24" s="1"/>
  <c r="R16"/>
  <c r="X16"/>
  <c r="AC16"/>
  <c r="AE16" s="1"/>
  <c r="AD16"/>
  <c r="AF16"/>
  <c r="AG16"/>
  <c r="AH16"/>
  <c r="AJ16"/>
  <c r="AK16"/>
  <c r="AL16"/>
  <c r="AQ16"/>
  <c r="AT16"/>
  <c r="AU16"/>
  <c r="AW16" s="1"/>
  <c r="I17"/>
  <c r="N17"/>
  <c r="O17"/>
  <c r="P17"/>
  <c r="Q17"/>
  <c r="R17"/>
  <c r="S17"/>
  <c r="X17"/>
  <c r="AC17"/>
  <c r="AH17" s="1"/>
  <c r="AD17"/>
  <c r="AE17"/>
  <c r="AG17"/>
  <c r="AJ17"/>
  <c r="AQ17"/>
  <c r="AU17" s="1"/>
  <c r="AT17"/>
  <c r="I18"/>
  <c r="N18"/>
  <c r="O18"/>
  <c r="P18"/>
  <c r="Q18"/>
  <c r="R18"/>
  <c r="X18"/>
  <c r="AC18"/>
  <c r="AH18" s="1"/>
  <c r="AD18"/>
  <c r="AF18"/>
  <c r="AG18"/>
  <c r="AJ18"/>
  <c r="AK18"/>
  <c r="AL18"/>
  <c r="AQ18"/>
  <c r="AU18" s="1"/>
  <c r="AW18" s="1"/>
  <c r="AT18"/>
  <c r="I19"/>
  <c r="N19"/>
  <c r="O19"/>
  <c r="P19"/>
  <c r="Q19"/>
  <c r="S19" s="1"/>
  <c r="R19"/>
  <c r="X19"/>
  <c r="AC19"/>
  <c r="AE19" s="1"/>
  <c r="AD19"/>
  <c r="AG19"/>
  <c r="AJ19"/>
  <c r="AK19"/>
  <c r="AQ19"/>
  <c r="AU19" s="1"/>
  <c r="AW19" s="1"/>
  <c r="AT19"/>
  <c r="I20"/>
  <c r="N20"/>
  <c r="O20"/>
  <c r="P20"/>
  <c r="Q20"/>
  <c r="R20"/>
  <c r="X20"/>
  <c r="AC20"/>
  <c r="AD20"/>
  <c r="AE20"/>
  <c r="AF20"/>
  <c r="AG20"/>
  <c r="AH20"/>
  <c r="AI20"/>
  <c r="AJ20"/>
  <c r="AK20"/>
  <c r="AL20"/>
  <c r="AQ20"/>
  <c r="AU20" s="1"/>
  <c r="AW20" s="1"/>
  <c r="AT20"/>
  <c r="I21"/>
  <c r="N21"/>
  <c r="O21"/>
  <c r="P21"/>
  <c r="Q21"/>
  <c r="S21" s="1"/>
  <c r="R21"/>
  <c r="X21"/>
  <c r="AC21"/>
  <c r="AF21" s="1"/>
  <c r="AD21"/>
  <c r="AH21"/>
  <c r="AJ21"/>
  <c r="AQ21"/>
  <c r="AU21" s="1"/>
  <c r="AW21" s="1"/>
  <c r="AT21"/>
  <c r="I22"/>
  <c r="N22"/>
  <c r="O22"/>
  <c r="O24" s="1"/>
  <c r="P22"/>
  <c r="Q22"/>
  <c r="R22"/>
  <c r="X22"/>
  <c r="AC22"/>
  <c r="AE22" s="1"/>
  <c r="AD22"/>
  <c r="AG22"/>
  <c r="AH22"/>
  <c r="AJ22"/>
  <c r="AL22"/>
  <c r="AQ22"/>
  <c r="AU22" s="1"/>
  <c r="AW22" s="1"/>
  <c r="AT22"/>
  <c r="I23"/>
  <c r="N23"/>
  <c r="N24" s="1"/>
  <c r="O23"/>
  <c r="P23"/>
  <c r="Q23"/>
  <c r="R23"/>
  <c r="X23"/>
  <c r="AC23"/>
  <c r="AE23" s="1"/>
  <c r="AD23"/>
  <c r="AG23"/>
  <c r="AJ23"/>
  <c r="AK23"/>
  <c r="AQ23"/>
  <c r="AT23"/>
  <c r="AT24" s="1"/>
  <c r="AU23"/>
  <c r="AW23"/>
  <c r="D24"/>
  <c r="E24"/>
  <c r="F24"/>
  <c r="G24"/>
  <c r="H24"/>
  <c r="I24"/>
  <c r="J24"/>
  <c r="K24"/>
  <c r="L24"/>
  <c r="M24"/>
  <c r="R24"/>
  <c r="T24"/>
  <c r="U24"/>
  <c r="V24"/>
  <c r="W24"/>
  <c r="Y24"/>
  <c r="Z24"/>
  <c r="AA24"/>
  <c r="AB24"/>
  <c r="AD24"/>
  <c r="AN24"/>
  <c r="AO24"/>
  <c r="AP24"/>
  <c r="AQ24"/>
  <c r="AR24"/>
  <c r="AS24"/>
  <c r="AV24"/>
  <c r="I26"/>
  <c r="N26"/>
  <c r="O26"/>
  <c r="P26"/>
  <c r="Q26"/>
  <c r="R26"/>
  <c r="X26"/>
  <c r="AC26"/>
  <c r="AE26" s="1"/>
  <c r="AD26"/>
  <c r="AG26"/>
  <c r="AJ26"/>
  <c r="AK26"/>
  <c r="AQ26"/>
  <c r="AU26" s="1"/>
  <c r="AW26" s="1"/>
  <c r="AT26"/>
  <c r="I27"/>
  <c r="N27"/>
  <c r="O27"/>
  <c r="P27"/>
  <c r="S27" s="1"/>
  <c r="Q27"/>
  <c r="R27"/>
  <c r="X27"/>
  <c r="AC27"/>
  <c r="AE27" s="1"/>
  <c r="AD27"/>
  <c r="AJ27"/>
  <c r="AQ27"/>
  <c r="AU27" s="1"/>
  <c r="AW27" s="1"/>
  <c r="AT27"/>
  <c r="I28"/>
  <c r="N28"/>
  <c r="O28"/>
  <c r="P28"/>
  <c r="Q28"/>
  <c r="R28"/>
  <c r="X28"/>
  <c r="AC28"/>
  <c r="AH28" s="1"/>
  <c r="AD28"/>
  <c r="AJ28"/>
  <c r="AK28"/>
  <c r="AQ28"/>
  <c r="AU28" s="1"/>
  <c r="AW28" s="1"/>
  <c r="AT28"/>
  <c r="I29"/>
  <c r="N29"/>
  <c r="O29"/>
  <c r="P29"/>
  <c r="Q29"/>
  <c r="S29" s="1"/>
  <c r="R29"/>
  <c r="X29"/>
  <c r="AC29"/>
  <c r="AF29" s="1"/>
  <c r="AD29"/>
  <c r="AH29"/>
  <c r="AJ29"/>
  <c r="AL29"/>
  <c r="AQ29"/>
  <c r="AU29" s="1"/>
  <c r="AW29" s="1"/>
  <c r="AT29"/>
  <c r="I30"/>
  <c r="N30"/>
  <c r="O30"/>
  <c r="P30"/>
  <c r="Q30"/>
  <c r="R30"/>
  <c r="X30"/>
  <c r="AC30"/>
  <c r="AE30" s="1"/>
  <c r="AD30"/>
  <c r="AH30"/>
  <c r="AJ30"/>
  <c r="AK30"/>
  <c r="AQ30"/>
  <c r="AU30" s="1"/>
  <c r="AW30" s="1"/>
  <c r="AT30"/>
  <c r="I31"/>
  <c r="N31"/>
  <c r="O31"/>
  <c r="P31"/>
  <c r="S31" s="1"/>
  <c r="Q31"/>
  <c r="R31"/>
  <c r="X31"/>
  <c r="AC31"/>
  <c r="AF31" s="1"/>
  <c r="AD31"/>
  <c r="AJ31"/>
  <c r="AQ31"/>
  <c r="AU31" s="1"/>
  <c r="AW31" s="1"/>
  <c r="AT31"/>
  <c r="I32"/>
  <c r="N32"/>
  <c r="O32"/>
  <c r="P32"/>
  <c r="Q32"/>
  <c r="R32"/>
  <c r="X32"/>
  <c r="AC32"/>
  <c r="AF32" s="1"/>
  <c r="AD32"/>
  <c r="AH32"/>
  <c r="AJ32"/>
  <c r="AL32"/>
  <c r="AQ32"/>
  <c r="AU32" s="1"/>
  <c r="AW32" s="1"/>
  <c r="AT32"/>
  <c r="I33"/>
  <c r="N33"/>
  <c r="O33"/>
  <c r="P33"/>
  <c r="Q33"/>
  <c r="R33"/>
  <c r="X33"/>
  <c r="AC33"/>
  <c r="AF33" s="1"/>
  <c r="AD33"/>
  <c r="AH33"/>
  <c r="AJ33"/>
  <c r="AL33"/>
  <c r="AQ33"/>
  <c r="AU33" s="1"/>
  <c r="AW33" s="1"/>
  <c r="AT33"/>
  <c r="I34"/>
  <c r="N34"/>
  <c r="O34"/>
  <c r="P34"/>
  <c r="Q34"/>
  <c r="R34"/>
  <c r="X34"/>
  <c r="AC34"/>
  <c r="AE34" s="1"/>
  <c r="AD34"/>
  <c r="AF34"/>
  <c r="AH34"/>
  <c r="AJ34"/>
  <c r="AK34"/>
  <c r="AQ34"/>
  <c r="AU34" s="1"/>
  <c r="AW34" s="1"/>
  <c r="AT34"/>
  <c r="I35"/>
  <c r="N35"/>
  <c r="O35"/>
  <c r="P35"/>
  <c r="Q35"/>
  <c r="R35"/>
  <c r="X35"/>
  <c r="AC35"/>
  <c r="AF35" s="1"/>
  <c r="AD35"/>
  <c r="AJ35"/>
  <c r="AK35"/>
  <c r="AQ35"/>
  <c r="AU35" s="1"/>
  <c r="AW35" s="1"/>
  <c r="AT35"/>
  <c r="I37"/>
  <c r="N37"/>
  <c r="O37"/>
  <c r="P37"/>
  <c r="Q37"/>
  <c r="R37"/>
  <c r="X37"/>
  <c r="AC37"/>
  <c r="AF37" s="1"/>
  <c r="AD37"/>
  <c r="AH37"/>
  <c r="AJ37"/>
  <c r="AL37"/>
  <c r="AQ37"/>
  <c r="AU37" s="1"/>
  <c r="AW37" s="1"/>
  <c r="AT37"/>
  <c r="I38"/>
  <c r="N38"/>
  <c r="O38"/>
  <c r="P38"/>
  <c r="Q38"/>
  <c r="R38"/>
  <c r="X38"/>
  <c r="AC38"/>
  <c r="AH38" s="1"/>
  <c r="AD38"/>
  <c r="AJ38"/>
  <c r="AQ38"/>
  <c r="AU38" s="1"/>
  <c r="AT38"/>
  <c r="I39"/>
  <c r="N39"/>
  <c r="O39"/>
  <c r="P39"/>
  <c r="Q39"/>
  <c r="R39"/>
  <c r="X39"/>
  <c r="AC39"/>
  <c r="AH39" s="1"/>
  <c r="AD39"/>
  <c r="AG39"/>
  <c r="AJ39"/>
  <c r="AQ39"/>
  <c r="AU39" s="1"/>
  <c r="AW39" s="1"/>
  <c r="AT39"/>
  <c r="I40"/>
  <c r="N40"/>
  <c r="O40"/>
  <c r="P40"/>
  <c r="Q40"/>
  <c r="R40"/>
  <c r="X40"/>
  <c r="AC40"/>
  <c r="AE40" s="1"/>
  <c r="AD40"/>
  <c r="AJ40"/>
  <c r="AK40"/>
  <c r="AN40"/>
  <c r="AO40"/>
  <c r="AQ40" s="1"/>
  <c r="AT40"/>
  <c r="I41"/>
  <c r="N41"/>
  <c r="O41"/>
  <c r="P41"/>
  <c r="Q41"/>
  <c r="R41"/>
  <c r="X41"/>
  <c r="AC41"/>
  <c r="AE41" s="1"/>
  <c r="AD41"/>
  <c r="AJ41"/>
  <c r="AQ41"/>
  <c r="AU41" s="1"/>
  <c r="AW41" s="1"/>
  <c r="AT41"/>
  <c r="I42"/>
  <c r="N42"/>
  <c r="O42"/>
  <c r="P42"/>
  <c r="Q42"/>
  <c r="R42"/>
  <c r="X42"/>
  <c r="AC42"/>
  <c r="AE42" s="1"/>
  <c r="AD42"/>
  <c r="AJ42"/>
  <c r="AQ42"/>
  <c r="AU42" s="1"/>
  <c r="AW42" s="1"/>
  <c r="AT42"/>
  <c r="I43"/>
  <c r="N43"/>
  <c r="O43"/>
  <c r="P43"/>
  <c r="Q43"/>
  <c r="R43"/>
  <c r="X43"/>
  <c r="AC43"/>
  <c r="AE43" s="1"/>
  <c r="AD43"/>
  <c r="AJ43"/>
  <c r="AQ43"/>
  <c r="AU43" s="1"/>
  <c r="AW43" s="1"/>
  <c r="AT43"/>
  <c r="I44"/>
  <c r="N44"/>
  <c r="O44"/>
  <c r="P44"/>
  <c r="Q44"/>
  <c r="R44"/>
  <c r="X44"/>
  <c r="AC44"/>
  <c r="AF44" s="1"/>
  <c r="AD44"/>
  <c r="AG44"/>
  <c r="AI44"/>
  <c r="AJ44"/>
  <c r="AQ44"/>
  <c r="AU44" s="1"/>
  <c r="AW44" s="1"/>
  <c r="AT44"/>
  <c r="I45"/>
  <c r="N45"/>
  <c r="O45"/>
  <c r="P45"/>
  <c r="Q45"/>
  <c r="R45"/>
  <c r="X45"/>
  <c r="X52" s="1"/>
  <c r="AC45"/>
  <c r="AE45" s="1"/>
  <c r="AD45"/>
  <c r="AH45"/>
  <c r="AJ45"/>
  <c r="AL45"/>
  <c r="AQ45"/>
  <c r="AU45" s="1"/>
  <c r="AW45" s="1"/>
  <c r="AT45"/>
  <c r="I46"/>
  <c r="N46"/>
  <c r="O46"/>
  <c r="P46"/>
  <c r="Q46"/>
  <c r="R46"/>
  <c r="X46"/>
  <c r="AC46"/>
  <c r="AE46" s="1"/>
  <c r="AD46"/>
  <c r="AH46"/>
  <c r="AJ46"/>
  <c r="AQ46"/>
  <c r="AU46" s="1"/>
  <c r="AW46" s="1"/>
  <c r="AT46"/>
  <c r="I47"/>
  <c r="N47"/>
  <c r="O47"/>
  <c r="P47"/>
  <c r="Q47"/>
  <c r="R47"/>
  <c r="X47"/>
  <c r="AC47"/>
  <c r="AF47" s="1"/>
  <c r="AD47"/>
  <c r="AH47"/>
  <c r="AJ47"/>
  <c r="AK47"/>
  <c r="AQ47"/>
  <c r="AU47" s="1"/>
  <c r="AW47" s="1"/>
  <c r="AT47"/>
  <c r="I48"/>
  <c r="N48"/>
  <c r="O48"/>
  <c r="P48"/>
  <c r="Q48"/>
  <c r="R48"/>
  <c r="X48"/>
  <c r="AC48"/>
  <c r="AF48" s="1"/>
  <c r="AD48"/>
  <c r="AH48"/>
  <c r="AJ48"/>
  <c r="AQ48"/>
  <c r="AU48" s="1"/>
  <c r="AW48" s="1"/>
  <c r="AT48"/>
  <c r="I49"/>
  <c r="N49"/>
  <c r="O49"/>
  <c r="P49"/>
  <c r="Q49"/>
  <c r="R49"/>
  <c r="X49"/>
  <c r="AC49"/>
  <c r="AE49" s="1"/>
  <c r="AD49"/>
  <c r="AG49"/>
  <c r="AH49"/>
  <c r="AJ49"/>
  <c r="AL49"/>
  <c r="AQ49"/>
  <c r="AU49" s="1"/>
  <c r="AW49" s="1"/>
  <c r="AT49"/>
  <c r="I50"/>
  <c r="N50"/>
  <c r="O50"/>
  <c r="P50"/>
  <c r="Q50"/>
  <c r="R50"/>
  <c r="X50"/>
  <c r="AC50"/>
  <c r="AE50" s="1"/>
  <c r="AD50"/>
  <c r="AJ50"/>
  <c r="AQ50"/>
  <c r="AU50" s="1"/>
  <c r="AW50" s="1"/>
  <c r="AT50"/>
  <c r="I51"/>
  <c r="N51"/>
  <c r="O51"/>
  <c r="P51"/>
  <c r="Q51"/>
  <c r="R51"/>
  <c r="X51"/>
  <c r="AC51"/>
  <c r="AF51" s="1"/>
  <c r="AD51"/>
  <c r="AE51"/>
  <c r="AG51"/>
  <c r="AI51"/>
  <c r="AJ51"/>
  <c r="AK51"/>
  <c r="AQ51"/>
  <c r="AU51" s="1"/>
  <c r="AW51" s="1"/>
  <c r="AT51"/>
  <c r="D52"/>
  <c r="E52"/>
  <c r="F52"/>
  <c r="G52"/>
  <c r="H52"/>
  <c r="J52"/>
  <c r="K52"/>
  <c r="L52"/>
  <c r="M52"/>
  <c r="T52"/>
  <c r="U52"/>
  <c r="V52"/>
  <c r="W52"/>
  <c r="Y52"/>
  <c r="Z52"/>
  <c r="AA52"/>
  <c r="AB52"/>
  <c r="AN52"/>
  <c r="AP52"/>
  <c r="AR52"/>
  <c r="AS52"/>
  <c r="AV52"/>
  <c r="I54"/>
  <c r="N54"/>
  <c r="O54"/>
  <c r="P54"/>
  <c r="Q54"/>
  <c r="R54"/>
  <c r="X54"/>
  <c r="AC54"/>
  <c r="AF54" s="1"/>
  <c r="AD54"/>
  <c r="AJ54"/>
  <c r="AQ54"/>
  <c r="AT54"/>
  <c r="AU54"/>
  <c r="AW54" s="1"/>
  <c r="I55"/>
  <c r="N55"/>
  <c r="O55"/>
  <c r="P55"/>
  <c r="Q55"/>
  <c r="R55"/>
  <c r="X55"/>
  <c r="AC55"/>
  <c r="AF55" s="1"/>
  <c r="AD55"/>
  <c r="AJ55"/>
  <c r="AQ55"/>
  <c r="AU55" s="1"/>
  <c r="AW55" s="1"/>
  <c r="AT55"/>
  <c r="I56"/>
  <c r="N56"/>
  <c r="O56"/>
  <c r="P56"/>
  <c r="Q56"/>
  <c r="R56"/>
  <c r="X56"/>
  <c r="AC56"/>
  <c r="AH56" s="1"/>
  <c r="AD56"/>
  <c r="AJ56"/>
  <c r="AQ56"/>
  <c r="AU56" s="1"/>
  <c r="AW56" s="1"/>
  <c r="AT56"/>
  <c r="I57"/>
  <c r="N57"/>
  <c r="O57"/>
  <c r="P57"/>
  <c r="Q57"/>
  <c r="R57"/>
  <c r="X57"/>
  <c r="AC57"/>
  <c r="AE57" s="1"/>
  <c r="AD57"/>
  <c r="AJ57"/>
  <c r="AN57"/>
  <c r="AQ57" s="1"/>
  <c r="AU57" s="1"/>
  <c r="AW57" s="1"/>
  <c r="AT57"/>
  <c r="I58"/>
  <c r="N58"/>
  <c r="O58"/>
  <c r="P58"/>
  <c r="Q58"/>
  <c r="R58"/>
  <c r="X58"/>
  <c r="AC58"/>
  <c r="AE58" s="1"/>
  <c r="AD58"/>
  <c r="AJ58"/>
  <c r="AQ58"/>
  <c r="AU58" s="1"/>
  <c r="AW58" s="1"/>
  <c r="AT58"/>
  <c r="I59"/>
  <c r="N59"/>
  <c r="O59"/>
  <c r="P59"/>
  <c r="Q59"/>
  <c r="R59"/>
  <c r="X59"/>
  <c r="AC59"/>
  <c r="AF59" s="1"/>
  <c r="AD59"/>
  <c r="AJ59"/>
  <c r="AQ59"/>
  <c r="AU59" s="1"/>
  <c r="AW59" s="1"/>
  <c r="AT59"/>
  <c r="I60"/>
  <c r="N60"/>
  <c r="O60"/>
  <c r="P60"/>
  <c r="Q60"/>
  <c r="R60"/>
  <c r="X60"/>
  <c r="AC60"/>
  <c r="AF60" s="1"/>
  <c r="AD60"/>
  <c r="AE60"/>
  <c r="AG60"/>
  <c r="AI60"/>
  <c r="AJ60"/>
  <c r="AK60"/>
  <c r="AN60"/>
  <c r="AQ60" s="1"/>
  <c r="AU60" s="1"/>
  <c r="AW60" s="1"/>
  <c r="AT60"/>
  <c r="I61"/>
  <c r="N61"/>
  <c r="O61"/>
  <c r="P61"/>
  <c r="Q61"/>
  <c r="R61"/>
  <c r="X61"/>
  <c r="AC61"/>
  <c r="AE61" s="1"/>
  <c r="AD61"/>
  <c r="AH61"/>
  <c r="AJ61"/>
  <c r="AQ61"/>
  <c r="AU61" s="1"/>
  <c r="AW61" s="1"/>
  <c r="AT61"/>
  <c r="I62"/>
  <c r="N62"/>
  <c r="O62"/>
  <c r="P62"/>
  <c r="Q62"/>
  <c r="R62"/>
  <c r="X62"/>
  <c r="AC62"/>
  <c r="AL62" s="1"/>
  <c r="AD62"/>
  <c r="AH62"/>
  <c r="AJ62"/>
  <c r="AQ62"/>
  <c r="AU62" s="1"/>
  <c r="AW62" s="1"/>
  <c r="AT62"/>
  <c r="I63"/>
  <c r="N63"/>
  <c r="O63"/>
  <c r="P63"/>
  <c r="Q63"/>
  <c r="R63"/>
  <c r="X63"/>
  <c r="AC63"/>
  <c r="AE63" s="1"/>
  <c r="AD63"/>
  <c r="AH63"/>
  <c r="AJ63"/>
  <c r="AQ63"/>
  <c r="AU63" s="1"/>
  <c r="AW63" s="1"/>
  <c r="AT63"/>
  <c r="I64"/>
  <c r="N64"/>
  <c r="O64"/>
  <c r="P64"/>
  <c r="Q64"/>
  <c r="R64"/>
  <c r="X64"/>
  <c r="AC64"/>
  <c r="AF64" s="1"/>
  <c r="AD64"/>
  <c r="AJ64"/>
  <c r="AQ64"/>
  <c r="AU64" s="1"/>
  <c r="AW64" s="1"/>
  <c r="AT64"/>
  <c r="I65"/>
  <c r="N65"/>
  <c r="O65"/>
  <c r="P65"/>
  <c r="Q65"/>
  <c r="R65"/>
  <c r="X65"/>
  <c r="AC65"/>
  <c r="AE65" s="1"/>
  <c r="AD65"/>
  <c r="AJ65"/>
  <c r="AK65"/>
  <c r="AQ65"/>
  <c r="AU65" s="1"/>
  <c r="AW65" s="1"/>
  <c r="AT65"/>
  <c r="I66"/>
  <c r="N66"/>
  <c r="O66"/>
  <c r="P66"/>
  <c r="Q66"/>
  <c r="R66"/>
  <c r="X66"/>
  <c r="AC66"/>
  <c r="AH66" s="1"/>
  <c r="AD66"/>
  <c r="AJ66"/>
  <c r="AQ66"/>
  <c r="AU66" s="1"/>
  <c r="AW66" s="1"/>
  <c r="AT66"/>
  <c r="I67"/>
  <c r="N67"/>
  <c r="O67"/>
  <c r="P67"/>
  <c r="Q67"/>
  <c r="R67"/>
  <c r="X67"/>
  <c r="AC67"/>
  <c r="AE67" s="1"/>
  <c r="AD67"/>
  <c r="AG67"/>
  <c r="AJ67"/>
  <c r="AK67"/>
  <c r="AQ67"/>
  <c r="AU67" s="1"/>
  <c r="AW67" s="1"/>
  <c r="AT67"/>
  <c r="I68"/>
  <c r="N68"/>
  <c r="O68"/>
  <c r="P68"/>
  <c r="Q68"/>
  <c r="R68"/>
  <c r="X68"/>
  <c r="AC68"/>
  <c r="AF68" s="1"/>
  <c r="AD68"/>
  <c r="AH68"/>
  <c r="AJ68"/>
  <c r="AQ68"/>
  <c r="AU68" s="1"/>
  <c r="AW68" s="1"/>
  <c r="AT68"/>
  <c r="I69"/>
  <c r="N69"/>
  <c r="O69"/>
  <c r="P69"/>
  <c r="Q69"/>
  <c r="R69"/>
  <c r="X69"/>
  <c r="AC69"/>
  <c r="AF69" s="1"/>
  <c r="AD69"/>
  <c r="AI69"/>
  <c r="AJ69"/>
  <c r="AK69"/>
  <c r="AQ69"/>
  <c r="AU69" s="1"/>
  <c r="AW69" s="1"/>
  <c r="AT69"/>
  <c r="I70"/>
  <c r="N70"/>
  <c r="O70"/>
  <c r="P70"/>
  <c r="Q70"/>
  <c r="R70"/>
  <c r="X70"/>
  <c r="AC70"/>
  <c r="AL70" s="1"/>
  <c r="AD70"/>
  <c r="AH70"/>
  <c r="AJ70"/>
  <c r="AQ70"/>
  <c r="AU70" s="1"/>
  <c r="AW70" s="1"/>
  <c r="AT70"/>
  <c r="I72"/>
  <c r="N72"/>
  <c r="O72"/>
  <c r="P72"/>
  <c r="Q72"/>
  <c r="R72"/>
  <c r="X72"/>
  <c r="AC72"/>
  <c r="AF72" s="1"/>
  <c r="AD72"/>
  <c r="AJ72"/>
  <c r="AQ72"/>
  <c r="AU72" s="1"/>
  <c r="AW72" s="1"/>
  <c r="AT72"/>
  <c r="I73"/>
  <c r="N73"/>
  <c r="O73"/>
  <c r="P73"/>
  <c r="Q73"/>
  <c r="R73"/>
  <c r="X73"/>
  <c r="AC73"/>
  <c r="AE73" s="1"/>
  <c r="AD73"/>
  <c r="AG73"/>
  <c r="AJ73"/>
  <c r="AK73"/>
  <c r="AQ73"/>
  <c r="AU73" s="1"/>
  <c r="AT73"/>
  <c r="I74"/>
  <c r="N74"/>
  <c r="O74"/>
  <c r="P74"/>
  <c r="Q74"/>
  <c r="R74"/>
  <c r="X74"/>
  <c r="AC74"/>
  <c r="AH74" s="1"/>
  <c r="AD74"/>
  <c r="AJ74"/>
  <c r="AQ74"/>
  <c r="AU74" s="1"/>
  <c r="AW74" s="1"/>
  <c r="AT74"/>
  <c r="AC75"/>
  <c r="AE75" s="1"/>
  <c r="AD75"/>
  <c r="AH75"/>
  <c r="AJ75"/>
  <c r="AK75"/>
  <c r="AQ75"/>
  <c r="AU75" s="1"/>
  <c r="AW75" s="1"/>
  <c r="AT75"/>
  <c r="I76"/>
  <c r="N76"/>
  <c r="O76"/>
  <c r="P76"/>
  <c r="Q76"/>
  <c r="R76"/>
  <c r="X76"/>
  <c r="AC76"/>
  <c r="AF76" s="1"/>
  <c r="AD76"/>
  <c r="AJ76"/>
  <c r="AQ76"/>
  <c r="AU76" s="1"/>
  <c r="AW76" s="1"/>
  <c r="AT76"/>
  <c r="I77"/>
  <c r="N77"/>
  <c r="O77"/>
  <c r="P77"/>
  <c r="Q77"/>
  <c r="R77"/>
  <c r="X77"/>
  <c r="AC77"/>
  <c r="AE77" s="1"/>
  <c r="AD77"/>
  <c r="AJ77"/>
  <c r="AQ77"/>
  <c r="AU77" s="1"/>
  <c r="AW77" s="1"/>
  <c r="AT77"/>
  <c r="I78"/>
  <c r="N78"/>
  <c r="O78"/>
  <c r="P78"/>
  <c r="Q78"/>
  <c r="R78"/>
  <c r="X78"/>
  <c r="AC78"/>
  <c r="AH78" s="1"/>
  <c r="AD78"/>
  <c r="AJ78"/>
  <c r="AQ78"/>
  <c r="AU78" s="1"/>
  <c r="AW78" s="1"/>
  <c r="AT78"/>
  <c r="I79"/>
  <c r="N79"/>
  <c r="O79"/>
  <c r="P79"/>
  <c r="Q79"/>
  <c r="R79"/>
  <c r="X79"/>
  <c r="AC79"/>
  <c r="AE79" s="1"/>
  <c r="AD79"/>
  <c r="AJ79"/>
  <c r="AQ79"/>
  <c r="AU79" s="1"/>
  <c r="AW79" s="1"/>
  <c r="AT79"/>
  <c r="I80"/>
  <c r="N80"/>
  <c r="O80"/>
  <c r="P80"/>
  <c r="Q80"/>
  <c r="R80"/>
  <c r="X80"/>
  <c r="AC80"/>
  <c r="AF80" s="1"/>
  <c r="AD80"/>
  <c r="AI80"/>
  <c r="AJ80"/>
  <c r="AQ80"/>
  <c r="AU80" s="1"/>
  <c r="AW80" s="1"/>
  <c r="AT80"/>
  <c r="I81"/>
  <c r="N81"/>
  <c r="O81"/>
  <c r="P81"/>
  <c r="Q81"/>
  <c r="R81"/>
  <c r="X81"/>
  <c r="AC81"/>
  <c r="AF81" s="1"/>
  <c r="AD81"/>
  <c r="AJ81"/>
  <c r="AQ81"/>
  <c r="AU81" s="1"/>
  <c r="AW81" s="1"/>
  <c r="AT81"/>
  <c r="I82"/>
  <c r="N82"/>
  <c r="O82"/>
  <c r="P82"/>
  <c r="Q82"/>
  <c r="R82"/>
  <c r="X82"/>
  <c r="AC82"/>
  <c r="AL82" s="1"/>
  <c r="AD82"/>
  <c r="AH82"/>
  <c r="AJ82"/>
  <c r="AQ82"/>
  <c r="AU82" s="1"/>
  <c r="AW82" s="1"/>
  <c r="AT82"/>
  <c r="I83"/>
  <c r="N83"/>
  <c r="O83"/>
  <c r="P83"/>
  <c r="Q83"/>
  <c r="R83"/>
  <c r="X83"/>
  <c r="AC83"/>
  <c r="AE83" s="1"/>
  <c r="AD83"/>
  <c r="AH83"/>
  <c r="AJ83"/>
  <c r="AQ83"/>
  <c r="AU83" s="1"/>
  <c r="AW83" s="1"/>
  <c r="AT83"/>
  <c r="I84"/>
  <c r="N84"/>
  <c r="O84"/>
  <c r="P84"/>
  <c r="Q84"/>
  <c r="R84"/>
  <c r="X84"/>
  <c r="AC84"/>
  <c r="AF84" s="1"/>
  <c r="AD84"/>
  <c r="AH84"/>
  <c r="AI84"/>
  <c r="AJ84"/>
  <c r="AQ84"/>
  <c r="AU84" s="1"/>
  <c r="AW84" s="1"/>
  <c r="AT84"/>
  <c r="I85"/>
  <c r="N85"/>
  <c r="O85"/>
  <c r="P85"/>
  <c r="Q85"/>
  <c r="R85"/>
  <c r="X85"/>
  <c r="AC85"/>
  <c r="AF85" s="1"/>
  <c r="AD85"/>
  <c r="AH85"/>
  <c r="AJ85"/>
  <c r="AL85"/>
  <c r="AQ85"/>
  <c r="AU85" s="1"/>
  <c r="AW85" s="1"/>
  <c r="AT85"/>
  <c r="I86"/>
  <c r="N86"/>
  <c r="O86"/>
  <c r="P86"/>
  <c r="Q86"/>
  <c r="R86"/>
  <c r="X86"/>
  <c r="AC86"/>
  <c r="AH86" s="1"/>
  <c r="AD86"/>
  <c r="AJ86"/>
  <c r="AK86"/>
  <c r="AQ86"/>
  <c r="AU86" s="1"/>
  <c r="AW86" s="1"/>
  <c r="AT86"/>
  <c r="I87"/>
  <c r="N87"/>
  <c r="O87"/>
  <c r="P87"/>
  <c r="Q87"/>
  <c r="R87"/>
  <c r="X87"/>
  <c r="AC87"/>
  <c r="AE87" s="1"/>
  <c r="AD87"/>
  <c r="AJ87"/>
  <c r="AQ87"/>
  <c r="AU87" s="1"/>
  <c r="AW87" s="1"/>
  <c r="AT87"/>
  <c r="I88"/>
  <c r="N88"/>
  <c r="O88"/>
  <c r="P88"/>
  <c r="Q88"/>
  <c r="R88"/>
  <c r="X88"/>
  <c r="AC88"/>
  <c r="AF88" s="1"/>
  <c r="AD88"/>
  <c r="AH88"/>
  <c r="AI88"/>
  <c r="AJ88"/>
  <c r="AL88"/>
  <c r="AQ88"/>
  <c r="AU88" s="1"/>
  <c r="AW88" s="1"/>
  <c r="AT88"/>
  <c r="I89"/>
  <c r="N89"/>
  <c r="O89"/>
  <c r="P89"/>
  <c r="Q89"/>
  <c r="R89"/>
  <c r="X89"/>
  <c r="AC89"/>
  <c r="AF89" s="1"/>
  <c r="AD89"/>
  <c r="AG89"/>
  <c r="AJ89"/>
  <c r="AK89"/>
  <c r="AQ89"/>
  <c r="AT89"/>
  <c r="D90"/>
  <c r="E90"/>
  <c r="F90"/>
  <c r="G90"/>
  <c r="H90"/>
  <c r="J90"/>
  <c r="K90"/>
  <c r="L90"/>
  <c r="M90"/>
  <c r="T90"/>
  <c r="U90"/>
  <c r="V90"/>
  <c r="W90"/>
  <c r="Y90"/>
  <c r="Z90"/>
  <c r="AA90"/>
  <c r="AB90"/>
  <c r="AN90"/>
  <c r="AO90"/>
  <c r="AP90"/>
  <c r="AR90"/>
  <c r="AS90"/>
  <c r="AV90"/>
  <c r="I92"/>
  <c r="O92"/>
  <c r="P92"/>
  <c r="Q92"/>
  <c r="R92"/>
  <c r="AC92"/>
  <c r="AH92" s="1"/>
  <c r="AD92"/>
  <c r="AJ92"/>
  <c r="AQ92"/>
  <c r="AU92" s="1"/>
  <c r="AW92" s="1"/>
  <c r="AT92"/>
  <c r="I93"/>
  <c r="N93"/>
  <c r="O93"/>
  <c r="P93"/>
  <c r="Q93"/>
  <c r="R93"/>
  <c r="X93"/>
  <c r="AC93"/>
  <c r="AE93" s="1"/>
  <c r="AD93"/>
  <c r="AJ93"/>
  <c r="AQ93"/>
  <c r="AU93" s="1"/>
  <c r="AW93" s="1"/>
  <c r="AT93"/>
  <c r="I95"/>
  <c r="N95"/>
  <c r="O95"/>
  <c r="P95"/>
  <c r="Q95"/>
  <c r="R95"/>
  <c r="X95"/>
  <c r="AC95"/>
  <c r="AF95" s="1"/>
  <c r="AD95"/>
  <c r="AJ95"/>
  <c r="AQ95"/>
  <c r="AU95" s="1"/>
  <c r="AT95"/>
  <c r="I96"/>
  <c r="N96"/>
  <c r="O96"/>
  <c r="P96"/>
  <c r="Q96"/>
  <c r="R96"/>
  <c r="X96"/>
  <c r="AC96"/>
  <c r="AH96" s="1"/>
  <c r="AD96"/>
  <c r="AJ96"/>
  <c r="AQ96"/>
  <c r="AU96" s="1"/>
  <c r="AW96" s="1"/>
  <c r="AT96"/>
  <c r="I97"/>
  <c r="N97"/>
  <c r="O97"/>
  <c r="P97"/>
  <c r="Q97"/>
  <c r="R97"/>
  <c r="X97"/>
  <c r="AC97"/>
  <c r="AL97" s="1"/>
  <c r="AD97"/>
  <c r="AH97"/>
  <c r="AJ97"/>
  <c r="AQ97"/>
  <c r="AU97" s="1"/>
  <c r="AW97" s="1"/>
  <c r="AT97"/>
  <c r="I98"/>
  <c r="N98"/>
  <c r="O98"/>
  <c r="P98"/>
  <c r="Q98"/>
  <c r="R98"/>
  <c r="X98"/>
  <c r="AC98"/>
  <c r="AE98" s="1"/>
  <c r="AD98"/>
  <c r="AJ98"/>
  <c r="AQ98"/>
  <c r="AU98" s="1"/>
  <c r="AW98" s="1"/>
  <c r="AT98"/>
  <c r="D99"/>
  <c r="E99"/>
  <c r="F99"/>
  <c r="G99"/>
  <c r="H99"/>
  <c r="J99"/>
  <c r="K99"/>
  <c r="L99"/>
  <c r="M99"/>
  <c r="T99"/>
  <c r="U99"/>
  <c r="V99"/>
  <c r="W99"/>
  <c r="Y99"/>
  <c r="Z99"/>
  <c r="AA99"/>
  <c r="AB99"/>
  <c r="AN99"/>
  <c r="AO99"/>
  <c r="AP99"/>
  <c r="AR99"/>
  <c r="AS99"/>
  <c r="AV99"/>
  <c r="M23" i="113"/>
  <c r="K23"/>
  <c r="J22"/>
  <c r="L22" s="1"/>
  <c r="N21"/>
  <c r="K21"/>
  <c r="L20"/>
  <c r="M20" s="1"/>
  <c r="M21" s="1"/>
  <c r="J21"/>
  <c r="N19"/>
  <c r="K19"/>
  <c r="J19"/>
  <c r="L18"/>
  <c r="M18" s="1"/>
  <c r="M17"/>
  <c r="K17"/>
  <c r="J16"/>
  <c r="L16" s="1"/>
  <c r="K15"/>
  <c r="L14"/>
  <c r="M14" s="1"/>
  <c r="M13"/>
  <c r="K13"/>
  <c r="J12"/>
  <c r="L12" s="1"/>
  <c r="N11"/>
  <c r="K11"/>
  <c r="J10"/>
  <c r="L10" s="1"/>
  <c r="L11" s="1"/>
  <c r="M9"/>
  <c r="K9"/>
  <c r="J8"/>
  <c r="L8" s="1"/>
  <c r="M7"/>
  <c r="K7"/>
  <c r="J6"/>
  <c r="J7" s="1"/>
  <c r="N4"/>
  <c r="M4"/>
  <c r="L4"/>
  <c r="K4"/>
  <c r="J4"/>
  <c r="AE15" i="104" l="1"/>
  <c r="S15"/>
  <c r="AW6"/>
  <c r="AU15"/>
  <c r="AW15"/>
  <c r="AG86"/>
  <c r="AE80"/>
  <c r="AK77"/>
  <c r="AE69"/>
  <c r="AL64"/>
  <c r="AL60"/>
  <c r="AH60"/>
  <c r="AH59"/>
  <c r="AK58"/>
  <c r="AO52"/>
  <c r="AK49"/>
  <c r="AF49"/>
  <c r="AG45"/>
  <c r="S44"/>
  <c r="AK37"/>
  <c r="AG37"/>
  <c r="AG32"/>
  <c r="AK31"/>
  <c r="AG30"/>
  <c r="S26"/>
  <c r="S23"/>
  <c r="AK22"/>
  <c r="AF22"/>
  <c r="AK21"/>
  <c r="AG21"/>
  <c r="AG24" s="1"/>
  <c r="S20"/>
  <c r="AJ24"/>
  <c r="S18"/>
  <c r="AI17"/>
  <c r="AI16"/>
  <c r="S16"/>
  <c r="AL14"/>
  <c r="AH14"/>
  <c r="AM14" s="1"/>
  <c r="AF12"/>
  <c r="AM12" s="1"/>
  <c r="AI11"/>
  <c r="AM11" s="1"/>
  <c r="AL10"/>
  <c r="AH10"/>
  <c r="AM10" s="1"/>
  <c r="AF8"/>
  <c r="AF15" s="1"/>
  <c r="AI7"/>
  <c r="AL6"/>
  <c r="AH6"/>
  <c r="AM6" s="1"/>
  <c r="AT52"/>
  <c r="N52"/>
  <c r="AM20"/>
  <c r="AL72"/>
  <c r="AL54"/>
  <c r="AK50"/>
  <c r="AI37"/>
  <c r="AL34"/>
  <c r="AG34"/>
  <c r="S33"/>
  <c r="AL28"/>
  <c r="AC24"/>
  <c r="S22"/>
  <c r="AI21"/>
  <c r="AK17"/>
  <c r="AK24" s="1"/>
  <c r="AF17"/>
  <c r="AL12"/>
  <c r="AL8"/>
  <c r="AH8"/>
  <c r="AM8" s="1"/>
  <c r="AI96"/>
  <c r="AF70"/>
  <c r="AD52"/>
  <c r="AG46"/>
  <c r="AE37"/>
  <c r="S34"/>
  <c r="S30"/>
  <c r="AG28"/>
  <c r="AE21"/>
  <c r="AM21" s="1"/>
  <c r="X24"/>
  <c r="AM16"/>
  <c r="AI12"/>
  <c r="AI8"/>
  <c r="AU24"/>
  <c r="AW17"/>
  <c r="S24"/>
  <c r="AW24"/>
  <c r="AG77"/>
  <c r="AG69"/>
  <c r="AH64"/>
  <c r="AI59"/>
  <c r="AI55"/>
  <c r="AL51"/>
  <c r="AH51"/>
  <c r="AL47"/>
  <c r="AG47"/>
  <c r="AK46"/>
  <c r="AK45"/>
  <c r="AF45"/>
  <c r="AK44"/>
  <c r="AE44"/>
  <c r="AG43"/>
  <c r="AH41"/>
  <c r="AG38"/>
  <c r="R52"/>
  <c r="AG35"/>
  <c r="AI34"/>
  <c r="AM34" s="1"/>
  <c r="AK33"/>
  <c r="AG33"/>
  <c r="AK32"/>
  <c r="AF30"/>
  <c r="AK29"/>
  <c r="AG29"/>
  <c r="S28"/>
  <c r="AG27"/>
  <c r="AF26"/>
  <c r="P24"/>
  <c r="AF23"/>
  <c r="AI22"/>
  <c r="AM22" s="1"/>
  <c r="AL21"/>
  <c r="AF19"/>
  <c r="AF24" s="1"/>
  <c r="AI18"/>
  <c r="AE18"/>
  <c r="AE24" s="1"/>
  <c r="AL17"/>
  <c r="AM17" s="1"/>
  <c r="S69"/>
  <c r="S63"/>
  <c r="AL95"/>
  <c r="AK70"/>
  <c r="AL59"/>
  <c r="AK57"/>
  <c r="S55"/>
  <c r="AK43"/>
  <c r="AK42"/>
  <c r="S41"/>
  <c r="AJ52"/>
  <c r="S38"/>
  <c r="S37"/>
  <c r="S35"/>
  <c r="AI33"/>
  <c r="AL30"/>
  <c r="AI29"/>
  <c r="AK27"/>
  <c r="AL26"/>
  <c r="AH26"/>
  <c r="AL23"/>
  <c r="AH23"/>
  <c r="AL19"/>
  <c r="AH19"/>
  <c r="AH24" s="1"/>
  <c r="AG50"/>
  <c r="S48"/>
  <c r="AF43"/>
  <c r="P52"/>
  <c r="AE33"/>
  <c r="S32"/>
  <c r="AG31"/>
  <c r="AI30"/>
  <c r="AE29"/>
  <c r="AM29" s="1"/>
  <c r="AF27"/>
  <c r="AI26"/>
  <c r="AI23"/>
  <c r="AI19"/>
  <c r="AE88"/>
  <c r="AJ90"/>
  <c r="AL81"/>
  <c r="AL68"/>
  <c r="S65"/>
  <c r="AK61"/>
  <c r="S61"/>
  <c r="S60"/>
  <c r="AE59"/>
  <c r="AE54"/>
  <c r="S54"/>
  <c r="O52"/>
  <c r="S49"/>
  <c r="AI48"/>
  <c r="AI47"/>
  <c r="AE47"/>
  <c r="S45"/>
  <c r="I52"/>
  <c r="AL43"/>
  <c r="AH43"/>
  <c r="S42"/>
  <c r="AK41"/>
  <c r="AF41"/>
  <c r="S40"/>
  <c r="AK39"/>
  <c r="AE38"/>
  <c r="AL35"/>
  <c r="AH35"/>
  <c r="AI32"/>
  <c r="AE32"/>
  <c r="AM32" s="1"/>
  <c r="AL31"/>
  <c r="AH31"/>
  <c r="AI28"/>
  <c r="AE28"/>
  <c r="AL27"/>
  <c r="AH27"/>
  <c r="AH95"/>
  <c r="AK88"/>
  <c r="AG88"/>
  <c r="AM88" s="1"/>
  <c r="O90"/>
  <c r="AE81"/>
  <c r="AL80"/>
  <c r="AH79"/>
  <c r="AK78"/>
  <c r="AH72"/>
  <c r="AE68"/>
  <c r="S68"/>
  <c r="S66"/>
  <c r="AG65"/>
  <c r="AG61"/>
  <c r="AM60"/>
  <c r="AK59"/>
  <c r="AG59"/>
  <c r="S58"/>
  <c r="AF56"/>
  <c r="AK55"/>
  <c r="AE55"/>
  <c r="AH54"/>
  <c r="S51"/>
  <c r="AE48"/>
  <c r="AI43"/>
  <c r="AG42"/>
  <c r="AL41"/>
  <c r="AG41"/>
  <c r="AG40"/>
  <c r="AL39"/>
  <c r="AF39"/>
  <c r="AK38"/>
  <c r="AF38"/>
  <c r="AI35"/>
  <c r="AE35"/>
  <c r="AI31"/>
  <c r="AE31"/>
  <c r="AF28"/>
  <c r="AI27"/>
  <c r="AQ90"/>
  <c r="S87"/>
  <c r="AH81"/>
  <c r="S80"/>
  <c r="X90"/>
  <c r="AL76"/>
  <c r="AK74"/>
  <c r="S62"/>
  <c r="AG55"/>
  <c r="S50"/>
  <c r="AK48"/>
  <c r="AK52" s="1"/>
  <c r="AG48"/>
  <c r="S47"/>
  <c r="S46"/>
  <c r="AM37"/>
  <c r="S43"/>
  <c r="S39"/>
  <c r="AI38"/>
  <c r="AW38"/>
  <c r="AQ52"/>
  <c r="AU40"/>
  <c r="AW40" s="1"/>
  <c r="AG96"/>
  <c r="R99"/>
  <c r="AL89"/>
  <c r="AH89"/>
  <c r="AI85"/>
  <c r="AK82"/>
  <c r="AK81"/>
  <c r="AG81"/>
  <c r="AH80"/>
  <c r="AG78"/>
  <c r="S77"/>
  <c r="AH76"/>
  <c r="AL75"/>
  <c r="AG75"/>
  <c r="AL69"/>
  <c r="AH69"/>
  <c r="AI68"/>
  <c r="S67"/>
  <c r="AG66"/>
  <c r="AF65"/>
  <c r="AK64"/>
  <c r="AG64"/>
  <c r="AG62"/>
  <c r="AF61"/>
  <c r="AG57"/>
  <c r="AK56"/>
  <c r="AL55"/>
  <c r="AH55"/>
  <c r="AI54"/>
  <c r="AC52"/>
  <c r="Q52"/>
  <c r="AF50"/>
  <c r="AI49"/>
  <c r="AL48"/>
  <c r="AF46"/>
  <c r="AI45"/>
  <c r="AM45" s="1"/>
  <c r="AL44"/>
  <c r="AH44"/>
  <c r="AF42"/>
  <c r="AI41"/>
  <c r="AF40"/>
  <c r="AI39"/>
  <c r="AE39"/>
  <c r="AE52" s="1"/>
  <c r="AL38"/>
  <c r="Q99"/>
  <c r="AI92"/>
  <c r="AI89"/>
  <c r="AE89"/>
  <c r="AE85"/>
  <c r="AL84"/>
  <c r="AE84"/>
  <c r="S84"/>
  <c r="AG82"/>
  <c r="AG74"/>
  <c r="S73"/>
  <c r="AK85"/>
  <c r="AG85"/>
  <c r="AI81"/>
  <c r="S76"/>
  <c r="AG70"/>
  <c r="AK68"/>
  <c r="AG68"/>
  <c r="AK66"/>
  <c r="AL65"/>
  <c r="AH65"/>
  <c r="AI64"/>
  <c r="AK63"/>
  <c r="AL61"/>
  <c r="S59"/>
  <c r="S57"/>
  <c r="AG56"/>
  <c r="AK54"/>
  <c r="AG54"/>
  <c r="AL50"/>
  <c r="AH50"/>
  <c r="AL46"/>
  <c r="AL42"/>
  <c r="AH42"/>
  <c r="AL40"/>
  <c r="AH40"/>
  <c r="AT90"/>
  <c r="S72"/>
  <c r="S70"/>
  <c r="AF66"/>
  <c r="AI65"/>
  <c r="AE64"/>
  <c r="S64"/>
  <c r="AG63"/>
  <c r="AK62"/>
  <c r="AF62"/>
  <c r="AI61"/>
  <c r="AG58"/>
  <c r="S56"/>
  <c r="AI50"/>
  <c r="AI46"/>
  <c r="AI42"/>
  <c r="AI40"/>
  <c r="AK95"/>
  <c r="AG95"/>
  <c r="S93"/>
  <c r="AG92"/>
  <c r="P90"/>
  <c r="AH87"/>
  <c r="S85"/>
  <c r="AL83"/>
  <c r="AG83"/>
  <c r="Q90"/>
  <c r="I90"/>
  <c r="S81"/>
  <c r="AL79"/>
  <c r="AG79"/>
  <c r="S78"/>
  <c r="AF77"/>
  <c r="AK76"/>
  <c r="AG76"/>
  <c r="S74"/>
  <c r="AF73"/>
  <c r="AK72"/>
  <c r="AG72"/>
  <c r="AI70"/>
  <c r="AE70"/>
  <c r="AF67"/>
  <c r="AI66"/>
  <c r="AE66"/>
  <c r="AF63"/>
  <c r="AI62"/>
  <c r="AE62"/>
  <c r="AF58"/>
  <c r="AF57"/>
  <c r="AI56"/>
  <c r="AE56"/>
  <c r="S88"/>
  <c r="AI95"/>
  <c r="AM89"/>
  <c r="AK87"/>
  <c r="S83"/>
  <c r="S79"/>
  <c r="AL77"/>
  <c r="AH77"/>
  <c r="AI76"/>
  <c r="AL73"/>
  <c r="AH73"/>
  <c r="AI72"/>
  <c r="AL67"/>
  <c r="AH67"/>
  <c r="AL63"/>
  <c r="AL58"/>
  <c r="AH58"/>
  <c r="AL57"/>
  <c r="AH57"/>
  <c r="AE95"/>
  <c r="AM95" s="1"/>
  <c r="S95"/>
  <c r="N99"/>
  <c r="AK93"/>
  <c r="S92"/>
  <c r="S89"/>
  <c r="AL87"/>
  <c r="AG87"/>
  <c r="R90"/>
  <c r="N90"/>
  <c r="S86"/>
  <c r="AK84"/>
  <c r="AG84"/>
  <c r="AK83"/>
  <c r="S82"/>
  <c r="AK80"/>
  <c r="AG80"/>
  <c r="AK79"/>
  <c r="AI77"/>
  <c r="AE76"/>
  <c r="AI73"/>
  <c r="AE72"/>
  <c r="AI67"/>
  <c r="AL66"/>
  <c r="AI63"/>
  <c r="AI58"/>
  <c r="AI57"/>
  <c r="AL56"/>
  <c r="AW73"/>
  <c r="AD99"/>
  <c r="S96"/>
  <c r="I99"/>
  <c r="AG93"/>
  <c r="AK92"/>
  <c r="AF92"/>
  <c r="AD90"/>
  <c r="AU89"/>
  <c r="AW89" s="1"/>
  <c r="AF87"/>
  <c r="AI86"/>
  <c r="AE86"/>
  <c r="AF83"/>
  <c r="AI82"/>
  <c r="AE82"/>
  <c r="AF79"/>
  <c r="AI78"/>
  <c r="AE78"/>
  <c r="AF75"/>
  <c r="AI74"/>
  <c r="AE74"/>
  <c r="S97"/>
  <c r="AF86"/>
  <c r="AF82"/>
  <c r="AF78"/>
  <c r="AF74"/>
  <c r="AU99"/>
  <c r="AE92"/>
  <c r="AC90"/>
  <c r="AI87"/>
  <c r="AL86"/>
  <c r="AI83"/>
  <c r="AI79"/>
  <c r="AL78"/>
  <c r="AI75"/>
  <c r="AL74"/>
  <c r="AG97"/>
  <c r="AF93"/>
  <c r="AK98"/>
  <c r="AC99"/>
  <c r="S98"/>
  <c r="AJ99"/>
  <c r="AE96"/>
  <c r="O99"/>
  <c r="AL93"/>
  <c r="AH93"/>
  <c r="AT99"/>
  <c r="AG98"/>
  <c r="AK97"/>
  <c r="AF97"/>
  <c r="AK96"/>
  <c r="AF96"/>
  <c r="X99"/>
  <c r="P99"/>
  <c r="AI93"/>
  <c r="AL92"/>
  <c r="AF98"/>
  <c r="AI97"/>
  <c r="AE97"/>
  <c r="AL96"/>
  <c r="AL98"/>
  <c r="AH98"/>
  <c r="AH99" s="1"/>
  <c r="AW95"/>
  <c r="AW99" s="1"/>
  <c r="AQ99"/>
  <c r="AI98"/>
  <c r="K24" i="113"/>
  <c r="N8"/>
  <c r="L9"/>
  <c r="J11"/>
  <c r="M11"/>
  <c r="N12"/>
  <c r="L21"/>
  <c r="M15"/>
  <c r="M24" s="1"/>
  <c r="M19"/>
  <c r="L17"/>
  <c r="N16"/>
  <c r="N17" s="1"/>
  <c r="L15"/>
  <c r="J9"/>
  <c r="J13"/>
  <c r="N6"/>
  <c r="N7" s="1"/>
  <c r="N14"/>
  <c r="N15" s="1"/>
  <c r="J15"/>
  <c r="J17"/>
  <c r="L19"/>
  <c r="J23"/>
  <c r="L6"/>
  <c r="L7" s="1"/>
  <c r="N22"/>
  <c r="AM43" i="104" l="1"/>
  <c r="AM47"/>
  <c r="AM44"/>
  <c r="AM49"/>
  <c r="AM23"/>
  <c r="AM51"/>
  <c r="AM64"/>
  <c r="AG52"/>
  <c r="AM30"/>
  <c r="AI15"/>
  <c r="AM26"/>
  <c r="AL15"/>
  <c r="AM33"/>
  <c r="S52"/>
  <c r="AH15"/>
  <c r="AM7"/>
  <c r="AM15" s="1"/>
  <c r="AM85"/>
  <c r="AM72"/>
  <c r="AM70"/>
  <c r="AM48"/>
  <c r="AM59"/>
  <c r="AL24"/>
  <c r="AM18"/>
  <c r="AM68"/>
  <c r="AM28"/>
  <c r="AM19"/>
  <c r="AM35"/>
  <c r="AI24"/>
  <c r="AM27"/>
  <c r="AM76"/>
  <c r="AM46"/>
  <c r="AM79"/>
  <c r="AM83"/>
  <c r="S90"/>
  <c r="AM41"/>
  <c r="AM50"/>
  <c r="AM55"/>
  <c r="AM61"/>
  <c r="AM65"/>
  <c r="AM69"/>
  <c r="AM81"/>
  <c r="AW52"/>
  <c r="AM31"/>
  <c r="AM54"/>
  <c r="AG90"/>
  <c r="AH52"/>
  <c r="AM42"/>
  <c r="AM75"/>
  <c r="AM92"/>
  <c r="AK90"/>
  <c r="AH90"/>
  <c r="AM62"/>
  <c r="AM84"/>
  <c r="AI52"/>
  <c r="AU52"/>
  <c r="AM57"/>
  <c r="AM63"/>
  <c r="AM73"/>
  <c r="AM87"/>
  <c r="AM67"/>
  <c r="AL52"/>
  <c r="AM38"/>
  <c r="AM58"/>
  <c r="AF52"/>
  <c r="AM39"/>
  <c r="AM40"/>
  <c r="AK99"/>
  <c r="AE99"/>
  <c r="AL99"/>
  <c r="AM66"/>
  <c r="AM77"/>
  <c r="AM80"/>
  <c r="AI99"/>
  <c r="AF90"/>
  <c r="AM56"/>
  <c r="AE90"/>
  <c r="AM74"/>
  <c r="AM78"/>
  <c r="AW90"/>
  <c r="S99"/>
  <c r="AM82"/>
  <c r="AU90"/>
  <c r="AM93"/>
  <c r="AL90"/>
  <c r="AI90"/>
  <c r="AM86"/>
  <c r="AM98"/>
  <c r="AG99"/>
  <c r="AM97"/>
  <c r="AM96"/>
  <c r="AF99"/>
  <c r="N13" i="113"/>
  <c r="J24"/>
  <c r="L13"/>
  <c r="L23"/>
  <c r="N9"/>
  <c r="N24" s="1"/>
  <c r="N23"/>
  <c r="L24"/>
  <c r="AM24" i="104" l="1"/>
  <c r="AM52"/>
  <c r="AM90"/>
  <c r="AM99"/>
  <c r="K107" i="111" l="1"/>
  <c r="M107"/>
  <c r="K88"/>
  <c r="N88"/>
  <c r="K86"/>
  <c r="N86"/>
  <c r="K83"/>
  <c r="M83"/>
  <c r="K62"/>
  <c r="K43"/>
  <c r="M43"/>
  <c r="K30"/>
  <c r="N30"/>
  <c r="K21"/>
  <c r="M21"/>
  <c r="K14"/>
  <c r="M14"/>
  <c r="F66" i="105"/>
  <c r="N11" i="111"/>
  <c r="N12"/>
  <c r="N13"/>
  <c r="N18"/>
  <c r="N19"/>
  <c r="N20"/>
  <c r="N38"/>
  <c r="N39"/>
  <c r="N40"/>
  <c r="N41"/>
  <c r="N42"/>
  <c r="N97"/>
  <c r="N98"/>
  <c r="N99"/>
  <c r="N100"/>
  <c r="N101"/>
  <c r="N102"/>
  <c r="N103"/>
  <c r="N104"/>
  <c r="N105"/>
  <c r="N106"/>
  <c r="L11"/>
  <c r="L12"/>
  <c r="L13"/>
  <c r="L18"/>
  <c r="L19"/>
  <c r="L20"/>
  <c r="L22"/>
  <c r="L26"/>
  <c r="M26" s="1"/>
  <c r="L27"/>
  <c r="M27" s="1"/>
  <c r="L28"/>
  <c r="L29"/>
  <c r="M29" s="1"/>
  <c r="L38"/>
  <c r="L39"/>
  <c r="L40"/>
  <c r="L41"/>
  <c r="L42"/>
  <c r="L54"/>
  <c r="M54" s="1"/>
  <c r="L55"/>
  <c r="M55" s="1"/>
  <c r="L56"/>
  <c r="L57"/>
  <c r="M57" s="1"/>
  <c r="L58"/>
  <c r="M58" s="1"/>
  <c r="L73"/>
  <c r="N73" s="1"/>
  <c r="L74"/>
  <c r="N74" s="1"/>
  <c r="L75"/>
  <c r="N75" s="1"/>
  <c r="L76"/>
  <c r="N76" s="1"/>
  <c r="L77"/>
  <c r="N77" s="1"/>
  <c r="L78"/>
  <c r="N78" s="1"/>
  <c r="L79"/>
  <c r="N79" s="1"/>
  <c r="L80"/>
  <c r="N80" s="1"/>
  <c r="L85"/>
  <c r="M85" s="1"/>
  <c r="L97"/>
  <c r="L98"/>
  <c r="L99"/>
  <c r="L100"/>
  <c r="L101"/>
  <c r="L102"/>
  <c r="L103"/>
  <c r="L104"/>
  <c r="L105"/>
  <c r="L106"/>
  <c r="N4"/>
  <c r="M4"/>
  <c r="L4"/>
  <c r="K4"/>
  <c r="J4"/>
  <c r="J46"/>
  <c r="L46" s="1"/>
  <c r="N46" s="1"/>
  <c r="K108" l="1"/>
  <c r="M30"/>
  <c r="M86"/>
  <c r="M56"/>
  <c r="N56" s="1"/>
  <c r="N57"/>
  <c r="M88"/>
  <c r="M62" l="1"/>
  <c r="M108" l="1"/>
  <c r="K333" i="112"/>
  <c r="I333"/>
  <c r="H330"/>
  <c r="H327"/>
  <c r="H326"/>
  <c r="H325"/>
  <c r="H324"/>
  <c r="H323"/>
  <c r="H322"/>
  <c r="H321"/>
  <c r="H320"/>
  <c r="H319"/>
  <c r="H318"/>
  <c r="H317"/>
  <c r="H333" s="1"/>
  <c r="J314" s="1"/>
  <c r="H316"/>
  <c r="H315"/>
  <c r="H314"/>
  <c r="K313"/>
  <c r="I313"/>
  <c r="H312"/>
  <c r="H311"/>
  <c r="H310"/>
  <c r="H309"/>
  <c r="H308"/>
  <c r="H306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313" s="1"/>
  <c r="J288" s="1"/>
  <c r="K287"/>
  <c r="I287"/>
  <c r="H286"/>
  <c r="E286"/>
  <c r="H285"/>
  <c r="H284"/>
  <c r="H281"/>
  <c r="H280"/>
  <c r="H277"/>
  <c r="H276"/>
  <c r="H275"/>
  <c r="H274"/>
  <c r="H273"/>
  <c r="H272"/>
  <c r="H271"/>
  <c r="H270"/>
  <c r="H269"/>
  <c r="H268"/>
  <c r="H267"/>
  <c r="E267"/>
  <c r="H266"/>
  <c r="H265"/>
  <c r="H264"/>
  <c r="H263"/>
  <c r="H262"/>
  <c r="H261"/>
  <c r="H287" s="1"/>
  <c r="J261" s="1"/>
  <c r="K260"/>
  <c r="I260"/>
  <c r="H259"/>
  <c r="E259"/>
  <c r="H258"/>
  <c r="H257"/>
  <c r="H256"/>
  <c r="H254"/>
  <c r="H253"/>
  <c r="H252"/>
  <c r="H251"/>
  <c r="H249"/>
  <c r="H248"/>
  <c r="H246"/>
  <c r="H245"/>
  <c r="H244"/>
  <c r="H243"/>
  <c r="H242"/>
  <c r="H241"/>
  <c r="H240"/>
  <c r="H260" s="1"/>
  <c r="J240" s="1"/>
  <c r="K239"/>
  <c r="I239"/>
  <c r="H238"/>
  <c r="E238"/>
  <c r="H237"/>
  <c r="E237"/>
  <c r="H236"/>
  <c r="E236"/>
  <c r="H235"/>
  <c r="E235"/>
  <c r="H234"/>
  <c r="E234"/>
  <c r="H233"/>
  <c r="H232"/>
  <c r="H228"/>
  <c r="H227"/>
  <c r="H226"/>
  <c r="H225"/>
  <c r="H224"/>
  <c r="H223"/>
  <c r="H221"/>
  <c r="H220"/>
  <c r="H219"/>
  <c r="H218"/>
  <c r="H215"/>
  <c r="H214"/>
  <c r="H210"/>
  <c r="E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239" s="1"/>
  <c r="J115" s="1"/>
  <c r="K114"/>
  <c r="I114"/>
  <c r="H113"/>
  <c r="E113"/>
  <c r="H112"/>
  <c r="E112"/>
  <c r="H111"/>
  <c r="E111"/>
  <c r="H110"/>
  <c r="H109"/>
  <c r="H108"/>
  <c r="H107"/>
  <c r="H106"/>
  <c r="H105"/>
  <c r="H104"/>
  <c r="H102"/>
  <c r="H101"/>
  <c r="H100"/>
  <c r="H97"/>
  <c r="H96"/>
  <c r="H95"/>
  <c r="H94"/>
  <c r="H93"/>
  <c r="H91"/>
  <c r="H90"/>
  <c r="H89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114" s="1"/>
  <c r="J68" s="1"/>
  <c r="K67"/>
  <c r="I67"/>
  <c r="H66"/>
  <c r="E66"/>
  <c r="H65"/>
  <c r="E65"/>
  <c r="H64"/>
  <c r="H63"/>
  <c r="H62"/>
  <c r="H58"/>
  <c r="H57"/>
  <c r="H56"/>
  <c r="H55"/>
  <c r="H54"/>
  <c r="H67" s="1"/>
  <c r="J54" s="1"/>
  <c r="K53"/>
  <c r="I53"/>
  <c r="H52"/>
  <c r="H51"/>
  <c r="H50"/>
  <c r="H49"/>
  <c r="H48"/>
  <c r="H47"/>
  <c r="H46"/>
  <c r="H45"/>
  <c r="H44"/>
  <c r="H43"/>
  <c r="H53" s="1"/>
  <c r="J43" s="1"/>
  <c r="K42"/>
  <c r="K334" s="1"/>
  <c r="I42"/>
  <c r="I334" s="1"/>
  <c r="H41"/>
  <c r="E41"/>
  <c r="H40"/>
  <c r="H39"/>
  <c r="H38"/>
  <c r="H37"/>
  <c r="H36"/>
  <c r="H34"/>
  <c r="H33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L68" l="1"/>
  <c r="L114" s="1"/>
  <c r="J114"/>
  <c r="L288"/>
  <c r="L313" s="1"/>
  <c r="J313"/>
  <c r="J333"/>
  <c r="L314"/>
  <c r="L333" s="1"/>
  <c r="J67"/>
  <c r="L54"/>
  <c r="L67" s="1"/>
  <c r="L115"/>
  <c r="L239" s="1"/>
  <c r="J239"/>
  <c r="J53"/>
  <c r="L43"/>
  <c r="L53" s="1"/>
  <c r="J260"/>
  <c r="L240"/>
  <c r="L260" s="1"/>
  <c r="J287"/>
  <c r="L261"/>
  <c r="L287" s="1"/>
  <c r="H42"/>
  <c r="J4" s="1"/>
  <c r="J42" l="1"/>
  <c r="J334" s="1"/>
  <c r="L4"/>
  <c r="H334"/>
  <c r="L42" l="1"/>
  <c r="L334" s="1"/>
  <c r="AR114" i="104" l="1"/>
  <c r="AR115" s="1"/>
  <c r="AS114"/>
  <c r="AS115" s="1"/>
  <c r="AV114"/>
  <c r="AR94"/>
  <c r="AS94"/>
  <c r="AV94"/>
  <c r="AR71"/>
  <c r="AS71"/>
  <c r="AV71"/>
  <c r="AR36"/>
  <c r="AS36"/>
  <c r="AV36"/>
  <c r="AT25"/>
  <c r="AT53"/>
  <c r="AT91"/>
  <c r="AT100"/>
  <c r="AT101"/>
  <c r="AT102"/>
  <c r="AT103"/>
  <c r="AT104"/>
  <c r="AT105"/>
  <c r="AT106"/>
  <c r="AT107"/>
  <c r="AT108"/>
  <c r="AT109"/>
  <c r="AT110"/>
  <c r="AT111"/>
  <c r="AT112"/>
  <c r="AT113"/>
  <c r="AT94" l="1"/>
  <c r="AT71"/>
  <c r="AT36"/>
  <c r="AT114"/>
  <c r="AV115"/>
  <c r="J96" i="111"/>
  <c r="J95"/>
  <c r="J94"/>
  <c r="J93"/>
  <c r="J92"/>
  <c r="J91"/>
  <c r="J90"/>
  <c r="J89"/>
  <c r="J87"/>
  <c r="J84"/>
  <c r="J82"/>
  <c r="L82" s="1"/>
  <c r="N82" s="1"/>
  <c r="J81"/>
  <c r="L81" s="1"/>
  <c r="N81" s="1"/>
  <c r="J72"/>
  <c r="L72" s="1"/>
  <c r="N72" s="1"/>
  <c r="J71"/>
  <c r="L71" s="1"/>
  <c r="N71" s="1"/>
  <c r="J70"/>
  <c r="L70" s="1"/>
  <c r="N70" s="1"/>
  <c r="J69"/>
  <c r="L69" s="1"/>
  <c r="N69" s="1"/>
  <c r="J68"/>
  <c r="L68" s="1"/>
  <c r="N68" s="1"/>
  <c r="J67"/>
  <c r="L67" s="1"/>
  <c r="N67" s="1"/>
  <c r="J66"/>
  <c r="L66" s="1"/>
  <c r="N66" s="1"/>
  <c r="J65"/>
  <c r="L65" s="1"/>
  <c r="N65" s="1"/>
  <c r="J64"/>
  <c r="L64" s="1"/>
  <c r="N64" s="1"/>
  <c r="J63"/>
  <c r="L63" s="1"/>
  <c r="N63" s="1"/>
  <c r="J61"/>
  <c r="L61" s="1"/>
  <c r="N61" s="1"/>
  <c r="J60"/>
  <c r="L60" s="1"/>
  <c r="N60" s="1"/>
  <c r="J59"/>
  <c r="L59" s="1"/>
  <c r="N59" s="1"/>
  <c r="J53"/>
  <c r="L53" s="1"/>
  <c r="N53" s="1"/>
  <c r="J52"/>
  <c r="L52" s="1"/>
  <c r="N52" s="1"/>
  <c r="J51"/>
  <c r="L51" s="1"/>
  <c r="N51" s="1"/>
  <c r="J50"/>
  <c r="L50" s="1"/>
  <c r="N50" s="1"/>
  <c r="J49"/>
  <c r="L49" s="1"/>
  <c r="N49" s="1"/>
  <c r="J48"/>
  <c r="L48" s="1"/>
  <c r="N48" s="1"/>
  <c r="J47"/>
  <c r="L47" s="1"/>
  <c r="N47" s="1"/>
  <c r="J45"/>
  <c r="L45" s="1"/>
  <c r="N45" s="1"/>
  <c r="J44"/>
  <c r="L44" s="1"/>
  <c r="J37"/>
  <c r="J36"/>
  <c r="J35"/>
  <c r="J34"/>
  <c r="J33"/>
  <c r="J32"/>
  <c r="J31"/>
  <c r="J25"/>
  <c r="L25" s="1"/>
  <c r="J24"/>
  <c r="L24" s="1"/>
  <c r="J23"/>
  <c r="L23" s="1"/>
  <c r="J17"/>
  <c r="J16"/>
  <c r="J15"/>
  <c r="J10"/>
  <c r="J9"/>
  <c r="J8"/>
  <c r="J7"/>
  <c r="J6"/>
  <c r="AT115" i="104" l="1"/>
  <c r="L62" i="111"/>
  <c r="L83"/>
  <c r="N10"/>
  <c r="L10"/>
  <c r="N44"/>
  <c r="N62" s="1"/>
  <c r="N83"/>
  <c r="N8"/>
  <c r="L8"/>
  <c r="N15"/>
  <c r="L15"/>
  <c r="N32"/>
  <c r="L32"/>
  <c r="N36"/>
  <c r="L36"/>
  <c r="J88"/>
  <c r="L87"/>
  <c r="L88" s="1"/>
  <c r="N91"/>
  <c r="L91"/>
  <c r="N95"/>
  <c r="L95"/>
  <c r="N6"/>
  <c r="L6"/>
  <c r="N34"/>
  <c r="L34"/>
  <c r="N7"/>
  <c r="L7"/>
  <c r="J21"/>
  <c r="J30"/>
  <c r="L30"/>
  <c r="J43"/>
  <c r="N31"/>
  <c r="L31"/>
  <c r="N35"/>
  <c r="L35"/>
  <c r="J86"/>
  <c r="L84"/>
  <c r="L86" s="1"/>
  <c r="L90"/>
  <c r="N90"/>
  <c r="N94"/>
  <c r="L94"/>
  <c r="N17"/>
  <c r="L17"/>
  <c r="N89"/>
  <c r="L89"/>
  <c r="N93"/>
  <c r="L93"/>
  <c r="N9"/>
  <c r="L9"/>
  <c r="N16"/>
  <c r="L16"/>
  <c r="N33"/>
  <c r="L33"/>
  <c r="N37"/>
  <c r="L37"/>
  <c r="L92"/>
  <c r="N92"/>
  <c r="L96"/>
  <c r="N96"/>
  <c r="J62"/>
  <c r="J83"/>
  <c r="J14"/>
  <c r="J107"/>
  <c r="L21" l="1"/>
  <c r="N14"/>
  <c r="L107"/>
  <c r="N43"/>
  <c r="L14"/>
  <c r="N107"/>
  <c r="L43"/>
  <c r="N21"/>
  <c r="J108"/>
  <c r="L108" l="1"/>
  <c r="N108"/>
  <c r="F10" i="106"/>
  <c r="F11"/>
  <c r="I86" i="108"/>
  <c r="H86"/>
  <c r="G86"/>
  <c r="F86"/>
  <c r="F87" s="1"/>
  <c r="E86"/>
  <c r="D86"/>
  <c r="D87" s="1"/>
  <c r="C86"/>
  <c r="C87" s="1"/>
  <c r="J78"/>
  <c r="J76"/>
  <c r="J75"/>
  <c r="J86" s="1"/>
  <c r="I74"/>
  <c r="G74"/>
  <c r="F74"/>
  <c r="E74"/>
  <c r="D74"/>
  <c r="C74"/>
  <c r="J72"/>
  <c r="H72"/>
  <c r="H69"/>
  <c r="H74" s="1"/>
  <c r="F68"/>
  <c r="D68"/>
  <c r="C68"/>
  <c r="G67"/>
  <c r="F67"/>
  <c r="E67"/>
  <c r="H67" s="1"/>
  <c r="J67" s="1"/>
  <c r="I64"/>
  <c r="I68" s="1"/>
  <c r="G64"/>
  <c r="G68" s="1"/>
  <c r="F64"/>
  <c r="E64"/>
  <c r="E68" s="1"/>
  <c r="I63"/>
  <c r="G63"/>
  <c r="F63"/>
  <c r="E63"/>
  <c r="D63"/>
  <c r="C63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H63" s="1"/>
  <c r="I50"/>
  <c r="G50"/>
  <c r="F50"/>
  <c r="E50"/>
  <c r="D50"/>
  <c r="C50"/>
  <c r="H49"/>
  <c r="J49" s="1"/>
  <c r="H48"/>
  <c r="H50" s="1"/>
  <c r="I47"/>
  <c r="G47"/>
  <c r="F47"/>
  <c r="E47"/>
  <c r="D47"/>
  <c r="C47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H47" s="1"/>
  <c r="F32"/>
  <c r="E32"/>
  <c r="D32"/>
  <c r="C32"/>
  <c r="I31"/>
  <c r="I32" s="1"/>
  <c r="G31"/>
  <c r="G32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I19"/>
  <c r="G19"/>
  <c r="F19"/>
  <c r="E19"/>
  <c r="D19"/>
  <c r="C19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H19" s="1"/>
  <c r="I9"/>
  <c r="G9"/>
  <c r="F9"/>
  <c r="E9"/>
  <c r="D9"/>
  <c r="C9"/>
  <c r="H8"/>
  <c r="J8" s="1"/>
  <c r="G8"/>
  <c r="J7"/>
  <c r="H7"/>
  <c r="J6"/>
  <c r="H6"/>
  <c r="J5"/>
  <c r="H5"/>
  <c r="J4"/>
  <c r="J9" s="1"/>
  <c r="H4"/>
  <c r="H9" s="1"/>
  <c r="F80" i="103"/>
  <c r="G80"/>
  <c r="H80"/>
  <c r="I80"/>
  <c r="J80"/>
  <c r="M80"/>
  <c r="E80"/>
  <c r="G87" i="108" l="1"/>
  <c r="E87"/>
  <c r="I87"/>
  <c r="J10"/>
  <c r="J19" s="1"/>
  <c r="H31"/>
  <c r="J31" s="1"/>
  <c r="J32" s="1"/>
  <c r="J33"/>
  <c r="J47" s="1"/>
  <c r="J48"/>
  <c r="J50" s="1"/>
  <c r="J51"/>
  <c r="J63" s="1"/>
  <c r="J69"/>
  <c r="J74" s="1"/>
  <c r="H64"/>
  <c r="H68" l="1"/>
  <c r="H87" s="1"/>
  <c r="J64"/>
  <c r="J68" s="1"/>
  <c r="J87" s="1"/>
  <c r="H32"/>
  <c r="F5" i="107" l="1"/>
  <c r="F6"/>
  <c r="F7"/>
  <c r="F8"/>
  <c r="F9"/>
  <c r="F10"/>
  <c r="F11"/>
  <c r="F12"/>
  <c r="F13"/>
  <c r="F14"/>
  <c r="F4"/>
  <c r="D14"/>
  <c r="E14"/>
  <c r="E5"/>
  <c r="E6"/>
  <c r="E7"/>
  <c r="E8"/>
  <c r="E9"/>
  <c r="E10"/>
  <c r="E11"/>
  <c r="E12"/>
  <c r="E13"/>
  <c r="E4"/>
  <c r="B14"/>
  <c r="C13"/>
  <c r="C12"/>
  <c r="C11"/>
  <c r="C10"/>
  <c r="C9"/>
  <c r="C8"/>
  <c r="C7"/>
  <c r="C6"/>
  <c r="C5"/>
  <c r="C4"/>
  <c r="C14" s="1"/>
  <c r="E19" i="97" l="1"/>
  <c r="I19" i="101" l="1"/>
  <c r="Q19" l="1"/>
  <c r="F19"/>
  <c r="E19"/>
  <c r="U19" i="96"/>
  <c r="T19"/>
  <c r="R19"/>
  <c r="K19"/>
  <c r="N19"/>
  <c r="N19" i="99"/>
  <c r="E19"/>
  <c r="F37" i="106"/>
  <c r="E37"/>
  <c r="G33"/>
  <c r="F33"/>
  <c r="E33"/>
  <c r="G30"/>
  <c r="F30"/>
  <c r="E30"/>
  <c r="G25"/>
  <c r="F25"/>
  <c r="E25"/>
  <c r="G22"/>
  <c r="F22"/>
  <c r="E22"/>
  <c r="G17"/>
  <c r="F17"/>
  <c r="E17"/>
  <c r="F12"/>
  <c r="F38" s="1"/>
  <c r="E12"/>
  <c r="E38" s="1"/>
  <c r="G7"/>
  <c r="F7"/>
  <c r="E7"/>
  <c r="G5"/>
  <c r="F5"/>
  <c r="E5"/>
  <c r="G6"/>
  <c r="F14"/>
  <c r="G36" l="1"/>
  <c r="G35"/>
  <c r="G34"/>
  <c r="G32"/>
  <c r="G31"/>
  <c r="G29"/>
  <c r="G28"/>
  <c r="G27"/>
  <c r="G26"/>
  <c r="G24"/>
  <c r="G23"/>
  <c r="G21"/>
  <c r="G20"/>
  <c r="G18"/>
  <c r="G16"/>
  <c r="G15"/>
  <c r="G14"/>
  <c r="G13"/>
  <c r="G11"/>
  <c r="G12" s="1"/>
  <c r="G10"/>
  <c r="G9"/>
  <c r="G8"/>
  <c r="G4"/>
  <c r="G37" l="1"/>
  <c r="G38"/>
  <c r="F124" i="105"/>
  <c r="F125" s="1"/>
  <c r="D124"/>
  <c r="D125" s="1"/>
  <c r="E123"/>
  <c r="G123" s="1"/>
  <c r="G122"/>
  <c r="E121"/>
  <c r="G121" s="1"/>
  <c r="G120"/>
  <c r="E120"/>
  <c r="E119"/>
  <c r="G119" s="1"/>
  <c r="G118"/>
  <c r="E118"/>
  <c r="E117"/>
  <c r="G117" s="1"/>
  <c r="G116"/>
  <c r="E116"/>
  <c r="E115"/>
  <c r="G115" s="1"/>
  <c r="G114"/>
  <c r="E114"/>
  <c r="E113"/>
  <c r="G113" s="1"/>
  <c r="G124" s="1"/>
  <c r="F112"/>
  <c r="D112"/>
  <c r="E111"/>
  <c r="G111" s="1"/>
  <c r="E110"/>
  <c r="G110" s="1"/>
  <c r="E109"/>
  <c r="G109" s="1"/>
  <c r="E108"/>
  <c r="G108" s="1"/>
  <c r="E107"/>
  <c r="G107" s="1"/>
  <c r="E106"/>
  <c r="G106" s="1"/>
  <c r="E105"/>
  <c r="G105" s="1"/>
  <c r="E104"/>
  <c r="G104" s="1"/>
  <c r="E103"/>
  <c r="G103" s="1"/>
  <c r="E102"/>
  <c r="G102" s="1"/>
  <c r="E101"/>
  <c r="G101" s="1"/>
  <c r="E100"/>
  <c r="G100" s="1"/>
  <c r="E99"/>
  <c r="G99" s="1"/>
  <c r="E98"/>
  <c r="G98" s="1"/>
  <c r="E97"/>
  <c r="E112" s="1"/>
  <c r="F96"/>
  <c r="D96"/>
  <c r="E95"/>
  <c r="G95" s="1"/>
  <c r="G94"/>
  <c r="G93"/>
  <c r="E93"/>
  <c r="G92"/>
  <c r="E92"/>
  <c r="G91"/>
  <c r="E91"/>
  <c r="G90"/>
  <c r="E90"/>
  <c r="G89"/>
  <c r="E89"/>
  <c r="G88"/>
  <c r="E88"/>
  <c r="E96" s="1"/>
  <c r="G87"/>
  <c r="E87"/>
  <c r="F86"/>
  <c r="D86"/>
  <c r="G85"/>
  <c r="E85"/>
  <c r="G84"/>
  <c r="E84"/>
  <c r="G83"/>
  <c r="E83"/>
  <c r="G82"/>
  <c r="E82"/>
  <c r="E81"/>
  <c r="G81" s="1"/>
  <c r="G80"/>
  <c r="E80"/>
  <c r="E79"/>
  <c r="G79" s="1"/>
  <c r="G78"/>
  <c r="E78"/>
  <c r="E77"/>
  <c r="G77" s="1"/>
  <c r="G76"/>
  <c r="E76"/>
  <c r="E75"/>
  <c r="E86" s="1"/>
  <c r="G74"/>
  <c r="E74"/>
  <c r="F73"/>
  <c r="D73"/>
  <c r="E72"/>
  <c r="G72" s="1"/>
  <c r="G71"/>
  <c r="E71"/>
  <c r="E70"/>
  <c r="G70" s="1"/>
  <c r="G69"/>
  <c r="E69"/>
  <c r="E68"/>
  <c r="G68" s="1"/>
  <c r="G67"/>
  <c r="E67"/>
  <c r="E66"/>
  <c r="G66" s="1"/>
  <c r="G65"/>
  <c r="E65"/>
  <c r="E64"/>
  <c r="G64" s="1"/>
  <c r="G63"/>
  <c r="E63"/>
  <c r="E62"/>
  <c r="G62" s="1"/>
  <c r="G61"/>
  <c r="E61"/>
  <c r="E60"/>
  <c r="G60" s="1"/>
  <c r="G59"/>
  <c r="E59"/>
  <c r="E58"/>
  <c r="G58" s="1"/>
  <c r="E57"/>
  <c r="E73" s="1"/>
  <c r="F56"/>
  <c r="D56"/>
  <c r="E55"/>
  <c r="G55" s="1"/>
  <c r="E54"/>
  <c r="G54" s="1"/>
  <c r="E53"/>
  <c r="G53" s="1"/>
  <c r="E52"/>
  <c r="G52" s="1"/>
  <c r="E51"/>
  <c r="G51" s="1"/>
  <c r="E50"/>
  <c r="G50" s="1"/>
  <c r="E49"/>
  <c r="G49" s="1"/>
  <c r="E48"/>
  <c r="G48" s="1"/>
  <c r="E47"/>
  <c r="G47" s="1"/>
  <c r="E46"/>
  <c r="G46" s="1"/>
  <c r="E45"/>
  <c r="G45" s="1"/>
  <c r="E44"/>
  <c r="G44" s="1"/>
  <c r="E43"/>
  <c r="G43" s="1"/>
  <c r="E42"/>
  <c r="G42" s="1"/>
  <c r="E41"/>
  <c r="G41" s="1"/>
  <c r="E40"/>
  <c r="G40" s="1"/>
  <c r="E39"/>
  <c r="G39" s="1"/>
  <c r="E38"/>
  <c r="G38" s="1"/>
  <c r="E37"/>
  <c r="E56" s="1"/>
  <c r="F36"/>
  <c r="D36"/>
  <c r="E35"/>
  <c r="G35" s="1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E36" s="1"/>
  <c r="F15"/>
  <c r="D15"/>
  <c r="E14"/>
  <c r="G14" s="1"/>
  <c r="E13"/>
  <c r="G13" s="1"/>
  <c r="E12"/>
  <c r="G12" s="1"/>
  <c r="E11"/>
  <c r="G11" s="1"/>
  <c r="E10"/>
  <c r="G10" s="1"/>
  <c r="G15" s="1"/>
  <c r="F9"/>
  <c r="D9"/>
  <c r="E8"/>
  <c r="G8" s="1"/>
  <c r="E7"/>
  <c r="G7" s="1"/>
  <c r="E6"/>
  <c r="G6" s="1"/>
  <c r="E5"/>
  <c r="G5" s="1"/>
  <c r="E4"/>
  <c r="E9" s="1"/>
  <c r="G86" l="1"/>
  <c r="G96"/>
  <c r="G4"/>
  <c r="G9" s="1"/>
  <c r="E15"/>
  <c r="G16"/>
  <c r="G36" s="1"/>
  <c r="G37"/>
  <c r="G56" s="1"/>
  <c r="G75"/>
  <c r="G97"/>
  <c r="G112" s="1"/>
  <c r="G57"/>
  <c r="G73" s="1"/>
  <c r="E124"/>
  <c r="G125" l="1"/>
  <c r="E125"/>
  <c r="AQ25" i="104" l="1"/>
  <c r="AU25" s="1"/>
  <c r="AQ53"/>
  <c r="AQ91"/>
  <c r="AQ100"/>
  <c r="AQ101"/>
  <c r="AQ102"/>
  <c r="AQ103"/>
  <c r="AQ104"/>
  <c r="AQ105"/>
  <c r="AQ106"/>
  <c r="AQ107"/>
  <c r="AQ108"/>
  <c r="AQ109"/>
  <c r="AQ110"/>
  <c r="AQ111"/>
  <c r="AQ112"/>
  <c r="AQ113"/>
  <c r="AW25" l="1"/>
  <c r="AQ94"/>
  <c r="AQ36"/>
  <c r="AQ71"/>
  <c r="AQ114"/>
  <c r="AQ115" l="1"/>
  <c r="AP114"/>
  <c r="AP94"/>
  <c r="AP71"/>
  <c r="AP36"/>
  <c r="AP115" l="1"/>
  <c r="AN114" l="1"/>
  <c r="AN94"/>
  <c r="AN71"/>
  <c r="AN36"/>
  <c r="AN115" l="1"/>
  <c r="AO114"/>
  <c r="AO94"/>
  <c r="AO71"/>
  <c r="AO36"/>
  <c r="AD113"/>
  <c r="AD112"/>
  <c r="AD111"/>
  <c r="AD110"/>
  <c r="AD109"/>
  <c r="AD108"/>
  <c r="AD107"/>
  <c r="AD106"/>
  <c r="AD105"/>
  <c r="AD104"/>
  <c r="AD103"/>
  <c r="AD102"/>
  <c r="AD101"/>
  <c r="AD100"/>
  <c r="AD91"/>
  <c r="AD53"/>
  <c r="AD25"/>
  <c r="AD94" l="1"/>
  <c r="AD114"/>
  <c r="AD36"/>
  <c r="AD71"/>
  <c r="AO115"/>
  <c r="AJ25"/>
  <c r="AJ53"/>
  <c r="AJ91"/>
  <c r="AJ100"/>
  <c r="AJ101"/>
  <c r="AJ102"/>
  <c r="AJ103"/>
  <c r="AJ104"/>
  <c r="AJ105"/>
  <c r="AJ106"/>
  <c r="AJ107"/>
  <c r="AJ108"/>
  <c r="AJ109"/>
  <c r="AJ110"/>
  <c r="AJ111"/>
  <c r="AJ112"/>
  <c r="AJ113"/>
  <c r="AC106"/>
  <c r="AL106" s="1"/>
  <c r="AC107"/>
  <c r="AH107" s="1"/>
  <c r="AC108"/>
  <c r="AG108" s="1"/>
  <c r="AC109"/>
  <c r="AG109" s="1"/>
  <c r="AC110"/>
  <c r="AL110" s="1"/>
  <c r="AC111"/>
  <c r="AG111" s="1"/>
  <c r="AC112"/>
  <c r="AG112" s="1"/>
  <c r="AC113"/>
  <c r="AG113" s="1"/>
  <c r="AC105"/>
  <c r="AH105" s="1"/>
  <c r="AJ94" l="1"/>
  <c r="AD115"/>
  <c r="AE110"/>
  <c r="AE106"/>
  <c r="AF110"/>
  <c r="AF106"/>
  <c r="AG110"/>
  <c r="AG106"/>
  <c r="AH106"/>
  <c r="AI111"/>
  <c r="AI107"/>
  <c r="AJ36"/>
  <c r="AK111"/>
  <c r="AK107"/>
  <c r="AL111"/>
  <c r="AL107"/>
  <c r="AE111"/>
  <c r="AE107"/>
  <c r="AF111"/>
  <c r="AF107"/>
  <c r="AG107"/>
  <c r="AI112"/>
  <c r="AI108"/>
  <c r="AJ114"/>
  <c r="AK112"/>
  <c r="AK108"/>
  <c r="AL112"/>
  <c r="AL108"/>
  <c r="AE112"/>
  <c r="AE108"/>
  <c r="AF112"/>
  <c r="AF108"/>
  <c r="AI113"/>
  <c r="AI109"/>
  <c r="AI105"/>
  <c r="AJ71"/>
  <c r="AK113"/>
  <c r="AK109"/>
  <c r="AK105"/>
  <c r="AL113"/>
  <c r="AL109"/>
  <c r="AL105"/>
  <c r="AE113"/>
  <c r="AE109"/>
  <c r="AE105"/>
  <c r="AF113"/>
  <c r="AF109"/>
  <c r="AF105"/>
  <c r="AG105"/>
  <c r="AI110"/>
  <c r="AI106"/>
  <c r="AK110"/>
  <c r="AK106"/>
  <c r="R25"/>
  <c r="Q25"/>
  <c r="P25"/>
  <c r="O25"/>
  <c r="AM107" l="1"/>
  <c r="AM105"/>
  <c r="AM106"/>
  <c r="AB114"/>
  <c r="AA114"/>
  <c r="Z114"/>
  <c r="Y114"/>
  <c r="W114"/>
  <c r="V114"/>
  <c r="U114"/>
  <c r="T114"/>
  <c r="M114"/>
  <c r="L114"/>
  <c r="K114"/>
  <c r="J114"/>
  <c r="H114"/>
  <c r="G114"/>
  <c r="F114"/>
  <c r="E114"/>
  <c r="D114"/>
  <c r="AU113"/>
  <c r="AW113" s="1"/>
  <c r="X113"/>
  <c r="R113"/>
  <c r="Q113"/>
  <c r="P113"/>
  <c r="O113"/>
  <c r="N113"/>
  <c r="I113"/>
  <c r="AU112"/>
  <c r="AW112" s="1"/>
  <c r="X112"/>
  <c r="R112"/>
  <c r="Q112"/>
  <c r="P112"/>
  <c r="O112"/>
  <c r="N112"/>
  <c r="I112"/>
  <c r="AU111"/>
  <c r="AW111" s="1"/>
  <c r="AH111"/>
  <c r="AM111" s="1"/>
  <c r="X111"/>
  <c r="R111"/>
  <c r="Q111"/>
  <c r="P111"/>
  <c r="O111"/>
  <c r="N111"/>
  <c r="I111"/>
  <c r="AU110"/>
  <c r="AW110" s="1"/>
  <c r="AH110"/>
  <c r="AM110" s="1"/>
  <c r="X110"/>
  <c r="R110"/>
  <c r="Q110"/>
  <c r="P110"/>
  <c r="O110"/>
  <c r="N110"/>
  <c r="I110"/>
  <c r="AU109"/>
  <c r="AW109" s="1"/>
  <c r="AH109"/>
  <c r="AM109" s="1"/>
  <c r="X109"/>
  <c r="R109"/>
  <c r="Q109"/>
  <c r="P109"/>
  <c r="O109"/>
  <c r="N109"/>
  <c r="I109"/>
  <c r="AU108"/>
  <c r="AW108" s="1"/>
  <c r="AH108"/>
  <c r="AM108" s="1"/>
  <c r="X108"/>
  <c r="R108"/>
  <c r="Q108"/>
  <c r="P108"/>
  <c r="O108"/>
  <c r="N108"/>
  <c r="I108"/>
  <c r="AU107"/>
  <c r="AW107" s="1"/>
  <c r="X107"/>
  <c r="R107"/>
  <c r="Q107"/>
  <c r="P107"/>
  <c r="O107"/>
  <c r="N107"/>
  <c r="I107"/>
  <c r="AU106"/>
  <c r="AW106" s="1"/>
  <c r="X106"/>
  <c r="R106"/>
  <c r="Q106"/>
  <c r="P106"/>
  <c r="O106"/>
  <c r="N106"/>
  <c r="I106"/>
  <c r="AU105"/>
  <c r="AW105" s="1"/>
  <c r="X105"/>
  <c r="R105"/>
  <c r="Q105"/>
  <c r="P105"/>
  <c r="O105"/>
  <c r="N105"/>
  <c r="I105"/>
  <c r="AU104"/>
  <c r="AW104" s="1"/>
  <c r="AC104"/>
  <c r="X104"/>
  <c r="R104"/>
  <c r="Q104"/>
  <c r="P104"/>
  <c r="O104"/>
  <c r="N104"/>
  <c r="I104"/>
  <c r="AU103"/>
  <c r="AW103" s="1"/>
  <c r="AC103"/>
  <c r="X103"/>
  <c r="R103"/>
  <c r="Q103"/>
  <c r="P103"/>
  <c r="O103"/>
  <c r="N103"/>
  <c r="I103"/>
  <c r="AU102"/>
  <c r="AW102" s="1"/>
  <c r="AC102"/>
  <c r="X102"/>
  <c r="R102"/>
  <c r="Q102"/>
  <c r="P102"/>
  <c r="O102"/>
  <c r="N102"/>
  <c r="I102"/>
  <c r="AU101"/>
  <c r="AW101" s="1"/>
  <c r="AC101"/>
  <c r="X101"/>
  <c r="R101"/>
  <c r="Q101"/>
  <c r="P101"/>
  <c r="O101"/>
  <c r="N101"/>
  <c r="I101"/>
  <c r="AC100"/>
  <c r="X100"/>
  <c r="R100"/>
  <c r="Q100"/>
  <c r="P100"/>
  <c r="O100"/>
  <c r="N100"/>
  <c r="I100"/>
  <c r="AB94"/>
  <c r="AA94"/>
  <c r="Z94"/>
  <c r="Y94"/>
  <c r="W94"/>
  <c r="V94"/>
  <c r="U94"/>
  <c r="T94"/>
  <c r="M94"/>
  <c r="L94"/>
  <c r="K94"/>
  <c r="J94"/>
  <c r="H94"/>
  <c r="G94"/>
  <c r="F94"/>
  <c r="E94"/>
  <c r="D94"/>
  <c r="AC91"/>
  <c r="X91"/>
  <c r="R91"/>
  <c r="Q91"/>
  <c r="P91"/>
  <c r="O91"/>
  <c r="N91"/>
  <c r="I91"/>
  <c r="AB71"/>
  <c r="AA71"/>
  <c r="Z71"/>
  <c r="Y71"/>
  <c r="W71"/>
  <c r="V71"/>
  <c r="U71"/>
  <c r="T71"/>
  <c r="M71"/>
  <c r="L71"/>
  <c r="K71"/>
  <c r="J71"/>
  <c r="H71"/>
  <c r="G71"/>
  <c r="F71"/>
  <c r="E71"/>
  <c r="D71"/>
  <c r="AC53"/>
  <c r="X53"/>
  <c r="R53"/>
  <c r="Q53"/>
  <c r="P53"/>
  <c r="O53"/>
  <c r="N53"/>
  <c r="I53"/>
  <c r="AB36"/>
  <c r="AA36"/>
  <c r="Z36"/>
  <c r="Y36"/>
  <c r="W36"/>
  <c r="V36"/>
  <c r="U36"/>
  <c r="T36"/>
  <c r="M36"/>
  <c r="L36"/>
  <c r="K36"/>
  <c r="J36"/>
  <c r="H36"/>
  <c r="G36"/>
  <c r="F36"/>
  <c r="E36"/>
  <c r="D36"/>
  <c r="AC25"/>
  <c r="X25"/>
  <c r="R36"/>
  <c r="Q36"/>
  <c r="P36"/>
  <c r="O36"/>
  <c r="N25"/>
  <c r="I25"/>
  <c r="AJ115"/>
  <c r="AW36" l="1"/>
  <c r="AU36"/>
  <c r="X94"/>
  <c r="N94"/>
  <c r="AG25"/>
  <c r="AF25"/>
  <c r="AE25"/>
  <c r="AL25"/>
  <c r="AK25"/>
  <c r="AI25"/>
  <c r="AU53"/>
  <c r="AW53" s="1"/>
  <c r="AU91"/>
  <c r="AG100"/>
  <c r="AF100"/>
  <c r="AE100"/>
  <c r="AL100"/>
  <c r="AK100"/>
  <c r="AI100"/>
  <c r="AG104"/>
  <c r="AF104"/>
  <c r="AE104"/>
  <c r="AL104"/>
  <c r="AK104"/>
  <c r="AI104"/>
  <c r="I94"/>
  <c r="AG53"/>
  <c r="AF53"/>
  <c r="AE53"/>
  <c r="AL53"/>
  <c r="AK53"/>
  <c r="AI53"/>
  <c r="AG91"/>
  <c r="AF91"/>
  <c r="AE91"/>
  <c r="AL91"/>
  <c r="AK91"/>
  <c r="AI91"/>
  <c r="AG103"/>
  <c r="AF103"/>
  <c r="AE103"/>
  <c r="AL103"/>
  <c r="AK103"/>
  <c r="AI103"/>
  <c r="O114"/>
  <c r="X114"/>
  <c r="AL102"/>
  <c r="AK102"/>
  <c r="AI102"/>
  <c r="AG102"/>
  <c r="AF102"/>
  <c r="AE102"/>
  <c r="AG101"/>
  <c r="AF101"/>
  <c r="AE101"/>
  <c r="AL101"/>
  <c r="AK101"/>
  <c r="AI101"/>
  <c r="I36"/>
  <c r="P71"/>
  <c r="Q94"/>
  <c r="I114"/>
  <c r="Q114"/>
  <c r="P114"/>
  <c r="S113"/>
  <c r="P94"/>
  <c r="O94"/>
  <c r="R94"/>
  <c r="S104"/>
  <c r="N114"/>
  <c r="R114"/>
  <c r="S102"/>
  <c r="AU100"/>
  <c r="N71"/>
  <c r="X71"/>
  <c r="O71"/>
  <c r="R71"/>
  <c r="I71"/>
  <c r="Q71"/>
  <c r="N36"/>
  <c r="X36"/>
  <c r="AH101"/>
  <c r="AH103"/>
  <c r="AH112"/>
  <c r="AM112" s="1"/>
  <c r="AH53"/>
  <c r="AC36"/>
  <c r="AH25"/>
  <c r="S111"/>
  <c r="S101"/>
  <c r="S107"/>
  <c r="S106"/>
  <c r="S112"/>
  <c r="S103"/>
  <c r="S105"/>
  <c r="S109"/>
  <c r="S110"/>
  <c r="S108"/>
  <c r="S91"/>
  <c r="F115"/>
  <c r="K115"/>
  <c r="U115"/>
  <c r="Z115"/>
  <c r="E115"/>
  <c r="J115"/>
  <c r="T115"/>
  <c r="Y115"/>
  <c r="D115"/>
  <c r="H115"/>
  <c r="M115"/>
  <c r="W115"/>
  <c r="AB115"/>
  <c r="G115"/>
  <c r="L115"/>
  <c r="V115"/>
  <c r="AA115"/>
  <c r="AC71"/>
  <c r="S100"/>
  <c r="S53"/>
  <c r="AC94"/>
  <c r="AH100"/>
  <c r="AH104"/>
  <c r="AC114"/>
  <c r="S25"/>
  <c r="AH91"/>
  <c r="AH94" s="1"/>
  <c r="AH102"/>
  <c r="AH113"/>
  <c r="AM113" s="1"/>
  <c r="AW100" l="1"/>
  <c r="AW114" s="1"/>
  <c r="AU114"/>
  <c r="AU94"/>
  <c r="AW91"/>
  <c r="AW94" s="1"/>
  <c r="AU71"/>
  <c r="AU115" s="1"/>
  <c r="AW71"/>
  <c r="AK94"/>
  <c r="AG94"/>
  <c r="AM103"/>
  <c r="AM101"/>
  <c r="AM102"/>
  <c r="AM104"/>
  <c r="AI94"/>
  <c r="AF94"/>
  <c r="AE94"/>
  <c r="AL94"/>
  <c r="I115"/>
  <c r="AK71"/>
  <c r="AG71"/>
  <c r="AE114"/>
  <c r="AK36"/>
  <c r="AG36"/>
  <c r="AH114"/>
  <c r="AI71"/>
  <c r="AF71"/>
  <c r="AL114"/>
  <c r="AI36"/>
  <c r="AF36"/>
  <c r="AH36"/>
  <c r="AH71"/>
  <c r="AE71"/>
  <c r="AK114"/>
  <c r="AG114"/>
  <c r="AE36"/>
  <c r="AL71"/>
  <c r="AI114"/>
  <c r="AF114"/>
  <c r="AL36"/>
  <c r="Q115"/>
  <c r="S94"/>
  <c r="S114"/>
  <c r="AC115"/>
  <c r="AM25"/>
  <c r="N115"/>
  <c r="R115"/>
  <c r="X115"/>
  <c r="P115"/>
  <c r="O115"/>
  <c r="AM91"/>
  <c r="S36"/>
  <c r="S71"/>
  <c r="AM53"/>
  <c r="AM100"/>
  <c r="AW115" l="1"/>
  <c r="AM94"/>
  <c r="AM114"/>
  <c r="AM71"/>
  <c r="AM36"/>
  <c r="AF115"/>
  <c r="AG115"/>
  <c r="AL115"/>
  <c r="AH115"/>
  <c r="AE115"/>
  <c r="AI115"/>
  <c r="AK115"/>
  <c r="S115"/>
  <c r="AM115" l="1"/>
  <c r="J30" i="102" l="1"/>
  <c r="N30" i="99" l="1"/>
  <c r="I30"/>
  <c r="L30"/>
  <c r="G30" i="95"/>
  <c r="G30" i="94"/>
  <c r="P56" i="103" l="1"/>
  <c r="M8" l="1"/>
  <c r="M10"/>
  <c r="M11"/>
  <c r="M12"/>
  <c r="M13"/>
  <c r="M15"/>
  <c r="M18"/>
  <c r="M24"/>
  <c r="M25"/>
  <c r="M26"/>
  <c r="M27"/>
  <c r="M28"/>
  <c r="M31"/>
  <c r="M32"/>
  <c r="M33"/>
  <c r="M34"/>
  <c r="M35"/>
  <c r="M36"/>
  <c r="M37"/>
  <c r="M38"/>
  <c r="M39"/>
  <c r="M41"/>
  <c r="M42"/>
  <c r="M43"/>
  <c r="M44"/>
  <c r="M45"/>
  <c r="M46"/>
  <c r="M49"/>
  <c r="M50"/>
  <c r="M51"/>
  <c r="M56"/>
  <c r="M57"/>
  <c r="M58"/>
  <c r="M59"/>
  <c r="M60"/>
  <c r="M61"/>
  <c r="M62"/>
  <c r="M64"/>
  <c r="M65"/>
  <c r="M66"/>
  <c r="M68"/>
  <c r="M69"/>
  <c r="M70"/>
  <c r="M71"/>
  <c r="M72"/>
  <c r="M73"/>
  <c r="M74"/>
  <c r="M75"/>
  <c r="L18"/>
  <c r="L32"/>
  <c r="L38"/>
  <c r="L39"/>
  <c r="L43"/>
  <c r="L44"/>
  <c r="L45"/>
  <c r="L46"/>
  <c r="L47"/>
  <c r="L48"/>
  <c r="L49"/>
  <c r="L50"/>
  <c r="L51"/>
  <c r="L54"/>
  <c r="L55"/>
  <c r="L57"/>
  <c r="L58"/>
  <c r="L60"/>
  <c r="L61"/>
  <c r="L62"/>
  <c r="L63"/>
  <c r="L64"/>
  <c r="L65"/>
  <c r="L66"/>
  <c r="L67"/>
  <c r="L69"/>
  <c r="L70"/>
  <c r="L72"/>
  <c r="L73"/>
  <c r="L74"/>
  <c r="L75"/>
  <c r="K61"/>
  <c r="K65"/>
  <c r="K69"/>
  <c r="K73"/>
  <c r="J14"/>
  <c r="J15"/>
  <c r="J16"/>
  <c r="J18"/>
  <c r="J20"/>
  <c r="J24"/>
  <c r="J25"/>
  <c r="J26"/>
  <c r="J27"/>
  <c r="J28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I9"/>
  <c r="I10"/>
  <c r="I11"/>
  <c r="I12"/>
  <c r="I13"/>
  <c r="I18"/>
  <c r="I19"/>
  <c r="I20"/>
  <c r="I26"/>
  <c r="I32"/>
  <c r="I33"/>
  <c r="I34"/>
  <c r="I35"/>
  <c r="I36"/>
  <c r="I37"/>
  <c r="I38"/>
  <c r="I39"/>
  <c r="I41"/>
  <c r="I42"/>
  <c r="I43"/>
  <c r="I44"/>
  <c r="I45"/>
  <c r="I46"/>
  <c r="I47"/>
  <c r="I48"/>
  <c r="I49"/>
  <c r="I50"/>
  <c r="I51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H7"/>
  <c r="H8"/>
  <c r="H9"/>
  <c r="H10"/>
  <c r="H11"/>
  <c r="H12"/>
  <c r="H13"/>
  <c r="H18"/>
  <c r="H24"/>
  <c r="H25"/>
  <c r="H26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G7"/>
  <c r="G8"/>
  <c r="G9"/>
  <c r="G10"/>
  <c r="G11"/>
  <c r="G12"/>
  <c r="G13"/>
  <c r="G14"/>
  <c r="G15"/>
  <c r="G16"/>
  <c r="G18"/>
  <c r="G20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F10"/>
  <c r="F11"/>
  <c r="F12"/>
  <c r="F13"/>
  <c r="F16"/>
  <c r="F18"/>
  <c r="F19"/>
  <c r="F20"/>
  <c r="F25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E11"/>
  <c r="E13"/>
  <c r="E14"/>
  <c r="E15"/>
  <c r="E16"/>
  <c r="E18"/>
  <c r="E19"/>
  <c r="E20"/>
  <c r="E22"/>
  <c r="E23"/>
  <c r="E24"/>
  <c r="E25"/>
  <c r="E26"/>
  <c r="E27"/>
  <c r="E28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P75" i="102"/>
  <c r="P74"/>
  <c r="P73"/>
  <c r="P72"/>
  <c r="P71"/>
  <c r="P70"/>
  <c r="P69"/>
  <c r="O68"/>
  <c r="N68"/>
  <c r="M68"/>
  <c r="L68"/>
  <c r="K68"/>
  <c r="J68"/>
  <c r="I68"/>
  <c r="H68"/>
  <c r="G68"/>
  <c r="F68"/>
  <c r="E68"/>
  <c r="P68" s="1"/>
  <c r="P67"/>
  <c r="M67" i="103" s="1"/>
  <c r="P66" i="102"/>
  <c r="P65"/>
  <c r="P64"/>
  <c r="O63"/>
  <c r="N63"/>
  <c r="M63"/>
  <c r="L63"/>
  <c r="K63"/>
  <c r="J63"/>
  <c r="I63"/>
  <c r="H63"/>
  <c r="G63"/>
  <c r="F63"/>
  <c r="E63"/>
  <c r="P62"/>
  <c r="P61"/>
  <c r="O60"/>
  <c r="N60"/>
  <c r="M60"/>
  <c r="L60"/>
  <c r="K60"/>
  <c r="J60"/>
  <c r="I60"/>
  <c r="H60"/>
  <c r="P60" s="1"/>
  <c r="G60"/>
  <c r="F60"/>
  <c r="E60"/>
  <c r="P59"/>
  <c r="E59"/>
  <c r="P58"/>
  <c r="O57"/>
  <c r="N57"/>
  <c r="M57"/>
  <c r="L57"/>
  <c r="K57"/>
  <c r="J57"/>
  <c r="I57"/>
  <c r="H57"/>
  <c r="G57"/>
  <c r="P57" s="1"/>
  <c r="F57"/>
  <c r="E57"/>
  <c r="O56"/>
  <c r="N56"/>
  <c r="M56"/>
  <c r="L56"/>
  <c r="K56"/>
  <c r="J56"/>
  <c r="I56"/>
  <c r="H56"/>
  <c r="G56"/>
  <c r="P56" s="1"/>
  <c r="F56"/>
  <c r="E56"/>
  <c r="P55"/>
  <c r="M55" i="103" s="1"/>
  <c r="O54" i="102"/>
  <c r="N54"/>
  <c r="M54"/>
  <c r="L54"/>
  <c r="K54"/>
  <c r="J54"/>
  <c r="I54"/>
  <c r="H54"/>
  <c r="P54" s="1"/>
  <c r="M54" i="103" s="1"/>
  <c r="G54" i="102"/>
  <c r="F54"/>
  <c r="E54"/>
  <c r="P53"/>
  <c r="M53" i="103" s="1"/>
  <c r="O52" i="102"/>
  <c r="N52"/>
  <c r="M52"/>
  <c r="L52"/>
  <c r="K52"/>
  <c r="J52"/>
  <c r="I52"/>
  <c r="H52"/>
  <c r="G52"/>
  <c r="F52"/>
  <c r="E52"/>
  <c r="P52" s="1"/>
  <c r="M52" i="103" s="1"/>
  <c r="P51" i="102"/>
  <c r="P50"/>
  <c r="O49"/>
  <c r="N49"/>
  <c r="M49"/>
  <c r="L49"/>
  <c r="K49"/>
  <c r="J49"/>
  <c r="I49"/>
  <c r="H49"/>
  <c r="G49"/>
  <c r="P49" s="1"/>
  <c r="F49"/>
  <c r="E49"/>
  <c r="P48"/>
  <c r="M48" i="103" s="1"/>
  <c r="O47" i="102"/>
  <c r="N47"/>
  <c r="M47"/>
  <c r="L47"/>
  <c r="K47"/>
  <c r="J47"/>
  <c r="I47"/>
  <c r="H47"/>
  <c r="P47" s="1"/>
  <c r="M47" i="103" s="1"/>
  <c r="G47" i="102"/>
  <c r="F47"/>
  <c r="E47"/>
  <c r="P46"/>
  <c r="O45"/>
  <c r="N45"/>
  <c r="M45"/>
  <c r="L45"/>
  <c r="K45"/>
  <c r="J45"/>
  <c r="I45"/>
  <c r="H45"/>
  <c r="G45"/>
  <c r="F45"/>
  <c r="E45"/>
  <c r="P45" s="1"/>
  <c r="P44"/>
  <c r="O43"/>
  <c r="N43"/>
  <c r="N40" s="1"/>
  <c r="N5" s="1"/>
  <c r="M43"/>
  <c r="L43"/>
  <c r="K43"/>
  <c r="J43"/>
  <c r="I43"/>
  <c r="H43"/>
  <c r="G43"/>
  <c r="F43"/>
  <c r="E43"/>
  <c r="P43" s="1"/>
  <c r="P42"/>
  <c r="P41"/>
  <c r="O40"/>
  <c r="M40"/>
  <c r="L40"/>
  <c r="K40"/>
  <c r="J40"/>
  <c r="I40"/>
  <c r="H40"/>
  <c r="G40"/>
  <c r="F40"/>
  <c r="E40"/>
  <c r="P40" s="1"/>
  <c r="M40" i="103" s="1"/>
  <c r="P39" i="102"/>
  <c r="O38"/>
  <c r="N38"/>
  <c r="M38"/>
  <c r="L38"/>
  <c r="K38"/>
  <c r="J38"/>
  <c r="I38"/>
  <c r="H38"/>
  <c r="G38"/>
  <c r="F38"/>
  <c r="E38"/>
  <c r="P38" s="1"/>
  <c r="P37"/>
  <c r="O36"/>
  <c r="N36"/>
  <c r="M36"/>
  <c r="L36"/>
  <c r="K36"/>
  <c r="J36"/>
  <c r="I36"/>
  <c r="H36"/>
  <c r="G36"/>
  <c r="F36"/>
  <c r="E36"/>
  <c r="P36" s="1"/>
  <c r="P35"/>
  <c r="O34"/>
  <c r="N34"/>
  <c r="M34"/>
  <c r="L34"/>
  <c r="K34"/>
  <c r="J34"/>
  <c r="I34"/>
  <c r="H34"/>
  <c r="G34"/>
  <c r="F34"/>
  <c r="E34"/>
  <c r="P34" s="1"/>
  <c r="O33"/>
  <c r="N33"/>
  <c r="M33"/>
  <c r="L33"/>
  <c r="K33"/>
  <c r="J33"/>
  <c r="I33"/>
  <c r="H33"/>
  <c r="G33"/>
  <c r="F33"/>
  <c r="E33"/>
  <c r="P33" s="1"/>
  <c r="P32"/>
  <c r="P31"/>
  <c r="P30"/>
  <c r="O29"/>
  <c r="N29"/>
  <c r="M29"/>
  <c r="L29"/>
  <c r="K29"/>
  <c r="J29"/>
  <c r="I29"/>
  <c r="H29"/>
  <c r="G29"/>
  <c r="F29"/>
  <c r="E29"/>
  <c r="P28"/>
  <c r="O27"/>
  <c r="N27"/>
  <c r="M27"/>
  <c r="L27"/>
  <c r="K27"/>
  <c r="J27"/>
  <c r="I27"/>
  <c r="H27"/>
  <c r="G27"/>
  <c r="F27"/>
  <c r="E27"/>
  <c r="P27" s="1"/>
  <c r="P26"/>
  <c r="P25"/>
  <c r="O24"/>
  <c r="N24"/>
  <c r="M24"/>
  <c r="L24"/>
  <c r="K24"/>
  <c r="J24"/>
  <c r="I24"/>
  <c r="H24"/>
  <c r="G24"/>
  <c r="F24"/>
  <c r="E24"/>
  <c r="P24" s="1"/>
  <c r="P23"/>
  <c r="O22"/>
  <c r="N22"/>
  <c r="M22"/>
  <c r="L22"/>
  <c r="K22"/>
  <c r="J22"/>
  <c r="I22"/>
  <c r="H22"/>
  <c r="G22"/>
  <c r="F22"/>
  <c r="E22"/>
  <c r="P21"/>
  <c r="M21" i="103" s="1"/>
  <c r="P20" i="102"/>
  <c r="M20" i="103" s="1"/>
  <c r="P19" i="102"/>
  <c r="M19" i="103" s="1"/>
  <c r="P18" i="102"/>
  <c r="O17"/>
  <c r="N17"/>
  <c r="M17"/>
  <c r="M6" s="1"/>
  <c r="M5" s="1"/>
  <c r="L17"/>
  <c r="K17"/>
  <c r="J17"/>
  <c r="I17"/>
  <c r="I6" s="1"/>
  <c r="I5" s="1"/>
  <c r="H17"/>
  <c r="G17"/>
  <c r="F17"/>
  <c r="E17"/>
  <c r="P16"/>
  <c r="P15"/>
  <c r="O14"/>
  <c r="N14"/>
  <c r="M14"/>
  <c r="L14"/>
  <c r="K14"/>
  <c r="J14"/>
  <c r="I14"/>
  <c r="H14"/>
  <c r="G14"/>
  <c r="F14"/>
  <c r="E14"/>
  <c r="P14" s="1"/>
  <c r="M14" i="103" s="1"/>
  <c r="P13" i="102"/>
  <c r="O12"/>
  <c r="N12"/>
  <c r="M12"/>
  <c r="L12"/>
  <c r="K12"/>
  <c r="J12"/>
  <c r="I12"/>
  <c r="H12"/>
  <c r="G12"/>
  <c r="F12"/>
  <c r="E12"/>
  <c r="P12" s="1"/>
  <c r="P11"/>
  <c r="O10"/>
  <c r="N10"/>
  <c r="M10"/>
  <c r="L10"/>
  <c r="K10"/>
  <c r="J10"/>
  <c r="I10"/>
  <c r="H10"/>
  <c r="G10"/>
  <c r="F10"/>
  <c r="E10"/>
  <c r="P10" s="1"/>
  <c r="P9"/>
  <c r="M9" i="103" s="1"/>
  <c r="P8" i="102"/>
  <c r="O7"/>
  <c r="N7"/>
  <c r="M7"/>
  <c r="L7"/>
  <c r="K7"/>
  <c r="J7"/>
  <c r="I7"/>
  <c r="H7"/>
  <c r="G7"/>
  <c r="F7"/>
  <c r="E7"/>
  <c r="P7" s="1"/>
  <c r="M7" i="103" s="1"/>
  <c r="O6" i="102"/>
  <c r="N6"/>
  <c r="L6"/>
  <c r="L5" s="1"/>
  <c r="K6"/>
  <c r="K5" s="1"/>
  <c r="J6"/>
  <c r="J5" s="1"/>
  <c r="H6"/>
  <c r="H5" s="1"/>
  <c r="G6"/>
  <c r="G5" s="1"/>
  <c r="F6"/>
  <c r="O5"/>
  <c r="F5"/>
  <c r="O75" i="101"/>
  <c r="T75" s="1"/>
  <c r="L75"/>
  <c r="K75"/>
  <c r="S74"/>
  <c r="O74"/>
  <c r="L74"/>
  <c r="K74"/>
  <c r="T74" s="1"/>
  <c r="T73"/>
  <c r="T72"/>
  <c r="T71"/>
  <c r="L71" i="103" s="1"/>
  <c r="T70" i="101"/>
  <c r="T69"/>
  <c r="S68"/>
  <c r="R68"/>
  <c r="Q68"/>
  <c r="P68"/>
  <c r="O68"/>
  <c r="N68"/>
  <c r="M68"/>
  <c r="L68"/>
  <c r="K68"/>
  <c r="J68"/>
  <c r="I68"/>
  <c r="H68"/>
  <c r="G68"/>
  <c r="F68"/>
  <c r="E68"/>
  <c r="T67"/>
  <c r="T66"/>
  <c r="T65"/>
  <c r="T64"/>
  <c r="S63"/>
  <c r="R63"/>
  <c r="Q63"/>
  <c r="P63"/>
  <c r="O63"/>
  <c r="N63"/>
  <c r="M63"/>
  <c r="L63"/>
  <c r="K63"/>
  <c r="J63"/>
  <c r="I63"/>
  <c r="H63"/>
  <c r="G63"/>
  <c r="F63"/>
  <c r="E63"/>
  <c r="T63" s="1"/>
  <c r="T62"/>
  <c r="T61"/>
  <c r="S60"/>
  <c r="R60"/>
  <c r="Q60"/>
  <c r="P60"/>
  <c r="O60"/>
  <c r="N60"/>
  <c r="M60"/>
  <c r="L60"/>
  <c r="K60"/>
  <c r="J60"/>
  <c r="I60"/>
  <c r="H60"/>
  <c r="G60"/>
  <c r="F60"/>
  <c r="E60"/>
  <c r="T60" s="1"/>
  <c r="S59"/>
  <c r="R59"/>
  <c r="R56" s="1"/>
  <c r="Q59"/>
  <c r="Q56" s="1"/>
  <c r="P59"/>
  <c r="P56" s="1"/>
  <c r="O59"/>
  <c r="N59"/>
  <c r="N56" s="1"/>
  <c r="M59"/>
  <c r="M56" s="1"/>
  <c r="L59"/>
  <c r="L56" s="1"/>
  <c r="K59"/>
  <c r="J59"/>
  <c r="I59"/>
  <c r="I56" s="1"/>
  <c r="H59"/>
  <c r="H56" s="1"/>
  <c r="G59"/>
  <c r="F59"/>
  <c r="F56" s="1"/>
  <c r="E59"/>
  <c r="S58"/>
  <c r="R58"/>
  <c r="P58"/>
  <c r="O58"/>
  <c r="M58"/>
  <c r="L58"/>
  <c r="K58"/>
  <c r="I58"/>
  <c r="H58"/>
  <c r="G58"/>
  <c r="F58"/>
  <c r="E58"/>
  <c r="T58" s="1"/>
  <c r="S57"/>
  <c r="R57"/>
  <c r="Q57"/>
  <c r="P57"/>
  <c r="O57"/>
  <c r="N57"/>
  <c r="M57"/>
  <c r="L57"/>
  <c r="K57"/>
  <c r="J57"/>
  <c r="I57"/>
  <c r="H57"/>
  <c r="G57"/>
  <c r="F57"/>
  <c r="E57"/>
  <c r="T57" s="1"/>
  <c r="S56"/>
  <c r="O56"/>
  <c r="K56"/>
  <c r="J56"/>
  <c r="G56"/>
  <c r="T55"/>
  <c r="S54"/>
  <c r="R54"/>
  <c r="Q54"/>
  <c r="P54"/>
  <c r="O54"/>
  <c r="N54"/>
  <c r="M54"/>
  <c r="L54"/>
  <c r="K54"/>
  <c r="J54"/>
  <c r="I54"/>
  <c r="H54"/>
  <c r="G54"/>
  <c r="F54"/>
  <c r="E54"/>
  <c r="T54" s="1"/>
  <c r="S51"/>
  <c r="R51"/>
  <c r="P51"/>
  <c r="O51"/>
  <c r="N51"/>
  <c r="M51"/>
  <c r="L51"/>
  <c r="K51"/>
  <c r="I51"/>
  <c r="H51"/>
  <c r="G51"/>
  <c r="F51"/>
  <c r="E51"/>
  <c r="T51" s="1"/>
  <c r="S50"/>
  <c r="R50"/>
  <c r="Q50"/>
  <c r="P50"/>
  <c r="O50"/>
  <c r="N50"/>
  <c r="M50"/>
  <c r="L50"/>
  <c r="K50"/>
  <c r="J50"/>
  <c r="I50"/>
  <c r="H50"/>
  <c r="G50"/>
  <c r="F50"/>
  <c r="E50"/>
  <c r="T50" s="1"/>
  <c r="S49"/>
  <c r="R49"/>
  <c r="Q49"/>
  <c r="P49"/>
  <c r="O49"/>
  <c r="N49"/>
  <c r="M49"/>
  <c r="L49"/>
  <c r="K49"/>
  <c r="J49"/>
  <c r="I49"/>
  <c r="H49"/>
  <c r="G49"/>
  <c r="F49"/>
  <c r="E49"/>
  <c r="T49" s="1"/>
  <c r="S48"/>
  <c r="R48"/>
  <c r="Q48"/>
  <c r="P48"/>
  <c r="O48"/>
  <c r="N48"/>
  <c r="M48"/>
  <c r="L48"/>
  <c r="K48"/>
  <c r="J48"/>
  <c r="I48"/>
  <c r="H48"/>
  <c r="G48"/>
  <c r="F48"/>
  <c r="E48"/>
  <c r="T48" s="1"/>
  <c r="S47"/>
  <c r="R47"/>
  <c r="Q47"/>
  <c r="P47"/>
  <c r="O47"/>
  <c r="N47"/>
  <c r="M47"/>
  <c r="L47"/>
  <c r="K47"/>
  <c r="J47"/>
  <c r="I47"/>
  <c r="H47"/>
  <c r="G47"/>
  <c r="F47"/>
  <c r="E47"/>
  <c r="T47" s="1"/>
  <c r="S46"/>
  <c r="R46"/>
  <c r="Q46"/>
  <c r="P46"/>
  <c r="O46"/>
  <c r="N46"/>
  <c r="M46"/>
  <c r="L46"/>
  <c r="K46"/>
  <c r="J46"/>
  <c r="I46"/>
  <c r="H46"/>
  <c r="G46"/>
  <c r="F46"/>
  <c r="E46"/>
  <c r="T46" s="1"/>
  <c r="S45"/>
  <c r="R45"/>
  <c r="Q45"/>
  <c r="P45"/>
  <c r="O45"/>
  <c r="N45"/>
  <c r="M45"/>
  <c r="L45"/>
  <c r="K45"/>
  <c r="J45"/>
  <c r="I45"/>
  <c r="H45"/>
  <c r="G45"/>
  <c r="F45"/>
  <c r="E45"/>
  <c r="T45" s="1"/>
  <c r="S44"/>
  <c r="R44"/>
  <c r="Q44"/>
  <c r="P44"/>
  <c r="O44"/>
  <c r="N44"/>
  <c r="M44"/>
  <c r="L44"/>
  <c r="K44"/>
  <c r="J44"/>
  <c r="I44"/>
  <c r="H44"/>
  <c r="G44"/>
  <c r="F44"/>
  <c r="E44"/>
  <c r="T44" s="1"/>
  <c r="S43"/>
  <c r="R43"/>
  <c r="Q43"/>
  <c r="P43"/>
  <c r="O43"/>
  <c r="N43"/>
  <c r="M43"/>
  <c r="L43"/>
  <c r="K43"/>
  <c r="J43"/>
  <c r="I43"/>
  <c r="H43"/>
  <c r="G43"/>
  <c r="F43"/>
  <c r="E43"/>
  <c r="T43" s="1"/>
  <c r="S42"/>
  <c r="Q42"/>
  <c r="O42"/>
  <c r="N42"/>
  <c r="M42"/>
  <c r="L42"/>
  <c r="K42"/>
  <c r="J42"/>
  <c r="I42"/>
  <c r="G42"/>
  <c r="F42"/>
  <c r="E42"/>
  <c r="S41"/>
  <c r="Q41"/>
  <c r="O41"/>
  <c r="N41"/>
  <c r="M41"/>
  <c r="L41"/>
  <c r="K41"/>
  <c r="J41"/>
  <c r="I41"/>
  <c r="G41"/>
  <c r="F41"/>
  <c r="E41"/>
  <c r="T39"/>
  <c r="S38"/>
  <c r="R38"/>
  <c r="Q38"/>
  <c r="P38"/>
  <c r="O38"/>
  <c r="N38"/>
  <c r="M38"/>
  <c r="L38"/>
  <c r="K38"/>
  <c r="J38"/>
  <c r="I38"/>
  <c r="H38"/>
  <c r="G38"/>
  <c r="F38"/>
  <c r="E38"/>
  <c r="T38" s="1"/>
  <c r="S37"/>
  <c r="S36" s="1"/>
  <c r="R37"/>
  <c r="Q37"/>
  <c r="Q36" s="1"/>
  <c r="P37"/>
  <c r="P36" s="1"/>
  <c r="O37"/>
  <c r="O36" s="1"/>
  <c r="N37"/>
  <c r="M37"/>
  <c r="L37"/>
  <c r="L36" s="1"/>
  <c r="K37"/>
  <c r="K36" s="1"/>
  <c r="J37"/>
  <c r="I37"/>
  <c r="I36" s="1"/>
  <c r="H37"/>
  <c r="H36" s="1"/>
  <c r="G37"/>
  <c r="G36" s="1"/>
  <c r="F37"/>
  <c r="E37"/>
  <c r="R36"/>
  <c r="N36"/>
  <c r="M36"/>
  <c r="J36"/>
  <c r="F36"/>
  <c r="E36"/>
  <c r="S35"/>
  <c r="S34" s="1"/>
  <c r="S33" s="1"/>
  <c r="R35"/>
  <c r="R34" s="1"/>
  <c r="Q35"/>
  <c r="Q34" s="1"/>
  <c r="Q33" s="1"/>
  <c r="P35"/>
  <c r="P34" s="1"/>
  <c r="O35"/>
  <c r="N35"/>
  <c r="N34" s="1"/>
  <c r="N33" s="1"/>
  <c r="M35"/>
  <c r="M34" s="1"/>
  <c r="L35"/>
  <c r="L34" s="1"/>
  <c r="K34"/>
  <c r="K33" s="1"/>
  <c r="J35"/>
  <c r="J34" s="1"/>
  <c r="J33" s="1"/>
  <c r="I35"/>
  <c r="I34" s="1"/>
  <c r="H35"/>
  <c r="H34" s="1"/>
  <c r="G35"/>
  <c r="G34" s="1"/>
  <c r="F35"/>
  <c r="F34" s="1"/>
  <c r="E35"/>
  <c r="E34" s="1"/>
  <c r="E33" s="1"/>
  <c r="O34"/>
  <c r="T32"/>
  <c r="S31"/>
  <c r="S53" s="1"/>
  <c r="S52" s="1"/>
  <c r="R31"/>
  <c r="R53" s="1"/>
  <c r="R52" s="1"/>
  <c r="Q31"/>
  <c r="Q53" s="1"/>
  <c r="Q52" s="1"/>
  <c r="P31"/>
  <c r="P53" s="1"/>
  <c r="P52" s="1"/>
  <c r="O31"/>
  <c r="O53" s="1"/>
  <c r="O52" s="1"/>
  <c r="N31"/>
  <c r="N53" s="1"/>
  <c r="N52" s="1"/>
  <c r="M31"/>
  <c r="M53" s="1"/>
  <c r="M52" s="1"/>
  <c r="L31"/>
  <c r="L53" s="1"/>
  <c r="L52" s="1"/>
  <c r="K31"/>
  <c r="K53" s="1"/>
  <c r="K52" s="1"/>
  <c r="J31"/>
  <c r="J53" s="1"/>
  <c r="J52" s="1"/>
  <c r="I31"/>
  <c r="I53" s="1"/>
  <c r="I52" s="1"/>
  <c r="H31"/>
  <c r="H53" s="1"/>
  <c r="H52" s="1"/>
  <c r="G31"/>
  <c r="G53" s="1"/>
  <c r="G52" s="1"/>
  <c r="F31"/>
  <c r="F53" s="1"/>
  <c r="F52" s="1"/>
  <c r="E31"/>
  <c r="E53" s="1"/>
  <c r="R30"/>
  <c r="Q30"/>
  <c r="Q29" s="1"/>
  <c r="P30"/>
  <c r="P29" s="1"/>
  <c r="O30"/>
  <c r="O29" s="1"/>
  <c r="M30"/>
  <c r="M29" s="1"/>
  <c r="L30"/>
  <c r="L29" s="1"/>
  <c r="K30"/>
  <c r="K29" s="1"/>
  <c r="J30"/>
  <c r="J29" s="1"/>
  <c r="I30"/>
  <c r="I29" s="1"/>
  <c r="H30"/>
  <c r="H29" s="1"/>
  <c r="G30"/>
  <c r="G29" s="1"/>
  <c r="F30"/>
  <c r="F29" s="1"/>
  <c r="E30"/>
  <c r="S29"/>
  <c r="R29"/>
  <c r="N29"/>
  <c r="S27"/>
  <c r="R28"/>
  <c r="R27" s="1"/>
  <c r="Q28"/>
  <c r="Q27" s="1"/>
  <c r="P28"/>
  <c r="P27" s="1"/>
  <c r="O28"/>
  <c r="O27" s="1"/>
  <c r="N28"/>
  <c r="N27" s="1"/>
  <c r="M28"/>
  <c r="M27" s="1"/>
  <c r="L28"/>
  <c r="L27" s="1"/>
  <c r="K28"/>
  <c r="K27" s="1"/>
  <c r="J28"/>
  <c r="J27" s="1"/>
  <c r="I28"/>
  <c r="I27" s="1"/>
  <c r="H28"/>
  <c r="H27" s="1"/>
  <c r="G28"/>
  <c r="G27" s="1"/>
  <c r="F28"/>
  <c r="F27" s="1"/>
  <c r="E28"/>
  <c r="S26"/>
  <c r="R26"/>
  <c r="Q26"/>
  <c r="P26"/>
  <c r="O26"/>
  <c r="N26"/>
  <c r="M26"/>
  <c r="L26"/>
  <c r="K26"/>
  <c r="J26"/>
  <c r="I26"/>
  <c r="H26"/>
  <c r="G26"/>
  <c r="F26"/>
  <c r="E26"/>
  <c r="S25"/>
  <c r="R25"/>
  <c r="Q25"/>
  <c r="P25"/>
  <c r="O25"/>
  <c r="O24" s="1"/>
  <c r="N25"/>
  <c r="M25"/>
  <c r="L25"/>
  <c r="K25"/>
  <c r="J25"/>
  <c r="I25"/>
  <c r="H25"/>
  <c r="G25"/>
  <c r="F25"/>
  <c r="E25"/>
  <c r="R23"/>
  <c r="Q23"/>
  <c r="P23"/>
  <c r="O23"/>
  <c r="N23"/>
  <c r="M23"/>
  <c r="L23"/>
  <c r="K23"/>
  <c r="J23"/>
  <c r="I23"/>
  <c r="H23"/>
  <c r="G23"/>
  <c r="F23"/>
  <c r="E23"/>
  <c r="T21"/>
  <c r="L21" i="103" s="1"/>
  <c r="S20" i="101"/>
  <c r="S17" s="1"/>
  <c r="R20"/>
  <c r="Q20"/>
  <c r="Q17" s="1"/>
  <c r="P20"/>
  <c r="O20"/>
  <c r="O17" s="1"/>
  <c r="N20"/>
  <c r="N17" s="1"/>
  <c r="M20"/>
  <c r="M17" s="1"/>
  <c r="L20"/>
  <c r="K20"/>
  <c r="K17" s="1"/>
  <c r="J20"/>
  <c r="I20"/>
  <c r="I17" s="1"/>
  <c r="H20"/>
  <c r="H17" s="1"/>
  <c r="G20"/>
  <c r="G17" s="1"/>
  <c r="F20"/>
  <c r="F17" s="1"/>
  <c r="E20"/>
  <c r="T19"/>
  <c r="L19" i="103" s="1"/>
  <c r="T18" i="101"/>
  <c r="R17"/>
  <c r="P17"/>
  <c r="L17"/>
  <c r="J17"/>
  <c r="R16"/>
  <c r="Q16"/>
  <c r="P16"/>
  <c r="O16"/>
  <c r="N16"/>
  <c r="M16"/>
  <c r="L16"/>
  <c r="K16"/>
  <c r="J16"/>
  <c r="I16"/>
  <c r="H16"/>
  <c r="G16"/>
  <c r="F16"/>
  <c r="E16"/>
  <c r="S14"/>
  <c r="R15"/>
  <c r="Q15"/>
  <c r="P15"/>
  <c r="O15"/>
  <c r="N15"/>
  <c r="M15"/>
  <c r="L15"/>
  <c r="K15"/>
  <c r="K14" s="1"/>
  <c r="J15"/>
  <c r="I15"/>
  <c r="H15"/>
  <c r="G15"/>
  <c r="F15"/>
  <c r="E15"/>
  <c r="S13"/>
  <c r="S12" s="1"/>
  <c r="R13"/>
  <c r="R12" s="1"/>
  <c r="Q13"/>
  <c r="Q12" s="1"/>
  <c r="P13"/>
  <c r="O13"/>
  <c r="O12" s="1"/>
  <c r="N13"/>
  <c r="N12" s="1"/>
  <c r="M13"/>
  <c r="M12" s="1"/>
  <c r="L13"/>
  <c r="L12" s="1"/>
  <c r="K13"/>
  <c r="K12" s="1"/>
  <c r="J13"/>
  <c r="J12" s="1"/>
  <c r="I13"/>
  <c r="I12" s="1"/>
  <c r="H13"/>
  <c r="H12" s="1"/>
  <c r="G13"/>
  <c r="G12" s="1"/>
  <c r="F13"/>
  <c r="F12" s="1"/>
  <c r="E13"/>
  <c r="E12" s="1"/>
  <c r="P12"/>
  <c r="S11"/>
  <c r="R11"/>
  <c r="Q11"/>
  <c r="Q10" s="1"/>
  <c r="P11"/>
  <c r="O11"/>
  <c r="N11"/>
  <c r="M11"/>
  <c r="M10" s="1"/>
  <c r="L11"/>
  <c r="K11"/>
  <c r="J11"/>
  <c r="I11"/>
  <c r="H11"/>
  <c r="G11"/>
  <c r="F11"/>
  <c r="E11"/>
  <c r="E10" s="1"/>
  <c r="S9"/>
  <c r="R9"/>
  <c r="Q9"/>
  <c r="P9"/>
  <c r="O9"/>
  <c r="N9"/>
  <c r="M9"/>
  <c r="L9"/>
  <c r="K9"/>
  <c r="J9"/>
  <c r="I9"/>
  <c r="H9"/>
  <c r="G9"/>
  <c r="F9"/>
  <c r="E9"/>
  <c r="S8"/>
  <c r="R8"/>
  <c r="Q8"/>
  <c r="P8"/>
  <c r="O8"/>
  <c r="N8"/>
  <c r="N7" s="1"/>
  <c r="M8"/>
  <c r="L8"/>
  <c r="K8"/>
  <c r="J8"/>
  <c r="J7" s="1"/>
  <c r="I8"/>
  <c r="H8"/>
  <c r="G8"/>
  <c r="F8"/>
  <c r="F7" s="1"/>
  <c r="E8"/>
  <c r="Q7"/>
  <c r="N75" i="100"/>
  <c r="K75" i="103" s="1"/>
  <c r="N74" i="100"/>
  <c r="K74" i="103" s="1"/>
  <c r="N73" i="100"/>
  <c r="N72"/>
  <c r="K72" i="103" s="1"/>
  <c r="N72" s="1"/>
  <c r="Q72" s="1"/>
  <c r="N71" i="100"/>
  <c r="K71" i="103" s="1"/>
  <c r="N70" i="100"/>
  <c r="K70" i="103" s="1"/>
  <c r="N69" i="100"/>
  <c r="M68"/>
  <c r="L68"/>
  <c r="K68"/>
  <c r="J68"/>
  <c r="I68"/>
  <c r="H68"/>
  <c r="G68"/>
  <c r="F68"/>
  <c r="E68"/>
  <c r="N67"/>
  <c r="K67" i="103" s="1"/>
  <c r="N66" i="100"/>
  <c r="K66" i="103" s="1"/>
  <c r="N66" s="1"/>
  <c r="Q66" s="1"/>
  <c r="N65" i="100"/>
  <c r="N64"/>
  <c r="K64" i="103" s="1"/>
  <c r="M63" i="100"/>
  <c r="L63"/>
  <c r="K63"/>
  <c r="J63"/>
  <c r="I63"/>
  <c r="H63"/>
  <c r="G63"/>
  <c r="F63"/>
  <c r="E63"/>
  <c r="N62"/>
  <c r="K62" i="103" s="1"/>
  <c r="N62" s="1"/>
  <c r="Q62" s="1"/>
  <c r="N61" i="100"/>
  <c r="M60"/>
  <c r="L60"/>
  <c r="K60"/>
  <c r="J60"/>
  <c r="I60"/>
  <c r="H60"/>
  <c r="G60"/>
  <c r="F60"/>
  <c r="E60"/>
  <c r="N59"/>
  <c r="K59" i="103" s="1"/>
  <c r="N58" i="100"/>
  <c r="K58" i="103" s="1"/>
  <c r="M57" i="100"/>
  <c r="L57"/>
  <c r="K57"/>
  <c r="K56" s="1"/>
  <c r="J57"/>
  <c r="J56" s="1"/>
  <c r="I57"/>
  <c r="I56" s="1"/>
  <c r="H57"/>
  <c r="H56" s="1"/>
  <c r="H40" s="1"/>
  <c r="G57"/>
  <c r="G56" s="1"/>
  <c r="F57"/>
  <c r="F56" s="1"/>
  <c r="E57"/>
  <c r="M56"/>
  <c r="L56"/>
  <c r="E56"/>
  <c r="N55"/>
  <c r="K55" i="103" s="1"/>
  <c r="M54" i="100"/>
  <c r="L54"/>
  <c r="K54"/>
  <c r="J54"/>
  <c r="I54"/>
  <c r="H54"/>
  <c r="G54"/>
  <c r="F54"/>
  <c r="E54"/>
  <c r="N53"/>
  <c r="K53" i="103" s="1"/>
  <c r="M52" i="100"/>
  <c r="L52"/>
  <c r="K52"/>
  <c r="J52"/>
  <c r="I52"/>
  <c r="H52"/>
  <c r="G52"/>
  <c r="F52"/>
  <c r="E52"/>
  <c r="N51"/>
  <c r="K51" i="103" s="1"/>
  <c r="N50" i="100"/>
  <c r="K50" i="103" s="1"/>
  <c r="M49" i="100"/>
  <c r="L49"/>
  <c r="K49"/>
  <c r="J49"/>
  <c r="I49"/>
  <c r="H49"/>
  <c r="G49"/>
  <c r="F49"/>
  <c r="E49"/>
  <c r="N48"/>
  <c r="K48" i="103" s="1"/>
  <c r="M47" i="100"/>
  <c r="L47"/>
  <c r="K47"/>
  <c r="J47"/>
  <c r="I47"/>
  <c r="H47"/>
  <c r="G47"/>
  <c r="F47"/>
  <c r="E47"/>
  <c r="M46"/>
  <c r="J46"/>
  <c r="N46" s="1"/>
  <c r="K46" i="103" s="1"/>
  <c r="N46" s="1"/>
  <c r="Q46" s="1"/>
  <c r="M45" i="100"/>
  <c r="L45"/>
  <c r="K45"/>
  <c r="J45"/>
  <c r="I45"/>
  <c r="I40" s="1"/>
  <c r="H45"/>
  <c r="G45"/>
  <c r="F45"/>
  <c r="E45"/>
  <c r="E40" s="1"/>
  <c r="N44"/>
  <c r="K44" i="103" s="1"/>
  <c r="M43" i="100"/>
  <c r="M40" s="1"/>
  <c r="L43"/>
  <c r="L40" s="1"/>
  <c r="K43"/>
  <c r="J43"/>
  <c r="I43"/>
  <c r="H43"/>
  <c r="G43"/>
  <c r="F43"/>
  <c r="E43"/>
  <c r="N42"/>
  <c r="K42" i="103" s="1"/>
  <c r="N41" i="100"/>
  <c r="K41" i="103" s="1"/>
  <c r="N39" i="100"/>
  <c r="K39" i="103" s="1"/>
  <c r="N39" s="1"/>
  <c r="Q39" s="1"/>
  <c r="M38" i="100"/>
  <c r="L38"/>
  <c r="K38"/>
  <c r="J38"/>
  <c r="I38"/>
  <c r="H38"/>
  <c r="G38"/>
  <c r="F38"/>
  <c r="E38"/>
  <c r="N38" s="1"/>
  <c r="K38" i="103" s="1"/>
  <c r="N37" i="100"/>
  <c r="K37" i="103" s="1"/>
  <c r="M36" i="100"/>
  <c r="L36"/>
  <c r="L33" s="1"/>
  <c r="K36"/>
  <c r="J36"/>
  <c r="I36"/>
  <c r="H36"/>
  <c r="G36"/>
  <c r="F36"/>
  <c r="E36"/>
  <c r="H35"/>
  <c r="N35" s="1"/>
  <c r="K35" i="103" s="1"/>
  <c r="M34" i="100"/>
  <c r="L34"/>
  <c r="K34"/>
  <c r="J34"/>
  <c r="J33" s="1"/>
  <c r="I34"/>
  <c r="I33" s="1"/>
  <c r="G34"/>
  <c r="F34"/>
  <c r="E34"/>
  <c r="E33" s="1"/>
  <c r="M33"/>
  <c r="F33"/>
  <c r="N32"/>
  <c r="K32" i="103" s="1"/>
  <c r="N31" i="100"/>
  <c r="K31" i="103" s="1"/>
  <c r="N30" i="100"/>
  <c r="M29"/>
  <c r="L29"/>
  <c r="K29"/>
  <c r="J29"/>
  <c r="I29"/>
  <c r="H29"/>
  <c r="G29"/>
  <c r="F29"/>
  <c r="E29"/>
  <c r="N28"/>
  <c r="K28" i="103" s="1"/>
  <c r="M27" i="100"/>
  <c r="L27"/>
  <c r="K27"/>
  <c r="J27"/>
  <c r="I27"/>
  <c r="H27"/>
  <c r="G27"/>
  <c r="F27"/>
  <c r="E27"/>
  <c r="N26"/>
  <c r="K26" i="103" s="1"/>
  <c r="E25" i="100"/>
  <c r="N25" s="1"/>
  <c r="K25" i="103" s="1"/>
  <c r="M24" i="100"/>
  <c r="L24"/>
  <c r="L22" s="1"/>
  <c r="K24"/>
  <c r="K22" s="1"/>
  <c r="J24"/>
  <c r="I24"/>
  <c r="H24"/>
  <c r="H22" s="1"/>
  <c r="G24"/>
  <c r="G22" s="1"/>
  <c r="F24"/>
  <c r="E24"/>
  <c r="N23"/>
  <c r="K23" i="103" s="1"/>
  <c r="M22" i="100"/>
  <c r="J22"/>
  <c r="I22"/>
  <c r="F22"/>
  <c r="E22"/>
  <c r="N21"/>
  <c r="K21" i="103" s="1"/>
  <c r="N20" i="100"/>
  <c r="K20" i="103" s="1"/>
  <c r="N19" i="100"/>
  <c r="K19" i="103" s="1"/>
  <c r="N18" i="100"/>
  <c r="K18" i="103" s="1"/>
  <c r="N18" s="1"/>
  <c r="M17" i="100"/>
  <c r="L17"/>
  <c r="K17"/>
  <c r="J17"/>
  <c r="J6" s="1"/>
  <c r="I17"/>
  <c r="H17"/>
  <c r="G17"/>
  <c r="F17"/>
  <c r="E17"/>
  <c r="N16"/>
  <c r="N15"/>
  <c r="K15" i="103" s="1"/>
  <c r="M14" i="100"/>
  <c r="L14"/>
  <c r="K14"/>
  <c r="J14"/>
  <c r="I14"/>
  <c r="H14"/>
  <c r="G14"/>
  <c r="F14"/>
  <c r="E14"/>
  <c r="N13"/>
  <c r="K13" i="103" s="1"/>
  <c r="M12" i="100"/>
  <c r="L12"/>
  <c r="L10" s="1"/>
  <c r="K12"/>
  <c r="K10" s="1"/>
  <c r="K6" s="1"/>
  <c r="J12"/>
  <c r="I12"/>
  <c r="H12"/>
  <c r="H10" s="1"/>
  <c r="G12"/>
  <c r="G10" s="1"/>
  <c r="G6" s="1"/>
  <c r="F12"/>
  <c r="E12"/>
  <c r="N11"/>
  <c r="K11" i="103" s="1"/>
  <c r="M10" i="100"/>
  <c r="J10"/>
  <c r="I10"/>
  <c r="I6" s="1"/>
  <c r="I5" s="1"/>
  <c r="F10"/>
  <c r="E10"/>
  <c r="N9"/>
  <c r="K9" i="103" s="1"/>
  <c r="N8" i="100"/>
  <c r="K8" i="103" s="1"/>
  <c r="M7" i="100"/>
  <c r="L7"/>
  <c r="L6" s="1"/>
  <c r="K7"/>
  <c r="J7"/>
  <c r="I7"/>
  <c r="H7"/>
  <c r="G7"/>
  <c r="F7"/>
  <c r="F6" s="1"/>
  <c r="E7"/>
  <c r="M6"/>
  <c r="M5" s="1"/>
  <c r="Q75" i="99"/>
  <c r="Q74"/>
  <c r="Q73"/>
  <c r="Q72"/>
  <c r="Q71"/>
  <c r="Q70"/>
  <c r="Q69"/>
  <c r="P68"/>
  <c r="O68"/>
  <c r="N68"/>
  <c r="M68"/>
  <c r="L68"/>
  <c r="K68"/>
  <c r="J68"/>
  <c r="I68"/>
  <c r="H68"/>
  <c r="G68"/>
  <c r="F68"/>
  <c r="E68"/>
  <c r="Q68" s="1"/>
  <c r="Q67"/>
  <c r="Q66"/>
  <c r="Q65"/>
  <c r="Q64"/>
  <c r="P63"/>
  <c r="O63"/>
  <c r="N63"/>
  <c r="M63"/>
  <c r="L63"/>
  <c r="K63"/>
  <c r="J63"/>
  <c r="I63"/>
  <c r="H63"/>
  <c r="G63"/>
  <c r="F63"/>
  <c r="E63"/>
  <c r="Q63" s="1"/>
  <c r="Q62"/>
  <c r="Q61"/>
  <c r="P60"/>
  <c r="O60"/>
  <c r="N60"/>
  <c r="M60"/>
  <c r="L60"/>
  <c r="K60"/>
  <c r="J60"/>
  <c r="I60"/>
  <c r="H60"/>
  <c r="G60"/>
  <c r="F60"/>
  <c r="E60"/>
  <c r="Q60" s="1"/>
  <c r="Q59"/>
  <c r="Q58"/>
  <c r="E58"/>
  <c r="E57" s="1"/>
  <c r="P57"/>
  <c r="O57"/>
  <c r="O56" s="1"/>
  <c r="O40" s="1"/>
  <c r="N57"/>
  <c r="N56" s="1"/>
  <c r="N40" s="1"/>
  <c r="M57"/>
  <c r="L57"/>
  <c r="K57"/>
  <c r="K56" s="1"/>
  <c r="K40" s="1"/>
  <c r="K5" s="1"/>
  <c r="J57"/>
  <c r="J56" s="1"/>
  <c r="J40" s="1"/>
  <c r="I57"/>
  <c r="H57"/>
  <c r="G57"/>
  <c r="G56" s="1"/>
  <c r="G40" s="1"/>
  <c r="G5" s="1"/>
  <c r="F57"/>
  <c r="F56" s="1"/>
  <c r="F40" s="1"/>
  <c r="P56"/>
  <c r="M56"/>
  <c r="L56"/>
  <c r="I56"/>
  <c r="H56"/>
  <c r="Q55"/>
  <c r="P54"/>
  <c r="O54"/>
  <c r="N54"/>
  <c r="M54"/>
  <c r="L54"/>
  <c r="K54"/>
  <c r="J54"/>
  <c r="I54"/>
  <c r="H54"/>
  <c r="G54"/>
  <c r="F54"/>
  <c r="E54"/>
  <c r="Q54" s="1"/>
  <c r="P52"/>
  <c r="O52"/>
  <c r="N52"/>
  <c r="L52"/>
  <c r="K52"/>
  <c r="J52"/>
  <c r="I52"/>
  <c r="H52"/>
  <c r="G52"/>
  <c r="F52"/>
  <c r="E52"/>
  <c r="P51"/>
  <c r="M51"/>
  <c r="Q51" s="1"/>
  <c r="Q50"/>
  <c r="P50"/>
  <c r="M50"/>
  <c r="P49"/>
  <c r="O49"/>
  <c r="N49"/>
  <c r="M49"/>
  <c r="L49"/>
  <c r="K49"/>
  <c r="J49"/>
  <c r="I49"/>
  <c r="H49"/>
  <c r="G49"/>
  <c r="F49"/>
  <c r="E49"/>
  <c r="Q49" s="1"/>
  <c r="M48"/>
  <c r="I48"/>
  <c r="F48"/>
  <c r="E48"/>
  <c r="E47" s="1"/>
  <c r="P47"/>
  <c r="O47"/>
  <c r="N47"/>
  <c r="M47"/>
  <c r="L47"/>
  <c r="K47"/>
  <c r="J47"/>
  <c r="I47"/>
  <c r="H47"/>
  <c r="G47"/>
  <c r="F47"/>
  <c r="M46"/>
  <c r="I46"/>
  <c r="I45" s="1"/>
  <c r="I40" s="1"/>
  <c r="F46"/>
  <c r="E46"/>
  <c r="Q46" s="1"/>
  <c r="P45"/>
  <c r="P40" s="1"/>
  <c r="P5" s="1"/>
  <c r="O45"/>
  <c r="N45"/>
  <c r="M45"/>
  <c r="L45"/>
  <c r="L40" s="1"/>
  <c r="K45"/>
  <c r="J45"/>
  <c r="H45"/>
  <c r="H40" s="1"/>
  <c r="G45"/>
  <c r="F45"/>
  <c r="E45"/>
  <c r="Q44"/>
  <c r="M44"/>
  <c r="F44"/>
  <c r="E44"/>
  <c r="P43"/>
  <c r="O43"/>
  <c r="N43"/>
  <c r="M43"/>
  <c r="L43"/>
  <c r="K43"/>
  <c r="J43"/>
  <c r="I43"/>
  <c r="H43"/>
  <c r="G43"/>
  <c r="F43"/>
  <c r="E43"/>
  <c r="Q43" s="1"/>
  <c r="P42"/>
  <c r="E42"/>
  <c r="P41"/>
  <c r="F41"/>
  <c r="Q41" s="1"/>
  <c r="Q39"/>
  <c r="P38"/>
  <c r="O38"/>
  <c r="N38"/>
  <c r="M38"/>
  <c r="L38"/>
  <c r="K38"/>
  <c r="J38"/>
  <c r="I38"/>
  <c r="H38"/>
  <c r="G38"/>
  <c r="F38"/>
  <c r="E38"/>
  <c r="Q38" s="1"/>
  <c r="M37"/>
  <c r="M36" s="1"/>
  <c r="P36"/>
  <c r="O36"/>
  <c r="N36"/>
  <c r="L36"/>
  <c r="K36"/>
  <c r="J36"/>
  <c r="I36"/>
  <c r="H36"/>
  <c r="G36"/>
  <c r="F36"/>
  <c r="E36"/>
  <c r="M35"/>
  <c r="M34" s="1"/>
  <c r="M33" s="1"/>
  <c r="L35"/>
  <c r="L34" s="1"/>
  <c r="L33" s="1"/>
  <c r="E35"/>
  <c r="Q35" s="1"/>
  <c r="P34"/>
  <c r="O34"/>
  <c r="O33" s="1"/>
  <c r="N34"/>
  <c r="K34"/>
  <c r="J34"/>
  <c r="I34"/>
  <c r="H34"/>
  <c r="G34"/>
  <c r="F34"/>
  <c r="E34"/>
  <c r="P33"/>
  <c r="N33"/>
  <c r="K33"/>
  <c r="J33"/>
  <c r="I33"/>
  <c r="H33"/>
  <c r="G33"/>
  <c r="F33"/>
  <c r="E33"/>
  <c r="Q33" s="1"/>
  <c r="Q32"/>
  <c r="M31"/>
  <c r="Q31" s="1"/>
  <c r="M30"/>
  <c r="Q30" s="1"/>
  <c r="P29"/>
  <c r="O29"/>
  <c r="N29"/>
  <c r="M29"/>
  <c r="L29"/>
  <c r="K29"/>
  <c r="J29"/>
  <c r="I29"/>
  <c r="H29"/>
  <c r="G29"/>
  <c r="F29"/>
  <c r="E29"/>
  <c r="Q29" s="1"/>
  <c r="J29" i="103" s="1"/>
  <c r="Q28" i="99"/>
  <c r="M28"/>
  <c r="P27"/>
  <c r="O27"/>
  <c r="N27"/>
  <c r="M27"/>
  <c r="L27"/>
  <c r="K27"/>
  <c r="J27"/>
  <c r="I27"/>
  <c r="H27"/>
  <c r="G27"/>
  <c r="F27"/>
  <c r="E27"/>
  <c r="Q27" s="1"/>
  <c r="Q26"/>
  <c r="Q25"/>
  <c r="M25"/>
  <c r="P24"/>
  <c r="O24"/>
  <c r="N24"/>
  <c r="M24"/>
  <c r="L24"/>
  <c r="K24"/>
  <c r="J24"/>
  <c r="I24"/>
  <c r="H24"/>
  <c r="G24"/>
  <c r="F24"/>
  <c r="E24"/>
  <c r="Q24" s="1"/>
  <c r="Q23"/>
  <c r="P22"/>
  <c r="O22"/>
  <c r="N22"/>
  <c r="M22"/>
  <c r="L22"/>
  <c r="K22"/>
  <c r="J22"/>
  <c r="I22"/>
  <c r="H22"/>
  <c r="G22"/>
  <c r="F22"/>
  <c r="E22"/>
  <c r="Q22" s="1"/>
  <c r="J22" i="103" s="1"/>
  <c r="Q21" i="99"/>
  <c r="J21" i="103" s="1"/>
  <c r="M20" i="99"/>
  <c r="Q20" s="1"/>
  <c r="Q19"/>
  <c r="J19" i="103" s="1"/>
  <c r="Q18" i="99"/>
  <c r="P17"/>
  <c r="O17"/>
  <c r="N17"/>
  <c r="M17"/>
  <c r="L17"/>
  <c r="K17"/>
  <c r="J17"/>
  <c r="I17"/>
  <c r="H17"/>
  <c r="G17"/>
  <c r="F17"/>
  <c r="E17"/>
  <c r="Q16"/>
  <c r="M16"/>
  <c r="M15"/>
  <c r="Q15" s="1"/>
  <c r="P14"/>
  <c r="O14"/>
  <c r="N14"/>
  <c r="M14"/>
  <c r="L14"/>
  <c r="K14"/>
  <c r="J14"/>
  <c r="I14"/>
  <c r="H14"/>
  <c r="G14"/>
  <c r="F14"/>
  <c r="E14"/>
  <c r="Q14" s="1"/>
  <c r="M13"/>
  <c r="Q13" s="1"/>
  <c r="J13" i="103" s="1"/>
  <c r="P12" i="99"/>
  <c r="O12"/>
  <c r="N12"/>
  <c r="M12"/>
  <c r="L12"/>
  <c r="K12"/>
  <c r="J12"/>
  <c r="I12"/>
  <c r="H12"/>
  <c r="G12"/>
  <c r="F12"/>
  <c r="E12"/>
  <c r="Q12" s="1"/>
  <c r="J12" i="103" s="1"/>
  <c r="M11" i="99"/>
  <c r="Q11" s="1"/>
  <c r="J11" i="103" s="1"/>
  <c r="P10" i="99"/>
  <c r="O10"/>
  <c r="N10"/>
  <c r="M10"/>
  <c r="L10"/>
  <c r="K10"/>
  <c r="J10"/>
  <c r="I10"/>
  <c r="H10"/>
  <c r="G10"/>
  <c r="F10"/>
  <c r="Q9"/>
  <c r="J9" i="103" s="1"/>
  <c r="M9" i="99"/>
  <c r="M8"/>
  <c r="Q8" s="1"/>
  <c r="J8" i="103" s="1"/>
  <c r="P7" i="99"/>
  <c r="O7"/>
  <c r="N7"/>
  <c r="M7"/>
  <c r="L7"/>
  <c r="K7"/>
  <c r="J7"/>
  <c r="I7"/>
  <c r="H7"/>
  <c r="G7"/>
  <c r="F7"/>
  <c r="E7"/>
  <c r="P6"/>
  <c r="O6"/>
  <c r="N6"/>
  <c r="M6"/>
  <c r="L6"/>
  <c r="K6"/>
  <c r="J6"/>
  <c r="I6"/>
  <c r="H6"/>
  <c r="G6"/>
  <c r="F6"/>
  <c r="U75" i="98"/>
  <c r="U74"/>
  <c r="U73"/>
  <c r="U72"/>
  <c r="U71"/>
  <c r="U70"/>
  <c r="U69"/>
  <c r="T68"/>
  <c r="S68"/>
  <c r="R68"/>
  <c r="Q68"/>
  <c r="P68"/>
  <c r="O68"/>
  <c r="N68"/>
  <c r="M68"/>
  <c r="L68"/>
  <c r="K68"/>
  <c r="J68"/>
  <c r="I68"/>
  <c r="H68"/>
  <c r="G68"/>
  <c r="F68"/>
  <c r="E68"/>
  <c r="U68" s="1"/>
  <c r="U67"/>
  <c r="U66"/>
  <c r="U65"/>
  <c r="U64"/>
  <c r="T63"/>
  <c r="S63"/>
  <c r="R63"/>
  <c r="Q63"/>
  <c r="P63"/>
  <c r="O63"/>
  <c r="N63"/>
  <c r="M63"/>
  <c r="L63"/>
  <c r="K63"/>
  <c r="J63"/>
  <c r="I63"/>
  <c r="H63"/>
  <c r="G63"/>
  <c r="F63"/>
  <c r="E63"/>
  <c r="U63" s="1"/>
  <c r="U62"/>
  <c r="U61"/>
  <c r="T60"/>
  <c r="S60"/>
  <c r="R60"/>
  <c r="Q60"/>
  <c r="P60"/>
  <c r="O60"/>
  <c r="N60"/>
  <c r="M60"/>
  <c r="L60"/>
  <c r="K60"/>
  <c r="J60"/>
  <c r="I60"/>
  <c r="H60"/>
  <c r="G60"/>
  <c r="F60"/>
  <c r="E60"/>
  <c r="U60" s="1"/>
  <c r="U59"/>
  <c r="U58"/>
  <c r="T57"/>
  <c r="S57"/>
  <c r="R57"/>
  <c r="R56" s="1"/>
  <c r="R40" s="1"/>
  <c r="Q57"/>
  <c r="P57"/>
  <c r="O57"/>
  <c r="N57"/>
  <c r="N56" s="1"/>
  <c r="N40" s="1"/>
  <c r="M57"/>
  <c r="L57"/>
  <c r="K57"/>
  <c r="J57"/>
  <c r="J56" s="1"/>
  <c r="J40" s="1"/>
  <c r="I57"/>
  <c r="H57"/>
  <c r="G57"/>
  <c r="F57"/>
  <c r="F56" s="1"/>
  <c r="F40" s="1"/>
  <c r="E57"/>
  <c r="U57" s="1"/>
  <c r="T56"/>
  <c r="S56"/>
  <c r="Q56"/>
  <c r="P56"/>
  <c r="O56"/>
  <c r="M56"/>
  <c r="L56"/>
  <c r="K56"/>
  <c r="I56"/>
  <c r="H56"/>
  <c r="G56"/>
  <c r="E56"/>
  <c r="U55"/>
  <c r="I55" i="103" s="1"/>
  <c r="T54" i="98"/>
  <c r="S54"/>
  <c r="R54"/>
  <c r="Q54"/>
  <c r="P54"/>
  <c r="O54"/>
  <c r="N54"/>
  <c r="M54"/>
  <c r="L54"/>
  <c r="K54"/>
  <c r="J54"/>
  <c r="I54"/>
  <c r="H54"/>
  <c r="G54"/>
  <c r="F54"/>
  <c r="E54"/>
  <c r="U54" s="1"/>
  <c r="I54" i="103" s="1"/>
  <c r="U53" i="98"/>
  <c r="I53" i="103" s="1"/>
  <c r="T52" i="98"/>
  <c r="S52"/>
  <c r="R52"/>
  <c r="Q52"/>
  <c r="P52"/>
  <c r="O52"/>
  <c r="N52"/>
  <c r="M52"/>
  <c r="L52"/>
  <c r="K52"/>
  <c r="J52"/>
  <c r="I52"/>
  <c r="H52"/>
  <c r="G52"/>
  <c r="F52"/>
  <c r="E52"/>
  <c r="U52" s="1"/>
  <c r="I52" i="103" s="1"/>
  <c r="U51" i="98"/>
  <c r="U50"/>
  <c r="T49"/>
  <c r="S49"/>
  <c r="R49"/>
  <c r="Q49"/>
  <c r="P49"/>
  <c r="O49"/>
  <c r="N49"/>
  <c r="M49"/>
  <c r="L49"/>
  <c r="K49"/>
  <c r="J49"/>
  <c r="I49"/>
  <c r="H49"/>
  <c r="G49"/>
  <c r="F49"/>
  <c r="E49"/>
  <c r="U49" s="1"/>
  <c r="U48"/>
  <c r="T47"/>
  <c r="S47"/>
  <c r="R47"/>
  <c r="Q47"/>
  <c r="P47"/>
  <c r="O47"/>
  <c r="N47"/>
  <c r="M47"/>
  <c r="L47"/>
  <c r="K47"/>
  <c r="J47"/>
  <c r="I47"/>
  <c r="H47"/>
  <c r="G47"/>
  <c r="F47"/>
  <c r="E47"/>
  <c r="U47" s="1"/>
  <c r="U46"/>
  <c r="T45"/>
  <c r="S45"/>
  <c r="R45"/>
  <c r="Q45"/>
  <c r="P45"/>
  <c r="O45"/>
  <c r="N45"/>
  <c r="M45"/>
  <c r="L45"/>
  <c r="K45"/>
  <c r="J45"/>
  <c r="I45"/>
  <c r="H45"/>
  <c r="G45"/>
  <c r="F45"/>
  <c r="E45"/>
  <c r="U45" s="1"/>
  <c r="U44"/>
  <c r="T43"/>
  <c r="S43"/>
  <c r="R43"/>
  <c r="Q43"/>
  <c r="P43"/>
  <c r="O43"/>
  <c r="N43"/>
  <c r="M43"/>
  <c r="L43"/>
  <c r="K43"/>
  <c r="J43"/>
  <c r="I43"/>
  <c r="H43"/>
  <c r="G43"/>
  <c r="F43"/>
  <c r="E43"/>
  <c r="U43" s="1"/>
  <c r="U42"/>
  <c r="U41"/>
  <c r="T40"/>
  <c r="S40"/>
  <c r="Q40"/>
  <c r="P40"/>
  <c r="O40"/>
  <c r="M40"/>
  <c r="L40"/>
  <c r="K40"/>
  <c r="I40"/>
  <c r="H40"/>
  <c r="G40"/>
  <c r="E40"/>
  <c r="U39"/>
  <c r="T38"/>
  <c r="S38"/>
  <c r="R38"/>
  <c r="Q38"/>
  <c r="P38"/>
  <c r="O38"/>
  <c r="N38"/>
  <c r="M38"/>
  <c r="L38"/>
  <c r="K38"/>
  <c r="J38"/>
  <c r="I38"/>
  <c r="H38"/>
  <c r="G38"/>
  <c r="F38"/>
  <c r="E38"/>
  <c r="U38" s="1"/>
  <c r="U37"/>
  <c r="T36"/>
  <c r="S36"/>
  <c r="R36"/>
  <c r="Q36"/>
  <c r="P36"/>
  <c r="O36"/>
  <c r="N36"/>
  <c r="M36"/>
  <c r="L36"/>
  <c r="K36"/>
  <c r="J36"/>
  <c r="I36"/>
  <c r="H36"/>
  <c r="G36"/>
  <c r="F36"/>
  <c r="E36"/>
  <c r="U36" s="1"/>
  <c r="U35"/>
  <c r="T34"/>
  <c r="S34"/>
  <c r="R34"/>
  <c r="Q34"/>
  <c r="Q33" s="1"/>
  <c r="P34"/>
  <c r="O34"/>
  <c r="N34"/>
  <c r="M34"/>
  <c r="M33" s="1"/>
  <c r="L34"/>
  <c r="K34"/>
  <c r="J34"/>
  <c r="I34"/>
  <c r="I33" s="1"/>
  <c r="H34"/>
  <c r="G34"/>
  <c r="F34"/>
  <c r="E34"/>
  <c r="E33" s="1"/>
  <c r="T33"/>
  <c r="S33"/>
  <c r="R33"/>
  <c r="P33"/>
  <c r="O33"/>
  <c r="N33"/>
  <c r="L33"/>
  <c r="K33"/>
  <c r="J33"/>
  <c r="H33"/>
  <c r="G33"/>
  <c r="F33"/>
  <c r="U32"/>
  <c r="U31"/>
  <c r="X31" s="1"/>
  <c r="U30"/>
  <c r="X30" s="1"/>
  <c r="T29"/>
  <c r="S29"/>
  <c r="R29"/>
  <c r="Q29"/>
  <c r="P29"/>
  <c r="O29"/>
  <c r="N29"/>
  <c r="M29"/>
  <c r="L29"/>
  <c r="K29"/>
  <c r="J29"/>
  <c r="I29"/>
  <c r="H29"/>
  <c r="G29"/>
  <c r="F29"/>
  <c r="E29"/>
  <c r="U29" s="1"/>
  <c r="I29" i="103" s="1"/>
  <c r="U28" i="98"/>
  <c r="T27"/>
  <c r="S27"/>
  <c r="R27"/>
  <c r="Q27"/>
  <c r="P27"/>
  <c r="O27"/>
  <c r="N27"/>
  <c r="M27"/>
  <c r="L27"/>
  <c r="K27"/>
  <c r="J27"/>
  <c r="I27"/>
  <c r="H27"/>
  <c r="G27"/>
  <c r="F27"/>
  <c r="E27"/>
  <c r="U27" s="1"/>
  <c r="I27" i="103" s="1"/>
  <c r="U26" i="98"/>
  <c r="U25"/>
  <c r="I25" i="103" s="1"/>
  <c r="T24" i="98"/>
  <c r="S24"/>
  <c r="R24"/>
  <c r="Q24"/>
  <c r="P24"/>
  <c r="O24"/>
  <c r="N24"/>
  <c r="M24"/>
  <c r="L24"/>
  <c r="K24"/>
  <c r="K22" s="1"/>
  <c r="J24"/>
  <c r="I24"/>
  <c r="H24"/>
  <c r="G24"/>
  <c r="F24"/>
  <c r="E24"/>
  <c r="U24" s="1"/>
  <c r="I24" i="103" s="1"/>
  <c r="U23" i="98"/>
  <c r="X23" s="1"/>
  <c r="T22"/>
  <c r="S22"/>
  <c r="R22"/>
  <c r="Q22"/>
  <c r="P22"/>
  <c r="O22"/>
  <c r="N22"/>
  <c r="M22"/>
  <c r="L22"/>
  <c r="J22"/>
  <c r="I22"/>
  <c r="H22"/>
  <c r="G22"/>
  <c r="F22"/>
  <c r="E22"/>
  <c r="U21"/>
  <c r="I21" i="103" s="1"/>
  <c r="U20" i="98"/>
  <c r="U19"/>
  <c r="U18"/>
  <c r="T17"/>
  <c r="S17"/>
  <c r="R17"/>
  <c r="Q17"/>
  <c r="P17"/>
  <c r="O17"/>
  <c r="N17"/>
  <c r="M17"/>
  <c r="L17"/>
  <c r="K17"/>
  <c r="J17"/>
  <c r="J6" s="1"/>
  <c r="I17"/>
  <c r="H17"/>
  <c r="G17"/>
  <c r="F17"/>
  <c r="E17"/>
  <c r="E6" s="1"/>
  <c r="U16"/>
  <c r="X16" s="1"/>
  <c r="U15"/>
  <c r="X15" s="1"/>
  <c r="T14"/>
  <c r="S14"/>
  <c r="R14"/>
  <c r="Q14"/>
  <c r="P14"/>
  <c r="O14"/>
  <c r="N14"/>
  <c r="N6" s="1"/>
  <c r="M14"/>
  <c r="L14"/>
  <c r="K14"/>
  <c r="J14"/>
  <c r="I14"/>
  <c r="H14"/>
  <c r="G14"/>
  <c r="F14"/>
  <c r="F6" s="1"/>
  <c r="E14"/>
  <c r="U13"/>
  <c r="T12"/>
  <c r="S12"/>
  <c r="R12"/>
  <c r="Q12"/>
  <c r="P12"/>
  <c r="O12"/>
  <c r="N12"/>
  <c r="M12"/>
  <c r="L12"/>
  <c r="K12"/>
  <c r="J12"/>
  <c r="I12"/>
  <c r="H12"/>
  <c r="G12"/>
  <c r="F12"/>
  <c r="E12"/>
  <c r="U12" s="1"/>
  <c r="U11"/>
  <c r="T10"/>
  <c r="S10"/>
  <c r="R10"/>
  <c r="Q10"/>
  <c r="P10"/>
  <c r="O10"/>
  <c r="N10"/>
  <c r="M10"/>
  <c r="L10"/>
  <c r="K10"/>
  <c r="J10"/>
  <c r="I10"/>
  <c r="H10"/>
  <c r="G10"/>
  <c r="F10"/>
  <c r="E10"/>
  <c r="U10" s="1"/>
  <c r="U9"/>
  <c r="U8"/>
  <c r="I8" i="103" s="1"/>
  <c r="T7" i="98"/>
  <c r="S7"/>
  <c r="R7"/>
  <c r="Q7"/>
  <c r="P7"/>
  <c r="O7"/>
  <c r="N7"/>
  <c r="M7"/>
  <c r="L7"/>
  <c r="K7"/>
  <c r="J7"/>
  <c r="I7"/>
  <c r="H7"/>
  <c r="G7"/>
  <c r="F7"/>
  <c r="E7"/>
  <c r="U7" s="1"/>
  <c r="I7" i="103" s="1"/>
  <c r="T6" i="98"/>
  <c r="R6"/>
  <c r="P6"/>
  <c r="P5" s="1"/>
  <c r="O6"/>
  <c r="I6"/>
  <c r="G6"/>
  <c r="T5"/>
  <c r="O5"/>
  <c r="G5"/>
  <c r="X75" i="97"/>
  <c r="X74"/>
  <c r="X73"/>
  <c r="X72"/>
  <c r="X71"/>
  <c r="X70"/>
  <c r="X69"/>
  <c r="W68"/>
  <c r="U68"/>
  <c r="T68"/>
  <c r="S68"/>
  <c r="R68"/>
  <c r="Q68"/>
  <c r="P68"/>
  <c r="O68"/>
  <c r="N68"/>
  <c r="M68"/>
  <c r="L68"/>
  <c r="K68"/>
  <c r="J68"/>
  <c r="I68"/>
  <c r="H68"/>
  <c r="G68"/>
  <c r="F68"/>
  <c r="E68"/>
  <c r="X68" s="1"/>
  <c r="X67"/>
  <c r="X66"/>
  <c r="X65"/>
  <c r="X64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X63" s="1"/>
  <c r="X62"/>
  <c r="X61"/>
  <c r="W60"/>
  <c r="V60"/>
  <c r="U60"/>
  <c r="T60"/>
  <c r="S60"/>
  <c r="R60"/>
  <c r="Q60"/>
  <c r="P60"/>
  <c r="O60"/>
  <c r="N60"/>
  <c r="M60"/>
  <c r="L60"/>
  <c r="K60"/>
  <c r="J60"/>
  <c r="I60"/>
  <c r="H60"/>
  <c r="G60"/>
  <c r="X60" s="1"/>
  <c r="F60"/>
  <c r="E60"/>
  <c r="N59"/>
  <c r="X59" s="1"/>
  <c r="Q58"/>
  <c r="H58"/>
  <c r="H57" s="1"/>
  <c r="H56" s="1"/>
  <c r="H40" s="1"/>
  <c r="F58"/>
  <c r="X58" s="1"/>
  <c r="W57"/>
  <c r="V57"/>
  <c r="U57"/>
  <c r="T57"/>
  <c r="S57"/>
  <c r="R57"/>
  <c r="Q57"/>
  <c r="P57"/>
  <c r="O57"/>
  <c r="N57"/>
  <c r="M57"/>
  <c r="L57"/>
  <c r="K57"/>
  <c r="J57"/>
  <c r="I57"/>
  <c r="G57"/>
  <c r="E57"/>
  <c r="W56"/>
  <c r="V56"/>
  <c r="U56"/>
  <c r="T56"/>
  <c r="S56"/>
  <c r="R56"/>
  <c r="Q56"/>
  <c r="P56"/>
  <c r="O56"/>
  <c r="N56"/>
  <c r="M56"/>
  <c r="L56"/>
  <c r="K56"/>
  <c r="J56"/>
  <c r="I56"/>
  <c r="G56"/>
  <c r="E56"/>
  <c r="X55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X54" s="1"/>
  <c r="W52"/>
  <c r="V52"/>
  <c r="U52"/>
  <c r="T52"/>
  <c r="S52"/>
  <c r="R52"/>
  <c r="Q52"/>
  <c r="P52"/>
  <c r="O52"/>
  <c r="N52"/>
  <c r="L52"/>
  <c r="K52"/>
  <c r="J52"/>
  <c r="I52"/>
  <c r="H52"/>
  <c r="G52"/>
  <c r="F52"/>
  <c r="E52"/>
  <c r="Q51"/>
  <c r="N51"/>
  <c r="M51"/>
  <c r="H51"/>
  <c r="X51" s="1"/>
  <c r="F51"/>
  <c r="U50"/>
  <c r="Q50"/>
  <c r="N50"/>
  <c r="M50"/>
  <c r="H50"/>
  <c r="F50"/>
  <c r="X50" s="1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X49" s="1"/>
  <c r="S48"/>
  <c r="Q48"/>
  <c r="N48"/>
  <c r="M48"/>
  <c r="H48"/>
  <c r="F48"/>
  <c r="X48" s="1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X47" s="1"/>
  <c r="S46"/>
  <c r="Q46"/>
  <c r="N46"/>
  <c r="M46"/>
  <c r="H46"/>
  <c r="F46"/>
  <c r="X46" s="1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X45" s="1"/>
  <c r="U44"/>
  <c r="S44"/>
  <c r="Q44"/>
  <c r="N44"/>
  <c r="M44"/>
  <c r="H44"/>
  <c r="X44" s="1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X43" s="1"/>
  <c r="H42"/>
  <c r="U41"/>
  <c r="S41"/>
  <c r="M41"/>
  <c r="X41" s="1"/>
  <c r="W40"/>
  <c r="V40"/>
  <c r="U40"/>
  <c r="T40"/>
  <c r="S40"/>
  <c r="R40"/>
  <c r="Q40"/>
  <c r="P40"/>
  <c r="O40"/>
  <c r="N40"/>
  <c r="L40"/>
  <c r="K40"/>
  <c r="J40"/>
  <c r="I40"/>
  <c r="G40"/>
  <c r="E40"/>
  <c r="X39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X38" s="1"/>
  <c r="R37"/>
  <c r="M37"/>
  <c r="H37"/>
  <c r="X37" s="1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X36" s="1"/>
  <c r="Q35"/>
  <c r="N35"/>
  <c r="M35"/>
  <c r="H35"/>
  <c r="F35"/>
  <c r="E35"/>
  <c r="X35" s="1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X34" s="1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X33" s="1"/>
  <c r="X32"/>
  <c r="M31"/>
  <c r="M53" s="1"/>
  <c r="F31"/>
  <c r="E31"/>
  <c r="X31" s="1"/>
  <c r="AA31" s="1"/>
  <c r="R30"/>
  <c r="M30"/>
  <c r="M29" s="1"/>
  <c r="H30"/>
  <c r="F30"/>
  <c r="E30"/>
  <c r="X30" s="1"/>
  <c r="W29"/>
  <c r="V29"/>
  <c r="U29"/>
  <c r="T29"/>
  <c r="S29"/>
  <c r="R29"/>
  <c r="Q29"/>
  <c r="P29"/>
  <c r="O29"/>
  <c r="N29"/>
  <c r="L29"/>
  <c r="K29"/>
  <c r="J29"/>
  <c r="I29"/>
  <c r="H29"/>
  <c r="G29"/>
  <c r="F29"/>
  <c r="E29"/>
  <c r="M28"/>
  <c r="M27" s="1"/>
  <c r="H28"/>
  <c r="F28"/>
  <c r="X28" s="1"/>
  <c r="W27"/>
  <c r="V27"/>
  <c r="U27"/>
  <c r="T27"/>
  <c r="S27"/>
  <c r="R27"/>
  <c r="Q27"/>
  <c r="P27"/>
  <c r="O27"/>
  <c r="N27"/>
  <c r="L27"/>
  <c r="K27"/>
  <c r="J27"/>
  <c r="I27"/>
  <c r="H27"/>
  <c r="G27"/>
  <c r="F27"/>
  <c r="E27"/>
  <c r="N26"/>
  <c r="H26"/>
  <c r="X26" s="1"/>
  <c r="F25"/>
  <c r="X25" s="1"/>
  <c r="W24"/>
  <c r="W22" s="1"/>
  <c r="V24"/>
  <c r="U24"/>
  <c r="U22" s="1"/>
  <c r="T24"/>
  <c r="S24"/>
  <c r="S22" s="1"/>
  <c r="R24"/>
  <c r="Q24"/>
  <c r="Q22" s="1"/>
  <c r="P24"/>
  <c r="O24"/>
  <c r="O22" s="1"/>
  <c r="N24"/>
  <c r="M24"/>
  <c r="L24"/>
  <c r="K24"/>
  <c r="K22" s="1"/>
  <c r="J24"/>
  <c r="I24"/>
  <c r="I22" s="1"/>
  <c r="G24"/>
  <c r="G22" s="1"/>
  <c r="E24"/>
  <c r="M23"/>
  <c r="M22" s="1"/>
  <c r="H23"/>
  <c r="F23"/>
  <c r="X23"/>
  <c r="V22"/>
  <c r="T22"/>
  <c r="R22"/>
  <c r="P22"/>
  <c r="N22"/>
  <c r="L22"/>
  <c r="J22"/>
  <c r="X21"/>
  <c r="H21" i="103" s="1"/>
  <c r="Q20" i="97"/>
  <c r="M20"/>
  <c r="H20"/>
  <c r="H17" s="1"/>
  <c r="F20"/>
  <c r="E20"/>
  <c r="X20" s="1"/>
  <c r="H20" i="103" s="1"/>
  <c r="X19" i="97"/>
  <c r="H19" i="103" s="1"/>
  <c r="X18" i="97"/>
  <c r="W17"/>
  <c r="V17"/>
  <c r="U17"/>
  <c r="T17"/>
  <c r="S17"/>
  <c r="R17"/>
  <c r="R6" s="1"/>
  <c r="R5" s="1"/>
  <c r="Q17"/>
  <c r="P17"/>
  <c r="O17"/>
  <c r="N17"/>
  <c r="N6" s="1"/>
  <c r="N5" s="1"/>
  <c r="M17"/>
  <c r="L17"/>
  <c r="K17"/>
  <c r="J17"/>
  <c r="I17"/>
  <c r="G17"/>
  <c r="F17"/>
  <c r="E17"/>
  <c r="H16"/>
  <c r="F16"/>
  <c r="F14" s="1"/>
  <c r="X16"/>
  <c r="H15"/>
  <c r="H14" s="1"/>
  <c r="F15"/>
  <c r="X15"/>
  <c r="W14"/>
  <c r="V14"/>
  <c r="U14"/>
  <c r="U6" s="1"/>
  <c r="U5" s="1"/>
  <c r="T14"/>
  <c r="S14"/>
  <c r="R14"/>
  <c r="Q14"/>
  <c r="Q6" s="1"/>
  <c r="Q5" s="1"/>
  <c r="P14"/>
  <c r="O14"/>
  <c r="N14"/>
  <c r="M14"/>
  <c r="L14"/>
  <c r="L6" s="1"/>
  <c r="L5" s="1"/>
  <c r="K14"/>
  <c r="J14"/>
  <c r="J6" s="1"/>
  <c r="J5" s="1"/>
  <c r="I14"/>
  <c r="I6" s="1"/>
  <c r="I5" s="1"/>
  <c r="G14"/>
  <c r="E14"/>
  <c r="M13"/>
  <c r="M12" s="1"/>
  <c r="E13"/>
  <c r="W12"/>
  <c r="V12"/>
  <c r="U12"/>
  <c r="T12"/>
  <c r="S12"/>
  <c r="R12"/>
  <c r="Q12"/>
  <c r="P12"/>
  <c r="O12"/>
  <c r="N12"/>
  <c r="L12"/>
  <c r="K12"/>
  <c r="J12"/>
  <c r="I12"/>
  <c r="H12"/>
  <c r="G12"/>
  <c r="F12"/>
  <c r="E12"/>
  <c r="R11"/>
  <c r="M11"/>
  <c r="X11" s="1"/>
  <c r="E11"/>
  <c r="W10"/>
  <c r="V10"/>
  <c r="U10"/>
  <c r="T10"/>
  <c r="S10"/>
  <c r="R10"/>
  <c r="Q10"/>
  <c r="P10"/>
  <c r="O10"/>
  <c r="N10"/>
  <c r="L10"/>
  <c r="K10"/>
  <c r="J10"/>
  <c r="I10"/>
  <c r="H10"/>
  <c r="G10"/>
  <c r="F10"/>
  <c r="E10"/>
  <c r="R9"/>
  <c r="M9"/>
  <c r="M7" s="1"/>
  <c r="H9"/>
  <c r="E9"/>
  <c r="X9" s="1"/>
  <c r="R8"/>
  <c r="M8"/>
  <c r="H8"/>
  <c r="E8"/>
  <c r="X8" s="1"/>
  <c r="W7"/>
  <c r="V7"/>
  <c r="U7"/>
  <c r="T7"/>
  <c r="S7"/>
  <c r="R7"/>
  <c r="Q7"/>
  <c r="P7"/>
  <c r="O7"/>
  <c r="N7"/>
  <c r="L7"/>
  <c r="K7"/>
  <c r="J7"/>
  <c r="I7"/>
  <c r="H7"/>
  <c r="G7"/>
  <c r="F7"/>
  <c r="V6"/>
  <c r="P6"/>
  <c r="V5"/>
  <c r="P5"/>
  <c r="Y75" i="96"/>
  <c r="Y74"/>
  <c r="Y73"/>
  <c r="Y72"/>
  <c r="Y71"/>
  <c r="Y70"/>
  <c r="Y69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Y68" s="1"/>
  <c r="Y67"/>
  <c r="Y66"/>
  <c r="Y65"/>
  <c r="Y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Y63" s="1"/>
  <c r="Y62"/>
  <c r="Y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60" s="1"/>
  <c r="Y59"/>
  <c r="Y58"/>
  <c r="X57"/>
  <c r="W57"/>
  <c r="V57"/>
  <c r="V56" s="1"/>
  <c r="V40" s="1"/>
  <c r="V5" s="1"/>
  <c r="U57"/>
  <c r="T57"/>
  <c r="S57"/>
  <c r="R57"/>
  <c r="R56" s="1"/>
  <c r="R40" s="1"/>
  <c r="Q57"/>
  <c r="P57"/>
  <c r="O57"/>
  <c r="N57"/>
  <c r="N56" s="1"/>
  <c r="M57"/>
  <c r="L57"/>
  <c r="K57"/>
  <c r="J57"/>
  <c r="J56" s="1"/>
  <c r="J40" s="1"/>
  <c r="I57"/>
  <c r="H57"/>
  <c r="G57"/>
  <c r="F57"/>
  <c r="F56" s="1"/>
  <c r="F40" s="1"/>
  <c r="E57"/>
  <c r="Y57" s="1"/>
  <c r="X56"/>
  <c r="W56"/>
  <c r="U56"/>
  <c r="T56"/>
  <c r="S56"/>
  <c r="Q56"/>
  <c r="P56"/>
  <c r="O56"/>
  <c r="M56"/>
  <c r="L56"/>
  <c r="K56"/>
  <c r="I56"/>
  <c r="H56"/>
  <c r="G56"/>
  <c r="E56"/>
  <c r="Y56" s="1"/>
  <c r="Y55"/>
  <c r="G55" i="103" s="1"/>
  <c r="X54" i="96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4" s="1"/>
  <c r="G54" i="103" s="1"/>
  <c r="Y53" i="96"/>
  <c r="G53" i="103" s="1"/>
  <c r="X52" i="96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Y52" s="1"/>
  <c r="G52" i="103" s="1"/>
  <c r="Y51" i="96"/>
  <c r="Y50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9" s="1"/>
  <c r="Y48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7" s="1"/>
  <c r="Y46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5" s="1"/>
  <c r="Y44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3" s="1"/>
  <c r="Y42"/>
  <c r="W42"/>
  <c r="Y41"/>
  <c r="W41"/>
  <c r="X40"/>
  <c r="W40"/>
  <c r="U40"/>
  <c r="T40"/>
  <c r="S40"/>
  <c r="Q40"/>
  <c r="P40"/>
  <c r="O40"/>
  <c r="M40"/>
  <c r="L40"/>
  <c r="K40"/>
  <c r="I40"/>
  <c r="H40"/>
  <c r="G40"/>
  <c r="E40"/>
  <c r="Y39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Y38" s="1"/>
  <c r="Y37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Y36" s="1"/>
  <c r="Y35"/>
  <c r="X34"/>
  <c r="W34"/>
  <c r="V34"/>
  <c r="U34"/>
  <c r="U33" s="1"/>
  <c r="T34"/>
  <c r="S34"/>
  <c r="R34"/>
  <c r="Q34"/>
  <c r="Q33" s="1"/>
  <c r="Q5" s="1"/>
  <c r="P34"/>
  <c r="O34"/>
  <c r="N34"/>
  <c r="M34"/>
  <c r="M33" s="1"/>
  <c r="L34"/>
  <c r="K34"/>
  <c r="J34"/>
  <c r="I34"/>
  <c r="I33" s="1"/>
  <c r="H34"/>
  <c r="G34"/>
  <c r="F34"/>
  <c r="E34"/>
  <c r="Y34" s="1"/>
  <c r="X33"/>
  <c r="W33"/>
  <c r="V33"/>
  <c r="T33"/>
  <c r="S33"/>
  <c r="R33"/>
  <c r="P33"/>
  <c r="O33"/>
  <c r="N33"/>
  <c r="L33"/>
  <c r="K33"/>
  <c r="J33"/>
  <c r="H33"/>
  <c r="G33"/>
  <c r="F33"/>
  <c r="Y32"/>
  <c r="Y31"/>
  <c r="W31"/>
  <c r="W30"/>
  <c r="Y30" s="1"/>
  <c r="X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W28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7" s="1"/>
  <c r="Y26"/>
  <c r="Y25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4" s="1"/>
  <c r="W23"/>
  <c r="Y23" s="1"/>
  <c r="X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G21" i="103" s="1"/>
  <c r="W20" i="96"/>
  <c r="Y20" s="1"/>
  <c r="Y19"/>
  <c r="G19" i="103" s="1"/>
  <c r="W19" i="96"/>
  <c r="Y18"/>
  <c r="X17"/>
  <c r="V17"/>
  <c r="U17"/>
  <c r="U6" s="1"/>
  <c r="T17"/>
  <c r="T6" s="1"/>
  <c r="T5" s="1"/>
  <c r="S17"/>
  <c r="R17"/>
  <c r="Q17"/>
  <c r="P17"/>
  <c r="O17"/>
  <c r="N17"/>
  <c r="N6" s="1"/>
  <c r="M17"/>
  <c r="M6" s="1"/>
  <c r="L17"/>
  <c r="L6" s="1"/>
  <c r="L5" s="1"/>
  <c r="K17"/>
  <c r="K6" s="1"/>
  <c r="K5" s="1"/>
  <c r="J17"/>
  <c r="I17"/>
  <c r="H17"/>
  <c r="H6" s="1"/>
  <c r="H5" s="1"/>
  <c r="G17"/>
  <c r="F17"/>
  <c r="E17"/>
  <c r="Y16"/>
  <c r="W16"/>
  <c r="W15"/>
  <c r="Y15" s="1"/>
  <c r="X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W13"/>
  <c r="Y13" s="1"/>
  <c r="X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W11"/>
  <c r="X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W9"/>
  <c r="U9"/>
  <c r="I9"/>
  <c r="E9"/>
  <c r="Y9" s="1"/>
  <c r="W8"/>
  <c r="U8"/>
  <c r="I8"/>
  <c r="E8"/>
  <c r="Y8" s="1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Y7" s="1"/>
  <c r="X6"/>
  <c r="V6"/>
  <c r="S6"/>
  <c r="R6"/>
  <c r="Q6"/>
  <c r="P6"/>
  <c r="O6"/>
  <c r="J6"/>
  <c r="I6"/>
  <c r="G6"/>
  <c r="G5" s="1"/>
  <c r="F6"/>
  <c r="E6"/>
  <c r="X5"/>
  <c r="S5"/>
  <c r="P5"/>
  <c r="O5"/>
  <c r="J75" i="95"/>
  <c r="E75"/>
  <c r="E74"/>
  <c r="J74" s="1"/>
  <c r="J73"/>
  <c r="J72"/>
  <c r="J71"/>
  <c r="J70"/>
  <c r="J69"/>
  <c r="I68"/>
  <c r="H68"/>
  <c r="G68"/>
  <c r="F68"/>
  <c r="E68"/>
  <c r="J68" s="1"/>
  <c r="J67"/>
  <c r="J66"/>
  <c r="J65"/>
  <c r="J64"/>
  <c r="H63"/>
  <c r="G63"/>
  <c r="F63"/>
  <c r="E63"/>
  <c r="J63" s="1"/>
  <c r="J62"/>
  <c r="J61"/>
  <c r="I60"/>
  <c r="H60"/>
  <c r="G60"/>
  <c r="F60"/>
  <c r="E60"/>
  <c r="J60" s="1"/>
  <c r="J59"/>
  <c r="F58"/>
  <c r="E58"/>
  <c r="J58" s="1"/>
  <c r="I57"/>
  <c r="H57"/>
  <c r="G57"/>
  <c r="G56" s="1"/>
  <c r="F57"/>
  <c r="F56" s="1"/>
  <c r="I56"/>
  <c r="H56"/>
  <c r="J55"/>
  <c r="I54"/>
  <c r="H54"/>
  <c r="G54"/>
  <c r="F54"/>
  <c r="E54"/>
  <c r="J54" s="1"/>
  <c r="J53"/>
  <c r="F53"/>
  <c r="F52" s="1"/>
  <c r="I52"/>
  <c r="H52"/>
  <c r="G52"/>
  <c r="E52"/>
  <c r="J52" s="1"/>
  <c r="J51"/>
  <c r="H51"/>
  <c r="F51"/>
  <c r="E51"/>
  <c r="J50"/>
  <c r="H50"/>
  <c r="H49" s="1"/>
  <c r="F50"/>
  <c r="E50"/>
  <c r="I49"/>
  <c r="G49"/>
  <c r="F49"/>
  <c r="E49"/>
  <c r="H48"/>
  <c r="F48"/>
  <c r="F47" s="1"/>
  <c r="J47" s="1"/>
  <c r="I47"/>
  <c r="H47"/>
  <c r="G47"/>
  <c r="E47"/>
  <c r="H46"/>
  <c r="H45" s="1"/>
  <c r="F46"/>
  <c r="F45" s="1"/>
  <c r="I45"/>
  <c r="G45"/>
  <c r="H44"/>
  <c r="F44"/>
  <c r="E44"/>
  <c r="J44" s="1"/>
  <c r="I43"/>
  <c r="H43"/>
  <c r="G43"/>
  <c r="G40" s="1"/>
  <c r="F43"/>
  <c r="F42"/>
  <c r="H41"/>
  <c r="F41"/>
  <c r="F40" s="1"/>
  <c r="E41"/>
  <c r="J41" s="1"/>
  <c r="I40"/>
  <c r="J39"/>
  <c r="I38"/>
  <c r="H38"/>
  <c r="G38"/>
  <c r="F38"/>
  <c r="E38"/>
  <c r="J38" s="1"/>
  <c r="J37"/>
  <c r="I36"/>
  <c r="H36"/>
  <c r="G36"/>
  <c r="F36"/>
  <c r="J36" s="1"/>
  <c r="E36"/>
  <c r="H35"/>
  <c r="J35" s="1"/>
  <c r="I34"/>
  <c r="G34"/>
  <c r="G33" s="1"/>
  <c r="F34"/>
  <c r="F33" s="1"/>
  <c r="E34"/>
  <c r="I33"/>
  <c r="E33"/>
  <c r="J32"/>
  <c r="J31"/>
  <c r="J30"/>
  <c r="I29"/>
  <c r="H29"/>
  <c r="G29"/>
  <c r="F29"/>
  <c r="J29" s="1"/>
  <c r="F29" i="103" s="1"/>
  <c r="E29" i="95"/>
  <c r="J28"/>
  <c r="I27"/>
  <c r="H27"/>
  <c r="G27"/>
  <c r="F27"/>
  <c r="E27"/>
  <c r="J26"/>
  <c r="F26" i="103" s="1"/>
  <c r="F26" i="95"/>
  <c r="J25"/>
  <c r="H24"/>
  <c r="G24"/>
  <c r="F24"/>
  <c r="J24" s="1"/>
  <c r="F24" i="103" s="1"/>
  <c r="E24" i="95"/>
  <c r="J23"/>
  <c r="F23"/>
  <c r="I22"/>
  <c r="I6" s="1"/>
  <c r="I5" s="1"/>
  <c r="H22"/>
  <c r="G22"/>
  <c r="F22"/>
  <c r="E22"/>
  <c r="J21"/>
  <c r="F21" i="103" s="1"/>
  <c r="J20" i="95"/>
  <c r="J19"/>
  <c r="J18"/>
  <c r="I17"/>
  <c r="H17"/>
  <c r="G17"/>
  <c r="F17"/>
  <c r="E17"/>
  <c r="J17" s="1"/>
  <c r="F17" i="103" s="1"/>
  <c r="J16" i="95"/>
  <c r="J15"/>
  <c r="I14"/>
  <c r="H14"/>
  <c r="G14"/>
  <c r="F14"/>
  <c r="E14"/>
  <c r="J14" s="1"/>
  <c r="F14" i="103" s="1"/>
  <c r="J13" i="95"/>
  <c r="H13"/>
  <c r="I12"/>
  <c r="H12"/>
  <c r="H10" s="1"/>
  <c r="G12"/>
  <c r="G10" s="1"/>
  <c r="F12"/>
  <c r="E12"/>
  <c r="J12" s="1"/>
  <c r="J11"/>
  <c r="H11"/>
  <c r="F11"/>
  <c r="I10"/>
  <c r="F10"/>
  <c r="E10"/>
  <c r="J9"/>
  <c r="F9" i="103" s="1"/>
  <c r="H9" i="95"/>
  <c r="H8"/>
  <c r="J8" s="1"/>
  <c r="F8" i="103" s="1"/>
  <c r="I7" i="95"/>
  <c r="G7"/>
  <c r="G6" s="1"/>
  <c r="G5" s="1"/>
  <c r="F7"/>
  <c r="F6" s="1"/>
  <c r="E7"/>
  <c r="E6"/>
  <c r="J75" i="94"/>
  <c r="J74"/>
  <c r="J73"/>
  <c r="J72"/>
  <c r="J71"/>
  <c r="J70"/>
  <c r="J69"/>
  <c r="I68"/>
  <c r="H68"/>
  <c r="G68"/>
  <c r="F68"/>
  <c r="E68"/>
  <c r="J68" s="1"/>
  <c r="J67"/>
  <c r="J66"/>
  <c r="J65"/>
  <c r="J64"/>
  <c r="I63"/>
  <c r="H63"/>
  <c r="G63"/>
  <c r="F63"/>
  <c r="J63" s="1"/>
  <c r="E63"/>
  <c r="J62"/>
  <c r="J61"/>
  <c r="I60"/>
  <c r="H60"/>
  <c r="G60"/>
  <c r="F60"/>
  <c r="J60" s="1"/>
  <c r="E60"/>
  <c r="J59"/>
  <c r="E58"/>
  <c r="E57" s="1"/>
  <c r="I57"/>
  <c r="H57"/>
  <c r="G57"/>
  <c r="G56" s="1"/>
  <c r="G40" s="1"/>
  <c r="F57"/>
  <c r="F56" s="1"/>
  <c r="I56"/>
  <c r="H56"/>
  <c r="J55"/>
  <c r="I54"/>
  <c r="H54"/>
  <c r="G54"/>
  <c r="F54"/>
  <c r="E54"/>
  <c r="J54" s="1"/>
  <c r="J53"/>
  <c r="I52"/>
  <c r="H52"/>
  <c r="G52"/>
  <c r="F52"/>
  <c r="J52" s="1"/>
  <c r="E52"/>
  <c r="J51"/>
  <c r="J50"/>
  <c r="I49"/>
  <c r="H49"/>
  <c r="G49"/>
  <c r="F49"/>
  <c r="J49" s="1"/>
  <c r="E49"/>
  <c r="E48"/>
  <c r="E47" s="1"/>
  <c r="J47" s="1"/>
  <c r="I47"/>
  <c r="H47"/>
  <c r="G47"/>
  <c r="F47"/>
  <c r="E46"/>
  <c r="E45" s="1"/>
  <c r="I45"/>
  <c r="H45"/>
  <c r="G45"/>
  <c r="F45"/>
  <c r="J44"/>
  <c r="I43"/>
  <c r="H43"/>
  <c r="G43"/>
  <c r="F43"/>
  <c r="F40" s="1"/>
  <c r="E43"/>
  <c r="J42"/>
  <c r="H41"/>
  <c r="J41" s="1"/>
  <c r="I40"/>
  <c r="J39"/>
  <c r="I38"/>
  <c r="H38"/>
  <c r="G38"/>
  <c r="F38"/>
  <c r="J38" s="1"/>
  <c r="E38"/>
  <c r="J37"/>
  <c r="I36"/>
  <c r="I33" s="1"/>
  <c r="H36"/>
  <c r="G36"/>
  <c r="F36"/>
  <c r="E36"/>
  <c r="E33" s="1"/>
  <c r="J35"/>
  <c r="I34"/>
  <c r="H34"/>
  <c r="H33" s="1"/>
  <c r="G34"/>
  <c r="F34"/>
  <c r="J34" s="1"/>
  <c r="E34"/>
  <c r="G33"/>
  <c r="F33"/>
  <c r="J32"/>
  <c r="J31"/>
  <c r="J30"/>
  <c r="I29"/>
  <c r="H29"/>
  <c r="G29"/>
  <c r="F29"/>
  <c r="E29"/>
  <c r="J29" s="1"/>
  <c r="E29" i="103" s="1"/>
  <c r="J28" i="94"/>
  <c r="I27"/>
  <c r="H27"/>
  <c r="G27"/>
  <c r="F27"/>
  <c r="J27" s="1"/>
  <c r="E27"/>
  <c r="J26"/>
  <c r="J25"/>
  <c r="I24"/>
  <c r="H24"/>
  <c r="G24"/>
  <c r="F24"/>
  <c r="J24" s="1"/>
  <c r="E24"/>
  <c r="J23"/>
  <c r="I22"/>
  <c r="H22"/>
  <c r="G22"/>
  <c r="E22"/>
  <c r="J21"/>
  <c r="E21" i="103" s="1"/>
  <c r="J20" i="94"/>
  <c r="J19"/>
  <c r="J18"/>
  <c r="I17"/>
  <c r="H17"/>
  <c r="G17"/>
  <c r="F17"/>
  <c r="E17"/>
  <c r="J16"/>
  <c r="J15"/>
  <c r="I14"/>
  <c r="H14"/>
  <c r="G14"/>
  <c r="F14"/>
  <c r="E14"/>
  <c r="J14" s="1"/>
  <c r="J13"/>
  <c r="I12"/>
  <c r="H12"/>
  <c r="G12"/>
  <c r="F12"/>
  <c r="J12" s="1"/>
  <c r="E12" i="103" s="1"/>
  <c r="E12" i="94"/>
  <c r="E10" s="1"/>
  <c r="J11"/>
  <c r="I10"/>
  <c r="H10"/>
  <c r="G10"/>
  <c r="J9"/>
  <c r="E9" i="103" s="1"/>
  <c r="J8" i="94"/>
  <c r="E8" i="103" s="1"/>
  <c r="I7" i="94"/>
  <c r="H7"/>
  <c r="G7"/>
  <c r="F7"/>
  <c r="E7"/>
  <c r="H6"/>
  <c r="G6"/>
  <c r="E7" i="101" l="1"/>
  <c r="M7"/>
  <c r="I7"/>
  <c r="I24"/>
  <c r="I22" s="1"/>
  <c r="Q24"/>
  <c r="Q22" s="1"/>
  <c r="Q6" s="1"/>
  <c r="Q5" s="1"/>
  <c r="Q40"/>
  <c r="O14"/>
  <c r="R7"/>
  <c r="L10"/>
  <c r="I14"/>
  <c r="F14"/>
  <c r="Q7" i="99"/>
  <c r="J7" i="103" s="1"/>
  <c r="J5" i="99"/>
  <c r="E10"/>
  <c r="Q10" s="1"/>
  <c r="J10" i="103" s="1"/>
  <c r="N40" i="96"/>
  <c r="G40" i="100"/>
  <c r="L5"/>
  <c r="N7"/>
  <c r="K7" i="103" s="1"/>
  <c r="N27" i="100"/>
  <c r="K27" i="103" s="1"/>
  <c r="N45" i="100"/>
  <c r="K45" i="103" s="1"/>
  <c r="N52" i="100"/>
  <c r="K52" i="103" s="1"/>
  <c r="N63" i="100"/>
  <c r="K63" i="103" s="1"/>
  <c r="N68" i="100"/>
  <c r="K68" i="103" s="1"/>
  <c r="N75"/>
  <c r="Q75" s="1"/>
  <c r="N51"/>
  <c r="Q51" s="1"/>
  <c r="N22" i="100"/>
  <c r="K22" i="103" s="1"/>
  <c r="K40" i="100"/>
  <c r="N48" i="103"/>
  <c r="Q48" s="1"/>
  <c r="N64"/>
  <c r="Q64" s="1"/>
  <c r="N44"/>
  <c r="Q44" s="1"/>
  <c r="N32"/>
  <c r="Q32" s="1"/>
  <c r="Q18"/>
  <c r="N17" i="100"/>
  <c r="K17" i="103" s="1"/>
  <c r="N29" i="100"/>
  <c r="K29" i="103" s="1"/>
  <c r="G33" i="100"/>
  <c r="G5" s="1"/>
  <c r="N47"/>
  <c r="K47" i="103" s="1"/>
  <c r="N47" s="1"/>
  <c r="Q47" s="1"/>
  <c r="F40" i="100"/>
  <c r="F5" s="1"/>
  <c r="J40"/>
  <c r="N73" i="103"/>
  <c r="Q73" s="1"/>
  <c r="N69"/>
  <c r="Q69" s="1"/>
  <c r="N65"/>
  <c r="Q65" s="1"/>
  <c r="N61"/>
  <c r="Q61" s="1"/>
  <c r="N57"/>
  <c r="Q57" s="1"/>
  <c r="N45"/>
  <c r="Q45" s="1"/>
  <c r="N12" i="100"/>
  <c r="K12" i="103" s="1"/>
  <c r="H6" i="100"/>
  <c r="N24"/>
  <c r="K24" i="103" s="1"/>
  <c r="K33" i="100"/>
  <c r="N36"/>
  <c r="K36" i="103" s="1"/>
  <c r="N43" i="100"/>
  <c r="K43" i="103" s="1"/>
  <c r="N43" s="1"/>
  <c r="Q43" s="1"/>
  <c r="N49" i="100"/>
  <c r="K49" i="103" s="1"/>
  <c r="N49" s="1"/>
  <c r="Q49" s="1"/>
  <c r="N54" i="100"/>
  <c r="K54" i="103" s="1"/>
  <c r="N60" i="100"/>
  <c r="K60" i="103" s="1"/>
  <c r="N60" s="1"/>
  <c r="Q60" s="1"/>
  <c r="N71"/>
  <c r="Q71" s="1"/>
  <c r="N74"/>
  <c r="Q74" s="1"/>
  <c r="N70"/>
  <c r="Q70" s="1"/>
  <c r="N58"/>
  <c r="Q58" s="1"/>
  <c r="N50"/>
  <c r="Q50" s="1"/>
  <c r="N38"/>
  <c r="Q38" s="1"/>
  <c r="E6" i="102"/>
  <c r="E5" s="1"/>
  <c r="P5" s="1"/>
  <c r="M5" i="103" s="1"/>
  <c r="N10" i="100"/>
  <c r="K10" i="103" s="1"/>
  <c r="R5" i="96"/>
  <c r="N5"/>
  <c r="N19" i="103"/>
  <c r="Q19" s="1"/>
  <c r="E6" i="94"/>
  <c r="S6" i="98"/>
  <c r="S5" s="1"/>
  <c r="I6" i="94"/>
  <c r="I5" s="1"/>
  <c r="J17"/>
  <c r="E17" i="103" s="1"/>
  <c r="U5" i="96"/>
  <c r="F5"/>
  <c r="M5"/>
  <c r="J5"/>
  <c r="I5"/>
  <c r="J5" i="98"/>
  <c r="K6"/>
  <c r="K5" s="1"/>
  <c r="U17"/>
  <c r="I17" i="103" s="1"/>
  <c r="H5" i="99"/>
  <c r="F5"/>
  <c r="E6" i="100"/>
  <c r="E5" s="1"/>
  <c r="J5"/>
  <c r="P17" i="102"/>
  <c r="M17" i="103" s="1"/>
  <c r="N54"/>
  <c r="Q54" s="1"/>
  <c r="N55"/>
  <c r="Q55" s="1"/>
  <c r="N21"/>
  <c r="Q21" s="1"/>
  <c r="N67"/>
  <c r="Q67" s="1"/>
  <c r="P63" i="102"/>
  <c r="M63" i="103" s="1"/>
  <c r="N63" s="1"/>
  <c r="Q63" s="1"/>
  <c r="H31"/>
  <c r="Q17" i="99"/>
  <c r="J17" i="103" s="1"/>
  <c r="T6" i="97"/>
  <c r="T5" s="1"/>
  <c r="H15" i="103"/>
  <c r="AA15" i="97"/>
  <c r="H28" i="103"/>
  <c r="AA28" i="97"/>
  <c r="H23" i="103"/>
  <c r="AA23" i="97"/>
  <c r="H16" i="103"/>
  <c r="AA16" i="97"/>
  <c r="N14" i="101"/>
  <c r="P10"/>
  <c r="H24"/>
  <c r="L24"/>
  <c r="L22" s="1"/>
  <c r="F33"/>
  <c r="R33"/>
  <c r="R40"/>
  <c r="F40"/>
  <c r="N10"/>
  <c r="P24"/>
  <c r="H10"/>
  <c r="O22"/>
  <c r="J27" i="95"/>
  <c r="F27" i="103" s="1"/>
  <c r="F28"/>
  <c r="F15"/>
  <c r="X28" i="98"/>
  <c r="H6"/>
  <c r="H5" s="1"/>
  <c r="R10" i="101"/>
  <c r="H40"/>
  <c r="L40"/>
  <c r="P40"/>
  <c r="M33"/>
  <c r="H7"/>
  <c r="L7"/>
  <c r="P7"/>
  <c r="H14"/>
  <c r="L14"/>
  <c r="F24"/>
  <c r="J24"/>
  <c r="J22" s="1"/>
  <c r="N24"/>
  <c r="R24"/>
  <c r="R22" s="1"/>
  <c r="G24"/>
  <c r="G22" s="1"/>
  <c r="K24"/>
  <c r="K22" s="1"/>
  <c r="I33"/>
  <c r="T59"/>
  <c r="L59" i="103" s="1"/>
  <c r="N59" s="1"/>
  <c r="Q59" s="1"/>
  <c r="G7" i="101"/>
  <c r="K7"/>
  <c r="O7"/>
  <c r="S7"/>
  <c r="I10"/>
  <c r="G33"/>
  <c r="T20"/>
  <c r="L20" i="103" s="1"/>
  <c r="N20" s="1"/>
  <c r="Q20" s="1"/>
  <c r="E24" i="101"/>
  <c r="E22" s="1"/>
  <c r="M24"/>
  <c r="M22" s="1"/>
  <c r="P14"/>
  <c r="T16"/>
  <c r="M14"/>
  <c r="M6" s="1"/>
  <c r="Q14"/>
  <c r="S24"/>
  <c r="S22" s="1"/>
  <c r="J14"/>
  <c r="R14"/>
  <c r="G14"/>
  <c r="G10"/>
  <c r="K10"/>
  <c r="O10"/>
  <c r="S10"/>
  <c r="F10"/>
  <c r="J10"/>
  <c r="H22"/>
  <c r="P22"/>
  <c r="I40"/>
  <c r="M40"/>
  <c r="T41"/>
  <c r="L41" i="103" s="1"/>
  <c r="N41" s="1"/>
  <c r="Q41" s="1"/>
  <c r="T42" i="101"/>
  <c r="L42" i="103" s="1"/>
  <c r="N42" s="1"/>
  <c r="Q42" s="1"/>
  <c r="T9" i="101"/>
  <c r="L9" i="103" s="1"/>
  <c r="N9" s="1"/>
  <c r="Q9" s="1"/>
  <c r="T26" i="101"/>
  <c r="L26" i="103" s="1"/>
  <c r="N26" s="1"/>
  <c r="Q26" s="1"/>
  <c r="O33" i="101"/>
  <c r="E14"/>
  <c r="F22"/>
  <c r="N22"/>
  <c r="T30"/>
  <c r="G40"/>
  <c r="K40"/>
  <c r="O40"/>
  <c r="S40"/>
  <c r="J40"/>
  <c r="N40"/>
  <c r="E56"/>
  <c r="T56" s="1"/>
  <c r="L56" i="103" s="1"/>
  <c r="N6" i="100"/>
  <c r="N14"/>
  <c r="K14" i="103" s="1"/>
  <c r="K16"/>
  <c r="O5" i="99"/>
  <c r="J23" i="103"/>
  <c r="J22" i="95"/>
  <c r="F22" i="103" s="1"/>
  <c r="P22" i="102"/>
  <c r="M22" i="103" s="1"/>
  <c r="M23"/>
  <c r="F23"/>
  <c r="H33" i="101"/>
  <c r="L33"/>
  <c r="P33"/>
  <c r="T28"/>
  <c r="T37"/>
  <c r="L37" i="103" s="1"/>
  <c r="N37" s="1"/>
  <c r="Q37" s="1"/>
  <c r="T11" i="101"/>
  <c r="L11" i="103" s="1"/>
  <c r="N11" s="1"/>
  <c r="Q11" s="1"/>
  <c r="T15" i="101"/>
  <c r="T25"/>
  <c r="L25" i="103" s="1"/>
  <c r="N25" s="1"/>
  <c r="Q25" s="1"/>
  <c r="E29" i="101"/>
  <c r="T29" s="1"/>
  <c r="L29" i="103" s="1"/>
  <c r="T34" i="101"/>
  <c r="L34" i="103" s="1"/>
  <c r="T8" i="101"/>
  <c r="L8" i="103" s="1"/>
  <c r="N8" s="1"/>
  <c r="Q8" s="1"/>
  <c r="T12" i="101"/>
  <c r="L12" i="103" s="1"/>
  <c r="N12" s="1"/>
  <c r="Q12" s="1"/>
  <c r="T35" i="101"/>
  <c r="L35" i="103" s="1"/>
  <c r="N35" s="1"/>
  <c r="Q35" s="1"/>
  <c r="T13" i="101"/>
  <c r="L13" i="103" s="1"/>
  <c r="N13" s="1"/>
  <c r="Q13" s="1"/>
  <c r="E17" i="101"/>
  <c r="T23"/>
  <c r="E27"/>
  <c r="T27" s="1"/>
  <c r="L27" i="103" s="1"/>
  <c r="T36" i="101"/>
  <c r="L36" i="103" s="1"/>
  <c r="N36" s="1"/>
  <c r="Q36" s="1"/>
  <c r="R5" i="98"/>
  <c r="N5"/>
  <c r="L6"/>
  <c r="L5" s="1"/>
  <c r="I31" i="103"/>
  <c r="U14" i="98"/>
  <c r="I14" i="103" s="1"/>
  <c r="F5" i="98"/>
  <c r="U22"/>
  <c r="I22" i="103" s="1"/>
  <c r="I5" i="98"/>
  <c r="Q6"/>
  <c r="Q5" s="1"/>
  <c r="I30" i="103"/>
  <c r="I28"/>
  <c r="M6" i="98"/>
  <c r="I23" i="103"/>
  <c r="I16"/>
  <c r="I15"/>
  <c r="M5" i="98"/>
  <c r="P29" i="102"/>
  <c r="M29" i="103" s="1"/>
  <c r="M30"/>
  <c r="M16"/>
  <c r="K30"/>
  <c r="E31"/>
  <c r="N5" i="99"/>
  <c r="I5"/>
  <c r="L5"/>
  <c r="J30" i="103"/>
  <c r="F30"/>
  <c r="E30"/>
  <c r="H30"/>
  <c r="AA30" i="97"/>
  <c r="X27"/>
  <c r="H27" i="103" s="1"/>
  <c r="T68" i="101"/>
  <c r="L68" i="103" s="1"/>
  <c r="N68" s="1"/>
  <c r="Q68" s="1"/>
  <c r="T53" i="101"/>
  <c r="L53" i="103" s="1"/>
  <c r="N53" s="1"/>
  <c r="Q53" s="1"/>
  <c r="E52" i="101"/>
  <c r="T31"/>
  <c r="N56" i="100"/>
  <c r="K56" i="103" s="1"/>
  <c r="K5" i="100"/>
  <c r="N40"/>
  <c r="H34"/>
  <c r="H33" s="1"/>
  <c r="H5" s="1"/>
  <c r="N57"/>
  <c r="K57" i="103" s="1"/>
  <c r="Q47" i="99"/>
  <c r="E40"/>
  <c r="Q34"/>
  <c r="Q42"/>
  <c r="Q45"/>
  <c r="Q57"/>
  <c r="E56"/>
  <c r="Q56" s="1"/>
  <c r="Q36"/>
  <c r="Q37"/>
  <c r="F42"/>
  <c r="M53"/>
  <c r="Q48"/>
  <c r="U33" i="98"/>
  <c r="E5"/>
  <c r="U56"/>
  <c r="U40"/>
  <c r="I40" i="103" s="1"/>
  <c r="U34" i="98"/>
  <c r="X53" i="97"/>
  <c r="M52"/>
  <c r="M40" s="1"/>
  <c r="M6"/>
  <c r="M5" s="1"/>
  <c r="X12"/>
  <c r="G6"/>
  <c r="G5" s="1"/>
  <c r="X17"/>
  <c r="H17" i="103" s="1"/>
  <c r="X42" i="97"/>
  <c r="X56"/>
  <c r="X10"/>
  <c r="X14"/>
  <c r="H14" i="103" s="1"/>
  <c r="K6" i="97"/>
  <c r="K5" s="1"/>
  <c r="O6"/>
  <c r="O5" s="1"/>
  <c r="S6"/>
  <c r="S5" s="1"/>
  <c r="W6"/>
  <c r="W5" s="1"/>
  <c r="X29"/>
  <c r="H29" i="103" s="1"/>
  <c r="E7" i="97"/>
  <c r="X13"/>
  <c r="E22"/>
  <c r="H24"/>
  <c r="H22" s="1"/>
  <c r="H6" s="1"/>
  <c r="H5" s="1"/>
  <c r="M42"/>
  <c r="F57"/>
  <c r="F56" s="1"/>
  <c r="F40" s="1"/>
  <c r="X40" s="1"/>
  <c r="M10"/>
  <c r="F24"/>
  <c r="F22" s="1"/>
  <c r="F6" s="1"/>
  <c r="F5" s="1"/>
  <c r="Y40" i="96"/>
  <c r="W12"/>
  <c r="W10" s="1"/>
  <c r="W17"/>
  <c r="Y17" s="1"/>
  <c r="G17" i="103" s="1"/>
  <c r="W29" i="96"/>
  <c r="Y29" s="1"/>
  <c r="E33"/>
  <c r="W14"/>
  <c r="Y14" s="1"/>
  <c r="W22"/>
  <c r="Y22" s="1"/>
  <c r="F5" i="95"/>
  <c r="J10"/>
  <c r="H40"/>
  <c r="J49"/>
  <c r="H42"/>
  <c r="E42"/>
  <c r="J42" s="1"/>
  <c r="E43"/>
  <c r="E46"/>
  <c r="J48"/>
  <c r="E57"/>
  <c r="J7"/>
  <c r="F7" i="103" s="1"/>
  <c r="H7" i="95"/>
  <c r="H6" s="1"/>
  <c r="J6" s="1"/>
  <c r="F6" i="103" s="1"/>
  <c r="H34" i="95"/>
  <c r="H33" s="1"/>
  <c r="J33" s="1"/>
  <c r="J57" i="94"/>
  <c r="E56"/>
  <c r="J56" s="1"/>
  <c r="J33"/>
  <c r="E40"/>
  <c r="E5" s="1"/>
  <c r="J45"/>
  <c r="G5"/>
  <c r="J7"/>
  <c r="E7" i="103" s="1"/>
  <c r="F10" i="94"/>
  <c r="F22"/>
  <c r="J22" s="1"/>
  <c r="J36"/>
  <c r="H40"/>
  <c r="H5" s="1"/>
  <c r="J46"/>
  <c r="J48"/>
  <c r="J58"/>
  <c r="J43"/>
  <c r="I6" i="101" l="1"/>
  <c r="I5" s="1"/>
  <c r="N6"/>
  <c r="N5" s="1"/>
  <c r="E6" i="99"/>
  <c r="Q6" s="1"/>
  <c r="G40" i="103"/>
  <c r="K6"/>
  <c r="K40"/>
  <c r="N34" i="100"/>
  <c r="K34" i="103" s="1"/>
  <c r="N33" i="100"/>
  <c r="N34" i="103"/>
  <c r="Q34" s="1"/>
  <c r="N56"/>
  <c r="Q56" s="1"/>
  <c r="K80"/>
  <c r="P6" i="102"/>
  <c r="M6" i="103" s="1"/>
  <c r="N5" i="100"/>
  <c r="K5" i="103" s="1"/>
  <c r="T10" i="101"/>
  <c r="L10" i="103" s="1"/>
  <c r="M5" i="101"/>
  <c r="R6"/>
  <c r="R5" s="1"/>
  <c r="L6"/>
  <c r="L5" s="1"/>
  <c r="S6"/>
  <c r="S5" s="1"/>
  <c r="T14"/>
  <c r="L14" i="103" s="1"/>
  <c r="N14" s="1"/>
  <c r="Q14" s="1"/>
  <c r="T7" i="101"/>
  <c r="L7" i="103" s="1"/>
  <c r="N7" s="1"/>
  <c r="Q7" s="1"/>
  <c r="T24" i="101"/>
  <c r="L24" i="103" s="1"/>
  <c r="N24" s="1"/>
  <c r="Q24" s="1"/>
  <c r="H6" i="101"/>
  <c r="H5" s="1"/>
  <c r="L16" i="103"/>
  <c r="N16" s="1"/>
  <c r="Q16" s="1"/>
  <c r="O6" i="101"/>
  <c r="O5" s="1"/>
  <c r="T33"/>
  <c r="L33" i="103" s="1"/>
  <c r="G6" i="101"/>
  <c r="G5" s="1"/>
  <c r="K6"/>
  <c r="K5" s="1"/>
  <c r="T22"/>
  <c r="L22" i="103" s="1"/>
  <c r="P6" i="101"/>
  <c r="P5" s="1"/>
  <c r="J6"/>
  <c r="J5" s="1"/>
  <c r="L30" i="103"/>
  <c r="N30" s="1"/>
  <c r="Q30" s="1"/>
  <c r="F6" i="101"/>
  <c r="F5" s="1"/>
  <c r="L31" i="103"/>
  <c r="N31" s="1"/>
  <c r="Q31" s="1"/>
  <c r="L28"/>
  <c r="N28" s="1"/>
  <c r="Q28" s="1"/>
  <c r="N27"/>
  <c r="Q27" s="1"/>
  <c r="T17" i="101"/>
  <c r="L17" i="103" s="1"/>
  <c r="N17" s="1"/>
  <c r="Q17" s="1"/>
  <c r="E6" i="101"/>
  <c r="L15" i="103"/>
  <c r="N15" s="1"/>
  <c r="Q15" s="1"/>
  <c r="L23"/>
  <c r="N23" s="1"/>
  <c r="Q23" s="1"/>
  <c r="U6" i="98"/>
  <c r="I6" i="103" s="1"/>
  <c r="U5" i="98"/>
  <c r="I5" i="103" s="1"/>
  <c r="N29"/>
  <c r="Q29" s="1"/>
  <c r="T52" i="101"/>
  <c r="L52" i="103" s="1"/>
  <c r="N52" s="1"/>
  <c r="Q52" s="1"/>
  <c r="E40" i="101"/>
  <c r="Q53" i="99"/>
  <c r="M52"/>
  <c r="X7" i="97"/>
  <c r="E6"/>
  <c r="X24"/>
  <c r="X22"/>
  <c r="H22" i="103" s="1"/>
  <c r="X57" i="97"/>
  <c r="X52"/>
  <c r="W6" i="96"/>
  <c r="Y12"/>
  <c r="Y10"/>
  <c r="E5"/>
  <c r="Y33"/>
  <c r="J57" i="95"/>
  <c r="E56"/>
  <c r="J56" s="1"/>
  <c r="J43"/>
  <c r="J46"/>
  <c r="E45"/>
  <c r="J45" s="1"/>
  <c r="H5"/>
  <c r="J34"/>
  <c r="F6" i="94"/>
  <c r="J10"/>
  <c r="E10" i="103" s="1"/>
  <c r="J40" i="94"/>
  <c r="L80" i="103" l="1"/>
  <c r="E5" i="99"/>
  <c r="J6" i="103"/>
  <c r="K33"/>
  <c r="N33"/>
  <c r="Q33" s="1"/>
  <c r="N10"/>
  <c r="Q10" s="1"/>
  <c r="T6" i="101"/>
  <c r="L6" i="103" s="1"/>
  <c r="N22"/>
  <c r="T40" i="101"/>
  <c r="L40" i="103" s="1"/>
  <c r="N40" s="1"/>
  <c r="Q40" s="1"/>
  <c r="E5" i="101"/>
  <c r="T5" s="1"/>
  <c r="L5" i="103" s="1"/>
  <c r="M40" i="99"/>
  <c r="Q52"/>
  <c r="X6" i="97"/>
  <c r="H6" i="103" s="1"/>
  <c r="E5" i="97"/>
  <c r="X5" s="1"/>
  <c r="H5" i="103" s="1"/>
  <c r="W5" i="96"/>
  <c r="Y5" s="1"/>
  <c r="G5" i="103" s="1"/>
  <c r="Y6" i="96"/>
  <c r="G6" i="103" s="1"/>
  <c r="E40" i="95"/>
  <c r="F5" i="94"/>
  <c r="J5" s="1"/>
  <c r="E5" i="103" s="1"/>
  <c r="J6" i="94"/>
  <c r="E6" i="103" s="1"/>
  <c r="Q22" l="1"/>
  <c r="N80"/>
  <c r="N6"/>
  <c r="Q6" s="1"/>
  <c r="M5" i="99"/>
  <c r="Q5" s="1"/>
  <c r="J5" i="103" s="1"/>
  <c r="Q40" i="99"/>
  <c r="J40" i="95"/>
  <c r="E5"/>
  <c r="J5" s="1"/>
  <c r="F5" i="103" s="1"/>
  <c r="N5" l="1"/>
  <c r="Q5" s="1"/>
  <c r="I38" i="93"/>
  <c r="I31"/>
  <c r="I30"/>
  <c r="I16"/>
  <c r="I15"/>
  <c r="I19" s="1"/>
  <c r="I14"/>
  <c r="I11"/>
  <c r="I7"/>
  <c r="I4"/>
  <c r="I39" l="1"/>
  <c r="I3" i="92" l="1"/>
  <c r="I4" s="1"/>
  <c r="J16" i="91" l="1"/>
  <c r="J15"/>
  <c r="J12"/>
  <c r="J14"/>
  <c r="J13"/>
  <c r="J11" l="1"/>
  <c r="J10"/>
  <c r="J9"/>
  <c r="J8"/>
  <c r="J7"/>
  <c r="J6"/>
  <c r="J5"/>
  <c r="J4"/>
  <c r="J3"/>
  <c r="J166" i="90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M32" authorId="0">
      <text>
        <r>
          <rPr>
            <b/>
            <sz val="9"/>
            <rFont val="宋体"/>
            <family val="3"/>
            <charset val="134"/>
          </rPr>
          <t>Administrator:去年根据16嘉奖*1500+3记功*5000计算</t>
        </r>
      </text>
    </comment>
    <comment ref="U5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本年公积金总额/0.07*0.02</t>
        </r>
      </text>
    </comment>
  </commentList>
</comments>
</file>

<file path=xl/sharedStrings.xml><?xml version="1.0" encoding="utf-8"?>
<sst xmlns="http://schemas.openxmlformats.org/spreadsheetml/2006/main" count="18487" uniqueCount="4050">
  <si>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</si>
  <si>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</si>
  <si>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</si>
  <si>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</si>
  <si>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</si>
  <si>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</si>
  <si>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</si>
  <si>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</si>
  <si>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</si>
  <si>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</si>
  <si>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</si>
  <si>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</si>
  <si>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</si>
  <si>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</si>
  <si>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</si>
  <si>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</si>
  <si>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</si>
  <si>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</si>
  <si>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</si>
  <si>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</si>
  <si>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</si>
  <si>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</si>
  <si>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</si>
  <si>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</si>
  <si>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</si>
  <si>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</si>
  <si>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</si>
  <si>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</si>
  <si>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</si>
  <si>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</si>
  <si>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</si>
  <si>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</si>
  <si>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</si>
  <si>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</si>
  <si>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</si>
  <si>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</si>
  <si>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</si>
  <si>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</si>
  <si>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</si>
  <si>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</si>
  <si>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</si>
  <si>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</si>
  <si>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</si>
  <si>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</si>
  <si>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</si>
  <si>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</si>
  <si>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</si>
  <si>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</si>
  <si>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</si>
  <si>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</si>
  <si>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</si>
  <si>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</si>
  <si>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</si>
  <si>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</si>
  <si>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</si>
  <si>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</si>
  <si>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</si>
  <si>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</si>
  <si>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</si>
  <si>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</si>
  <si>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</si>
  <si>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</si>
  <si>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</si>
  <si>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</si>
  <si>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</si>
  <si>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</si>
  <si>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</si>
  <si>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</si>
  <si>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</si>
  <si>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</si>
  <si>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</si>
  <si>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</si>
  <si>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</si>
  <si>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</si>
  <si>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</si>
  <si>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</si>
  <si>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</si>
  <si>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</si>
  <si>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</si>
  <si>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</si>
  <si>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</si>
  <si>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</si>
  <si>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</si>
  <si>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</si>
  <si>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</si>
  <si>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</si>
  <si>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</si>
  <si>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</si>
  <si>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</si>
  <si>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</si>
  <si>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</si>
  <si>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</si>
  <si>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</si>
  <si>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</si>
  <si>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</si>
  <si>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</si>
  <si>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</si>
  <si>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</si>
  <si>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</si>
  <si>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</si>
  <si>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</si>
  <si>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</si>
  <si>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</si>
  <si>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</si>
  <si>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</si>
  <si>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</si>
  <si>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</si>
  <si>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</si>
  <si>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</si>
  <si>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</si>
  <si>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</si>
  <si>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</si>
  <si>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</si>
  <si>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</si>
  <si>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</si>
  <si>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</si>
  <si>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</si>
  <si>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</si>
  <si>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</si>
  <si>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</si>
  <si>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</si>
  <si>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</si>
  <si>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</si>
  <si>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</si>
  <si>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</si>
  <si>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</si>
  <si>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</si>
  <si>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</si>
  <si>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</si>
  <si>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</si>
  <si>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</si>
  <si>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</si>
  <si>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</si>
  <si>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</si>
  <si>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</si>
  <si>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</si>
  <si>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</si>
  <si>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</si>
  <si>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</si>
  <si>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</si>
  <si>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</si>
  <si>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</si>
  <si>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</si>
  <si>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</si>
  <si>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</si>
  <si>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</si>
  <si>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</si>
  <si>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</si>
  <si>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</si>
  <si>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</si>
  <si>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</si>
  <si>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</si>
  <si>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</si>
  <si>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</si>
  <si>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</si>
  <si>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</si>
  <si>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</si>
  <si>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</si>
  <si>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</si>
  <si>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</si>
  <si>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</si>
  <si>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</si>
  <si>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</si>
  <si>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</si>
  <si>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</si>
  <si>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</si>
  <si>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</si>
  <si>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</si>
  <si>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</si>
  <si>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</si>
  <si>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</si>
  <si>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</si>
  <si>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</si>
  <si>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</si>
  <si>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</si>
  <si>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</si>
  <si>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</si>
  <si>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</si>
  <si>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</si>
  <si>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</si>
  <si>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</si>
  <si>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</si>
  <si>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</si>
  <si>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</si>
  <si>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</si>
  <si>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</si>
  <si>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</si>
  <si>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</si>
  <si>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</si>
  <si>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</si>
  <si>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</si>
  <si>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</si>
  <si>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</si>
  <si>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</si>
  <si>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</si>
  <si>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</si>
  <si>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</si>
  <si>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</si>
  <si>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</si>
  <si>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</si>
  <si>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</si>
  <si>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</si>
  <si>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</si>
  <si>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</si>
  <si>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</si>
  <si>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</si>
  <si>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</si>
  <si>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</si>
  <si>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</si>
  <si>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</si>
  <si>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</si>
  <si>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</si>
  <si>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</si>
  <si>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</si>
  <si>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</si>
  <si>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</si>
  <si>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</si>
  <si>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</si>
  <si>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</si>
  <si>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</si>
  <si>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</si>
  <si>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</si>
  <si>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</si>
  <si>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</si>
  <si>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</si>
  <si>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</si>
  <si>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</si>
  <si>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</si>
  <si>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</si>
  <si>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</si>
  <si>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</si>
  <si>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</si>
  <si>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</si>
  <si>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</si>
  <si>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</si>
  <si>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</si>
  <si>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</si>
  <si>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</si>
  <si>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</si>
  <si>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</si>
  <si>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</si>
  <si>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</si>
  <si>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</si>
  <si>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</si>
  <si>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</si>
  <si>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</si>
  <si>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</si>
  <si>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</si>
  <si>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</si>
  <si>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</si>
  <si>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</si>
  <si>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</si>
  <si>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</si>
  <si>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</si>
  <si>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</si>
  <si>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</si>
  <si>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</si>
  <si>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</si>
  <si>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</si>
  <si>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</si>
  <si>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</si>
  <si>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</si>
  <si>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</si>
  <si>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</si>
  <si>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</si>
  <si>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</si>
  <si>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</si>
  <si>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</si>
  <si>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</si>
  <si>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</si>
  <si>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</si>
  <si>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</si>
  <si>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</si>
  <si>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</si>
  <si>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</si>
  <si>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</si>
  <si>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</si>
  <si>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</si>
  <si>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</si>
  <si>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</si>
  <si>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</si>
  <si>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</si>
  <si>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</si>
  <si>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</si>
  <si>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</si>
  <si>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</si>
  <si>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</si>
  <si>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</si>
  <si>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</si>
  <si>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</si>
  <si>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</si>
  <si>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</si>
  <si>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</si>
  <si>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</si>
  <si>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</si>
  <si>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</si>
  <si>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</si>
  <si>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</si>
  <si>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</si>
  <si>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</si>
  <si>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</si>
  <si>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</si>
  <si>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</si>
  <si>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</si>
  <si>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</si>
  <si>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</si>
  <si>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</si>
  <si>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</si>
  <si>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</si>
  <si>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</si>
  <si>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</si>
  <si>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</si>
  <si>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</si>
  <si>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</si>
  <si>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</si>
  <si>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</si>
  <si>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</si>
  <si>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</si>
  <si>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</si>
  <si>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</si>
  <si>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</si>
  <si>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</si>
  <si>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</si>
  <si>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</si>
  <si>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</si>
  <si>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</si>
  <si>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</si>
  <si>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</si>
  <si>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</si>
  <si>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</si>
  <si>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</si>
  <si>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</si>
  <si>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</si>
  <si>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</si>
  <si>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</si>
  <si>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</si>
  <si>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</si>
  <si>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</si>
  <si>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</si>
  <si>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</si>
  <si>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</si>
  <si>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</si>
  <si>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</si>
  <si>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</si>
  <si>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</si>
  <si>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</si>
  <si>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</si>
  <si>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</si>
  <si>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</si>
  <si>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</si>
  <si>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</si>
  <si>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</si>
  <si>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</si>
  <si>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</si>
  <si>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</si>
  <si>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</si>
  <si>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</si>
  <si>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</si>
  <si>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</si>
  <si>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</si>
  <si>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</si>
  <si>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</si>
  <si>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</si>
  <si>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</si>
  <si>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</si>
  <si>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</si>
  <si>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</si>
  <si>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</si>
  <si>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</si>
  <si>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</si>
  <si>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</si>
  <si>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</si>
  <si>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</si>
  <si>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</si>
  <si>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</si>
  <si>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</si>
  <si>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</si>
  <si>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</si>
  <si>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</si>
  <si>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</si>
  <si>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</si>
  <si>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</si>
  <si>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</si>
  <si>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</si>
  <si>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</si>
  <si>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</si>
  <si>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</si>
  <si>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</si>
  <si>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</si>
  <si>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</si>
  <si>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</si>
  <si>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</si>
  <si>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</si>
  <si>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</si>
  <si>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</si>
  <si>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</si>
  <si>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</si>
  <si>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</si>
  <si>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</si>
  <si>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</si>
  <si>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</si>
  <si>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</si>
  <si>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</si>
  <si>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</si>
  <si>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</si>
  <si>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</si>
  <si>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</si>
  <si>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</si>
  <si>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</si>
  <si>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</si>
  <si>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</si>
  <si>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</si>
  <si>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</si>
  <si>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</si>
  <si>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</si>
  <si>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</si>
  <si>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</si>
  <si>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</si>
  <si>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</si>
  <si>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</si>
  <si>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</si>
  <si>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</si>
  <si>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</si>
  <si>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</si>
  <si>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</si>
  <si>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</si>
  <si>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</si>
  <si>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</si>
  <si>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</si>
  <si>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</si>
  <si>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</si>
  <si>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</si>
  <si>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</si>
  <si>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</si>
  <si>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</si>
  <si>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</si>
  <si>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</si>
  <si>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</si>
  <si>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</si>
  <si>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</si>
  <si>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</si>
  <si>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</si>
  <si>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</si>
  <si>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</si>
  <si>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</si>
  <si>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</si>
  <si>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</si>
  <si>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</si>
  <si>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</si>
  <si>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</si>
  <si>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</si>
  <si>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</si>
  <si>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</si>
  <si>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</si>
  <si>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</si>
  <si>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</si>
  <si>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</si>
  <si>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</si>
  <si>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</si>
  <si>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</si>
  <si>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</si>
  <si>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</si>
  <si>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</si>
  <si>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</si>
  <si>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</si>
  <si>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</si>
  <si>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</si>
  <si>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</si>
  <si>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</si>
  <si>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</si>
  <si>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</si>
  <si>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</si>
  <si>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</si>
  <si>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</si>
  <si>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</si>
  <si>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</si>
  <si>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</si>
  <si>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</si>
  <si>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</si>
  <si>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</si>
  <si>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</si>
  <si>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</si>
  <si>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</si>
  <si>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</si>
  <si>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</si>
  <si>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</si>
  <si>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</si>
  <si>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</si>
  <si>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</si>
  <si>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</si>
  <si>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</si>
  <si>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</si>
  <si>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</si>
  <si>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</si>
  <si>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</si>
  <si>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</si>
  <si>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</si>
  <si>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</si>
  <si>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</si>
  <si>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</si>
  <si>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</si>
  <si>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</si>
  <si>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</si>
  <si>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</si>
  <si>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</si>
  <si>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</si>
  <si>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</si>
  <si>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</si>
  <si>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</si>
  <si>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</si>
  <si>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</si>
  <si>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</si>
  <si>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</si>
  <si>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</si>
  <si>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</si>
  <si>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</si>
  <si>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</si>
  <si>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</si>
  <si>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</si>
  <si>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</si>
  <si>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</si>
  <si>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</si>
  <si>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</si>
  <si>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</si>
  <si>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</si>
  <si>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</si>
  <si>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</si>
  <si>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</si>
  <si>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</si>
  <si>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</si>
  <si>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</si>
  <si>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</si>
  <si>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</si>
  <si>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</si>
  <si>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</si>
  <si>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</si>
  <si>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</si>
  <si>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</si>
  <si>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</si>
  <si>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</si>
  <si>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</si>
  <si>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</si>
  <si>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</si>
  <si>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</si>
  <si>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</si>
  <si>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</si>
  <si>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</si>
  <si>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</si>
  <si>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</si>
  <si>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</si>
  <si>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</si>
  <si>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</si>
  <si>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</si>
  <si>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</si>
  <si>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</si>
  <si>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</si>
  <si>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</si>
  <si>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</si>
  <si>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</si>
  <si>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</si>
  <si>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</si>
  <si>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</si>
  <si>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</si>
  <si>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</si>
  <si>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</si>
  <si>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</si>
  <si>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</si>
  <si>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</si>
  <si>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</si>
  <si>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</si>
  <si>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</si>
  <si>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</si>
  <si>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</si>
  <si>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</si>
  <si>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</si>
  <si>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</si>
  <si>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</si>
  <si>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</si>
  <si>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</si>
  <si>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</si>
  <si>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</si>
  <si>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</si>
  <si>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</si>
  <si>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</si>
  <si>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</si>
  <si>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</si>
  <si>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</si>
  <si>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</si>
  <si>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</si>
  <si>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</si>
  <si>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</si>
  <si>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</si>
  <si>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</si>
  <si>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</si>
  <si>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</si>
  <si>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</si>
  <si>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</si>
  <si>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</si>
  <si>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</si>
  <si>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</si>
  <si>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</si>
  <si>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</si>
  <si>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</si>
  <si>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</si>
  <si>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</si>
  <si>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</si>
  <si>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</si>
  <si>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</si>
  <si>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</si>
  <si>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</si>
  <si>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</si>
  <si>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</si>
  <si>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</si>
  <si>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</si>
  <si>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</si>
  <si>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</si>
  <si>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</si>
  <si>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</si>
  <si>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</si>
  <si>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</si>
  <si>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</si>
  <si>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</si>
  <si>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</si>
  <si>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</si>
  <si>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</si>
  <si>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</si>
  <si>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</si>
  <si>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</si>
  <si>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</si>
  <si>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</si>
  <si>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</si>
  <si>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</si>
  <si>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</si>
  <si>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</si>
  <si>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</si>
  <si>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</si>
  <si>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</si>
  <si>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</si>
  <si>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</si>
  <si>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</si>
  <si>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</si>
  <si>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</si>
  <si>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</si>
  <si>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</si>
  <si>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</si>
  <si>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</si>
  <si>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</si>
  <si>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</si>
  <si>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</si>
  <si>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</si>
  <si>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</si>
  <si>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</si>
  <si>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</si>
  <si>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</si>
  <si>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</si>
  <si>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</si>
  <si>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</si>
  <si>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</si>
  <si>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</si>
  <si>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</si>
  <si>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</si>
  <si>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</si>
  <si>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</si>
  <si>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</si>
  <si>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</si>
  <si>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</si>
  <si>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</si>
  <si>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</si>
  <si>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</si>
  <si>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</si>
  <si>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</si>
  <si>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</si>
  <si>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</si>
  <si>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</si>
  <si>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</si>
  <si>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</si>
  <si>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</si>
  <si>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</si>
  <si>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</si>
  <si>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</si>
  <si>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</si>
  <si>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</si>
  <si>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</si>
  <si>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</si>
  <si>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</si>
  <si>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</si>
  <si>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</si>
  <si>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</si>
  <si>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</si>
  <si>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</si>
  <si>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</si>
  <si>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</si>
  <si>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</si>
  <si>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</si>
  <si>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</si>
  <si>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</si>
  <si>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</si>
  <si>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</si>
  <si>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</si>
  <si>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</si>
  <si>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</si>
  <si>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</si>
  <si>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</si>
  <si>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</si>
  <si>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</si>
  <si>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</si>
  <si>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</si>
  <si>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</si>
  <si>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</si>
  <si>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</si>
  <si>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</si>
  <si>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</si>
  <si>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</si>
  <si>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</si>
  <si>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</si>
  <si>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</si>
  <si>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</si>
  <si>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</si>
  <si>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</si>
  <si>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</si>
  <si>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</si>
  <si>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</si>
  <si>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</si>
  <si>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</si>
  <si>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</si>
  <si>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</si>
  <si>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</si>
  <si>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</si>
  <si>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</si>
  <si>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</si>
  <si>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</si>
  <si>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</si>
  <si>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</si>
  <si>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</si>
  <si>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</si>
  <si>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</si>
  <si>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</si>
  <si>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</si>
  <si>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</si>
  <si>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</si>
  <si>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</si>
  <si>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</si>
  <si>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</si>
  <si>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</si>
  <si>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</si>
  <si>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</si>
  <si>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</si>
  <si>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</si>
  <si>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</si>
  <si>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</si>
  <si>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</si>
  <si>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</si>
  <si>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</si>
  <si>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</si>
  <si>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</si>
  <si>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</si>
  <si>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</si>
  <si>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</si>
  <si>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</si>
  <si>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</si>
  <si>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</si>
  <si>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</si>
  <si>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</si>
  <si>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</si>
  <si>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</si>
  <si>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</si>
  <si>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</si>
  <si>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</si>
  <si>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</si>
  <si>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</si>
  <si>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</si>
  <si>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</si>
  <si>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</si>
  <si>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</si>
  <si>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</si>
  <si>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</si>
  <si>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</si>
  <si>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</si>
  <si>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</si>
  <si>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</si>
  <si>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</si>
  <si>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</si>
  <si>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</si>
  <si>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</si>
  <si>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</si>
  <si>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</si>
  <si>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</si>
  <si>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</si>
  <si>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</si>
  <si>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</si>
  <si>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</si>
  <si>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</si>
  <si>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</si>
  <si>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</si>
  <si>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</si>
  <si>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</si>
  <si>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</si>
  <si>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</si>
  <si>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</si>
  <si>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</si>
  <si>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</si>
  <si>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</si>
  <si>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</si>
  <si>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</si>
  <si>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</si>
  <si>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</si>
  <si>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</si>
  <si>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</si>
  <si>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</si>
  <si>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</si>
  <si>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</si>
  <si>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</si>
  <si>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</si>
  <si>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</si>
  <si>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</si>
  <si>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</si>
  <si>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</si>
  <si>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</si>
  <si>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</si>
  <si>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</si>
  <si>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</si>
  <si>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</si>
  <si>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</si>
  <si>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</si>
  <si>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</si>
  <si>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</si>
  <si>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</si>
  <si>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</si>
  <si>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</si>
  <si>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</si>
  <si>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</si>
  <si>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</si>
  <si>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</si>
  <si>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</si>
  <si>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</si>
  <si>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</si>
  <si>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</si>
  <si>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</si>
  <si>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</si>
  <si>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</si>
  <si>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</si>
  <si>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</si>
  <si>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</si>
  <si>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</si>
  <si>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</si>
  <si>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</si>
  <si>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</si>
  <si>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</si>
  <si>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</si>
  <si>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</si>
  <si>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</si>
  <si>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</si>
  <si>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</si>
  <si>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</si>
  <si>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</si>
  <si>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</si>
  <si>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</si>
  <si>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</si>
  <si>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</si>
  <si>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</si>
  <si>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</si>
  <si>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</si>
  <si>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</si>
  <si>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</si>
  <si>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</si>
  <si>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</si>
  <si>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</si>
  <si>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</si>
  <si>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</si>
  <si>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</si>
  <si>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</si>
  <si>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</si>
  <si>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</si>
  <si>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</si>
  <si>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</si>
  <si>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</si>
  <si>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</si>
  <si>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</si>
  <si>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</si>
  <si>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</si>
  <si>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</si>
  <si>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</si>
  <si>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</si>
  <si>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</si>
  <si>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</si>
  <si>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</si>
  <si>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</si>
  <si>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</si>
  <si>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</si>
  <si>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</si>
  <si>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</si>
  <si>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</si>
  <si>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</si>
  <si>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</si>
  <si>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</si>
  <si>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</si>
  <si>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</si>
  <si>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</si>
  <si>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</si>
  <si>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</si>
  <si>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</si>
  <si>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</si>
  <si>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</si>
  <si>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</si>
  <si>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</si>
  <si>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</si>
  <si>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</si>
  <si>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</si>
  <si>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</si>
  <si>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</si>
  <si>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</si>
  <si>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</si>
  <si>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</si>
  <si>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</si>
  <si>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</si>
  <si>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</si>
  <si>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</si>
  <si>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</si>
  <si>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</si>
  <si>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</si>
  <si>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</si>
  <si>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</si>
  <si>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</si>
  <si>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</si>
  <si>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</si>
  <si>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</si>
  <si>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</si>
  <si>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</si>
  <si>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</si>
  <si>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</si>
  <si>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</si>
  <si>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</si>
  <si>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</si>
  <si>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</si>
  <si>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</si>
  <si>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</si>
  <si>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</si>
  <si>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</si>
  <si>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</si>
  <si>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</si>
  <si>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</si>
  <si>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</si>
  <si>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</si>
  <si>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</si>
  <si>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</si>
  <si>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</si>
  <si>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</si>
  <si>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</si>
  <si>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</si>
  <si>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</si>
  <si>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</si>
  <si>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</si>
  <si>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</si>
  <si>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</si>
  <si>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</si>
  <si>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</si>
  <si>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</si>
  <si>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</si>
  <si>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</si>
  <si>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</si>
  <si>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</si>
  <si>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</si>
  <si>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</si>
  <si>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</si>
  <si>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</si>
  <si>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</si>
  <si>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</si>
  <si>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</si>
  <si>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</si>
  <si>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</si>
  <si>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</si>
  <si>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</si>
  <si>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</si>
  <si>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</si>
  <si>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</si>
  <si>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</si>
  <si>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</si>
  <si>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</si>
  <si>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</si>
  <si>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</si>
  <si>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</si>
  <si>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</si>
  <si>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</si>
  <si>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</si>
  <si>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</si>
  <si>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</si>
  <si>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</si>
  <si>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</si>
  <si>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</si>
  <si>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</si>
  <si>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</si>
  <si>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</si>
  <si>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</si>
  <si>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</si>
  <si>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</si>
  <si>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</si>
  <si>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</si>
  <si>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</si>
  <si>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</si>
  <si>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</si>
  <si>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</si>
  <si>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</si>
  <si>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</si>
  <si>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</si>
  <si>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</si>
  <si>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</si>
  <si>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</si>
  <si>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</si>
  <si>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</si>
  <si>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</si>
  <si>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</si>
  <si>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</si>
  <si>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</si>
  <si>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</si>
  <si>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</si>
  <si>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</si>
  <si>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</si>
  <si>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</si>
  <si>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</si>
  <si>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</si>
  <si>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</si>
  <si>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</si>
  <si>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</si>
  <si>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</si>
  <si>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</si>
  <si>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</si>
  <si>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</si>
  <si>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</si>
  <si>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</si>
  <si>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</si>
  <si>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</si>
  <si>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</si>
  <si>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</si>
  <si>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</si>
  <si>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</si>
  <si>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</si>
  <si>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</si>
  <si>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</si>
  <si>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</si>
  <si>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</si>
  <si>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</si>
  <si>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</si>
  <si>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</si>
  <si>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</si>
  <si>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</si>
  <si>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</si>
  <si>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</si>
  <si>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</si>
  <si>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</si>
  <si>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</si>
  <si>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</si>
  <si>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</si>
  <si>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</si>
  <si>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</si>
  <si>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</si>
  <si>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</si>
  <si>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</si>
  <si>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</si>
  <si>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</si>
  <si>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</si>
  <si>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</si>
  <si>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</si>
  <si>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</si>
  <si>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</si>
  <si>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</si>
  <si>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</si>
  <si>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</si>
  <si>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</si>
  <si>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</si>
  <si>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</si>
  <si>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</si>
  <si>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</si>
  <si>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</si>
  <si>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</si>
  <si>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</si>
  <si>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</si>
  <si>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</si>
  <si>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</si>
  <si>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</si>
  <si>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</si>
  <si>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</si>
  <si>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</si>
  <si>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</si>
  <si>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</si>
  <si>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</si>
  <si>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</si>
  <si>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</si>
  <si>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</si>
  <si>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</si>
  <si>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</si>
  <si>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</si>
  <si>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</si>
  <si>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</si>
  <si>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</si>
  <si>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</si>
  <si>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</si>
  <si>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</si>
  <si>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</si>
  <si>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</si>
  <si>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</si>
  <si>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</si>
  <si>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</si>
  <si>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</si>
  <si>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</si>
  <si>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</si>
  <si>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</si>
  <si>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</si>
  <si>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</si>
  <si>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</si>
  <si>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</si>
  <si>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</si>
  <si>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</si>
  <si>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</si>
  <si>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</si>
  <si>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</si>
  <si>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</si>
  <si>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</si>
  <si>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</si>
  <si>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</si>
  <si>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</si>
  <si>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</si>
  <si>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</si>
  <si>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</si>
  <si>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</si>
  <si>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</si>
  <si>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</si>
  <si>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</si>
  <si>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</si>
  <si>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</si>
  <si>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</si>
  <si>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</si>
  <si>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</si>
  <si>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</si>
  <si>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</si>
  <si>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</si>
  <si>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</si>
  <si>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</si>
  <si>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</si>
  <si>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</si>
  <si>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</si>
  <si>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</si>
  <si>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</si>
  <si>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</si>
  <si>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</si>
  <si>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</si>
  <si>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</si>
  <si>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</si>
  <si>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</si>
  <si>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</si>
  <si>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</si>
  <si>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</si>
  <si>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</si>
  <si>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</si>
  <si>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</si>
  <si>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</si>
  <si>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</si>
  <si>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</si>
  <si>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</si>
  <si>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</si>
  <si>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</si>
  <si>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</si>
  <si>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</si>
  <si>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</si>
  <si>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</si>
  <si>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</si>
  <si>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</si>
  <si>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</si>
  <si>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</si>
  <si>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</si>
  <si>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</si>
  <si>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</si>
  <si>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</si>
  <si>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</si>
  <si>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</si>
  <si>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</si>
  <si>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</si>
  <si>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</si>
  <si>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</si>
  <si>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</si>
  <si>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</si>
  <si>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</si>
  <si>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</si>
  <si>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</si>
  <si>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</si>
  <si>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</si>
  <si>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</si>
  <si>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</si>
  <si>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</si>
  <si>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</si>
  <si>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</si>
  <si>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</si>
  <si>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</si>
  <si>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</si>
  <si>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</si>
  <si>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</si>
  <si>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</si>
  <si>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</si>
  <si>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</si>
  <si>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</si>
  <si>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</si>
  <si>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</si>
  <si>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</si>
  <si>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</si>
  <si>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</si>
  <si>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</si>
  <si>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</si>
  <si>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</si>
  <si>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</si>
  <si>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</si>
  <si>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</si>
  <si>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</si>
  <si>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</si>
  <si>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</si>
  <si>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</si>
  <si>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</si>
  <si>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</si>
  <si>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</si>
  <si>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</si>
  <si>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</si>
  <si>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</si>
  <si>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</si>
  <si>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</si>
  <si>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</si>
  <si>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</si>
  <si>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</si>
  <si>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</si>
  <si>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</si>
  <si>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</si>
  <si>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</si>
  <si>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</si>
  <si>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</si>
  <si>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</si>
  <si>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</si>
  <si>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</si>
  <si>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</si>
  <si>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</si>
  <si>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</si>
  <si>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</si>
  <si>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</si>
  <si>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</si>
  <si>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</si>
  <si>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</si>
  <si>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</si>
  <si>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</si>
  <si>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</si>
  <si>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</si>
  <si>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</si>
  <si>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</si>
  <si>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</si>
  <si>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</si>
  <si>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</si>
  <si>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</si>
  <si>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</si>
  <si>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</si>
  <si>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</si>
  <si>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</si>
  <si>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</si>
  <si>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</si>
  <si>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</si>
  <si>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</si>
  <si>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</si>
  <si>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</si>
  <si>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</si>
  <si>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</si>
  <si>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</si>
  <si>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</si>
  <si>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</si>
  <si>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</si>
  <si>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</si>
  <si>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</si>
  <si>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</si>
  <si>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</si>
  <si>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</si>
  <si>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</si>
  <si>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</si>
  <si>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</si>
  <si>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</si>
  <si>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</si>
  <si>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</si>
  <si>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</si>
  <si>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</si>
  <si>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</si>
  <si>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</si>
  <si>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</si>
  <si>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</si>
  <si>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</si>
  <si>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</si>
  <si>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</si>
  <si>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</si>
  <si>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</si>
  <si>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</si>
  <si>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</si>
  <si>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</si>
  <si>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</si>
  <si>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</si>
  <si>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</si>
  <si>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</si>
  <si>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</si>
  <si>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</si>
  <si>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</si>
  <si>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</si>
  <si>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</si>
  <si>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</si>
  <si>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</si>
  <si>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</si>
  <si>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</si>
  <si>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</si>
  <si>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</si>
  <si>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</si>
  <si>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</si>
  <si>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</si>
  <si>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</si>
  <si>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</si>
  <si>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</si>
  <si>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</si>
  <si>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</si>
  <si>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</si>
  <si>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</si>
  <si>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</si>
  <si>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</si>
  <si>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</si>
  <si>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</si>
  <si>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</si>
  <si>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</si>
  <si>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</si>
  <si>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</si>
  <si>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</si>
  <si>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</si>
  <si>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</si>
  <si>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</si>
  <si>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</si>
  <si>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</si>
  <si>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</si>
  <si>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</si>
  <si>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</si>
  <si>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</si>
  <si>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</si>
  <si>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</si>
  <si>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</si>
  <si>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</si>
  <si>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</si>
  <si>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</si>
  <si>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</si>
  <si>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</si>
  <si>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</si>
  <si>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</si>
  <si>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</si>
  <si>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</si>
  <si>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</si>
  <si>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</si>
  <si>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</si>
  <si>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</si>
  <si>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</si>
  <si>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</si>
  <si>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</si>
  <si>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</si>
  <si>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</si>
  <si>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</si>
  <si>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</si>
  <si>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</si>
  <si>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</si>
  <si>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</si>
  <si>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</si>
  <si>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</si>
  <si>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</si>
  <si>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</si>
  <si>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</si>
  <si>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</si>
  <si>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</si>
  <si>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</si>
  <si>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</si>
  <si>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</si>
  <si>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</si>
  <si>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</si>
  <si>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</si>
  <si>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</si>
  <si>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</si>
  <si>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</si>
  <si>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</si>
  <si>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</si>
  <si>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</si>
  <si>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</si>
  <si>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</si>
  <si>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</si>
  <si>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</si>
  <si>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</si>
  <si>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</si>
  <si>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</si>
  <si>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</si>
  <si>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</si>
  <si>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</si>
  <si>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</si>
  <si>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</si>
  <si>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</si>
  <si>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</si>
  <si>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</si>
  <si>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</si>
  <si>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</si>
  <si>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</si>
  <si>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</si>
  <si>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</si>
  <si>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</si>
  <si>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</si>
  <si>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</si>
  <si>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</si>
  <si>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</si>
  <si>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</si>
  <si>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</si>
  <si>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</si>
  <si>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</si>
  <si>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</si>
  <si>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</si>
  <si>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</si>
  <si>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</si>
  <si>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</si>
  <si>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</si>
  <si>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</si>
  <si>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</si>
  <si>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</si>
  <si>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</si>
  <si>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</si>
  <si>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</si>
  <si>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</si>
  <si>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</si>
  <si>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</si>
  <si>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</si>
  <si>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</si>
  <si>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</si>
  <si>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</si>
  <si>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</si>
  <si>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</si>
  <si>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</si>
  <si>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</si>
  <si>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</si>
  <si>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</si>
  <si>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</si>
  <si>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</si>
  <si>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</si>
  <si>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</si>
  <si>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</si>
  <si>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</si>
  <si>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</si>
  <si>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</si>
  <si>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</si>
  <si>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</si>
  <si>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</si>
  <si>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</si>
  <si>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</si>
  <si>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</si>
  <si>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</si>
  <si>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</si>
  <si>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</si>
  <si>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</si>
  <si>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</si>
  <si>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</si>
  <si>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</si>
  <si>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</si>
  <si>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</si>
  <si>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</si>
  <si>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</si>
  <si>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</si>
  <si>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</si>
  <si>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</si>
  <si>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</si>
  <si>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</si>
  <si>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</si>
  <si>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</si>
  <si>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</si>
  <si>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</si>
  <si>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</si>
  <si>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</si>
  <si>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</si>
  <si>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</si>
  <si>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</si>
  <si>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</si>
  <si>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</si>
  <si>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</si>
  <si>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</si>
  <si>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</si>
  <si>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</si>
  <si>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</si>
  <si>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</si>
  <si>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</si>
  <si>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</si>
  <si>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</si>
  <si>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</si>
  <si>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</si>
  <si>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</si>
  <si>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</si>
  <si>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</si>
  <si>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</si>
  <si>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</si>
  <si>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</si>
  <si>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</si>
  <si>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</si>
  <si>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</si>
  <si>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</si>
  <si>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</si>
  <si>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</si>
  <si>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</si>
  <si>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</si>
  <si>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</si>
  <si>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</si>
  <si>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</si>
  <si>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</si>
  <si>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</si>
  <si>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</si>
  <si>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</si>
  <si>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</si>
  <si>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</si>
  <si>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</si>
  <si>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</si>
  <si>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</si>
  <si>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</si>
  <si>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</si>
  <si>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</si>
  <si>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</si>
  <si>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</si>
  <si>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</si>
  <si>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</si>
  <si>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</si>
  <si>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</si>
  <si>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</si>
  <si>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</si>
  <si>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</si>
  <si>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</si>
  <si>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</si>
  <si>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</si>
  <si>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</si>
  <si>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</si>
  <si>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</si>
  <si>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</si>
  <si>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</si>
  <si>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</si>
  <si>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</si>
  <si>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</si>
  <si>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</si>
  <si>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</si>
  <si>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</si>
  <si>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</si>
  <si>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</si>
  <si>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</si>
  <si>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</si>
  <si>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</si>
  <si>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</si>
  <si>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</si>
  <si>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</si>
  <si>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</si>
  <si>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</si>
  <si>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</si>
  <si>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</si>
  <si>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</si>
  <si>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</si>
  <si>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</si>
  <si>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</si>
  <si>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</si>
  <si>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</si>
  <si>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</si>
  <si>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</si>
  <si>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</si>
  <si>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</si>
  <si>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</si>
  <si>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</si>
  <si>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</si>
  <si>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</si>
  <si>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</si>
  <si>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</si>
  <si>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</si>
  <si>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</si>
  <si>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</si>
  <si>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</si>
  <si>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</si>
  <si>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</si>
  <si>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</si>
  <si>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</si>
  <si>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</si>
  <si>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</si>
  <si>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</si>
  <si>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</si>
  <si>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</si>
  <si>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</si>
  <si>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</si>
  <si>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</si>
  <si>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</si>
  <si>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</si>
  <si>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</si>
  <si>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</si>
  <si>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</si>
  <si>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</si>
  <si>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</si>
  <si>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</si>
  <si>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</si>
  <si>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</si>
  <si>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</si>
  <si>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</si>
  <si>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</si>
  <si>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</si>
  <si>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</si>
  <si>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</si>
  <si>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</si>
  <si>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</si>
  <si>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</si>
  <si>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</si>
  <si>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</si>
  <si>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</si>
  <si>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</si>
  <si>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</si>
  <si>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</si>
  <si>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</si>
  <si>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</si>
  <si>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</si>
  <si>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</si>
  <si>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</si>
  <si>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</si>
  <si>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</si>
  <si>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</si>
  <si>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</si>
  <si>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</si>
  <si>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</si>
  <si>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</si>
  <si>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</si>
  <si>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</si>
  <si>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</si>
  <si>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</si>
  <si>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</si>
  <si>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</si>
  <si>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</si>
  <si>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</si>
  <si>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</si>
  <si>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</si>
  <si>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</si>
  <si>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</si>
  <si>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</si>
  <si>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</si>
  <si>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</si>
  <si>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</si>
  <si>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</si>
  <si>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</si>
  <si>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</si>
  <si>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</si>
  <si>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</si>
  <si>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</si>
  <si>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</si>
  <si>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</si>
  <si>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</si>
  <si>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</si>
  <si>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</si>
  <si>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</si>
  <si>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</si>
  <si>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</si>
  <si>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</si>
  <si>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</si>
  <si>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</si>
  <si>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</si>
  <si>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</si>
  <si>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</si>
  <si>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</si>
  <si>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</si>
  <si>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</si>
  <si>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</si>
  <si>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</si>
  <si>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</si>
  <si>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</si>
  <si>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</si>
  <si>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</si>
  <si>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</si>
  <si>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</si>
  <si>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</si>
  <si>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</si>
  <si>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</si>
  <si>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</si>
  <si>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</si>
  <si>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</si>
  <si>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</si>
  <si>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</si>
  <si>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</si>
  <si>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</si>
  <si>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</si>
  <si>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</si>
  <si>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</si>
  <si>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</si>
  <si>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</si>
  <si>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</si>
  <si>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</si>
  <si>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</si>
  <si>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</si>
  <si>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</si>
  <si>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</si>
  <si>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</si>
  <si>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</si>
  <si>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</si>
  <si>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</si>
  <si>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</si>
  <si>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</si>
  <si>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</si>
  <si>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</si>
  <si>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</si>
  <si>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</si>
  <si>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</si>
  <si>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</si>
  <si>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</si>
  <si>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</si>
  <si>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</si>
  <si>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</si>
  <si>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</si>
  <si>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</si>
  <si>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</si>
  <si>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</si>
  <si>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</si>
  <si>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</si>
  <si>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</si>
  <si>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</si>
  <si>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</si>
  <si>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</si>
  <si>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</si>
  <si>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</si>
  <si>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</si>
  <si>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</si>
  <si>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</si>
  <si>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</si>
  <si>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</si>
  <si>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</si>
  <si>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</si>
  <si>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</si>
  <si>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</si>
  <si>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</si>
  <si>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</si>
  <si>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</si>
  <si>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</si>
  <si>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</si>
  <si>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</si>
  <si>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</si>
  <si>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</si>
  <si>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</si>
  <si>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</si>
  <si>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</si>
  <si>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</si>
  <si>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</si>
  <si>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</si>
  <si>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</si>
  <si>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</si>
  <si>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</si>
  <si>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</si>
  <si>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</si>
  <si>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</si>
  <si>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</si>
  <si>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</si>
  <si>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</si>
  <si>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</si>
  <si>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</si>
  <si>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</si>
  <si>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</si>
  <si>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</si>
  <si>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</si>
  <si>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</si>
  <si>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</si>
  <si>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</si>
  <si>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</si>
  <si>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</si>
  <si>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</si>
  <si>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</si>
  <si>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</si>
  <si>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</si>
  <si>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</si>
  <si>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</si>
  <si>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</si>
  <si>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</si>
  <si>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</si>
  <si>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</si>
  <si>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</si>
  <si>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</si>
  <si>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</si>
  <si>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</si>
  <si>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</si>
  <si>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</si>
  <si>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</si>
  <si>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</si>
  <si>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</si>
  <si>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</si>
  <si>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</si>
  <si>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</si>
  <si>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</si>
  <si>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</si>
  <si>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</si>
  <si>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</si>
  <si>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</si>
  <si>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</si>
  <si>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</si>
  <si>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</si>
  <si>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</si>
  <si>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</si>
  <si>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</si>
  <si>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</si>
  <si>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</si>
  <si>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</si>
  <si>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</si>
  <si>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</si>
  <si>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</si>
  <si>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</si>
  <si>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</si>
  <si>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</si>
  <si>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</si>
  <si>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</si>
  <si>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</si>
  <si>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</si>
  <si>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</si>
  <si>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</si>
  <si>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</si>
  <si>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</si>
  <si>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</si>
  <si>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</si>
  <si>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</si>
  <si>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</si>
  <si>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</si>
  <si>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</si>
  <si>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</si>
  <si>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</si>
  <si>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</si>
  <si>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</si>
  <si>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</si>
  <si>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</si>
  <si>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</si>
  <si>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</si>
  <si>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</si>
  <si>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</si>
  <si>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</si>
  <si>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</si>
  <si>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</si>
  <si>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</si>
  <si>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</si>
  <si>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</si>
  <si>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</si>
  <si>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</si>
  <si>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</si>
  <si>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</si>
  <si>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</si>
  <si>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</si>
  <si>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</si>
  <si>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</si>
  <si>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</si>
  <si>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</si>
  <si>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</si>
  <si>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</si>
  <si>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</si>
  <si>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</si>
  <si>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</si>
  <si>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</si>
  <si>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</si>
  <si>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</si>
  <si>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</si>
  <si>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</si>
  <si>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</si>
  <si>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</si>
  <si>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</si>
  <si>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</si>
  <si>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</si>
  <si>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</si>
  <si>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</si>
  <si>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</si>
  <si>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</si>
  <si>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</si>
  <si>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</si>
  <si>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</si>
  <si>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</si>
  <si>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</si>
  <si>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</si>
  <si>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</si>
  <si>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</si>
  <si>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</si>
  <si>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</si>
  <si>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</si>
  <si>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</si>
  <si>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</si>
  <si>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</si>
  <si>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</si>
  <si>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</si>
  <si>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</si>
  <si>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</si>
  <si>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</si>
  <si>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</si>
  <si>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</si>
  <si>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</si>
  <si>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</si>
  <si>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</si>
  <si>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</si>
  <si>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</si>
  <si>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</si>
  <si>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</si>
  <si>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</si>
  <si>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</si>
  <si>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</si>
  <si>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</si>
  <si>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</si>
  <si>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</si>
  <si>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</si>
  <si>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</si>
  <si>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</si>
  <si>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</si>
  <si>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</si>
  <si>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</si>
  <si>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</si>
  <si>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</si>
  <si>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</si>
  <si>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</si>
  <si>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</si>
  <si>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</si>
  <si>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</si>
  <si>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</si>
  <si>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</si>
  <si>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</si>
  <si>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</si>
  <si>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</si>
  <si>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</si>
  <si>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</si>
  <si>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</si>
  <si>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</si>
  <si>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</si>
  <si>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</si>
  <si>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</si>
  <si>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</si>
  <si>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</si>
  <si>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</si>
  <si>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</si>
  <si>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</si>
  <si>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</si>
  <si>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</si>
  <si>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</si>
  <si>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</si>
  <si>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</si>
  <si>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</si>
  <si>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</si>
  <si>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</si>
  <si>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</si>
  <si>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</si>
  <si>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</si>
  <si>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</si>
  <si>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</si>
  <si>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</si>
  <si>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</si>
  <si>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</si>
  <si>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</si>
  <si>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</si>
  <si>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</si>
  <si>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</si>
  <si>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</si>
  <si>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</si>
  <si>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</si>
  <si>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</si>
  <si>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</si>
  <si>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</si>
  <si>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</si>
  <si>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</si>
  <si>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</si>
  <si>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</si>
  <si>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</si>
  <si>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</si>
  <si>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</si>
  <si>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</si>
  <si>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</si>
  <si>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</si>
  <si>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</si>
  <si>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</si>
  <si>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</si>
  <si>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</si>
  <si>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</si>
  <si>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</si>
  <si>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</si>
  <si>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</si>
  <si>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</si>
  <si>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</si>
  <si>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</si>
  <si>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</si>
  <si>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</si>
  <si>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</si>
  <si>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</si>
  <si>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</si>
  <si>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</si>
  <si>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</si>
  <si>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</si>
  <si>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</si>
  <si>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</si>
  <si>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</si>
  <si>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</si>
  <si>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</si>
  <si>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</si>
  <si>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</si>
  <si>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</si>
  <si>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</si>
  <si>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</si>
  <si>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</si>
  <si>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</si>
  <si>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</si>
  <si>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</si>
  <si>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</si>
  <si>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</si>
  <si>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</si>
  <si>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</si>
  <si>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</si>
  <si>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</si>
  <si>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</si>
  <si>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</si>
  <si>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</si>
  <si>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</si>
  <si>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</si>
  <si>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</si>
  <si>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</si>
  <si>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</si>
  <si>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</si>
  <si>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</si>
  <si>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</si>
  <si>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</si>
  <si>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</si>
  <si>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</si>
  <si>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</si>
  <si>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</si>
  <si>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</si>
  <si>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</si>
  <si>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</si>
  <si>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</si>
  <si>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</si>
  <si>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</si>
  <si>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</si>
  <si>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</si>
  <si>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</si>
  <si>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</si>
  <si>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</si>
  <si>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</si>
  <si>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</si>
  <si>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</si>
  <si>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</si>
  <si>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</si>
  <si>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</si>
  <si>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</si>
  <si>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</si>
  <si>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</si>
  <si>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</si>
  <si>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</si>
  <si>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</si>
  <si>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</si>
  <si>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</si>
  <si>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</si>
  <si>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</si>
  <si>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</si>
  <si>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</si>
  <si>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</si>
  <si>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</si>
  <si>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</si>
  <si>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</si>
  <si>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</si>
  <si>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</si>
  <si>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</si>
  <si>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</si>
  <si>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</si>
  <si>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</si>
  <si>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</si>
  <si>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</si>
  <si>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</si>
  <si>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</si>
  <si>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</si>
  <si>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</si>
  <si>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</si>
  <si>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</si>
  <si>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</si>
  <si>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</si>
  <si>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</si>
  <si>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</si>
  <si>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</si>
  <si>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</si>
  <si>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</si>
  <si>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</si>
  <si>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</si>
  <si>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</si>
  <si>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</si>
  <si>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</si>
  <si>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</si>
  <si>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</si>
  <si>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</si>
  <si>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</si>
  <si>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</si>
  <si>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</si>
  <si>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</si>
  <si>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</si>
  <si>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</si>
  <si>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</si>
  <si>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</si>
  <si>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</si>
  <si>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</si>
  <si>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</si>
  <si>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</si>
  <si>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</si>
  <si>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</si>
  <si>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</si>
  <si>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</si>
  <si>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</si>
  <si>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</si>
  <si>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</si>
  <si>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</si>
  <si>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</si>
  <si>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</si>
  <si>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</si>
  <si>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</si>
  <si>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</si>
  <si>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</si>
  <si>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</si>
  <si>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</si>
  <si>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</si>
  <si>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</si>
  <si>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</si>
  <si>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</si>
  <si>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</si>
  <si>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</si>
  <si>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</si>
  <si>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</si>
  <si>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</si>
  <si>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</si>
  <si>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</si>
  <si>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</si>
  <si>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</si>
  <si>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</si>
  <si>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</si>
  <si>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</si>
  <si>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</si>
  <si>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</si>
  <si>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</si>
  <si>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</si>
  <si>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</si>
  <si>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</si>
  <si>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</si>
  <si>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</si>
  <si>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</si>
  <si>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</si>
  <si>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</si>
  <si>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</si>
  <si>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</si>
  <si>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</si>
  <si>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</si>
  <si>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</si>
  <si>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</si>
  <si>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</si>
  <si>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</si>
  <si>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</si>
  <si>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</si>
  <si>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</si>
  <si>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</si>
  <si>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</si>
  <si>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</si>
  <si>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</si>
  <si>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</si>
  <si>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</si>
  <si>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</si>
  <si>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</si>
  <si>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</si>
  <si>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</si>
  <si>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</si>
  <si>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</si>
  <si>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</si>
  <si>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</si>
  <si>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</si>
  <si>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</si>
  <si>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</si>
  <si>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</si>
  <si>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</si>
  <si>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</si>
  <si>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</si>
  <si>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</si>
  <si>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</si>
  <si>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</si>
  <si>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</si>
  <si>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</si>
  <si>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</si>
  <si>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</si>
  <si>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</si>
  <si>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</si>
  <si>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</si>
  <si>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</si>
  <si>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</si>
  <si>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</si>
  <si>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</si>
  <si>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</si>
  <si>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</si>
  <si>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</si>
  <si>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</si>
  <si>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</si>
  <si>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</si>
  <si>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</si>
  <si>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</si>
  <si>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</si>
  <si>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</si>
  <si>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</si>
  <si>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</si>
  <si>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</si>
  <si>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</si>
  <si>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</si>
  <si>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</si>
  <si>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</si>
  <si>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</si>
  <si>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</si>
  <si>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</si>
  <si>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</si>
  <si>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</si>
  <si>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</si>
  <si>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</si>
  <si>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</si>
  <si>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</si>
  <si>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</si>
  <si>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</si>
  <si>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</si>
  <si>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</si>
  <si>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</si>
  <si>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</si>
  <si>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</si>
  <si>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</si>
  <si>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</si>
  <si>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</si>
  <si>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</si>
  <si>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</si>
  <si>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</si>
  <si>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</si>
  <si>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</si>
  <si>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</si>
  <si>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</si>
  <si>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</si>
  <si>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</si>
  <si>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</si>
  <si>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</si>
  <si>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</si>
  <si>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</si>
  <si>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</si>
  <si>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</si>
  <si>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</si>
  <si>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</si>
  <si>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</si>
  <si>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</si>
  <si>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</si>
  <si>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</si>
  <si>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</si>
  <si>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</si>
  <si>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</si>
  <si>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</si>
  <si>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</si>
  <si>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</si>
  <si>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</si>
  <si>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</si>
  <si>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</si>
  <si>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</si>
  <si>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</si>
  <si>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</si>
  <si>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</si>
  <si>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</si>
  <si>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</si>
  <si>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</si>
  <si>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</si>
  <si>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</si>
  <si>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</si>
  <si>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</si>
  <si>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</si>
  <si>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</si>
  <si>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</si>
  <si>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</si>
  <si>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</si>
  <si>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</si>
  <si>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</si>
  <si>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</si>
  <si>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</si>
  <si>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</si>
  <si>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</si>
  <si>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</si>
  <si>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</si>
  <si>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</si>
  <si>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</si>
  <si>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</si>
  <si>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</si>
  <si>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</si>
  <si>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</si>
  <si>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</si>
  <si>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</si>
  <si>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</si>
  <si>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</si>
  <si>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</si>
  <si>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</si>
  <si>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</si>
  <si>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</si>
  <si>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</si>
  <si>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</si>
  <si>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</si>
  <si>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</si>
  <si>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</si>
  <si>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</si>
  <si>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</si>
  <si>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</si>
  <si>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</si>
  <si>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</si>
  <si>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</si>
  <si>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</si>
  <si>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</si>
  <si>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</si>
  <si>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</si>
  <si>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</si>
  <si>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</si>
  <si>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</si>
  <si>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</si>
  <si>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</si>
  <si>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</si>
  <si>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</si>
  <si>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</si>
  <si>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</si>
  <si>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</si>
  <si>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</si>
  <si>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</si>
  <si>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</si>
  <si>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</si>
  <si>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</si>
  <si>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</si>
  <si>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</si>
  <si>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</si>
  <si>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</si>
  <si>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</si>
  <si>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</si>
  <si>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</si>
  <si>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</si>
  <si>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</si>
  <si>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</si>
  <si>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</si>
  <si>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</si>
  <si>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</si>
  <si>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</si>
  <si>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</si>
  <si>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</si>
  <si>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</si>
  <si>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</si>
  <si>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</si>
  <si>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</si>
  <si>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</si>
  <si>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</si>
  <si>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</si>
  <si>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</si>
  <si>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</si>
  <si>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</si>
  <si>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</si>
  <si>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</si>
  <si>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</si>
  <si>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</si>
  <si>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</si>
  <si>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</si>
  <si>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</si>
  <si>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</si>
  <si>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</si>
  <si>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</si>
  <si>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</si>
  <si>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</si>
  <si>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</si>
  <si>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</si>
  <si>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</si>
  <si>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</si>
  <si>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</si>
  <si>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</si>
  <si>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</si>
  <si>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</si>
  <si>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</si>
  <si>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</si>
  <si>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</si>
  <si>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</si>
  <si>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</si>
  <si>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</si>
  <si>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</si>
  <si>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</si>
  <si>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</si>
  <si>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</si>
  <si>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</si>
  <si>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</si>
  <si>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</si>
  <si>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</si>
  <si>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</si>
  <si>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</si>
  <si>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</si>
  <si>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</si>
  <si>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</si>
  <si>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</si>
  <si>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</si>
  <si>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</si>
  <si>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</si>
  <si>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</si>
  <si>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</si>
  <si>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</si>
  <si>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</si>
  <si>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</si>
  <si>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</si>
  <si>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</si>
  <si>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</si>
  <si>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</si>
  <si>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</si>
  <si>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</si>
  <si>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</si>
  <si>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</si>
  <si>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</si>
  <si>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</si>
  <si>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</si>
  <si>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</si>
  <si>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</si>
  <si>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</si>
  <si>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</si>
  <si>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</si>
  <si>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</si>
  <si>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</si>
  <si>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</si>
  <si>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</si>
  <si>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</si>
  <si>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</si>
  <si>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</si>
  <si>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</si>
  <si>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</si>
  <si>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</si>
  <si>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</si>
  <si>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</si>
  <si>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</si>
  <si>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</si>
  <si>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</si>
  <si>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</si>
  <si>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</si>
  <si>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</si>
  <si>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</si>
  <si>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</si>
  <si>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</si>
  <si>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</si>
  <si>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</si>
  <si>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</si>
  <si>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</si>
  <si>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</si>
  <si>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</si>
  <si>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</si>
  <si>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</si>
  <si>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</si>
  <si>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</si>
  <si>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</si>
  <si>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</si>
  <si>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</si>
  <si>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</si>
  <si>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</si>
  <si>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</si>
  <si>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</si>
  <si>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</si>
  <si>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</si>
  <si>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</si>
  <si>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</si>
  <si>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</si>
  <si>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</si>
  <si>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</si>
  <si>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</si>
  <si>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</si>
  <si>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</si>
  <si>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</si>
  <si>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</si>
  <si>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</si>
  <si>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</si>
  <si>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</si>
  <si>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</si>
  <si>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</si>
  <si>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</si>
  <si>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</si>
  <si>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</si>
  <si>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</si>
  <si>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</si>
  <si>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</si>
  <si>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</si>
  <si>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</si>
  <si>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</si>
  <si>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</si>
  <si>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</si>
  <si>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</si>
  <si>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</si>
  <si>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</si>
  <si>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</si>
  <si>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</si>
  <si>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</si>
  <si>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</si>
  <si>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</si>
  <si>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</si>
  <si>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</si>
  <si>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</si>
  <si>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</si>
  <si>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</si>
  <si>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</si>
  <si>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</si>
  <si>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</si>
  <si>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</si>
  <si>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</si>
  <si>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</si>
  <si>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</si>
  <si>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</si>
  <si>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</si>
  <si>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</si>
  <si>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</si>
  <si>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</si>
  <si>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</si>
  <si>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</si>
  <si>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</si>
  <si>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</si>
  <si>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</si>
  <si>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</si>
  <si>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</si>
  <si>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</si>
  <si>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</si>
  <si>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</si>
  <si>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</si>
  <si>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</si>
  <si>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</si>
  <si>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</si>
  <si>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</si>
  <si>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</si>
  <si>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</si>
  <si>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</si>
  <si>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</si>
  <si>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</si>
  <si>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</si>
  <si>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</si>
  <si>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</si>
  <si>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</si>
  <si>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</si>
  <si>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</si>
  <si>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</si>
  <si>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</si>
  <si>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</si>
  <si>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</si>
  <si>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</si>
  <si>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</si>
  <si>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</si>
  <si>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</si>
  <si>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</si>
  <si>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</si>
  <si>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</si>
  <si>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</si>
  <si>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</si>
  <si>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</si>
  <si>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</si>
  <si>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</si>
  <si>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</si>
  <si>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</si>
  <si>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</si>
  <si>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</si>
  <si>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</si>
  <si>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</si>
  <si>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</si>
  <si>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</si>
  <si>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</si>
  <si>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</si>
  <si>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</si>
  <si>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</si>
  <si>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</si>
  <si>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</si>
  <si>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</si>
  <si>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</si>
  <si>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</si>
  <si>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</si>
  <si>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</si>
  <si>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</si>
  <si>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</si>
  <si>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</si>
  <si>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</si>
  <si>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</si>
  <si>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</si>
  <si>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</si>
  <si>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</si>
  <si>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</si>
  <si>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</si>
  <si>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</si>
  <si>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</si>
  <si>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</si>
  <si>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</si>
  <si>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</si>
  <si>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</si>
  <si>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</si>
  <si>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</si>
  <si>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</si>
  <si>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</si>
  <si>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</si>
  <si>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</si>
  <si>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</si>
  <si>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</si>
  <si>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</si>
  <si>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</si>
  <si>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</si>
  <si>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</si>
  <si>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</si>
  <si>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</si>
  <si>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</si>
  <si>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</si>
  <si>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</si>
  <si>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</si>
  <si>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</si>
  <si>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</si>
  <si>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</si>
  <si>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</si>
  <si>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</si>
  <si>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</si>
  <si>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</si>
  <si>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</si>
  <si>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</si>
  <si>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</si>
  <si>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</si>
  <si>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</si>
  <si>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</si>
  <si>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</si>
  <si>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</si>
  <si>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</si>
  <si>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</si>
  <si>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</si>
  <si>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</si>
  <si>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</si>
  <si>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</si>
  <si>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</si>
  <si>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</si>
  <si>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</si>
  <si>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</si>
  <si>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</si>
  <si>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</si>
  <si>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</si>
  <si>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</si>
  <si>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</si>
  <si>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</si>
  <si>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</si>
  <si>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</si>
  <si>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</si>
  <si>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</si>
  <si>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</si>
  <si>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</si>
  <si>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</si>
  <si>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</si>
  <si>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</si>
  <si>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</si>
  <si>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</si>
  <si>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</si>
  <si>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</si>
  <si>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</si>
  <si>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</si>
  <si>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</si>
  <si>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</si>
  <si>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</si>
  <si>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</si>
  <si>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</si>
  <si>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</si>
  <si>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</si>
  <si>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</si>
  <si>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</si>
  <si>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</si>
  <si>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</si>
  <si>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</si>
  <si>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</si>
  <si>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</si>
  <si>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</si>
  <si>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</si>
  <si>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</si>
  <si>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</si>
  <si>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</si>
  <si>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</si>
  <si>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</si>
  <si>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</si>
  <si>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</si>
  <si>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</si>
  <si>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</si>
  <si>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</si>
  <si>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</si>
  <si>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</si>
  <si>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</si>
  <si>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</si>
  <si>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</si>
  <si>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</si>
  <si>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</si>
  <si>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</si>
  <si>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</si>
  <si>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</si>
  <si>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</si>
  <si>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</si>
  <si>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</si>
  <si>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</si>
  <si>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</si>
  <si>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</si>
  <si>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</si>
  <si>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</si>
  <si>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</si>
  <si>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</si>
  <si>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</si>
  <si>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</si>
  <si>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</si>
  <si>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</si>
  <si>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</si>
  <si>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</si>
  <si>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</si>
  <si>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</si>
  <si>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</si>
  <si>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</si>
  <si>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</si>
  <si>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</si>
  <si>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</si>
  <si>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</si>
  <si>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</si>
  <si>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</si>
  <si>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</si>
  <si>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</si>
  <si>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</si>
  <si>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</si>
  <si>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</si>
  <si>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</si>
  <si>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</si>
  <si>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</si>
  <si>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</si>
  <si>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</si>
  <si>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</si>
  <si>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</si>
  <si>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</si>
  <si>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</si>
  <si>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</si>
  <si>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</si>
  <si>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</si>
  <si>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</si>
  <si>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</si>
  <si>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</si>
  <si>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</si>
  <si>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</si>
  <si>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</si>
  <si>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</si>
  <si>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</si>
  <si>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</si>
  <si>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</si>
  <si>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</si>
  <si>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</si>
  <si>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</si>
  <si>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</si>
  <si>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</si>
  <si>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</si>
  <si>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</si>
  <si>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</si>
  <si>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</si>
  <si>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</si>
  <si>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</si>
  <si>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</si>
  <si>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</si>
  <si>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</si>
  <si>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</si>
  <si>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</si>
  <si>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</si>
  <si>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</si>
  <si>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</si>
  <si>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</si>
  <si>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</si>
  <si>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</si>
  <si>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</si>
  <si>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</si>
  <si>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</si>
  <si>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</si>
  <si>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</si>
  <si>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</si>
  <si>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</si>
  <si>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</si>
  <si>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</si>
  <si>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</si>
  <si>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</si>
  <si>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</si>
  <si>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</si>
  <si>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</si>
  <si>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</si>
  <si>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</si>
  <si>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</si>
  <si>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</si>
  <si>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</si>
  <si>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</si>
  <si>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</si>
  <si>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</si>
  <si>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</si>
  <si>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</si>
  <si>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</si>
  <si>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</si>
  <si>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</si>
  <si>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</si>
  <si>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</si>
  <si>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</si>
  <si>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</si>
  <si>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</si>
  <si>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</si>
  <si>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</si>
  <si>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</si>
  <si>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</si>
  <si>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</si>
  <si>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</si>
  <si>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</si>
  <si>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</si>
  <si>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</si>
  <si>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</si>
  <si>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</si>
  <si>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</si>
  <si>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</si>
  <si>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</si>
  <si>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</si>
  <si>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</si>
  <si>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</si>
  <si>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</si>
  <si>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</si>
  <si>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</si>
  <si>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</si>
  <si>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</si>
  <si>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</si>
  <si>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</si>
  <si>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</si>
  <si>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</si>
  <si>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</si>
  <si>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</si>
  <si>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</si>
  <si>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</si>
  <si>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</si>
  <si>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</si>
  <si>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</si>
  <si>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</si>
  <si>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</si>
  <si>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</si>
  <si>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</si>
  <si>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</si>
  <si>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</si>
  <si>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</si>
  <si>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</si>
  <si>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</si>
  <si>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</si>
  <si>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</si>
  <si>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</si>
  <si>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</si>
  <si>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</si>
  <si>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</si>
  <si>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</si>
  <si>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</si>
  <si>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</si>
  <si>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</si>
  <si>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</si>
  <si>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</si>
  <si>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</si>
  <si>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</si>
  <si>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</si>
  <si>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</si>
  <si>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</si>
  <si>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</si>
  <si>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</si>
  <si>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</si>
  <si>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</si>
  <si>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</si>
  <si>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</si>
  <si>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</si>
  <si>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</si>
  <si>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</si>
  <si>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</si>
  <si>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</si>
  <si>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</si>
  <si>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</si>
  <si>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</si>
  <si>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</si>
  <si>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</si>
  <si>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</si>
  <si>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</si>
  <si>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</si>
  <si>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</si>
  <si>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</si>
  <si>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</si>
  <si>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</si>
  <si>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</si>
  <si>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</si>
  <si>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</si>
  <si>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</si>
  <si>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</si>
  <si>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</si>
  <si>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</si>
  <si>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</si>
  <si>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</si>
  <si>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</si>
  <si>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</si>
  <si>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</si>
  <si>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</si>
  <si>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</si>
  <si>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</si>
  <si>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</si>
  <si>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</si>
  <si>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</si>
  <si>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</si>
  <si>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</si>
  <si>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</si>
  <si>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</si>
  <si>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</si>
  <si>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</si>
  <si>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</si>
  <si>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</si>
  <si>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</si>
  <si>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</si>
  <si>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</si>
  <si>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</si>
  <si>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</si>
  <si>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</si>
  <si>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</si>
  <si>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</si>
  <si>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</si>
  <si>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</si>
  <si>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</si>
  <si>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</si>
  <si>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</si>
  <si>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</si>
  <si>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</si>
  <si>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</si>
  <si>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</si>
  <si>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</si>
  <si>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</si>
  <si>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</si>
  <si>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</si>
  <si>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</si>
  <si>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</si>
  <si>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</si>
  <si>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</si>
  <si>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</si>
  <si>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</si>
  <si>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</si>
  <si>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</si>
  <si>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</si>
  <si>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</si>
  <si>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</si>
  <si>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</si>
  <si>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</si>
  <si>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</si>
  <si>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</si>
  <si>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</si>
  <si>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</si>
  <si>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</si>
  <si>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</si>
  <si>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</si>
  <si>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</si>
  <si>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</si>
  <si>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</si>
  <si>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</si>
  <si>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</si>
  <si>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</si>
  <si>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</si>
  <si>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</si>
  <si>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</si>
  <si>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</si>
  <si>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</si>
  <si>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</si>
  <si>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</si>
  <si>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</si>
  <si>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</si>
  <si>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</si>
  <si>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</si>
  <si>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</si>
  <si>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</si>
  <si>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</si>
  <si>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</si>
  <si>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</si>
  <si>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</si>
  <si>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</si>
  <si>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</si>
  <si>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</si>
  <si>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</si>
  <si>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</si>
  <si>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</si>
  <si>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</si>
  <si>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</si>
  <si>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</si>
  <si>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</si>
  <si>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</si>
  <si>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</si>
  <si>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</si>
  <si>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</si>
  <si>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</si>
  <si>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</si>
  <si>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</si>
  <si>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</si>
  <si>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</si>
  <si>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</si>
  <si>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吸顶空调3P</t>
  </si>
  <si>
    <t>吸顶空调5P</t>
  </si>
  <si>
    <t>性质</t>
  </si>
  <si>
    <t>民办</t>
  </si>
  <si>
    <t>公办</t>
  </si>
  <si>
    <t>委托管理费</t>
  </si>
  <si>
    <t>华漕镇教委</t>
    <phoneticPr fontId="1" type="noConversion"/>
  </si>
  <si>
    <t>上海市闵行区华漕镇季乐路幼儿园（季乐园、芳乐园）委托管理费</t>
    <phoneticPr fontId="1" type="noConversion"/>
  </si>
  <si>
    <t>2025年镇管单位学前教育教学项目预算表（学前科补充）</t>
    <phoneticPr fontId="1" type="noConversion"/>
  </si>
  <si>
    <t>2025年镇管单位科艺体德项目预算（普教一科第二批）</t>
  </si>
  <si>
    <t>预算单位</t>
  </si>
  <si>
    <t>公/民办</t>
  </si>
  <si>
    <t>青少年足球人才培养（市级）</t>
  </si>
  <si>
    <t>项目布局建设</t>
  </si>
  <si>
    <t>一贯制</t>
  </si>
  <si>
    <t>区域全国国防教育特色及示范校国防教育活动</t>
  </si>
  <si>
    <t>国防教育活动组织、环境创建等</t>
  </si>
  <si>
    <t>大思政课建设</t>
  </si>
  <si>
    <t>师资培训、专家指导、实践研学、展示辐射</t>
  </si>
  <si>
    <t>青少年足球人才培养（区级）</t>
  </si>
  <si>
    <t>上海市德育实训基地</t>
  </si>
  <si>
    <t>教师培训</t>
  </si>
  <si>
    <t>学校体育工作</t>
  </si>
  <si>
    <t>校园足球精英基地校建设</t>
  </si>
  <si>
    <t>上海市文来中学初中部</t>
  </si>
  <si>
    <t>上海市文来中学高中部</t>
  </si>
  <si>
    <t>高中</t>
  </si>
  <si>
    <t>艺术“一条龙”龙头学校</t>
  </si>
  <si>
    <t>项目布局建设、艺术团建设等</t>
  </si>
  <si>
    <t>体育“一条龙”龙头学校</t>
  </si>
  <si>
    <t>青少年足球人才培养（市区级）</t>
    <phoneticPr fontId="45" type="noConversion"/>
  </si>
  <si>
    <t>单位：元</t>
    <phoneticPr fontId="1" type="noConversion"/>
  </si>
  <si>
    <t>　　　　1、工伤保险费(0.2%-1.9%)</t>
  </si>
  <si>
    <t>　　其他支出对个人和家庭补助</t>
  </si>
  <si>
    <t>　　　　1、其他</t>
  </si>
  <si>
    <t>除罗阳小学3人及七宝二中1人的退休共享费外，其他学校填0</t>
  </si>
  <si>
    <t>机关局有编制的车辆数*32000元/25000元/年标准内填列（分园及分校预算在其他交通费中编制）</t>
  </si>
  <si>
    <t>　　(八)其他商品和服务支出</t>
  </si>
  <si>
    <t>　　　　1、离退休公用支出</t>
  </si>
  <si>
    <t>　　　　2、子女幼托费</t>
  </si>
  <si>
    <t>　　(九)其他交通费用</t>
  </si>
  <si>
    <t>填写2025年秋季在编教职工人数</t>
  </si>
  <si>
    <t>70</t>
  </si>
  <si>
    <t>71</t>
  </si>
  <si>
    <t>2025年基本支出调整预算表（莘庄镇）</t>
    <phoneticPr fontId="1" type="noConversion"/>
  </si>
  <si>
    <t>2025年基本支出调整预算表（吴泾镇）</t>
    <phoneticPr fontId="1" type="noConversion"/>
  </si>
  <si>
    <t>景东小学</t>
    <phoneticPr fontId="1" type="noConversion"/>
  </si>
  <si>
    <t>塘湾中心幼</t>
    <phoneticPr fontId="1" type="noConversion"/>
  </si>
  <si>
    <t>交大附属吴泾幼</t>
    <phoneticPr fontId="1" type="noConversion"/>
  </si>
  <si>
    <t>华师大附属永德幼</t>
    <phoneticPr fontId="1" type="noConversion"/>
  </si>
  <si>
    <t>吴泾社区校</t>
    <phoneticPr fontId="1" type="noConversion"/>
  </si>
  <si>
    <t>七宝二中</t>
  </si>
  <si>
    <t>七宝实验中学</t>
  </si>
  <si>
    <t>七宝三中</t>
  </si>
  <si>
    <t>明强小学</t>
  </si>
  <si>
    <t>黎明小学</t>
  </si>
  <si>
    <t>七宝实小</t>
  </si>
  <si>
    <t>航华二小</t>
  </si>
  <si>
    <t>明强二小</t>
  </si>
  <si>
    <t>中心幼</t>
  </si>
  <si>
    <t>星辰</t>
  </si>
  <si>
    <t>春欣</t>
  </si>
  <si>
    <t>七实幼</t>
  </si>
  <si>
    <t>航华二幼</t>
  </si>
  <si>
    <t>七宝社区</t>
  </si>
  <si>
    <t>皇都</t>
  </si>
  <si>
    <t>文来</t>
  </si>
  <si>
    <t>明强幼</t>
  </si>
  <si>
    <t>七宝幼</t>
  </si>
  <si>
    <t>宝盛</t>
  </si>
  <si>
    <t>世外浦江</t>
  </si>
  <si>
    <t>浦航实中</t>
  </si>
  <si>
    <t>浦汇小学</t>
    <phoneticPr fontId="2" type="noConversion"/>
  </si>
  <si>
    <t>福山实验</t>
    <phoneticPr fontId="2" type="noConversion"/>
  </si>
  <si>
    <t>浦江二幼</t>
  </si>
  <si>
    <t>浦江三幼</t>
  </si>
  <si>
    <t>宝邸幼儿园</t>
    <phoneticPr fontId="2" type="noConversion"/>
  </si>
  <si>
    <t>闸航路幼儿园</t>
    <phoneticPr fontId="2" type="noConversion"/>
  </si>
  <si>
    <t>瑞和城幼儿园</t>
    <phoneticPr fontId="2" type="noConversion"/>
  </si>
  <si>
    <t>浦瑞幼儿园</t>
    <phoneticPr fontId="2" type="noConversion"/>
  </si>
  <si>
    <t>浦航幼儿园</t>
  </si>
  <si>
    <t>浦莲幼儿园</t>
    <phoneticPr fontId="2" type="noConversion"/>
  </si>
  <si>
    <t>填写2025年秋季学期学生人数，以招办人数为准</t>
  </si>
  <si>
    <t>2025年基本支出调整预算表（七宝镇）</t>
    <phoneticPr fontId="1" type="noConversion"/>
  </si>
  <si>
    <t>2025年基本支出调整预算表（浦江镇）</t>
    <phoneticPr fontId="1" type="noConversion"/>
  </si>
  <si>
    <t>梅陇实验</t>
    <phoneticPr fontId="2" type="noConversion"/>
  </si>
  <si>
    <t>罗阳中学</t>
    <phoneticPr fontId="2" type="noConversion"/>
  </si>
  <si>
    <t>金都实验中学</t>
    <phoneticPr fontId="2" type="noConversion"/>
  </si>
  <si>
    <t>晶城中学</t>
    <phoneticPr fontId="2" type="noConversion"/>
  </si>
  <si>
    <t>三实验小学</t>
    <phoneticPr fontId="2" type="noConversion"/>
  </si>
  <si>
    <t>蔷薇小学</t>
    <phoneticPr fontId="2" type="noConversion"/>
  </si>
  <si>
    <t>春申景城幼</t>
    <phoneticPr fontId="2" type="noConversion"/>
  </si>
  <si>
    <t>河畔幼儿园</t>
    <phoneticPr fontId="2" type="noConversion"/>
  </si>
  <si>
    <t>晶华坊幼</t>
    <phoneticPr fontId="2" type="noConversion"/>
  </si>
  <si>
    <t>梅锦幼儿园</t>
    <phoneticPr fontId="2" type="noConversion"/>
  </si>
  <si>
    <t>永联幼儿园</t>
    <phoneticPr fontId="2" type="noConversion"/>
  </si>
  <si>
    <t>梅陇社校</t>
    <phoneticPr fontId="2" type="noConversion"/>
  </si>
  <si>
    <t>2025年基本支出调整预算表（华漕镇）</t>
    <phoneticPr fontId="2" type="noConversion"/>
  </si>
  <si>
    <t>注：2025.9颛桥镇幼儿园莘闵分园关闭，房屋和绿化面积按半年算</t>
  </si>
  <si>
    <t>2025年基本支出调整预算表（颛桥镇）</t>
    <phoneticPr fontId="1" type="noConversion"/>
  </si>
  <si>
    <t>龙柏一小</t>
  </si>
  <si>
    <t>华师虹幼</t>
  </si>
  <si>
    <t>成人</t>
    <phoneticPr fontId="1" type="noConversion"/>
  </si>
  <si>
    <t xml:space="preserve">        1、医疗保险费9%</t>
  </si>
  <si>
    <t xml:space="preserve">        2、其他医疗保险费4%</t>
  </si>
  <si>
    <t xml:space="preserve">       (1)其他保险2%(统筹)：住院、大病补助</t>
  </si>
  <si>
    <t xml:space="preserve">       (2)其他保险2%(单位)：购买职工保险</t>
  </si>
  <si>
    <t xml:space="preserve">    公积金7%</t>
  </si>
  <si>
    <t>2025年基本支出调整预算表（镇级汇总）</t>
    <phoneticPr fontId="1" type="noConversion"/>
  </si>
  <si>
    <t>单位：元</t>
    <phoneticPr fontId="1" type="noConversion"/>
  </si>
  <si>
    <t>年初数</t>
    <phoneticPr fontId="1" type="noConversion"/>
  </si>
  <si>
    <t>五次分配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</si>
  <si>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</si>
  <si>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</si>
  <si>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</si>
  <si>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初中</t>
    <phoneticPr fontId="1" type="noConversion"/>
  </si>
  <si>
    <t>小学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</si>
  <si>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</si>
  <si>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</si>
  <si>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</si>
  <si>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新产证</t>
    <phoneticPr fontId="2" type="noConversion"/>
  </si>
  <si>
    <t>浦江二中</t>
    <phoneticPr fontId="2" type="noConversion"/>
  </si>
  <si>
    <t>浦江三中</t>
    <phoneticPr fontId="2" type="noConversion"/>
  </si>
  <si>
    <t>上师附中学实验</t>
    <phoneticPr fontId="2" type="noConversion"/>
  </si>
  <si>
    <t>浦江二小</t>
    <phoneticPr fontId="2" type="noConversion"/>
  </si>
  <si>
    <t>浦江三小</t>
    <phoneticPr fontId="2" type="noConversion"/>
  </si>
  <si>
    <t>上戏附校</t>
    <phoneticPr fontId="2" type="noConversion"/>
  </si>
  <si>
    <t>小学</t>
    <phoneticPr fontId="1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</si>
  <si>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</si>
  <si>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</si>
  <si>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　　　　2、失业保险0.5%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</si>
  <si>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</si>
  <si>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</si>
  <si>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</si>
  <si>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</si>
  <si>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</si>
  <si>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</si>
  <si>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</si>
  <si>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</si>
  <si>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 xml:space="preserve">    其他工资福利</t>
    <phoneticPr fontId="2" type="noConversion"/>
  </si>
  <si>
    <t xml:space="preserve">    退休费</t>
    <phoneticPr fontId="2" type="noConversion"/>
  </si>
  <si>
    <t xml:space="preserve">        1、退休人员生活补贴</t>
    <phoneticPr fontId="2" type="noConversion"/>
  </si>
  <si>
    <t>　　　　1、其他</t>
    <phoneticPr fontId="2" type="noConversion"/>
  </si>
  <si>
    <t xml:space="preserve">       其中：培训费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</si>
  <si>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</si>
  <si>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</si>
  <si>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</si>
  <si>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</si>
  <si>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</si>
  <si>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　　(八)其他商品和服务支出</t>
    <phoneticPr fontId="2" type="noConversion"/>
  </si>
  <si>
    <t>　　　　1、离退休公用支出</t>
    <phoneticPr fontId="2" type="noConversion"/>
  </si>
  <si>
    <t>　　　　2、子女幼托费</t>
    <phoneticPr fontId="2" type="noConversion"/>
  </si>
  <si>
    <t>　　(九)其他交通费用</t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</si>
  <si>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</si>
  <si>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</si>
  <si>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</si>
  <si>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2025年基本支出调整预算表（梅陇镇）</t>
    <phoneticPr fontId="2" type="noConversion"/>
  </si>
  <si>
    <t>罗阳小学</t>
    <phoneticPr fontId="2" type="noConversion"/>
  </si>
  <si>
    <t>梅陇中心幼</t>
    <phoneticPr fontId="2" type="noConversion"/>
  </si>
  <si>
    <t>曹行中心幼</t>
    <phoneticPr fontId="2" type="noConversion"/>
  </si>
  <si>
    <t>金都幼儿园</t>
    <phoneticPr fontId="2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</si>
  <si>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</si>
  <si>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</si>
  <si>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根据社保口径按实编制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</si>
  <si>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</si>
  <si>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</si>
  <si>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</si>
  <si>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</si>
  <si>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</si>
  <si>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</si>
  <si>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</si>
  <si>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>根据相关口径按实编制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</si>
  <si>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</si>
  <si>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</si>
  <si>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</si>
  <si>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</si>
  <si>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</si>
  <si>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</si>
  <si>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</si>
  <si>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</si>
  <si>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</si>
  <si>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>主款项</t>
    <phoneticPr fontId="2" type="noConversion"/>
  </si>
  <si>
    <t>生均定额5%</t>
    <phoneticPr fontId="2" type="noConversion"/>
  </si>
  <si>
    <t>教职工人数*400元标准内按实填列</t>
    <phoneticPr fontId="2" type="noConversion"/>
  </si>
  <si>
    <t>房屋面积*15元标准内按实填列</t>
    <phoneticPr fontId="2" type="noConversion"/>
  </si>
  <si>
    <t>绿化面积*8元标准内按实填列</t>
    <phoneticPr fontId="2" type="noConversion"/>
  </si>
  <si>
    <t>教职工人数*4320元</t>
    <phoneticPr fontId="2" type="noConversion"/>
  </si>
  <si>
    <t>离退休人数*4320元</t>
    <phoneticPr fontId="2" type="noConversion"/>
  </si>
  <si>
    <t>根据工会口径按实编制</t>
    <phoneticPr fontId="2" type="noConversion"/>
  </si>
  <si>
    <t>机关局有编制的车辆数*32000元/25000元/年标准内填列（分园及分校预算在其他交通费中编制）</t>
    <phoneticPr fontId="2" type="noConversion"/>
  </si>
  <si>
    <t>离退休人数*400元/年标准内按实填列</t>
    <phoneticPr fontId="2" type="noConversion"/>
  </si>
  <si>
    <t>按人事口径实填列</t>
    <phoneticPr fontId="2" type="noConversion"/>
  </si>
  <si>
    <t xml:space="preserve">
机关局无编制车辆的学校按32000元编制预算
机关局有编制的车辆，每分校增加10000元，每个分园增加5000元标准内填列</t>
    <phoneticPr fontId="2" type="noConversion"/>
  </si>
  <si>
    <t>填写2025年秋季在编教职工人数</t>
    <phoneticPr fontId="2" type="noConversion"/>
  </si>
  <si>
    <t>填写2025年秋季学期学生人数，以招办人数为准</t>
    <phoneticPr fontId="2" type="noConversion"/>
  </si>
  <si>
    <t>2025年基本支出调整预算表（马桥镇）</t>
    <phoneticPr fontId="2" type="noConversion"/>
  </si>
  <si>
    <t>上海市马桥强恕学校</t>
    <phoneticPr fontId="2" type="noConversion"/>
  </si>
  <si>
    <t>上海交通大学附属闵行马桥实验学校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</si>
  <si>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</si>
  <si>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</si>
  <si>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</si>
  <si>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</si>
  <si>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</si>
  <si>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</si>
  <si>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闵行区马桥中心幼儿园</t>
    <phoneticPr fontId="2" type="noConversion"/>
  </si>
  <si>
    <t>上海市闵行区马桥元祥幼儿园</t>
    <phoneticPr fontId="2" type="noConversion"/>
  </si>
  <si>
    <t>上海市闵行区马桥富杰幼儿园</t>
    <phoneticPr fontId="2" type="noConversion"/>
  </si>
  <si>
    <t>马桥社区学校</t>
    <phoneticPr fontId="2" type="noConversion"/>
  </si>
  <si>
    <t>初中</t>
    <phoneticPr fontId="1" type="noConversion"/>
  </si>
  <si>
    <t>根据社保口径按实编制</t>
    <phoneticPr fontId="2" type="noConversion"/>
  </si>
  <si>
    <t>根据人保科数字编制</t>
    <phoneticPr fontId="2" type="noConversion"/>
  </si>
  <si>
    <t>根据相关口径按实编制</t>
    <phoneticPr fontId="2" type="noConversion"/>
  </si>
  <si>
    <t>根据人事口径按实编制</t>
    <phoneticPr fontId="2" type="noConversion"/>
  </si>
  <si>
    <t>年初预算为0</t>
    <phoneticPr fontId="2" type="noConversion"/>
  </si>
  <si>
    <t>房屋面积更正</t>
    <phoneticPr fontId="2" type="noConversion"/>
  </si>
  <si>
    <t>2025年基本支出调整预算表（虹桥镇）</t>
    <phoneticPr fontId="2" type="noConversion"/>
  </si>
  <si>
    <t>华师虹桥学校</t>
    <phoneticPr fontId="1" type="noConversion"/>
  </si>
  <si>
    <t>根据退休人员情况按实编制</t>
    <phoneticPr fontId="2" type="noConversion"/>
  </si>
  <si>
    <t>今年有新大楼，面积有变</t>
    <phoneticPr fontId="2" type="noConversion"/>
  </si>
  <si>
    <t>园部</t>
    <phoneticPr fontId="1" type="noConversion"/>
  </si>
  <si>
    <t>奖金</t>
    <phoneticPr fontId="1" type="noConversion"/>
  </si>
  <si>
    <t>社保公积金</t>
    <phoneticPr fontId="1" type="noConversion"/>
  </si>
  <si>
    <t>合计</t>
    <phoneticPr fontId="1" type="noConversion"/>
  </si>
  <si>
    <t>工资薪金福利</t>
    <phoneticPr fontId="1" type="noConversion"/>
  </si>
  <si>
    <t>其他（离职）</t>
    <phoneticPr fontId="1" type="noConversion"/>
  </si>
  <si>
    <t>华师虹桥幼儿园</t>
    <phoneticPr fontId="1" type="noConversion"/>
  </si>
  <si>
    <t>闵行区梅陇实验学校</t>
    <phoneticPr fontId="1" type="noConversion"/>
  </si>
  <si>
    <t>闵行区浦航实验中学</t>
    <phoneticPr fontId="1" type="noConversion"/>
  </si>
  <si>
    <t>七宝启英宝盛幼儿园</t>
    <phoneticPr fontId="1" type="noConversion"/>
  </si>
  <si>
    <t>2025年镇管单位补充公用经费预算表(调整预算）</t>
    <phoneticPr fontId="1" type="noConversion"/>
  </si>
  <si>
    <t>管理费
（2025年全年）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</si>
  <si>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</si>
  <si>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</si>
  <si>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现有辅助用工人数（2025年人保科提供）</t>
    <phoneticPr fontId="1" type="noConversion"/>
  </si>
  <si>
    <t>已安排资金</t>
    <phoneticPr fontId="1" type="noConversion"/>
  </si>
  <si>
    <t>课后延时
26年清算</t>
    <phoneticPr fontId="1" type="noConversion"/>
  </si>
  <si>
    <t>闵行区七宝幼儿园</t>
    <phoneticPr fontId="1" type="noConversion"/>
  </si>
  <si>
    <t>2025年残疾人就业保障预算调整表</t>
    <phoneticPr fontId="1" type="noConversion"/>
  </si>
  <si>
    <t>学段</t>
    <phoneticPr fontId="1" type="noConversion"/>
  </si>
  <si>
    <t>实际需求</t>
    <phoneticPr fontId="1" type="noConversion"/>
  </si>
  <si>
    <t>需调整预算</t>
    <phoneticPr fontId="1" type="noConversion"/>
  </si>
  <si>
    <t>上海市闵行区梅陇镇社区学校</t>
    <phoneticPr fontId="2" type="noConversion"/>
  </si>
  <si>
    <t>上海市闵行区马桥中心幼儿园</t>
    <phoneticPr fontId="2" type="noConversion"/>
  </si>
  <si>
    <t>上海市闵行区华漕学校</t>
    <phoneticPr fontId="1" type="noConversion"/>
  </si>
  <si>
    <t>上海市闵行区诸翟学校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</si>
  <si>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</si>
  <si>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</si>
  <si>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</si>
  <si>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</si>
  <si>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</si>
  <si>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</si>
  <si>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</si>
  <si>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</si>
  <si>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</si>
  <si>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上海市闵行区颛桥镇第二幼儿园</t>
    <phoneticPr fontId="2" type="noConversion"/>
  </si>
  <si>
    <t>上海市闵行区颛桥镇田园都市幼儿园</t>
    <phoneticPr fontId="2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</si>
  <si>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</si>
  <si>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</si>
  <si>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</si>
  <si>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</si>
  <si>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</si>
  <si>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已安排预算</t>
    <phoneticPr fontId="1" type="noConversion"/>
  </si>
  <si>
    <t>实际需求</t>
    <phoneticPr fontId="1" type="noConversion"/>
  </si>
  <si>
    <t>闵行区浦江闸航路幼儿园</t>
    <phoneticPr fontId="1" type="noConversion"/>
  </si>
  <si>
    <t>吴泾</t>
    <phoneticPr fontId="1" type="noConversion"/>
  </si>
  <si>
    <t>小学</t>
    <phoneticPr fontId="1" type="noConversion"/>
  </si>
  <si>
    <t>五次分配</t>
    <phoneticPr fontId="1" type="noConversion"/>
  </si>
  <si>
    <t>2025年镇级抚恤金调整预算表</t>
    <phoneticPr fontId="1" type="noConversion"/>
  </si>
  <si>
    <t>小计</t>
    <phoneticPr fontId="1" type="noConversion"/>
  </si>
  <si>
    <t>年初人数</t>
    <phoneticPr fontId="1" type="noConversion"/>
  </si>
  <si>
    <t>年初金额（3元/人）</t>
    <phoneticPr fontId="1" type="noConversion"/>
  </si>
  <si>
    <t>年末人数</t>
    <phoneticPr fontId="1" type="noConversion"/>
  </si>
  <si>
    <t>年末金额</t>
    <phoneticPr fontId="1" type="noConversion"/>
  </si>
  <si>
    <t>金额：元</t>
    <phoneticPr fontId="1" type="noConversion"/>
  </si>
  <si>
    <t>学前</t>
    <phoneticPr fontId="1" type="noConversion"/>
  </si>
  <si>
    <t>2025年金额（调整预算：按中位数测算，学校实际执行按人事部门规定标准执行，严禁超标准发放）</t>
    <phoneticPr fontId="1" type="noConversion"/>
  </si>
  <si>
    <t>合计</t>
    <phoneticPr fontId="1" type="noConversion"/>
  </si>
  <si>
    <t>2025年社区教育调整预算表</t>
    <phoneticPr fontId="1" type="noConversion"/>
  </si>
  <si>
    <t>单位：元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</si>
  <si>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</si>
  <si>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</si>
  <si>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2025年镇级单位维修尾款清算</t>
    <phoneticPr fontId="45" type="noConversion"/>
  </si>
  <si>
    <t>单位：元</t>
    <phoneticPr fontId="45" type="noConversion"/>
  </si>
  <si>
    <t>总投资
（财政批复金额）</t>
    <phoneticPr fontId="45" type="noConversion"/>
  </si>
  <si>
    <t>建安费
（财政批复金额）</t>
    <phoneticPr fontId="45" type="noConversion"/>
  </si>
  <si>
    <t>工程合同价</t>
    <phoneticPr fontId="45" type="noConversion"/>
  </si>
  <si>
    <t>工程合同价/审定价</t>
    <phoneticPr fontId="45" type="noConversion"/>
  </si>
  <si>
    <t>合计金额</t>
    <phoneticPr fontId="45" type="noConversion"/>
  </si>
  <si>
    <t>2025年华漕中心幼儿园暑期修缮</t>
  </si>
  <si>
    <t>审价未出，以合同价计算</t>
  </si>
  <si>
    <t>25年校舍维修</t>
  </si>
  <si>
    <t>华漕镇金色幼儿园（北沈园）</t>
  </si>
  <si>
    <t>2025年金色幼儿园（北沈园）暑期修缮项目</t>
  </si>
  <si>
    <t>上海闵行区华博小学（华漕校区）</t>
  </si>
  <si>
    <t>2025年华博小学暑期修缮项目</t>
  </si>
  <si>
    <t>2025年上虹中学暑期校舍维修项项目</t>
  </si>
  <si>
    <t>2025年闵行区龙柏第一小学暑期校舍维修项项目</t>
  </si>
  <si>
    <t>华东师范大学 附属闵行虹桥学校</t>
  </si>
  <si>
    <t>2025年华东师范大学附属闵行虹桥学校暑期校舍维修项项目</t>
  </si>
  <si>
    <t>2025年上海闵行区华虹小学暑期校舍维修项项目</t>
  </si>
  <si>
    <t>2025年闵行区虹桥中心小学暑期校舍维修项目</t>
  </si>
  <si>
    <t>闵行区虹桥中心幼儿园古北分园</t>
  </si>
  <si>
    <t>2025年闵行区虹桥中心幼儿园古北分园学校暑期校舍维修项目</t>
  </si>
  <si>
    <t>2025年龙柏二幼暑期校舍维修项目</t>
  </si>
  <si>
    <t>2025年虹鹿幼儿园井亭园暑期校舍维修项目</t>
  </si>
  <si>
    <t>2025年闵行区龙柏第一幼儿园（雨林分园）校舍维修工程</t>
  </si>
  <si>
    <t>华理梅陇实验学校（罗秀校区）</t>
  </si>
  <si>
    <t>2025年闵行区华理梅陇实验学校（罗秀校区）校舍维修</t>
  </si>
  <si>
    <t>华理梅陇实验学校（藤花校区）</t>
  </si>
  <si>
    <t>2025年闵行区华理梅陇实验学校（藤花校区）校舍维修</t>
  </si>
  <si>
    <t>2025年上海中医药大学附属闵行晶城中学校舍维修</t>
  </si>
  <si>
    <t>上海中医药大学附属蔷薇小学（晶城校区）</t>
  </si>
  <si>
    <t>2025年上海中医药大学附属蔷薇小学（晶城校区）校舍维修</t>
  </si>
  <si>
    <t>上海市闵行区春申景城幼儿园春城分园</t>
  </si>
  <si>
    <t>春申景城幼儿园春城分园校舍维修</t>
  </si>
  <si>
    <t>上海中医药大学附属蔷薇小学（蔷薇校区）</t>
  </si>
  <si>
    <t>蔷薇小学（蔷薇校区）校舍维修</t>
  </si>
  <si>
    <t>曹行中心幼儿园春申分园校舍维修</t>
  </si>
  <si>
    <t>闵行区第三实验小学（闵行区曹行小学）</t>
  </si>
  <si>
    <t>闵行区第三实验小学校舍维修</t>
  </si>
  <si>
    <t>罗阳小学校舍维修</t>
  </si>
  <si>
    <t>罗阳河畔幼儿园校舍维修</t>
  </si>
  <si>
    <t>晶华坊幼儿园校舍维修</t>
  </si>
  <si>
    <t>晶城中学</t>
  </si>
  <si>
    <t>教育统筹项目-屋顶应急校舍维修项目经费</t>
  </si>
  <si>
    <t>航华二幼（总园）</t>
  </si>
  <si>
    <t>2025年航华第二幼儿园（总园）校舍维修工程</t>
  </si>
  <si>
    <t>航华二幼（分园）</t>
  </si>
  <si>
    <t>2025年航华第二幼儿园（分园）校舍维修工程</t>
  </si>
  <si>
    <t>2025年航华中学校舍维修工程</t>
  </si>
  <si>
    <t>七宝明强小学（西校区）</t>
  </si>
  <si>
    <t>2025年七宝明强小学（西校区）场地维修工程</t>
  </si>
  <si>
    <t>七宝实验小学校</t>
  </si>
  <si>
    <t>2025年七宝实验小学校舍维修工程</t>
  </si>
  <si>
    <t>七宝实验中学校</t>
  </si>
  <si>
    <t>2025年七宝实验中学校舍维修工程</t>
  </si>
  <si>
    <t>七宝中心幼儿园（万泰园）</t>
  </si>
  <si>
    <t>2025年七宝中心幼儿园（万泰园）校舍维修工程</t>
  </si>
  <si>
    <t>2025年七宝幼儿园校舍维修工程</t>
  </si>
  <si>
    <t>明强小学（东校区）</t>
  </si>
  <si>
    <t>2025年七宝镇明强小学（东校区）场地维修工程</t>
  </si>
  <si>
    <t>2025年航华第二小学校舍维修工程</t>
  </si>
  <si>
    <t>2025年七宝实验小学（大上海校区）场地维修工程</t>
  </si>
  <si>
    <t>中谊路361号电气改造工程</t>
  </si>
  <si>
    <t>星辰幼儿园</t>
  </si>
  <si>
    <t>星辰幼儿园电气改造工程</t>
  </si>
  <si>
    <t>启英宝盛幼儿园茂盛分园</t>
  </si>
  <si>
    <t>2025年启英宝盛幼儿园茂盛分园校舍维修项目</t>
  </si>
  <si>
    <t>2025年上海市闵行区实验幼儿园群英分园校舍维修项目</t>
  </si>
  <si>
    <t>康城幼儿园(新梅分园)</t>
  </si>
  <si>
    <t>康城幼儿园(新梅分园)2025年暑期校舍维修项目</t>
  </si>
  <si>
    <t>2025年北桥中学专项维修工程</t>
  </si>
  <si>
    <t>2025年君莲幼儿园专项维修工程</t>
  </si>
  <si>
    <t>2025年田园二外小专项维修工程</t>
  </si>
  <si>
    <t>2025年颛桥中心小学专项维修工程</t>
  </si>
  <si>
    <t>2025年颛桥镇第一幼儿园(银桥分园)专项维修工程</t>
  </si>
  <si>
    <t>2025年颛桥镇幼儿园(繁盛分园)专项维修工程</t>
  </si>
  <si>
    <t>2025年颛桥镇幼儿园专项维修工程</t>
  </si>
  <si>
    <t>2025年颛桥中学专项维修工程</t>
  </si>
  <si>
    <t>2025年上师闵幼(翔泰分园)专项维修工程</t>
  </si>
  <si>
    <t>2025年田园外国语中学专项维修工程</t>
  </si>
  <si>
    <t>2025年君莲学校专项维修工程</t>
  </si>
  <si>
    <t>校舍修缮（台风应急项目）</t>
  </si>
  <si>
    <t>2025年马桥镇学校暑期校舍修缮工程</t>
  </si>
  <si>
    <t>上海闵行区
民办马桥小学</t>
  </si>
  <si>
    <t>上海市马桥
强恕学校</t>
  </si>
  <si>
    <t>2025年吴泾镇镇管学校校舍维修项目</t>
  </si>
  <si>
    <t>上海闵行区民办塘湾小学</t>
  </si>
  <si>
    <t>2025年塘湾小学校舍维修项目</t>
  </si>
  <si>
    <t>2025年塘湾小学电扩容项目</t>
  </si>
  <si>
    <t>浦江镇上戏附校校舍修缮工程</t>
  </si>
  <si>
    <t>浦江镇浦江三中、浦汇小学校舍修缮工程</t>
  </si>
  <si>
    <t>浦江镇浦航幼儿园等4所幼儿园8个园舍修缮工程</t>
  </si>
  <si>
    <t>上海市闵行区浦航幼儿园中城分园</t>
  </si>
  <si>
    <t>上海市闵行区浦江瑞和城幼儿园鲁康分园</t>
  </si>
  <si>
    <t>已下达
预算金额</t>
    <phoneticPr fontId="45" type="noConversion"/>
  </si>
  <si>
    <t>本次
清算金额</t>
    <phoneticPr fontId="45" type="noConversion"/>
  </si>
  <si>
    <t>华漕镇小计</t>
    <phoneticPr fontId="45" type="noConversion"/>
  </si>
  <si>
    <t>虹桥镇小计</t>
    <phoneticPr fontId="45" type="noConversion"/>
  </si>
  <si>
    <t>梅陇镇小计</t>
    <phoneticPr fontId="45" type="noConversion"/>
  </si>
  <si>
    <t>七宝镇小计</t>
    <phoneticPr fontId="45" type="noConversion"/>
  </si>
  <si>
    <t>莘庄镇小计</t>
    <phoneticPr fontId="45" type="noConversion"/>
  </si>
  <si>
    <t>颛桥镇小计</t>
    <phoneticPr fontId="45" type="noConversion"/>
  </si>
  <si>
    <t>马桥镇小计</t>
    <phoneticPr fontId="45" type="noConversion"/>
  </si>
  <si>
    <t>吴泾镇小计</t>
    <phoneticPr fontId="45" type="noConversion"/>
  </si>
  <si>
    <t>浦江镇小计</t>
    <phoneticPr fontId="45" type="noConversion"/>
  </si>
  <si>
    <t>镇级总计</t>
    <phoneticPr fontId="45" type="noConversion"/>
  </si>
  <si>
    <t>社区学校：49*22400</t>
    <phoneticPr fontId="1" type="noConversion"/>
  </si>
  <si>
    <t>社区学校：51670</t>
    <phoneticPr fontId="1" type="noConversion"/>
  </si>
  <si>
    <t>公/民办</t>
    <phoneticPr fontId="1" type="noConversion"/>
  </si>
  <si>
    <t>承担区域培训工作</t>
  </si>
  <si>
    <t>承担区域培训产生的相关费用</t>
  </si>
  <si>
    <t>方便</t>
    <phoneticPr fontId="1" type="noConversion"/>
  </si>
  <si>
    <t>2025年镇级单位调整预算表（普教二科第二批）</t>
    <phoneticPr fontId="1" type="noConversion"/>
  </si>
  <si>
    <t>小计</t>
    <phoneticPr fontId="1" type="noConversion"/>
  </si>
  <si>
    <t>其中教育事业费</t>
    <phoneticPr fontId="1" type="noConversion"/>
  </si>
  <si>
    <t>应安排尾款</t>
    <phoneticPr fontId="1" type="noConversion"/>
  </si>
  <si>
    <t>其中本年资金</t>
    <phoneticPr fontId="1" type="noConversion"/>
  </si>
  <si>
    <t>小计</t>
    <phoneticPr fontId="1" type="noConversion"/>
  </si>
  <si>
    <t>五次分配</t>
    <phoneticPr fontId="1" type="noConversion"/>
  </si>
  <si>
    <t>2025年镇级学校储备教师预算（调整预算）</t>
    <phoneticPr fontId="1" type="noConversion"/>
  </si>
  <si>
    <t>序号</t>
    <phoneticPr fontId="1" type="noConversion"/>
  </si>
  <si>
    <t>姓名</t>
    <phoneticPr fontId="1" type="noConversion"/>
  </si>
  <si>
    <t>学段</t>
    <phoneticPr fontId="1" type="noConversion"/>
  </si>
  <si>
    <t>单位名</t>
    <phoneticPr fontId="1" type="noConversion"/>
  </si>
  <si>
    <t>所在镇</t>
    <phoneticPr fontId="1" type="noConversion"/>
  </si>
  <si>
    <t>身份证号</t>
    <phoneticPr fontId="1" type="noConversion"/>
  </si>
  <si>
    <t>储备状态</t>
    <phoneticPr fontId="1" type="noConversion"/>
  </si>
  <si>
    <t>预算金额</t>
    <phoneticPr fontId="1" type="noConversion"/>
  </si>
  <si>
    <t xml:space="preserve">一次分配
</t>
    <phoneticPr fontId="1" type="noConversion"/>
  </si>
  <si>
    <t>尾款小计</t>
    <phoneticPr fontId="1" type="noConversion"/>
  </si>
  <si>
    <t>其中：统筹承担
（统筹第五次分配）</t>
    <phoneticPr fontId="1" type="noConversion"/>
  </si>
  <si>
    <t>其中：二次分配</t>
    <phoneticPr fontId="1" type="noConversion"/>
  </si>
  <si>
    <t>陈吴若雁</t>
    <phoneticPr fontId="1" type="noConversion"/>
  </si>
  <si>
    <t>310228199802182020</t>
  </si>
  <si>
    <t>原储备教师</t>
    <phoneticPr fontId="1" type="noConversion"/>
  </si>
  <si>
    <t>姚俊杰</t>
    <phoneticPr fontId="1" type="noConversion"/>
  </si>
  <si>
    <t>310112199905043916</t>
  </si>
  <si>
    <t>2025年新入职</t>
    <phoneticPr fontId="1" type="noConversion"/>
  </si>
  <si>
    <t>乔雯婷</t>
    <phoneticPr fontId="1" type="noConversion"/>
  </si>
  <si>
    <t>310112199811133320</t>
  </si>
  <si>
    <t>江昊诚</t>
    <phoneticPr fontId="1" type="noConversion"/>
  </si>
  <si>
    <t>31010420001228403X</t>
  </si>
  <si>
    <t>丁欣怡</t>
    <phoneticPr fontId="1" type="noConversion"/>
  </si>
  <si>
    <t>31022620021226052X</t>
  </si>
  <si>
    <t>吴逸轩</t>
    <phoneticPr fontId="1" type="noConversion"/>
  </si>
  <si>
    <t>31011220030529782X</t>
  </si>
  <si>
    <t>曹罡</t>
  </si>
  <si>
    <t>310228199805280013</t>
  </si>
  <si>
    <t>朱奕捷</t>
  </si>
  <si>
    <t>310226200011050032</t>
  </si>
  <si>
    <t>余青</t>
  </si>
  <si>
    <t>142631199611060020</t>
  </si>
  <si>
    <t>程天宁</t>
  </si>
  <si>
    <t>310119200307120424</t>
  </si>
  <si>
    <t>宋贝宁</t>
  </si>
  <si>
    <t>310120200308150022</t>
  </si>
  <si>
    <t>王思婷</t>
  </si>
  <si>
    <t>310118200206164026</t>
  </si>
  <si>
    <t>凌宇欣</t>
  </si>
  <si>
    <t>310112200209112725</t>
  </si>
  <si>
    <t>乔逸群</t>
  </si>
  <si>
    <t>310112200211180022</t>
  </si>
  <si>
    <t>陆重言</t>
  </si>
  <si>
    <t>36250220011118021X</t>
  </si>
  <si>
    <t>吴依佳</t>
  </si>
  <si>
    <t>310112200208067221</t>
  </si>
  <si>
    <t>冯逸龙</t>
  </si>
  <si>
    <t>310107200003172510</t>
  </si>
  <si>
    <t>干露泽</t>
  </si>
  <si>
    <t>310112200002080025</t>
  </si>
  <si>
    <t>沈龙宇</t>
  </si>
  <si>
    <t>330421200008110105</t>
  </si>
  <si>
    <t>崔婷婷</t>
  </si>
  <si>
    <t>330781200012305928</t>
  </si>
  <si>
    <t>唐宇翱</t>
  </si>
  <si>
    <t>31022620021006391X</t>
  </si>
  <si>
    <t>陈翠翠</t>
  </si>
  <si>
    <t>411525199905044220</t>
  </si>
  <si>
    <t>陈至惟</t>
  </si>
  <si>
    <t>310108199907050525</t>
  </si>
  <si>
    <t>陈子涵</t>
  </si>
  <si>
    <t>321321199808112422</t>
  </si>
  <si>
    <t>朱心宜</t>
  </si>
  <si>
    <t>310117200304092824</t>
  </si>
  <si>
    <t>尹卓</t>
  </si>
  <si>
    <t>310105200110093217</t>
  </si>
  <si>
    <t>刘琪</t>
  </si>
  <si>
    <t>230182199802175843</t>
  </si>
  <si>
    <t>徐静</t>
  </si>
  <si>
    <t>340311199702240821</t>
  </si>
  <si>
    <t>倪佳俊</t>
  </si>
  <si>
    <t>310230200111225156</t>
  </si>
  <si>
    <t>杨馨月</t>
  </si>
  <si>
    <t>310112200301112445</t>
  </si>
  <si>
    <t>周焱</t>
  </si>
  <si>
    <t>421123199409014820</t>
  </si>
  <si>
    <t>洪秋逸</t>
  </si>
  <si>
    <t>310112200010263323</t>
  </si>
  <si>
    <t>王凤</t>
  </si>
  <si>
    <t>511623199808138002</t>
  </si>
  <si>
    <t>俞婷婷</t>
  </si>
  <si>
    <t>433127199905066223</t>
  </si>
  <si>
    <t>徐嘉怡</t>
  </si>
  <si>
    <t>310120200304171627</t>
  </si>
  <si>
    <t>於静茹</t>
  </si>
  <si>
    <t>341203199911111220</t>
  </si>
  <si>
    <t>孙源悦</t>
  </si>
  <si>
    <t>23102419980730006X</t>
  </si>
  <si>
    <t>庄昳文</t>
  </si>
  <si>
    <t>310226200110110029</t>
  </si>
  <si>
    <t>2025年上半年储备</t>
    <phoneticPr fontId="1" type="noConversion"/>
  </si>
  <si>
    <t>倪杨清</t>
    <phoneticPr fontId="1" type="noConversion"/>
  </si>
  <si>
    <t>310226200006062629</t>
  </si>
  <si>
    <t>钱蓉</t>
    <phoneticPr fontId="1" type="noConversion"/>
  </si>
  <si>
    <t>310103200010294027</t>
  </si>
  <si>
    <t>徐欣怡</t>
    <phoneticPr fontId="1" type="noConversion"/>
  </si>
  <si>
    <t>310226200205103526</t>
  </si>
  <si>
    <t>张昕</t>
    <phoneticPr fontId="1" type="noConversion"/>
  </si>
  <si>
    <t>340825200101192909</t>
  </si>
  <si>
    <t>钱乐颖</t>
    <phoneticPr fontId="1" type="noConversion"/>
  </si>
  <si>
    <t>310112200006065228</t>
  </si>
  <si>
    <t>朱欣婷</t>
    <phoneticPr fontId="1" type="noConversion"/>
  </si>
  <si>
    <t>310116200301010022</t>
  </si>
  <si>
    <t>蒋褚芸</t>
  </si>
  <si>
    <t>310112200012075625</t>
  </si>
  <si>
    <t>王佳玲</t>
  </si>
  <si>
    <t>310112200206053045</t>
  </si>
  <si>
    <t>赵中一</t>
  </si>
  <si>
    <t>310112200101143917</t>
  </si>
  <si>
    <t>黄宇雯</t>
  </si>
  <si>
    <t>310230200112063128</t>
  </si>
  <si>
    <t>周欣怡</t>
    <phoneticPr fontId="1" type="noConversion"/>
  </si>
  <si>
    <t>310227199601111625</t>
  </si>
  <si>
    <t>丁鹏麟</t>
    <phoneticPr fontId="1" type="noConversion"/>
  </si>
  <si>
    <t>310112200009065629</t>
  </si>
  <si>
    <t>孔唯</t>
    <phoneticPr fontId="1" type="noConversion"/>
  </si>
  <si>
    <t>31011220010816522X</t>
  </si>
  <si>
    <t>黄思语</t>
  </si>
  <si>
    <t>310116200109161023</t>
  </si>
  <si>
    <t>潘云昊</t>
  </si>
  <si>
    <t>341881200201041536</t>
  </si>
  <si>
    <t>孙颖</t>
  </si>
  <si>
    <t>340621199610204048</t>
  </si>
  <si>
    <t>周家祺</t>
  </si>
  <si>
    <t>330483199909106035</t>
  </si>
  <si>
    <t>梁彧远</t>
  </si>
  <si>
    <t>31022620020604031X</t>
  </si>
  <si>
    <t>李博文</t>
  </si>
  <si>
    <t>330501200210196256</t>
  </si>
  <si>
    <t>马诗音</t>
  </si>
  <si>
    <t>341203200001143421</t>
  </si>
  <si>
    <t>刘朱航</t>
  </si>
  <si>
    <t>310226199907120333</t>
  </si>
  <si>
    <t>胡萍萍</t>
  </si>
  <si>
    <t>340824199512030048</t>
  </si>
  <si>
    <t>李琳</t>
  </si>
  <si>
    <t>310112199611257521</t>
  </si>
  <si>
    <t>夏佳妮</t>
    <phoneticPr fontId="1" type="noConversion"/>
  </si>
  <si>
    <t>37072420010714002X</t>
  </si>
  <si>
    <t>陆颖倩</t>
    <phoneticPr fontId="1" type="noConversion"/>
  </si>
  <si>
    <t>310230199909254161</t>
  </si>
  <si>
    <t>宋子祎</t>
    <phoneticPr fontId="1" type="noConversion"/>
  </si>
  <si>
    <t>31011219991219566X</t>
  </si>
  <si>
    <t>徐瀛</t>
    <phoneticPr fontId="1" type="noConversion"/>
  </si>
  <si>
    <t>310104200208010049</t>
  </si>
  <si>
    <t>张昱</t>
  </si>
  <si>
    <t>310227199905284824</t>
  </si>
  <si>
    <t>俞婷</t>
  </si>
  <si>
    <t>310227199608121623</t>
  </si>
  <si>
    <t>肖湘漪</t>
  </si>
  <si>
    <t>310117200005080620</t>
  </si>
  <si>
    <t>顾逸成</t>
  </si>
  <si>
    <t>310106200103280838</t>
  </si>
  <si>
    <t>朱立</t>
  </si>
  <si>
    <t>310104199607296835</t>
  </si>
  <si>
    <t>马颖菲</t>
  </si>
  <si>
    <t>310115200010282988</t>
  </si>
  <si>
    <t>童音</t>
  </si>
  <si>
    <t>342623200101173044</t>
  </si>
  <si>
    <t>杨张婳</t>
  </si>
  <si>
    <t>310112200105236926</t>
  </si>
  <si>
    <t>杨磊</t>
  </si>
  <si>
    <t>330421199910090828</t>
  </si>
  <si>
    <t>杨婧</t>
  </si>
  <si>
    <t>632802199506200525</t>
  </si>
  <si>
    <t>杨康有</t>
  </si>
  <si>
    <t>31022619990116161X</t>
  </si>
  <si>
    <t>李子恒</t>
  </si>
  <si>
    <t>341282199507015515</t>
  </si>
  <si>
    <t>马嘉怡</t>
  </si>
  <si>
    <t>370681199512092224</t>
  </si>
  <si>
    <t>曹贺然</t>
  </si>
  <si>
    <t>230124199709080715</t>
  </si>
  <si>
    <t>潘陈慧</t>
  </si>
  <si>
    <t>310112200306121869</t>
  </si>
  <si>
    <t>陈一豪</t>
  </si>
  <si>
    <t>31011219950719521X</t>
  </si>
  <si>
    <t>钟毓</t>
  </si>
  <si>
    <t>310119200112163811</t>
  </si>
  <si>
    <t>张益莜</t>
  </si>
  <si>
    <t>310104200203284841</t>
  </si>
  <si>
    <t>黄雅菊</t>
  </si>
  <si>
    <t>350525200008246226</t>
  </si>
  <si>
    <t>方艳</t>
  </si>
  <si>
    <t>422823199803220648</t>
  </si>
  <si>
    <t>杨得意</t>
  </si>
  <si>
    <t>310105200112101620</t>
  </si>
  <si>
    <t>梁艳飞</t>
  </si>
  <si>
    <t>410882199802278545</t>
  </si>
  <si>
    <t>刘倩</t>
  </si>
  <si>
    <t>321323199805042521</t>
  </si>
  <si>
    <t>倪鸿悦</t>
  </si>
  <si>
    <t>31010120021022272X</t>
  </si>
  <si>
    <t>刘骏维</t>
  </si>
  <si>
    <t>310112200210221830</t>
  </si>
  <si>
    <t>金正贤</t>
  </si>
  <si>
    <t>310229200111010811</t>
  </si>
  <si>
    <t>郭梦雅</t>
  </si>
  <si>
    <t>341222199802116822</t>
  </si>
  <si>
    <t>江汝汶</t>
  </si>
  <si>
    <t>321281200204047451</t>
  </si>
  <si>
    <t>陈璎琦</t>
  </si>
  <si>
    <t>310120200305174926</t>
  </si>
  <si>
    <t>魏楚澜</t>
  </si>
  <si>
    <t>230107200108070422</t>
  </si>
  <si>
    <t>潘奕晗</t>
  </si>
  <si>
    <t>32120220000610152X</t>
  </si>
  <si>
    <t>姜军</t>
  </si>
  <si>
    <t>342422199507284550</t>
  </si>
  <si>
    <t>王可</t>
  </si>
  <si>
    <t>430225200111090024</t>
  </si>
  <si>
    <t>何昕橦</t>
  </si>
  <si>
    <t>310101200212294225</t>
  </si>
  <si>
    <t>杨涛</t>
  </si>
  <si>
    <t>622725199805080612</t>
  </si>
  <si>
    <t>揭美俊</t>
  </si>
  <si>
    <t>362322199906300026</t>
  </si>
  <si>
    <t>李艺铭</t>
  </si>
  <si>
    <t>330322199810251226</t>
  </si>
  <si>
    <t>刘晓妍</t>
  </si>
  <si>
    <t>410522199910230028</t>
  </si>
  <si>
    <t>王思冲</t>
  </si>
  <si>
    <t>310103200103245013</t>
  </si>
  <si>
    <t>潘忆珏</t>
  </si>
  <si>
    <t>310109200103041529</t>
  </si>
  <si>
    <t>陈李杰</t>
  </si>
  <si>
    <t>310103199810126018</t>
  </si>
  <si>
    <t>晋慧慧</t>
  </si>
  <si>
    <t>412726199508230861</t>
  </si>
  <si>
    <t>李梁昕</t>
    <phoneticPr fontId="1" type="noConversion"/>
  </si>
  <si>
    <t>310226199906070020</t>
  </si>
  <si>
    <t>沈臻</t>
    <phoneticPr fontId="1" type="noConversion"/>
  </si>
  <si>
    <t>310226200301210313</t>
  </si>
  <si>
    <t>杨沁依</t>
    <phoneticPr fontId="1" type="noConversion"/>
  </si>
  <si>
    <t>310112200305203029</t>
  </si>
  <si>
    <t>吴慧琛</t>
    <phoneticPr fontId="1" type="noConversion"/>
  </si>
  <si>
    <t>31010219941213442X</t>
  </si>
  <si>
    <t>凌怡</t>
    <phoneticPr fontId="1" type="noConversion"/>
  </si>
  <si>
    <t>310112199607192745</t>
  </si>
  <si>
    <t>郑园园</t>
    <phoneticPr fontId="1" type="noConversion"/>
  </si>
  <si>
    <t>411081199605080864</t>
  </si>
  <si>
    <t>韦佳</t>
    <phoneticPr fontId="1" type="noConversion"/>
  </si>
  <si>
    <t>342522200010245426</t>
  </si>
  <si>
    <t>方言</t>
    <phoneticPr fontId="1" type="noConversion"/>
  </si>
  <si>
    <t>310226200208290048</t>
  </si>
  <si>
    <t>盛宵芸</t>
    <phoneticPr fontId="1" type="noConversion"/>
  </si>
  <si>
    <t>310112200210252127</t>
  </si>
  <si>
    <t>姜珊</t>
    <phoneticPr fontId="1" type="noConversion"/>
  </si>
  <si>
    <t>433127200106235823</t>
  </si>
  <si>
    <t>朱翊翔</t>
    <phoneticPr fontId="1" type="noConversion"/>
  </si>
  <si>
    <t>32108420030330321X</t>
  </si>
  <si>
    <t>束辰灵</t>
    <phoneticPr fontId="1" type="noConversion"/>
  </si>
  <si>
    <t>310115200012272724</t>
  </si>
  <si>
    <t>施佳仪</t>
    <phoneticPr fontId="1" type="noConversion"/>
  </si>
  <si>
    <t>330227200206175265</t>
  </si>
  <si>
    <t>季宋意</t>
    <phoneticPr fontId="1" type="noConversion"/>
  </si>
  <si>
    <t>310230200110113523</t>
  </si>
  <si>
    <t>江一凡</t>
    <phoneticPr fontId="1" type="noConversion"/>
  </si>
  <si>
    <t>342422199810190848</t>
  </si>
  <si>
    <t>张樱蓝</t>
    <phoneticPr fontId="1" type="noConversion"/>
  </si>
  <si>
    <t>310112200209103626</t>
  </si>
  <si>
    <t>宋吉萍</t>
    <phoneticPr fontId="1" type="noConversion"/>
  </si>
  <si>
    <t>310112200101043043</t>
  </si>
  <si>
    <t>徐佳青</t>
    <phoneticPr fontId="1" type="noConversion"/>
  </si>
  <si>
    <t>310112199606024926</t>
  </si>
  <si>
    <t>钱雨欣</t>
    <phoneticPr fontId="1" type="noConversion"/>
  </si>
  <si>
    <t>310116200011100425</t>
  </si>
  <si>
    <t>谢唐叶</t>
    <phoneticPr fontId="1" type="noConversion"/>
  </si>
  <si>
    <t>310226200201040062</t>
  </si>
  <si>
    <t>姚佳妮</t>
    <phoneticPr fontId="1" type="noConversion"/>
  </si>
  <si>
    <t>310116200003056428</t>
  </si>
  <si>
    <t>朱诗怡</t>
    <phoneticPr fontId="1" type="noConversion"/>
  </si>
  <si>
    <t>310225200001090026</t>
  </si>
  <si>
    <t>周思奕</t>
    <phoneticPr fontId="1" type="noConversion"/>
  </si>
  <si>
    <t>310116200307220020</t>
  </si>
  <si>
    <t>蔡玚</t>
    <phoneticPr fontId="1" type="noConversion"/>
  </si>
  <si>
    <t>310225200211126621</t>
  </si>
  <si>
    <t>金珈骐</t>
    <phoneticPr fontId="1" type="noConversion"/>
  </si>
  <si>
    <t>31011720020209022X</t>
  </si>
  <si>
    <t>王钰灵</t>
    <phoneticPr fontId="1" type="noConversion"/>
  </si>
  <si>
    <t>32068120030709522X</t>
  </si>
  <si>
    <t>邱澜尔</t>
    <phoneticPr fontId="1" type="noConversion"/>
  </si>
  <si>
    <t>310112200308214348</t>
  </si>
  <si>
    <t>金雯倩</t>
    <phoneticPr fontId="1" type="noConversion"/>
  </si>
  <si>
    <t>310112199704164922</t>
  </si>
  <si>
    <t>陆思源</t>
    <phoneticPr fontId="1" type="noConversion"/>
  </si>
  <si>
    <t>310104200210273622</t>
  </si>
  <si>
    <t>翁苗苗</t>
    <phoneticPr fontId="1" type="noConversion"/>
  </si>
  <si>
    <t>310226200107231129</t>
  </si>
  <si>
    <t>施嘉</t>
    <phoneticPr fontId="1" type="noConversion"/>
  </si>
  <si>
    <t>320684200110254927</t>
  </si>
  <si>
    <t>汤炜兰</t>
    <phoneticPr fontId="1" type="noConversion"/>
  </si>
  <si>
    <t>310115199801113843</t>
  </si>
  <si>
    <t>郁佳雯</t>
    <phoneticPr fontId="1" type="noConversion"/>
  </si>
  <si>
    <t>310112200201034320</t>
  </si>
  <si>
    <t>谢雯君</t>
    <phoneticPr fontId="1" type="noConversion"/>
  </si>
  <si>
    <t>310225199410213220</t>
  </si>
  <si>
    <t>胡昕</t>
    <phoneticPr fontId="1" type="noConversion"/>
  </si>
  <si>
    <t>341021200307179760</t>
  </si>
  <si>
    <t>陈春燕</t>
    <phoneticPr fontId="1" type="noConversion"/>
  </si>
  <si>
    <t>310112199703174328</t>
  </si>
  <si>
    <t>朱清怡</t>
    <phoneticPr fontId="1" type="noConversion"/>
  </si>
  <si>
    <t>310112199610255647</t>
  </si>
  <si>
    <t>徐昕</t>
    <phoneticPr fontId="1" type="noConversion"/>
  </si>
  <si>
    <t>310112200304104627</t>
  </si>
  <si>
    <t>姜思琪</t>
    <phoneticPr fontId="1" type="noConversion"/>
  </si>
  <si>
    <t>652923200208130027</t>
  </si>
  <si>
    <t>姜志会</t>
    <phoneticPr fontId="1" type="noConversion"/>
  </si>
  <si>
    <t>371427199503272823</t>
  </si>
  <si>
    <t>沈致远</t>
    <phoneticPr fontId="1" type="noConversion"/>
  </si>
  <si>
    <t>310115200209233817</t>
  </si>
  <si>
    <t>吴琰</t>
    <phoneticPr fontId="1" type="noConversion"/>
  </si>
  <si>
    <t>310110200308301545</t>
  </si>
  <si>
    <t>朱顺依</t>
    <phoneticPr fontId="1" type="noConversion"/>
  </si>
  <si>
    <t>310229199901113027</t>
  </si>
  <si>
    <t>凌秀清</t>
    <phoneticPr fontId="1" type="noConversion"/>
  </si>
  <si>
    <t>310112199801023320</t>
  </si>
  <si>
    <t>钱安婷</t>
    <phoneticPr fontId="1" type="noConversion"/>
  </si>
  <si>
    <t>310112200104124623</t>
  </si>
  <si>
    <t>黎乐妍</t>
    <phoneticPr fontId="1" type="noConversion"/>
  </si>
  <si>
    <t>310116200104252225</t>
  </si>
  <si>
    <t>徐瑾心</t>
    <phoneticPr fontId="1" type="noConversion"/>
  </si>
  <si>
    <t>310117200307044027</t>
  </si>
  <si>
    <t>奚蕾</t>
    <phoneticPr fontId="1" type="noConversion"/>
  </si>
  <si>
    <t>310112200201134620</t>
  </si>
  <si>
    <t>施赟</t>
    <phoneticPr fontId="1" type="noConversion"/>
  </si>
  <si>
    <t>310112200010283025</t>
  </si>
  <si>
    <t>庄佳芸</t>
    <phoneticPr fontId="1" type="noConversion"/>
  </si>
  <si>
    <t>310120200212115724</t>
  </si>
  <si>
    <t>倪盈颖</t>
    <phoneticPr fontId="1" type="noConversion"/>
  </si>
  <si>
    <t>310112200107194926</t>
  </si>
  <si>
    <t>胡悦</t>
    <phoneticPr fontId="1" type="noConversion"/>
  </si>
  <si>
    <t>310226199604100562</t>
  </si>
  <si>
    <t>赵汪宸</t>
    <phoneticPr fontId="1" type="noConversion"/>
  </si>
  <si>
    <t>310225200208066621</t>
  </si>
  <si>
    <t>孙泽溪</t>
    <phoneticPr fontId="1" type="noConversion"/>
  </si>
  <si>
    <t>610404200003100523</t>
  </si>
  <si>
    <t>乔嘉怡</t>
  </si>
  <si>
    <t>310112200104183324</t>
  </si>
  <si>
    <t>蒲崇静</t>
  </si>
  <si>
    <t>510502199603015721</t>
  </si>
  <si>
    <t>常笑</t>
  </si>
  <si>
    <t>310116200012060621</t>
  </si>
  <si>
    <t>苏文怡</t>
  </si>
  <si>
    <t>310104200011102820</t>
  </si>
  <si>
    <t>俞悦</t>
  </si>
  <si>
    <t>370481200109183868</t>
  </si>
  <si>
    <t>杨忠于</t>
  </si>
  <si>
    <t>654122200203025027</t>
  </si>
  <si>
    <t>葛俊杰</t>
  </si>
  <si>
    <t>310112199909215236</t>
  </si>
  <si>
    <t>奚梦萱</t>
  </si>
  <si>
    <t>310112200307042126</t>
  </si>
  <si>
    <t>殷沈斌</t>
  </si>
  <si>
    <t>310226199905052015</t>
  </si>
  <si>
    <t>金千雨</t>
  </si>
  <si>
    <t>310226200010040721</t>
  </si>
  <si>
    <t>金晔辰</t>
  </si>
  <si>
    <t>310112199609104913</t>
  </si>
  <si>
    <t>杨雯雯</t>
  </si>
  <si>
    <t>340827200202251026</t>
  </si>
  <si>
    <t>陈赵轩</t>
  </si>
  <si>
    <t>310226200111180512</t>
  </si>
  <si>
    <t>周琳</t>
  </si>
  <si>
    <t>342901199809296640</t>
  </si>
  <si>
    <t>诸嘉雯</t>
  </si>
  <si>
    <t>342426200207061065</t>
  </si>
  <si>
    <t>法赛亚</t>
  </si>
  <si>
    <t>410183199905089526</t>
  </si>
  <si>
    <t>王者</t>
  </si>
  <si>
    <t>31011219960212521X</t>
  </si>
  <si>
    <t>马彦嘉</t>
  </si>
  <si>
    <t>310110199812162737</t>
  </si>
  <si>
    <t>屠冰冰</t>
  </si>
  <si>
    <t>341021200201302986</t>
  </si>
  <si>
    <t>胡佳怡</t>
  </si>
  <si>
    <t>310112200001304621</t>
  </si>
  <si>
    <t>沈懿涵</t>
  </si>
  <si>
    <t>310119200108022426</t>
  </si>
  <si>
    <t>陈浩杰</t>
  </si>
  <si>
    <t>310119200112285018</t>
  </si>
  <si>
    <t>陈子怡</t>
  </si>
  <si>
    <t>310226200208010085</t>
  </si>
  <si>
    <t>吴昕熠</t>
  </si>
  <si>
    <t>310119200210134811</t>
  </si>
  <si>
    <t>金诗绮</t>
  </si>
  <si>
    <t>310112199912094623</t>
  </si>
  <si>
    <t>沈陈瑶</t>
  </si>
  <si>
    <t>310112200109144922</t>
  </si>
  <si>
    <t>费媛</t>
  </si>
  <si>
    <t>310112199702064928</t>
  </si>
  <si>
    <t>曹艳</t>
  </si>
  <si>
    <t>412825200101071023</t>
  </si>
  <si>
    <t>张丹凤</t>
  </si>
  <si>
    <t>341021200112049747</t>
  </si>
  <si>
    <t>顾毓芬</t>
  </si>
  <si>
    <t>310112200203264920</t>
  </si>
  <si>
    <t>诸雯静</t>
  </si>
  <si>
    <t>310112200110094926</t>
  </si>
  <si>
    <t>陈思媛</t>
  </si>
  <si>
    <t>310119200303310626</t>
  </si>
  <si>
    <t>范思慧</t>
  </si>
  <si>
    <t>31011920021127324X</t>
  </si>
  <si>
    <t>徐婉婷</t>
  </si>
  <si>
    <t>320324200207090620</t>
  </si>
  <si>
    <t>吴柯强</t>
  </si>
  <si>
    <t>332525200207310014</t>
  </si>
  <si>
    <t>王悦雯</t>
  </si>
  <si>
    <t>310112200202193622</t>
  </si>
  <si>
    <t>陈孜昊</t>
  </si>
  <si>
    <t>310115200107122737</t>
  </si>
  <si>
    <t>丁承新</t>
  </si>
  <si>
    <t>360721200108074019</t>
  </si>
  <si>
    <t>何思佳</t>
  </si>
  <si>
    <t>410901199307115527</t>
  </si>
  <si>
    <t>李玲</t>
  </si>
  <si>
    <t>340881198902151446</t>
  </si>
  <si>
    <t>王艳文</t>
  </si>
  <si>
    <t>342622199508161000</t>
  </si>
  <si>
    <t>张旭辰</t>
  </si>
  <si>
    <t>31011620001125001X</t>
  </si>
  <si>
    <t>何天翔</t>
  </si>
  <si>
    <t>310106200010222815</t>
  </si>
  <si>
    <t>周冕</t>
  </si>
  <si>
    <t>232700199704060022</t>
  </si>
  <si>
    <t>窦馨宜</t>
  </si>
  <si>
    <t>412825200201121040</t>
  </si>
  <si>
    <t>周茉</t>
  </si>
  <si>
    <t>310226200106233229</t>
  </si>
  <si>
    <t>顾艳梅</t>
  </si>
  <si>
    <t>321281199901225369</t>
  </si>
  <si>
    <t>殷子薇</t>
  </si>
  <si>
    <t>31022619990714006X</t>
  </si>
  <si>
    <t>韩子薇</t>
  </si>
  <si>
    <t>532901200110230067</t>
  </si>
  <si>
    <t>梅美雪儿</t>
  </si>
  <si>
    <t>510811200112260421</t>
  </si>
  <si>
    <t>张依阳</t>
  </si>
  <si>
    <t>310119200203230426</t>
  </si>
  <si>
    <t>顾宋羽</t>
  </si>
  <si>
    <t>310226200301110048</t>
  </si>
  <si>
    <t>潘俊逸</t>
  </si>
  <si>
    <t>310226200006290517</t>
  </si>
  <si>
    <t>沈韵文</t>
  </si>
  <si>
    <t>31011520011210404X</t>
  </si>
  <si>
    <t>彭子规</t>
  </si>
  <si>
    <t>340803200101292311</t>
  </si>
  <si>
    <t>黄佳妮</t>
  </si>
  <si>
    <t>310119200307246625</t>
  </si>
  <si>
    <t>342601199909233325</t>
  </si>
  <si>
    <t>李金玉</t>
  </si>
  <si>
    <t>652901199606074821</t>
  </si>
  <si>
    <t>郭甜甜</t>
  </si>
  <si>
    <t>41032719980605562X</t>
  </si>
  <si>
    <t>孙依婷</t>
  </si>
  <si>
    <t>310112200206064625</t>
  </si>
  <si>
    <t>方景盛</t>
  </si>
  <si>
    <t>310226199611040326</t>
  </si>
  <si>
    <t>钱君尧</t>
  </si>
  <si>
    <t>310112200205214927</t>
  </si>
  <si>
    <t>朱星怡</t>
  </si>
  <si>
    <t>310226200101132621</t>
  </si>
  <si>
    <t>徐丽英</t>
  </si>
  <si>
    <t>360726199710268664</t>
  </si>
  <si>
    <t>李以诚</t>
  </si>
  <si>
    <t>31011220030422491X</t>
  </si>
  <si>
    <t>王芳菲</t>
  </si>
  <si>
    <t>411381199908036728</t>
  </si>
  <si>
    <t>2025年上半年储备</t>
  </si>
  <si>
    <t>侯霖霜</t>
  </si>
  <si>
    <t>340603199710140229</t>
  </si>
  <si>
    <t>姚璐</t>
  </si>
  <si>
    <t>310105199412125020</t>
  </si>
  <si>
    <t>俞紫玥</t>
  </si>
  <si>
    <t>310112200204024320</t>
  </si>
  <si>
    <t>孙蒻雨</t>
  </si>
  <si>
    <t>310225199308101222</t>
  </si>
  <si>
    <t>魏雯怡</t>
    <phoneticPr fontId="1" type="noConversion"/>
  </si>
  <si>
    <t>310112199712070029</t>
  </si>
  <si>
    <t>吴嘉仪</t>
    <phoneticPr fontId="1" type="noConversion"/>
  </si>
  <si>
    <t>310112200109052729</t>
  </si>
  <si>
    <t>吴依依</t>
    <phoneticPr fontId="1" type="noConversion"/>
  </si>
  <si>
    <t>310112199507265222</t>
  </si>
  <si>
    <t>郭嘉怡</t>
    <phoneticPr fontId="1" type="noConversion"/>
  </si>
  <si>
    <t>310226200207310529</t>
  </si>
  <si>
    <t>陆怡帆</t>
  </si>
  <si>
    <t>310114200009184823</t>
  </si>
  <si>
    <t>王嘉伟</t>
  </si>
  <si>
    <t>上海市闵行区第三实验小学</t>
    <phoneticPr fontId="1" type="noConversion"/>
  </si>
  <si>
    <t>342426199910143438</t>
  </si>
  <si>
    <t>江镒蓥</t>
  </si>
  <si>
    <t>310112200302120324</t>
  </si>
  <si>
    <t>王从晴</t>
  </si>
  <si>
    <t>341227199810168026</t>
  </si>
  <si>
    <t>齐张蓉</t>
  </si>
  <si>
    <t>410901200009292029</t>
  </si>
  <si>
    <t>冯丽雯</t>
  </si>
  <si>
    <t>412722199711041569</t>
  </si>
  <si>
    <t>李李木子</t>
  </si>
  <si>
    <t>34070219950822003X</t>
  </si>
  <si>
    <t>郭姝含</t>
  </si>
  <si>
    <t>370203199912084521</t>
  </si>
  <si>
    <t>田晓晴</t>
  </si>
  <si>
    <t>370403199608304922</t>
  </si>
  <si>
    <t>林娇</t>
  </si>
  <si>
    <t>310112200107090326</t>
  </si>
  <si>
    <t>欧娇娇</t>
  </si>
  <si>
    <t>411524199708287227</t>
  </si>
  <si>
    <t>杨天林</t>
  </si>
  <si>
    <t>410702199602101545</t>
  </si>
  <si>
    <t>李欣烨</t>
  </si>
  <si>
    <t>610402199908046500</t>
  </si>
  <si>
    <t>段毅</t>
  </si>
  <si>
    <t>430525200101058529</t>
  </si>
  <si>
    <t>陈玲怡</t>
  </si>
  <si>
    <t>310112200206131824</t>
  </si>
  <si>
    <t>俞家祺</t>
  </si>
  <si>
    <t>31010419990930401X</t>
  </si>
  <si>
    <t>房夏良</t>
    <phoneticPr fontId="1" type="noConversion"/>
  </si>
  <si>
    <t>310112200109185636</t>
  </si>
  <si>
    <t>刘星宇</t>
    <phoneticPr fontId="1" type="noConversion"/>
  </si>
  <si>
    <t>340123200210195286</t>
  </si>
  <si>
    <t>尹嘉芸</t>
    <phoneticPr fontId="1" type="noConversion"/>
  </si>
  <si>
    <t>31022619951127132X</t>
  </si>
  <si>
    <t>顾静雯</t>
    <phoneticPr fontId="1" type="noConversion"/>
  </si>
  <si>
    <t>320928200211090621</t>
  </si>
  <si>
    <t>姚以诺</t>
    <phoneticPr fontId="1" type="noConversion"/>
  </si>
  <si>
    <t>31011720021017022X</t>
  </si>
  <si>
    <t>谢鑫怡</t>
    <phoneticPr fontId="1" type="noConversion"/>
  </si>
  <si>
    <t>310112200302253629</t>
  </si>
  <si>
    <t>屠蓓蕙</t>
  </si>
  <si>
    <t>310112200104273629</t>
  </si>
  <si>
    <t>蔡珺怡</t>
  </si>
  <si>
    <t>310112199802135623</t>
  </si>
  <si>
    <t>李歆曈</t>
  </si>
  <si>
    <t>360102200112160727</t>
  </si>
  <si>
    <t>陆纯</t>
  </si>
  <si>
    <t>31011219981021302X</t>
  </si>
  <si>
    <t>康祎瑾</t>
  </si>
  <si>
    <t>532532200006140021</t>
  </si>
  <si>
    <t>金思远</t>
  </si>
  <si>
    <t>310112200203263637</t>
  </si>
  <si>
    <t>张斯维</t>
  </si>
  <si>
    <t>310112200112282410</t>
  </si>
  <si>
    <t>徐子昀</t>
  </si>
  <si>
    <t>31011220000405332X</t>
  </si>
  <si>
    <t>朱安妮</t>
  </si>
  <si>
    <t>310113199911065528</t>
  </si>
  <si>
    <t>顾成越</t>
  </si>
  <si>
    <t>310116200211150814</t>
  </si>
  <si>
    <t>谢腾</t>
  </si>
  <si>
    <t>37040520000226256X</t>
  </si>
  <si>
    <t>庞帆</t>
  </si>
  <si>
    <t>310112200205124323</t>
  </si>
  <si>
    <t>王莉</t>
  </si>
  <si>
    <t>342423199502076783</t>
  </si>
  <si>
    <t>林志康</t>
  </si>
  <si>
    <t>310112200209152436</t>
  </si>
  <si>
    <t>赵旻玮</t>
  </si>
  <si>
    <t>310112200111123637</t>
  </si>
  <si>
    <t>顾婷韡</t>
  </si>
  <si>
    <t>310112200202135625</t>
  </si>
  <si>
    <t>阮星檑</t>
  </si>
  <si>
    <t>310226199912275719</t>
  </si>
  <si>
    <t>杨济源</t>
  </si>
  <si>
    <t>412702200211082735</t>
  </si>
  <si>
    <t>潘希菡</t>
  </si>
  <si>
    <t>31011219980408564X</t>
  </si>
  <si>
    <t>曹诞</t>
  </si>
  <si>
    <t>51130420001225354X</t>
  </si>
  <si>
    <t>朱翊辰</t>
    <phoneticPr fontId="1" type="noConversion"/>
  </si>
  <si>
    <t>310229200101041040</t>
  </si>
  <si>
    <t>范籽怡</t>
    <phoneticPr fontId="1" type="noConversion"/>
  </si>
  <si>
    <t>310117200108190240</t>
  </si>
  <si>
    <t>唐佳琳</t>
    <phoneticPr fontId="1" type="noConversion"/>
  </si>
  <si>
    <t>310112199712141528</t>
  </si>
  <si>
    <t>陈羽</t>
    <phoneticPr fontId="1" type="noConversion"/>
  </si>
  <si>
    <t>310112199511010628</t>
  </si>
  <si>
    <t>顾嘉雯</t>
    <phoneticPr fontId="1" type="noConversion"/>
  </si>
  <si>
    <t>310117199709044024</t>
  </si>
  <si>
    <t>沈朗婕</t>
    <phoneticPr fontId="1" type="noConversion"/>
  </si>
  <si>
    <t>310112200111060920</t>
  </si>
  <si>
    <t>沈怡婷</t>
    <phoneticPr fontId="1" type="noConversion"/>
  </si>
  <si>
    <t>31011220020709122X</t>
  </si>
  <si>
    <t>沈天悦</t>
    <phoneticPr fontId="1" type="noConversion"/>
  </si>
  <si>
    <t>310112199604100921</t>
  </si>
  <si>
    <t>耿冰清</t>
  </si>
  <si>
    <t>31023019960501146X</t>
  </si>
  <si>
    <t>董天豪</t>
  </si>
  <si>
    <t>310230200201184159</t>
  </si>
  <si>
    <t>项宇翱</t>
  </si>
  <si>
    <t>310115200007212217</t>
  </si>
  <si>
    <t>张心怡</t>
  </si>
  <si>
    <t>31011219940115062X</t>
  </si>
  <si>
    <t>章澜</t>
  </si>
  <si>
    <t>429006199803230623</t>
  </si>
  <si>
    <t>沈伊宁</t>
  </si>
  <si>
    <t>310112200206230929</t>
  </si>
  <si>
    <t>王心悦</t>
  </si>
  <si>
    <t>310112200202220627</t>
  </si>
  <si>
    <t>张继文</t>
  </si>
  <si>
    <t>342622199604021593</t>
  </si>
  <si>
    <t>赵欣云</t>
  </si>
  <si>
    <t>310112199705271228</t>
  </si>
  <si>
    <t>陈蕴毅</t>
  </si>
  <si>
    <t>310110200207055146</t>
  </si>
  <si>
    <t>傅启霖</t>
  </si>
  <si>
    <t>31010419991203601X</t>
  </si>
  <si>
    <t>陈芷尔</t>
  </si>
  <si>
    <t>310226200107283244</t>
  </si>
  <si>
    <t>罗余菁</t>
  </si>
  <si>
    <t>330682200006174424</t>
  </si>
  <si>
    <t>俞幸尧</t>
  </si>
  <si>
    <t>310230200201141466</t>
  </si>
  <si>
    <t>秦雨诗</t>
  </si>
  <si>
    <t>310112199801010925</t>
  </si>
  <si>
    <t>周小庄</t>
  </si>
  <si>
    <t>310115200111032726</t>
  </si>
  <si>
    <t>赵悦悦</t>
  </si>
  <si>
    <t>340321199804074361</t>
  </si>
  <si>
    <t>李宝逸</t>
    <phoneticPr fontId="1" type="noConversion"/>
  </si>
  <si>
    <t>31011219991115302X</t>
  </si>
  <si>
    <t>洪若芸</t>
    <phoneticPr fontId="1" type="noConversion"/>
  </si>
  <si>
    <t>310112200209133921</t>
  </si>
  <si>
    <t>陈毓臻</t>
    <phoneticPr fontId="1" type="noConversion"/>
  </si>
  <si>
    <t>310112200110172429</t>
  </si>
  <si>
    <t>丁沅</t>
    <phoneticPr fontId="1" type="noConversion"/>
  </si>
  <si>
    <t>310112200009091827</t>
  </si>
  <si>
    <t>黄笑笑</t>
    <phoneticPr fontId="1" type="noConversion"/>
  </si>
  <si>
    <t>320923200212051825</t>
  </si>
  <si>
    <t>张宇航</t>
  </si>
  <si>
    <t>31011219980923363X</t>
  </si>
  <si>
    <t>尹赛瑞</t>
  </si>
  <si>
    <t>421126200001080028</t>
  </si>
  <si>
    <t>刘凯璇</t>
  </si>
  <si>
    <t>142201199811060746</t>
  </si>
  <si>
    <t>何俊捷</t>
  </si>
  <si>
    <t>310105200104181210</t>
  </si>
  <si>
    <t>黎晓珂</t>
  </si>
  <si>
    <t>421023200301270021</t>
  </si>
  <si>
    <t>顾圣吉</t>
  </si>
  <si>
    <t>310229199901064421</t>
  </si>
  <si>
    <t>陆俐宏</t>
  </si>
  <si>
    <t>310226199909300741</t>
  </si>
  <si>
    <t>朱嘉伊</t>
  </si>
  <si>
    <t>310117200012134420</t>
  </si>
  <si>
    <t>张琬柔</t>
  </si>
  <si>
    <t>31011219990520242X</t>
  </si>
  <si>
    <t>周玉玲</t>
  </si>
  <si>
    <t>362326199703041824</t>
  </si>
  <si>
    <t>彭亦耘</t>
  </si>
  <si>
    <t>310112200202161823</t>
  </si>
  <si>
    <t>陈思婧</t>
  </si>
  <si>
    <t>430726199708110049</t>
  </si>
  <si>
    <t>查佳宜</t>
  </si>
  <si>
    <t>310105199906110427</t>
  </si>
  <si>
    <t>高昕炜</t>
  </si>
  <si>
    <t>310112199906166926</t>
  </si>
  <si>
    <t>单位：元</t>
    <phoneticPr fontId="1" type="noConversion"/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</si>
  <si>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</si>
  <si>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</si>
  <si>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</si>
  <si>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</si>
  <si>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 xml:space="preserve">
学校需求
</t>
    <phoneticPr fontId="1" type="noConversion"/>
  </si>
  <si>
    <t>所属街镇 汇总</t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</si>
  <si>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</si>
  <si>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</si>
  <si>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</si>
  <si>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</si>
  <si>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2025年镇级单位调整预算表（普教二科第二批学区化集团化）</t>
    <phoneticPr fontId="1" type="noConversion"/>
  </si>
  <si>
    <t>调整尾款</t>
    <phoneticPr fontId="1" type="noConversion"/>
  </si>
  <si>
    <t>六次分配</t>
    <phoneticPr fontId="1" type="noConversion"/>
  </si>
  <si>
    <t>2025年镇级补充公用经费（课后延时）</t>
    <phoneticPr fontId="1" type="noConversion"/>
  </si>
  <si>
    <t>核定金额</t>
    <phoneticPr fontId="1" type="noConversion"/>
  </si>
  <si>
    <t>已下达金额</t>
    <phoneticPr fontId="1" type="noConversion"/>
  </si>
  <si>
    <t>七次分配</t>
    <phoneticPr fontId="1" type="noConversion"/>
  </si>
  <si>
    <t>2025年教育统筹经费第七次分配明细表</t>
    <phoneticPr fontId="1" type="noConversion"/>
  </si>
  <si>
    <t>项目</t>
  </si>
  <si>
    <t>补充公用经费</t>
    <phoneticPr fontId="1" type="noConversion"/>
  </si>
  <si>
    <t>浦江镇：</t>
    <phoneticPr fontId="1" type="noConversion"/>
  </si>
</sst>
</file>

<file path=xl/styles.xml><?xml version="1.0" encoding="utf-8"?>
<styleSheet xmlns="http://schemas.openxmlformats.org/spreadsheetml/2006/main">
  <numFmts count="2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  <numFmt numFmtId="190" formatCode="0.000_ ;\-0.0000;;"/>
    <numFmt numFmtId="191" formatCode="0.000_ ;\-0.000;;"/>
    <numFmt numFmtId="192" formatCode="0.000000_ "/>
    <numFmt numFmtId="193" formatCode="0.0000_ "/>
    <numFmt numFmtId="194" formatCode="0.0000_ ;\-0.0000;;"/>
    <numFmt numFmtId="195" formatCode="0.0000_);[Red]\(0.0000\)"/>
    <numFmt numFmtId="196" formatCode="0.000_);[Red]\(0.000\)"/>
    <numFmt numFmtId="197" formatCode="0.0_);[Red]\(0.0\)"/>
  </numFmts>
  <fonts count="20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20"/>
      <color theme="1"/>
      <name val="宋体"/>
      <family val="3"/>
      <charset val="134"/>
      <scheme val="minor"/>
    </font>
    <font>
      <sz val="16"/>
      <name val="宋体"/>
      <family val="2"/>
      <charset val="134"/>
    </font>
    <font>
      <sz val="20"/>
      <name val="宋体"/>
      <family val="2"/>
      <charset val="134"/>
    </font>
    <font>
      <sz val="20"/>
      <name val="宋体"/>
      <family val="3"/>
      <charset val="134"/>
      <scheme val="minor"/>
    </font>
    <font>
      <sz val="10"/>
      <name val="仿宋_GB2312"/>
      <charset val="134"/>
    </font>
    <font>
      <sz val="12"/>
      <color rgb="FFFF0000"/>
      <name val="Arial"/>
      <family val="2"/>
    </font>
    <font>
      <b/>
      <sz val="9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674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06" fillId="2" borderId="42" xfId="1125" applyNumberFormat="1" applyFont="1" applyFill="1" applyBorder="1" applyAlignment="1">
      <alignment horizontal="center" vertical="center"/>
    </xf>
    <xf numFmtId="0" fontId="106" fillId="2" borderId="42" xfId="1125" applyNumberFormat="1" applyFont="1" applyFill="1" applyBorder="1" applyAlignment="1">
      <alignment horizontal="left" vertical="center"/>
    </xf>
    <xf numFmtId="181" fontId="106" fillId="2" borderId="42" xfId="1228" applyNumberFormat="1" applyFont="1" applyFill="1" applyBorder="1" applyAlignment="1">
      <alignment horizontal="left" vertical="center"/>
    </xf>
    <xf numFmtId="179" fontId="106" fillId="2" borderId="42" xfId="1125" applyNumberFormat="1" applyFont="1" applyFill="1" applyBorder="1" applyAlignment="1">
      <alignment horizontal="right" vertical="center"/>
    </xf>
    <xf numFmtId="176" fontId="106" fillId="2" borderId="42" xfId="1228" applyNumberFormat="1" applyFont="1" applyFill="1" applyBorder="1" applyAlignment="1">
      <alignment horizontal="right" vertical="center"/>
    </xf>
    <xf numFmtId="181" fontId="3" fillId="2" borderId="42" xfId="1123" applyNumberFormat="1" applyFont="1" applyFill="1" applyBorder="1">
      <alignment vertical="center"/>
    </xf>
    <xf numFmtId="0" fontId="178" fillId="2" borderId="42" xfId="1125" applyNumberFormat="1" applyFont="1" applyFill="1" applyBorder="1" applyAlignment="1">
      <alignment horizontal="center" vertical="center"/>
    </xf>
    <xf numFmtId="0" fontId="89" fillId="2" borderId="0" xfId="0" applyNumberFormat="1" applyFont="1" applyFill="1" applyAlignment="1">
      <alignment horizontal="center" vertical="center"/>
    </xf>
    <xf numFmtId="0" fontId="184" fillId="0" borderId="42" xfId="2005" applyNumberFormat="1" applyFont="1" applyFill="1" applyBorder="1" applyAlignment="1">
      <alignment horizontal="center" vertical="center" shrinkToFit="1"/>
    </xf>
    <xf numFmtId="0" fontId="184" fillId="0" borderId="42" xfId="2005" applyNumberFormat="1" applyFont="1" applyFill="1" applyBorder="1" applyAlignment="1">
      <alignment horizontal="center" vertical="center" wrapText="1" shrinkToFit="1"/>
    </xf>
    <xf numFmtId="0" fontId="185" fillId="2" borderId="0" xfId="0" applyNumberFormat="1" applyFont="1" applyFill="1">
      <alignment vertical="center"/>
    </xf>
    <xf numFmtId="0" fontId="184" fillId="0" borderId="42" xfId="1200" applyFont="1" applyFill="1" applyBorder="1" applyAlignment="1">
      <alignment horizontal="center" vertical="center"/>
    </xf>
    <xf numFmtId="176" fontId="184" fillId="0" borderId="42" xfId="1200" applyNumberFormat="1" applyFont="1" applyFill="1" applyBorder="1" applyAlignment="1">
      <alignment horizontal="center" vertical="center"/>
    </xf>
    <xf numFmtId="0" fontId="89" fillId="2" borderId="0" xfId="0" applyNumberFormat="1" applyFont="1" applyFill="1">
      <alignment vertical="center"/>
    </xf>
    <xf numFmtId="0" fontId="89" fillId="0" borderId="0" xfId="0" applyNumberFormat="1" applyFont="1" applyFill="1" applyAlignment="1">
      <alignment horizontal="center" vertical="center"/>
    </xf>
    <xf numFmtId="0" fontId="89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89" fillId="0" borderId="42" xfId="0" applyNumberFormat="1" applyFont="1" applyFill="1" applyBorder="1" applyAlignment="1">
      <alignment horizontal="center" vertical="center"/>
    </xf>
    <xf numFmtId="0" fontId="89" fillId="0" borderId="42" xfId="0" applyNumberFormat="1" applyFont="1" applyFill="1" applyBorder="1">
      <alignment vertical="center"/>
    </xf>
    <xf numFmtId="0" fontId="183" fillId="2" borderId="0" xfId="0" applyFont="1" applyFill="1">
      <alignment vertical="center"/>
    </xf>
    <xf numFmtId="0" fontId="187" fillId="2" borderId="42" xfId="2010" applyNumberFormat="1" applyFont="1" applyFill="1" applyBorder="1" applyAlignment="1">
      <alignment horizontal="center" vertical="center" wrapText="1"/>
    </xf>
    <xf numFmtId="0" fontId="187" fillId="2" borderId="42" xfId="2010" applyNumberFormat="1" applyFont="1" applyFill="1" applyBorder="1" applyAlignment="1">
      <alignment horizontal="center" vertical="center"/>
    </xf>
    <xf numFmtId="0" fontId="188" fillId="2" borderId="0" xfId="0" applyFont="1" applyFill="1">
      <alignment vertical="center"/>
    </xf>
    <xf numFmtId="0" fontId="188" fillId="2" borderId="42" xfId="2010" applyNumberFormat="1" applyFont="1" applyFill="1" applyBorder="1" applyAlignment="1">
      <alignment horizontal="center" vertical="center" wrapText="1"/>
    </xf>
    <xf numFmtId="0" fontId="188" fillId="2" borderId="42" xfId="2010" applyNumberFormat="1" applyFont="1" applyFill="1" applyBorder="1" applyAlignment="1">
      <alignment horizontal="center" vertical="center"/>
    </xf>
    <xf numFmtId="0" fontId="188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>
      <alignment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184" fillId="0" borderId="42" xfId="1200" applyFont="1" applyFill="1" applyBorder="1" applyAlignment="1">
      <alignment horizontal="center" vertical="center" wrapText="1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8" fontId="4" fillId="2" borderId="15" xfId="0" applyNumberFormat="1" applyFont="1" applyFill="1" applyBorder="1" applyAlignment="1" applyProtection="1">
      <protection locked="0"/>
    </xf>
    <xf numFmtId="178" fontId="4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>
      <protection locked="0"/>
    </xf>
    <xf numFmtId="176" fontId="4" fillId="2" borderId="15" xfId="0" applyNumberFormat="1" applyFont="1" applyFill="1" applyBorder="1" applyAlignment="1" applyProtection="1">
      <protection locked="0"/>
    </xf>
    <xf numFmtId="176" fontId="4" fillId="2" borderId="17" xfId="0" applyNumberFormat="1" applyFont="1" applyFill="1" applyBorder="1" applyAlignment="1" applyProtection="1">
      <protection locked="0"/>
    </xf>
    <xf numFmtId="0" fontId="132" fillId="2" borderId="0" xfId="0" applyNumberFormat="1" applyFont="1" applyFill="1" applyBorder="1" applyAlignment="1" applyProtection="1">
      <alignment horizontal="center" vertical="center"/>
      <protection locked="0"/>
    </xf>
    <xf numFmtId="178" fontId="4" fillId="2" borderId="17" xfId="0" applyNumberFormat="1" applyFont="1" applyFill="1" applyBorder="1" applyAlignment="1" applyProtection="1"/>
    <xf numFmtId="179" fontId="4" fillId="2" borderId="17" xfId="0" applyNumberFormat="1" applyFont="1" applyFill="1" applyBorder="1" applyAlignment="1" applyProtection="1">
      <protection locked="0"/>
    </xf>
    <xf numFmtId="49" fontId="2" fillId="2" borderId="15" xfId="0" applyNumberFormat="1" applyFont="1" applyFill="1" applyBorder="1" applyAlignment="1" applyProtection="1">
      <alignment wrapText="1"/>
      <protection locked="0"/>
    </xf>
    <xf numFmtId="178" fontId="4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180" fontId="4" fillId="2" borderId="17" xfId="0" applyNumberFormat="1" applyFont="1" applyFill="1" applyBorder="1" applyAlignment="1" applyProtection="1">
      <protection locked="0"/>
    </xf>
    <xf numFmtId="0" fontId="7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Alignment="1" applyProtection="1">
      <protection locked="0"/>
    </xf>
    <xf numFmtId="190" fontId="4" fillId="2" borderId="17" xfId="0" applyNumberFormat="1" applyFont="1" applyFill="1" applyBorder="1" applyAlignment="1" applyProtection="1">
      <protection locked="0"/>
    </xf>
    <xf numFmtId="190" fontId="4" fillId="2" borderId="17" xfId="0" applyNumberFormat="1" applyFont="1" applyFill="1" applyBorder="1" applyAlignment="1" applyProtection="1"/>
    <xf numFmtId="49" fontId="2" fillId="2" borderId="15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80" fontId="4" fillId="2" borderId="17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protection locked="0"/>
    </xf>
    <xf numFmtId="176" fontId="4" fillId="2" borderId="17" xfId="0" applyNumberFormat="1" applyFont="1" applyFill="1" applyBorder="1" applyAlignment="1" applyProtection="1"/>
    <xf numFmtId="176" fontId="2" fillId="2" borderId="17" xfId="0" applyNumberFormat="1" applyFont="1" applyFill="1" applyBorder="1" applyAlignment="1" applyProtection="1">
      <alignment wrapText="1"/>
      <protection locked="0"/>
    </xf>
    <xf numFmtId="176" fontId="2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/>
    <xf numFmtId="185" fontId="2" fillId="2" borderId="17" xfId="0" applyNumberFormat="1" applyFont="1" applyFill="1" applyBorder="1" applyAlignment="1" applyProtection="1">
      <alignment wrapText="1"/>
      <protection locked="0"/>
    </xf>
    <xf numFmtId="191" fontId="4" fillId="2" borderId="17" xfId="0" applyNumberFormat="1" applyFont="1" applyFill="1" applyBorder="1" applyAlignment="1" applyProtection="1">
      <protection locked="0"/>
    </xf>
    <xf numFmtId="0" fontId="117" fillId="2" borderId="17" xfId="0" applyFont="1" applyFill="1" applyBorder="1" applyAlignment="1">
      <alignment horizontal="center" wrapText="1"/>
    </xf>
    <xf numFmtId="176" fontId="68" fillId="2" borderId="17" xfId="0" applyNumberFormat="1" applyFont="1" applyFill="1" applyBorder="1" applyAlignment="1">
      <alignment horizontal="center"/>
    </xf>
    <xf numFmtId="0" fontId="117" fillId="2" borderId="17" xfId="0" applyFont="1" applyFill="1" applyBorder="1" applyAlignment="1"/>
    <xf numFmtId="0" fontId="117" fillId="2" borderId="0" xfId="0" applyFont="1" applyFill="1" applyAlignment="1"/>
    <xf numFmtId="0" fontId="132" fillId="2" borderId="0" xfId="0" applyFont="1" applyFill="1" applyBorder="1" applyAlignment="1">
      <alignment horizontal="center"/>
    </xf>
    <xf numFmtId="0" fontId="132" fillId="2" borderId="16" xfId="0" applyFont="1" applyFill="1" applyBorder="1" applyAlignment="1">
      <alignment horizontal="center"/>
    </xf>
    <xf numFmtId="0" fontId="117" fillId="2" borderId="0" xfId="0" applyFont="1" applyFill="1" applyBorder="1" applyAlignment="1"/>
    <xf numFmtId="192" fontId="117" fillId="2" borderId="0" xfId="0" applyNumberFormat="1" applyFont="1" applyFill="1" applyAlignment="1"/>
    <xf numFmtId="176" fontId="117" fillId="2" borderId="0" xfId="0" applyNumberFormat="1" applyFont="1" applyFill="1" applyAlignment="1"/>
    <xf numFmtId="185" fontId="68" fillId="2" borderId="17" xfId="0" applyNumberFormat="1" applyFont="1" applyFill="1" applyBorder="1" applyAlignment="1">
      <alignment horizontal="center"/>
    </xf>
    <xf numFmtId="0" fontId="117" fillId="2" borderId="0" xfId="0" applyFont="1" applyFill="1" applyAlignment="1">
      <alignment horizontal="center" wrapText="1"/>
    </xf>
    <xf numFmtId="0" fontId="117" fillId="2" borderId="0" xfId="0" applyFont="1" applyFill="1" applyAlignment="1">
      <alignment horizontal="center"/>
    </xf>
    <xf numFmtId="0" fontId="72" fillId="2" borderId="17" xfId="0" applyFont="1" applyFill="1" applyBorder="1" applyAlignment="1" applyProtection="1">
      <alignment horizontal="center" vertical="center" wrapText="1"/>
      <protection locked="0"/>
    </xf>
    <xf numFmtId="194" fontId="4" fillId="2" borderId="17" xfId="0" applyNumberFormat="1" applyFont="1" applyFill="1" applyBorder="1" applyAlignment="1" applyProtection="1">
      <protection locked="0"/>
    </xf>
    <xf numFmtId="179" fontId="4" fillId="2" borderId="17" xfId="0" applyNumberFormat="1" applyFont="1" applyFill="1" applyBorder="1" applyAlignment="1" applyProtection="1"/>
    <xf numFmtId="196" fontId="4" fillId="2" borderId="17" xfId="0" applyNumberFormat="1" applyFont="1" applyFill="1" applyBorder="1" applyAlignment="1" applyProtection="1">
      <protection locked="0"/>
    </xf>
    <xf numFmtId="193" fontId="4" fillId="2" borderId="17" xfId="0" applyNumberFormat="1" applyFont="1" applyFill="1" applyBorder="1" applyAlignment="1" applyProtection="1">
      <protection locked="0"/>
    </xf>
    <xf numFmtId="195" fontId="4" fillId="2" borderId="17" xfId="0" applyNumberFormat="1" applyFont="1" applyFill="1" applyBorder="1" applyAlignment="1" applyProtection="1"/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>
      <alignment vertical="center"/>
    </xf>
    <xf numFmtId="181" fontId="43" fillId="29" borderId="17" xfId="0" applyNumberFormat="1" applyFont="1" applyFill="1" applyBorder="1" applyAlignment="1">
      <alignment horizontal="center" vertical="center"/>
    </xf>
    <xf numFmtId="181" fontId="43" fillId="29" borderId="17" xfId="0" applyNumberFormat="1" applyFont="1" applyFill="1" applyBorder="1" applyAlignment="1">
      <alignment horizontal="center" vertical="center" wrapText="1"/>
    </xf>
    <xf numFmtId="176" fontId="43" fillId="2" borderId="18" xfId="0" applyNumberFormat="1" applyFont="1" applyFill="1" applyBorder="1">
      <alignment vertical="center"/>
    </xf>
    <xf numFmtId="176" fontId="45" fillId="2" borderId="18" xfId="0" applyNumberFormat="1" applyFont="1" applyFill="1" applyBorder="1">
      <alignment vertical="center"/>
    </xf>
    <xf numFmtId="176" fontId="45" fillId="2" borderId="17" xfId="0" applyNumberFormat="1" applyFont="1" applyFill="1" applyBorder="1">
      <alignment vertical="center"/>
    </xf>
    <xf numFmtId="176" fontId="43" fillId="2" borderId="0" xfId="0" applyNumberFormat="1" applyFont="1" applyFill="1" applyAlignment="1">
      <alignment horizontal="center" vertical="center"/>
    </xf>
    <xf numFmtId="197" fontId="2" fillId="2" borderId="17" xfId="0" applyNumberFormat="1" applyFont="1" applyFill="1" applyBorder="1" applyAlignment="1">
      <alignment horizontal="center" vertical="center"/>
    </xf>
    <xf numFmtId="197" fontId="45" fillId="29" borderId="17" xfId="0" applyNumberFormat="1" applyFont="1" applyFill="1" applyBorder="1" applyAlignment="1">
      <alignment horizontal="center" vertical="center"/>
    </xf>
    <xf numFmtId="197" fontId="43" fillId="2" borderId="0" xfId="0" applyNumberFormat="1" applyFont="1" applyFill="1">
      <alignment vertical="center"/>
    </xf>
    <xf numFmtId="0" fontId="65" fillId="0" borderId="17" xfId="0" applyFont="1" applyBorder="1" applyAlignment="1">
      <alignment horizontal="center" vertical="center"/>
    </xf>
    <xf numFmtId="176" fontId="67" fillId="29" borderId="17" xfId="0" applyNumberFormat="1" applyFont="1" applyFill="1" applyBorder="1" applyAlignment="1">
      <alignment horizontal="center" vertical="center"/>
    </xf>
    <xf numFmtId="181" fontId="45" fillId="31" borderId="17" xfId="0" applyNumberFormat="1" applyFont="1" applyFill="1" applyBorder="1" applyAlignment="1">
      <alignment horizontal="center" vertical="center"/>
    </xf>
    <xf numFmtId="0" fontId="44" fillId="2" borderId="1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0" borderId="42" xfId="2006" applyFont="1" applyFill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147" fillId="0" borderId="16" xfId="0" applyFont="1" applyBorder="1" applyAlignment="1">
      <alignment horizontal="right" vertical="center"/>
    </xf>
    <xf numFmtId="179" fontId="48" fillId="2" borderId="0" xfId="0" applyNumberFormat="1" applyFont="1" applyFill="1" applyAlignment="1" applyProtection="1">
      <alignment horizontal="center" vertical="center"/>
      <protection locked="0"/>
    </xf>
    <xf numFmtId="0" fontId="4" fillId="2" borderId="17" xfId="1123" applyFont="1" applyFill="1" applyBorder="1" applyAlignment="1">
      <alignment horizontal="center" vertical="center" wrapText="1"/>
    </xf>
    <xf numFmtId="181" fontId="1" fillId="29" borderId="17" xfId="0" applyNumberFormat="1" applyFont="1" applyFill="1" applyBorder="1" applyAlignment="1">
      <alignment horizontal="center" vertical="center"/>
    </xf>
    <xf numFmtId="176" fontId="45" fillId="2" borderId="0" xfId="0" applyNumberFormat="1" applyFont="1" applyFill="1">
      <alignment vertical="center"/>
    </xf>
    <xf numFmtId="0" fontId="4" fillId="0" borderId="42" xfId="2006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180" fontId="114" fillId="0" borderId="42" xfId="0" applyNumberFormat="1" applyFont="1" applyBorder="1" applyAlignment="1">
      <alignment horizontal="center" vertical="center"/>
    </xf>
    <xf numFmtId="0" fontId="114" fillId="0" borderId="42" xfId="0" applyFont="1" applyFill="1" applyBorder="1" applyAlignment="1">
      <alignment horizontal="center" vertical="center"/>
    </xf>
    <xf numFmtId="0" fontId="70" fillId="2" borderId="0" xfId="0" applyNumberFormat="1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>
      <alignment horizontal="center"/>
    </xf>
    <xf numFmtId="181" fontId="42" fillId="2" borderId="0" xfId="0" applyNumberFormat="1" applyFont="1" applyFill="1">
      <alignment vertical="center"/>
    </xf>
    <xf numFmtId="0" fontId="116" fillId="2" borderId="0" xfId="0" applyNumberFormat="1" applyFont="1" applyFill="1">
      <alignment vertical="center"/>
    </xf>
    <xf numFmtId="181" fontId="116" fillId="2" borderId="0" xfId="0" applyNumberFormat="1" applyFont="1" applyFill="1">
      <alignment vertical="center"/>
    </xf>
    <xf numFmtId="181" fontId="190" fillId="2" borderId="16" xfId="0" applyNumberFormat="1" applyFont="1" applyFill="1" applyBorder="1" applyAlignment="1">
      <alignment horizontal="center" vertical="center"/>
    </xf>
    <xf numFmtId="0" fontId="116" fillId="0" borderId="0" xfId="0" applyNumberFormat="1" applyFont="1">
      <alignment vertical="center"/>
    </xf>
    <xf numFmtId="0" fontId="114" fillId="2" borderId="17" xfId="0" applyNumberFormat="1" applyFont="1" applyFill="1" applyBorder="1" applyAlignment="1">
      <alignment horizontal="center" vertical="center"/>
    </xf>
    <xf numFmtId="176" fontId="114" fillId="2" borderId="17" xfId="0" applyNumberFormat="1" applyFont="1" applyFill="1" applyBorder="1" applyAlignment="1">
      <alignment horizontal="center" vertical="center"/>
    </xf>
    <xf numFmtId="0" fontId="102" fillId="2" borderId="17" xfId="0" applyNumberFormat="1" applyFont="1" applyFill="1" applyBorder="1" applyAlignment="1">
      <alignment horizontal="center" vertical="center"/>
    </xf>
    <xf numFmtId="0" fontId="119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7" xfId="1225" applyNumberFormat="1" applyFont="1" applyFill="1" applyBorder="1" applyAlignment="1">
      <alignment horizontal="center" vertical="center"/>
    </xf>
    <xf numFmtId="176" fontId="114" fillId="2" borderId="0" xfId="0" applyNumberFormat="1" applyFont="1" applyFill="1" applyAlignment="1">
      <alignment horizontal="center" vertical="center"/>
    </xf>
    <xf numFmtId="0" fontId="42" fillId="0" borderId="0" xfId="0" applyNumberFormat="1" applyFont="1" applyAlignment="1">
      <alignment horizontal="right" vertical="center"/>
    </xf>
    <xf numFmtId="0" fontId="43" fillId="0" borderId="0" xfId="0" applyNumberFormat="1" applyFont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7" xfId="0" applyNumberFormat="1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0" fontId="141" fillId="0" borderId="0" xfId="0" applyNumberFormat="1" applyFont="1" applyFill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68" fillId="0" borderId="42" xfId="0" applyNumberFormat="1" applyFont="1" applyFill="1" applyBorder="1" applyAlignment="1">
      <alignment horizontal="center" vertical="center"/>
    </xf>
    <xf numFmtId="180" fontId="4" fillId="0" borderId="42" xfId="1123" applyNumberFormat="1" applyFont="1" applyFill="1" applyBorder="1" applyAlignment="1">
      <alignment horizontal="center" vertical="center" wrapText="1"/>
    </xf>
    <xf numFmtId="180" fontId="4" fillId="0" borderId="42" xfId="1123" applyNumberFormat="1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76" fontId="193" fillId="0" borderId="42" xfId="0" applyNumberFormat="1" applyFont="1" applyFill="1" applyBorder="1" applyAlignment="1">
      <alignment horizontal="center" vertical="center"/>
    </xf>
    <xf numFmtId="176" fontId="193" fillId="0" borderId="42" xfId="0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Alignment="1">
      <alignment horizontal="center" vertical="center" wrapText="1"/>
    </xf>
    <xf numFmtId="180" fontId="68" fillId="0" borderId="42" xfId="2013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 wrapText="1"/>
    </xf>
    <xf numFmtId="176" fontId="114" fillId="2" borderId="42" xfId="0" applyNumberFormat="1" applyFont="1" applyFill="1" applyBorder="1" applyAlignment="1">
      <alignment horizontal="center" vertical="center" wrapText="1"/>
    </xf>
    <xf numFmtId="180" fontId="106" fillId="0" borderId="42" xfId="2013" applyNumberFormat="1" applyFont="1" applyFill="1" applyBorder="1" applyAlignment="1">
      <alignment horizontal="center" vertical="center" wrapText="1"/>
    </xf>
    <xf numFmtId="180" fontId="4" fillId="0" borderId="42" xfId="2013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/>
    </xf>
    <xf numFmtId="180" fontId="75" fillId="0" borderId="0" xfId="0" applyNumberFormat="1" applyFont="1" applyFill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81" fontId="43" fillId="29" borderId="18" xfId="0" applyNumberFormat="1" applyFont="1" applyFill="1" applyBorder="1" applyAlignment="1">
      <alignment horizontal="center" vertical="center"/>
    </xf>
    <xf numFmtId="181" fontId="43" fillId="29" borderId="17" xfId="0" applyNumberFormat="1" applyFont="1" applyFill="1" applyBorder="1" applyAlignment="1">
      <alignment horizontal="center" vertical="center"/>
    </xf>
    <xf numFmtId="0" fontId="68" fillId="2" borderId="17" xfId="0" applyNumberFormat="1" applyFont="1" applyFill="1" applyBorder="1" applyAlignment="1">
      <alignment horizontal="left" vertical="center" wrapText="1"/>
    </xf>
    <xf numFmtId="0" fontId="45" fillId="2" borderId="17" xfId="0" applyNumberFormat="1" applyFont="1" applyFill="1" applyBorder="1" applyAlignment="1">
      <alignment horizontal="left" vertical="center" wrapText="1"/>
    </xf>
    <xf numFmtId="0" fontId="194" fillId="2" borderId="0" xfId="0" applyNumberFormat="1" applyFont="1" applyFill="1" applyBorder="1" applyAlignment="1"/>
    <xf numFmtId="0" fontId="68" fillId="2" borderId="17" xfId="0" applyNumberFormat="1" applyFont="1" applyFill="1" applyBorder="1" applyAlignment="1" applyProtection="1">
      <alignment horizontal="left" vertical="center" wrapText="1"/>
    </xf>
    <xf numFmtId="0" fontId="68" fillId="2" borderId="17" xfId="0" applyNumberFormat="1" applyFont="1" applyFill="1" applyBorder="1" applyAlignment="1" applyProtection="1">
      <alignment horizontal="center" vertical="center" wrapText="1"/>
    </xf>
    <xf numFmtId="180" fontId="72" fillId="2" borderId="17" xfId="0" applyNumberFormat="1" applyFont="1" applyFill="1" applyBorder="1" applyAlignment="1" applyProtection="1">
      <alignment horizontal="center" vertical="center" shrinkToFit="1"/>
    </xf>
    <xf numFmtId="180" fontId="2" fillId="2" borderId="17" xfId="0" applyNumberFormat="1" applyFont="1" applyFill="1" applyBorder="1" applyAlignment="1" applyProtection="1">
      <alignment horizontal="center" vertical="center"/>
    </xf>
    <xf numFmtId="180" fontId="2" fillId="2" borderId="17" xfId="0" applyNumberFormat="1" applyFont="1" applyFill="1" applyBorder="1" applyAlignment="1">
      <alignment horizontal="center" vertical="center" wrapText="1"/>
    </xf>
    <xf numFmtId="180" fontId="45" fillId="2" borderId="17" xfId="0" applyNumberFormat="1" applyFont="1" applyFill="1" applyBorder="1" applyAlignment="1" applyProtection="1">
      <alignment horizontal="center" vertical="center"/>
    </xf>
    <xf numFmtId="180" fontId="4" fillId="2" borderId="17" xfId="0" applyNumberFormat="1" applyFont="1" applyFill="1" applyBorder="1" applyAlignment="1" applyProtection="1">
      <alignment horizontal="center" vertical="center"/>
    </xf>
    <xf numFmtId="180" fontId="45" fillId="2" borderId="17" xfId="0" applyNumberFormat="1" applyFont="1" applyFill="1" applyBorder="1" applyAlignment="1" applyProtection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180" fontId="195" fillId="2" borderId="17" xfId="0" applyNumberFormat="1" applyFont="1" applyFill="1" applyBorder="1" applyAlignment="1" applyProtection="1">
      <alignment horizontal="center" vertical="center" shrinkToFit="1"/>
    </xf>
    <xf numFmtId="180" fontId="45" fillId="2" borderId="17" xfId="0" applyNumberFormat="1" applyFont="1" applyFill="1" applyBorder="1" applyAlignment="1">
      <alignment horizontal="center" vertical="center" wrapText="1"/>
    </xf>
    <xf numFmtId="0" fontId="116" fillId="0" borderId="0" xfId="0" applyFont="1">
      <alignment vertical="center"/>
    </xf>
    <xf numFmtId="0" fontId="42" fillId="0" borderId="0" xfId="0" applyFont="1">
      <alignment vertical="center"/>
    </xf>
    <xf numFmtId="0" fontId="197" fillId="0" borderId="17" xfId="0" applyFont="1" applyBorder="1" applyAlignment="1">
      <alignment horizontal="center" vertical="center"/>
    </xf>
    <xf numFmtId="180" fontId="197" fillId="0" borderId="17" xfId="0" applyNumberFormat="1" applyFont="1" applyBorder="1" applyAlignment="1">
      <alignment horizontal="center" vertical="center"/>
    </xf>
    <xf numFmtId="0" fontId="197" fillId="0" borderId="17" xfId="0" applyFont="1" applyFill="1" applyBorder="1" applyAlignment="1">
      <alignment horizontal="center" vertical="center"/>
    </xf>
    <xf numFmtId="0" fontId="197" fillId="0" borderId="17" xfId="0" applyFont="1" applyFill="1" applyBorder="1" applyAlignment="1">
      <alignment horizontal="center" vertical="center" wrapText="1"/>
    </xf>
    <xf numFmtId="0" fontId="95" fillId="0" borderId="17" xfId="0" applyFont="1" applyBorder="1" applyAlignment="1">
      <alignment horizontal="center" vertical="center" wrapText="1"/>
    </xf>
    <xf numFmtId="180" fontId="95" fillId="0" borderId="17" xfId="0" applyNumberFormat="1" applyFont="1" applyBorder="1" applyAlignment="1">
      <alignment horizontal="center" vertical="center" wrapText="1"/>
    </xf>
    <xf numFmtId="0" fontId="198" fillId="0" borderId="17" xfId="0" applyNumberFormat="1" applyFont="1" applyBorder="1" applyAlignment="1">
      <alignment horizontal="center" vertical="center"/>
    </xf>
    <xf numFmtId="176" fontId="197" fillId="0" borderId="17" xfId="0" applyNumberFormat="1" applyFont="1" applyBorder="1" applyAlignment="1">
      <alignment horizontal="center" vertical="center"/>
    </xf>
    <xf numFmtId="0" fontId="198" fillId="0" borderId="17" xfId="0" applyFont="1" applyBorder="1" applyAlignment="1">
      <alignment horizontal="center" vertical="center"/>
    </xf>
    <xf numFmtId="176" fontId="95" fillId="0" borderId="17" xfId="0" applyNumberFormat="1" applyFont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0" fontId="0" fillId="0" borderId="0" xfId="0" applyNumberFormat="1">
      <alignment vertical="center"/>
    </xf>
    <xf numFmtId="180" fontId="195" fillId="2" borderId="17" xfId="0" applyNumberFormat="1" applyFont="1" applyFill="1" applyBorder="1" applyAlignment="1" applyProtection="1">
      <alignment horizontal="center" vertical="center" wrapText="1" shrinkToFit="1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176" fontId="45" fillId="2" borderId="17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/>
    </xf>
    <xf numFmtId="176" fontId="4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80" fontId="2" fillId="2" borderId="50" xfId="0" applyNumberFormat="1" applyFont="1" applyFill="1" applyBorder="1" applyAlignment="1" applyProtection="1">
      <alignment horizontal="center" vertical="center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4" fillId="2" borderId="17" xfId="0" applyNumberFormat="1" applyFont="1" applyFill="1" applyBorder="1" applyAlignment="1">
      <alignment vertical="center" wrapText="1"/>
    </xf>
    <xf numFmtId="180" fontId="45" fillId="2" borderId="50" xfId="0" applyNumberFormat="1" applyFont="1" applyFill="1" applyBorder="1" applyAlignment="1">
      <alignment horizontal="center" vertical="center" wrapText="1"/>
    </xf>
    <xf numFmtId="0" fontId="116" fillId="2" borderId="0" xfId="0" applyNumberFormat="1" applyFont="1" applyFill="1" applyAlignment="1">
      <alignment horizontal="center" vertical="center"/>
    </xf>
    <xf numFmtId="181" fontId="42" fillId="2" borderId="0" xfId="0" applyNumberFormat="1" applyFont="1" applyFill="1" applyAlignment="1">
      <alignment horizontal="center" vertical="center"/>
    </xf>
    <xf numFmtId="181" fontId="116" fillId="2" borderId="0" xfId="0" applyNumberFormat="1" applyFont="1" applyFill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176" fontId="48" fillId="0" borderId="42" xfId="0" applyNumberFormat="1" applyFont="1" applyBorder="1" applyAlignment="1">
      <alignment horizontal="center" vertical="center"/>
    </xf>
    <xf numFmtId="0" fontId="48" fillId="0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199" fillId="0" borderId="42" xfId="0" applyFont="1" applyBorder="1" applyAlignment="1">
      <alignment horizontal="center" vertical="center" wrapText="1"/>
    </xf>
    <xf numFmtId="0" fontId="200" fillId="0" borderId="42" xfId="0" applyFont="1" applyBorder="1" applyAlignment="1">
      <alignment horizontal="center" vertical="center" wrapText="1"/>
    </xf>
    <xf numFmtId="0" fontId="126" fillId="0" borderId="4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7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0" fontId="4" fillId="2" borderId="43" xfId="2015" applyFont="1" applyFill="1" applyBorder="1" applyAlignment="1">
      <alignment horizontal="left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/>
    </xf>
    <xf numFmtId="0" fontId="5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" xfId="0" applyFont="1" applyFill="1" applyBorder="1" applyAlignment="1">
      <alignment horizontal="center" vertical="center" wrapText="1"/>
    </xf>
    <xf numFmtId="176" fontId="5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0" xfId="0" applyFont="1" applyFill="1" applyAlignment="1">
      <alignment vertical="center"/>
    </xf>
    <xf numFmtId="0" fontId="57" fillId="2" borderId="45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protection locked="0"/>
    </xf>
    <xf numFmtId="0" fontId="72" fillId="2" borderId="45" xfId="0" applyNumberFormat="1" applyFont="1" applyFill="1" applyBorder="1" applyAlignment="1" applyProtection="1">
      <alignment horizontal="center" vertical="center"/>
      <protection locked="0"/>
    </xf>
    <xf numFmtId="0" fontId="72" fillId="2" borderId="1" xfId="0" applyNumberFormat="1" applyFont="1" applyFill="1" applyBorder="1" applyAlignment="1" applyProtection="1">
      <alignment horizontal="center" vertical="center"/>
      <protection locked="0"/>
    </xf>
    <xf numFmtId="0" fontId="7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0" fontId="117" fillId="2" borderId="45" xfId="0" applyFont="1" applyFill="1" applyBorder="1" applyAlignment="1">
      <alignment horizontal="center" vertical="center" wrapText="1"/>
    </xf>
    <xf numFmtId="0" fontId="117" fillId="2" borderId="1" xfId="0" applyFont="1" applyFill="1" applyBorder="1" applyAlignment="1">
      <alignment horizontal="center" vertical="center" wrapText="1"/>
    </xf>
    <xf numFmtId="0" fontId="117" fillId="2" borderId="45" xfId="0" applyFont="1" applyFill="1" applyBorder="1" applyAlignment="1">
      <alignment horizontal="center" vertical="center"/>
    </xf>
    <xf numFmtId="0" fontId="189" fillId="0" borderId="0" xfId="0" applyFont="1" applyBorder="1" applyAlignment="1">
      <alignment horizontal="center" vertical="center"/>
    </xf>
    <xf numFmtId="9" fontId="43" fillId="29" borderId="18" xfId="0" applyNumberFormat="1" applyFont="1" applyFill="1" applyBorder="1" applyAlignment="1">
      <alignment horizontal="center" vertical="center" wrapText="1"/>
    </xf>
    <xf numFmtId="9" fontId="43" fillId="29" borderId="48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81" fontId="147" fillId="0" borderId="16" xfId="0" applyNumberFormat="1" applyFont="1" applyBorder="1" applyAlignment="1">
      <alignment horizontal="right" vertical="center"/>
    </xf>
    <xf numFmtId="181" fontId="191" fillId="2" borderId="16" xfId="0" applyNumberFormat="1" applyFont="1" applyFill="1" applyBorder="1" applyAlignment="1">
      <alignment horizontal="center" vertical="center"/>
    </xf>
    <xf numFmtId="181" fontId="116" fillId="0" borderId="0" xfId="0" applyNumberFormat="1" applyFont="1" applyBorder="1" applyAlignment="1">
      <alignment horizontal="center" vertical="center"/>
    </xf>
    <xf numFmtId="181" fontId="116" fillId="0" borderId="0" xfId="0" applyNumberFormat="1" applyFont="1" applyBorder="1">
      <alignment vertical="center"/>
    </xf>
    <xf numFmtId="197" fontId="2" fillId="29" borderId="17" xfId="0" applyNumberFormat="1" applyFont="1" applyFill="1" applyBorder="1" applyAlignment="1">
      <alignment horizontal="center" vertical="center"/>
    </xf>
    <xf numFmtId="181" fontId="43" fillId="29" borderId="18" xfId="0" applyNumberFormat="1" applyFont="1" applyFill="1" applyBorder="1" applyAlignment="1">
      <alignment horizontal="center" vertical="center" wrapText="1"/>
    </xf>
    <xf numFmtId="181" fontId="43" fillId="29" borderId="48" xfId="0" applyNumberFormat="1" applyFont="1" applyFill="1" applyBorder="1" applyAlignment="1">
      <alignment horizontal="center" vertical="center" wrapText="1"/>
    </xf>
    <xf numFmtId="181" fontId="43" fillId="29" borderId="43" xfId="0" applyNumberFormat="1" applyFont="1" applyFill="1" applyBorder="1" applyAlignment="1">
      <alignment horizontal="center" vertical="center" wrapText="1"/>
    </xf>
    <xf numFmtId="0" fontId="116" fillId="0" borderId="0" xfId="0" applyNumberFormat="1" applyFont="1" applyBorder="1" applyAlignment="1">
      <alignment horizontal="center" vertical="center"/>
    </xf>
    <xf numFmtId="0" fontId="116" fillId="0" borderId="0" xfId="0" applyNumberFormat="1" applyFont="1" applyBorder="1" applyAlignment="1">
      <alignment vertical="center"/>
    </xf>
    <xf numFmtId="0" fontId="116" fillId="0" borderId="0" xfId="0" applyFont="1" applyAlignment="1">
      <alignment vertical="center"/>
    </xf>
    <xf numFmtId="0" fontId="42" fillId="0" borderId="16" xfId="0" applyNumberFormat="1" applyFont="1" applyBorder="1" applyAlignment="1">
      <alignment horizontal="right" vertical="center"/>
    </xf>
    <xf numFmtId="0" fontId="42" fillId="0" borderId="16" xfId="0" applyFont="1" applyBorder="1" applyAlignment="1">
      <alignment horizontal="right" vertical="center"/>
    </xf>
    <xf numFmtId="0" fontId="116" fillId="0" borderId="0" xfId="0" applyNumberFormat="1" applyFont="1" applyAlignment="1">
      <alignment horizontal="center" vertical="center"/>
    </xf>
    <xf numFmtId="180" fontId="192" fillId="0" borderId="0" xfId="0" applyNumberFormat="1" applyFont="1" applyFill="1" applyBorder="1" applyAlignment="1">
      <alignment horizontal="center" vertical="center" wrapText="1"/>
    </xf>
    <xf numFmtId="180" fontId="192" fillId="0" borderId="0" xfId="0" applyNumberFormat="1" applyFont="1" applyFill="1" applyBorder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4" fillId="0" borderId="42" xfId="0" applyNumberFormat="1" applyFont="1" applyFill="1" applyBorder="1" applyAlignment="1">
      <alignment horizontal="center" vertical="center" wrapText="1"/>
    </xf>
    <xf numFmtId="176" fontId="114" fillId="0" borderId="42" xfId="0" applyNumberFormat="1" applyFont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80" fontId="106" fillId="0" borderId="42" xfId="2013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0" fontId="57" fillId="2" borderId="47" xfId="0" applyNumberFormat="1" applyFont="1" applyFill="1" applyBorder="1" applyAlignment="1" applyProtection="1">
      <alignment horizontal="center" vertical="center" shrinkToFit="1"/>
    </xf>
    <xf numFmtId="0" fontId="57" fillId="2" borderId="13" xfId="0" applyNumberFormat="1" applyFont="1" applyFill="1" applyBorder="1" applyAlignment="1" applyProtection="1">
      <alignment horizontal="center" vertical="center" shrinkToFit="1"/>
    </xf>
    <xf numFmtId="0" fontId="57" fillId="2" borderId="1" xfId="0" applyNumberFormat="1" applyFont="1" applyFill="1" applyBorder="1" applyAlignment="1" applyProtection="1">
      <alignment horizontal="center" vertical="center" shrinkToFit="1"/>
    </xf>
    <xf numFmtId="0" fontId="57" fillId="2" borderId="47" xfId="0" applyNumberFormat="1" applyFont="1" applyFill="1" applyBorder="1" applyAlignment="1" applyProtection="1">
      <alignment horizontal="center" vertical="center" wrapText="1" shrinkToFit="1"/>
    </xf>
    <xf numFmtId="0" fontId="57" fillId="2" borderId="13" xfId="0" applyNumberFormat="1" applyFont="1" applyFill="1" applyBorder="1" applyAlignment="1" applyProtection="1">
      <alignment horizontal="center" vertical="center" wrapText="1" shrinkToFit="1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47" fillId="0" borderId="16" xfId="0" applyFont="1" applyBorder="1" applyAlignment="1">
      <alignment horizontal="right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9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57" fillId="2" borderId="50" xfId="0" applyNumberFormat="1" applyFont="1" applyFill="1" applyBorder="1" applyAlignment="1" applyProtection="1">
      <alignment horizontal="center" vertical="center" shrinkToFit="1"/>
    </xf>
    <xf numFmtId="0" fontId="57" fillId="2" borderId="50" xfId="0" applyNumberFormat="1" applyFont="1" applyFill="1" applyBorder="1" applyAlignment="1" applyProtection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196" fillId="0" borderId="0" xfId="0" applyFont="1" applyAlignment="1">
      <alignment horizontal="center" vertical="center"/>
    </xf>
    <xf numFmtId="0" fontId="201" fillId="0" borderId="0" xfId="0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0" fillId="0" borderId="0" xfId="0" applyNumberFormat="1">
      <alignment vertical="center"/>
    </xf>
    <xf numFmtId="0" fontId="202" fillId="0" borderId="0" xfId="0" applyNumberFormat="1" applyFont="1" applyBorder="1" applyAlignment="1">
      <alignment vertical="center"/>
    </xf>
    <xf numFmtId="181" fontId="0" fillId="0" borderId="0" xfId="0" applyNumberFormat="1" applyBorder="1" applyAlignment="1">
      <alignment vertical="center"/>
    </xf>
    <xf numFmtId="0" fontId="203" fillId="0" borderId="0" xfId="0" applyNumberFormat="1" applyFont="1" applyBorder="1" applyAlignment="1">
      <alignment horizontal="right" vertical="center"/>
    </xf>
    <xf numFmtId="0" fontId="90" fillId="0" borderId="42" xfId="0" applyNumberFormat="1" applyFont="1" applyBorder="1" applyAlignment="1">
      <alignment horizontal="center" vertical="center"/>
    </xf>
    <xf numFmtId="0" fontId="90" fillId="0" borderId="0" xfId="0" applyNumberFormat="1" applyFont="1" applyBorder="1" applyAlignment="1">
      <alignment horizontal="center" vertical="center"/>
    </xf>
    <xf numFmtId="0" fontId="90" fillId="0" borderId="1" xfId="0" applyNumberFormat="1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/>
    </xf>
    <xf numFmtId="176" fontId="90" fillId="0" borderId="4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24850" y="15954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10375" y="160972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0675" y="120777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54</xdr:row>
      <xdr:rowOff>228600</xdr:rowOff>
    </xdr:from>
    <xdr:to>
      <xdr:col>1</xdr:col>
      <xdr:colOff>1838325</xdr:colOff>
      <xdr:row>55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13877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5275" y="158115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125920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115633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06680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10;&#22238;%20(1)\2025\&#35843;&#25972;&#39044;&#31639;\&#39067;&#26725;\&#39044;&#31639;&#34920;&#24335;\&#39044;&#31639;&#34920;&#24335;\2025&#24180;&#35843;&#25972;&#39044;&#31639;&#34920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25191;&#34892;/&#38215;&#31649;&#20648;&#22791;&#25945;&#24072;&#39044;&#31639;&#34920;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5年基本支出预算表"/>
      <sheetName val="生均公用定额标准"/>
      <sheetName val="其他定额标准"/>
      <sheetName val="底稿"/>
      <sheetName val="2025中小学生均"/>
      <sheetName val="2025幼儿园生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>
            <v>3718213</v>
          </cell>
        </row>
        <row r="3">
          <cell r="G3">
            <v>3223549</v>
          </cell>
        </row>
        <row r="4">
          <cell r="G4">
            <v>9157</v>
          </cell>
        </row>
        <row r="5">
          <cell r="G5">
            <v>583000</v>
          </cell>
        </row>
        <row r="6">
          <cell r="G6">
            <v>94925.290000000008</v>
          </cell>
        </row>
        <row r="7">
          <cell r="G7">
            <v>151238.84</v>
          </cell>
        </row>
        <row r="8">
          <cell r="G8">
            <v>662500</v>
          </cell>
        </row>
        <row r="9">
          <cell r="G9">
            <v>2778648.8599999994</v>
          </cell>
        </row>
        <row r="10">
          <cell r="G10">
            <v>68352.45</v>
          </cell>
        </row>
        <row r="11">
          <cell r="G11">
            <v>256100</v>
          </cell>
        </row>
        <row r="12">
          <cell r="G12">
            <v>4835058.68</v>
          </cell>
        </row>
        <row r="13">
          <cell r="G13">
            <v>2419764.4</v>
          </cell>
        </row>
        <row r="14">
          <cell r="G14">
            <v>2094075</v>
          </cell>
        </row>
        <row r="15">
          <cell r="G15">
            <v>1776200</v>
          </cell>
        </row>
        <row r="16">
          <cell r="G16">
            <v>2370</v>
          </cell>
        </row>
        <row r="17">
          <cell r="G17">
            <v>3850</v>
          </cell>
        </row>
        <row r="20">
          <cell r="G20">
            <v>2423819</v>
          </cell>
        </row>
        <row r="21">
          <cell r="G21">
            <v>1951768</v>
          </cell>
        </row>
        <row r="22">
          <cell r="G22">
            <v>5445</v>
          </cell>
        </row>
        <row r="23">
          <cell r="G23">
            <v>374440</v>
          </cell>
        </row>
        <row r="24">
          <cell r="G24">
            <v>36631.589999999997</v>
          </cell>
        </row>
        <row r="25">
          <cell r="G25">
            <v>93592.339999999982</v>
          </cell>
        </row>
        <row r="26">
          <cell r="G26">
            <v>381571</v>
          </cell>
        </row>
        <row r="27">
          <cell r="G27">
            <v>1645636.22</v>
          </cell>
        </row>
        <row r="28">
          <cell r="G28">
            <v>44857.41</v>
          </cell>
        </row>
        <row r="29">
          <cell r="G29">
            <v>161070</v>
          </cell>
        </row>
        <row r="30">
          <cell r="G30">
            <v>2995012.1799999997</v>
          </cell>
        </row>
        <row r="31">
          <cell r="G31">
            <v>1489720</v>
          </cell>
        </row>
        <row r="32">
          <cell r="G32">
            <v>1301086</v>
          </cell>
        </row>
        <row r="33">
          <cell r="G33">
            <v>1096730</v>
          </cell>
        </row>
        <row r="34">
          <cell r="G34">
            <v>2700</v>
          </cell>
        </row>
        <row r="35">
          <cell r="G35">
            <v>1750</v>
          </cell>
        </row>
        <row r="38">
          <cell r="G38">
            <v>2458016</v>
          </cell>
        </row>
        <row r="39">
          <cell r="G39">
            <v>2526108</v>
          </cell>
        </row>
        <row r="40">
          <cell r="G40">
            <v>7308</v>
          </cell>
        </row>
        <row r="41">
          <cell r="G41">
            <v>390680</v>
          </cell>
        </row>
        <row r="42">
          <cell r="G42">
            <v>61510.540000000008</v>
          </cell>
        </row>
        <row r="43">
          <cell r="G43">
            <v>97759.889999999985</v>
          </cell>
        </row>
        <row r="44">
          <cell r="G44">
            <v>453000</v>
          </cell>
        </row>
        <row r="45">
          <cell r="G45">
            <v>1759677.9800000004</v>
          </cell>
        </row>
        <row r="46">
          <cell r="G46">
            <v>98546</v>
          </cell>
        </row>
        <row r="47">
          <cell r="G47">
            <v>185390</v>
          </cell>
        </row>
        <row r="48">
          <cell r="G48">
            <v>3114312.1800000006</v>
          </cell>
        </row>
        <row r="49">
          <cell r="G49">
            <v>1564158.38</v>
          </cell>
        </row>
        <row r="50">
          <cell r="G50">
            <v>1363838</v>
          </cell>
        </row>
        <row r="51">
          <cell r="G51">
            <v>1358230</v>
          </cell>
        </row>
        <row r="52">
          <cell r="G52">
            <v>2190</v>
          </cell>
        </row>
        <row r="53">
          <cell r="G53">
            <v>1920</v>
          </cell>
        </row>
        <row r="57">
          <cell r="G57">
            <v>2667704</v>
          </cell>
        </row>
        <row r="58">
          <cell r="G58">
            <v>2435815</v>
          </cell>
        </row>
        <row r="59">
          <cell r="G59">
            <v>6112</v>
          </cell>
        </row>
        <row r="60">
          <cell r="G60">
            <v>427240</v>
          </cell>
        </row>
        <row r="61">
          <cell r="G61">
            <v>61522.739999999991</v>
          </cell>
        </row>
        <row r="62">
          <cell r="G62">
            <v>97815.65</v>
          </cell>
        </row>
        <row r="63">
          <cell r="G63">
            <v>498000</v>
          </cell>
        </row>
        <row r="64">
          <cell r="G64">
            <v>1760640.9000000004</v>
          </cell>
        </row>
        <row r="65">
          <cell r="G65">
            <v>58827.55</v>
          </cell>
        </row>
        <row r="66">
          <cell r="G66">
            <v>185630</v>
          </cell>
        </row>
        <row r="67">
          <cell r="G67">
            <v>3102568.73</v>
          </cell>
        </row>
        <row r="68">
          <cell r="G68">
            <v>1565009.6</v>
          </cell>
        </row>
        <row r="69">
          <cell r="G69">
            <v>1365848</v>
          </cell>
        </row>
        <row r="70">
          <cell r="G70">
            <v>913780</v>
          </cell>
        </row>
        <row r="71">
          <cell r="G71">
            <v>2160</v>
          </cell>
        </row>
        <row r="72">
          <cell r="G72">
            <v>4550</v>
          </cell>
        </row>
        <row r="75">
          <cell r="G75">
            <v>5877483.4000000004</v>
          </cell>
        </row>
        <row r="76">
          <cell r="G76">
            <v>4256636.8</v>
          </cell>
        </row>
        <row r="77">
          <cell r="G77">
            <v>10915</v>
          </cell>
        </row>
        <row r="78">
          <cell r="G78">
            <v>932280</v>
          </cell>
        </row>
        <row r="79">
          <cell r="G79">
            <v>138470.72999999998</v>
          </cell>
        </row>
        <row r="80">
          <cell r="G80">
            <v>217804.57</v>
          </cell>
        </row>
        <row r="81">
          <cell r="G81">
            <v>1152500</v>
          </cell>
        </row>
        <row r="82">
          <cell r="G82">
            <v>3998415.86</v>
          </cell>
        </row>
        <row r="83">
          <cell r="G83">
            <v>18155.34</v>
          </cell>
        </row>
        <row r="84">
          <cell r="G84">
            <v>372340</v>
          </cell>
        </row>
        <row r="85">
          <cell r="G85">
            <v>7020134.7000000002</v>
          </cell>
        </row>
        <row r="86">
          <cell r="G86">
            <v>3520806.72</v>
          </cell>
        </row>
        <row r="87">
          <cell r="G87">
            <v>3102013</v>
          </cell>
        </row>
        <row r="88">
          <cell r="G88">
            <v>420245</v>
          </cell>
        </row>
        <row r="89">
          <cell r="G89">
            <v>4470</v>
          </cell>
        </row>
        <row r="90">
          <cell r="G90">
            <v>7700</v>
          </cell>
        </row>
        <row r="93">
          <cell r="G93">
            <v>1875827</v>
          </cell>
        </row>
        <row r="94">
          <cell r="G94">
            <v>1096655</v>
          </cell>
        </row>
        <row r="95">
          <cell r="G95">
            <v>2844</v>
          </cell>
        </row>
        <row r="96">
          <cell r="G96">
            <v>314600</v>
          </cell>
        </row>
        <row r="97">
          <cell r="G97">
            <v>36532.42</v>
          </cell>
        </row>
        <row r="98">
          <cell r="G98">
            <v>62486.65</v>
          </cell>
        </row>
        <row r="99">
          <cell r="G99">
            <v>358200</v>
          </cell>
        </row>
        <row r="100">
          <cell r="G100">
            <v>1255842.4300000002</v>
          </cell>
        </row>
        <row r="101">
          <cell r="G101">
            <v>1400</v>
          </cell>
        </row>
        <row r="102">
          <cell r="G102">
            <v>125700</v>
          </cell>
        </row>
        <row r="103">
          <cell r="G103">
            <v>2225467.7000000002</v>
          </cell>
        </row>
        <row r="104">
          <cell r="G104">
            <v>1117391.44</v>
          </cell>
        </row>
        <row r="105">
          <cell r="G105">
            <v>988424</v>
          </cell>
        </row>
        <row r="106">
          <cell r="G106">
            <v>0</v>
          </cell>
        </row>
        <row r="107">
          <cell r="G107">
            <v>2430</v>
          </cell>
        </row>
        <row r="108">
          <cell r="G108">
            <v>6500</v>
          </cell>
        </row>
        <row r="111">
          <cell r="G111">
            <v>1670022.44</v>
          </cell>
        </row>
        <row r="112">
          <cell r="G112">
            <v>1448389</v>
          </cell>
        </row>
        <row r="113">
          <cell r="G113">
            <v>4532</v>
          </cell>
        </row>
        <row r="114">
          <cell r="G114">
            <v>286000</v>
          </cell>
        </row>
        <row r="115">
          <cell r="G115">
            <v>42675.209999999992</v>
          </cell>
        </row>
        <row r="116">
          <cell r="G116">
            <v>61330.92</v>
          </cell>
        </row>
        <row r="117">
          <cell r="G117">
            <v>330400</v>
          </cell>
        </row>
        <row r="118">
          <cell r="G118">
            <v>1124653.19</v>
          </cell>
        </row>
        <row r="119">
          <cell r="G119">
            <v>5862.7199999999993</v>
          </cell>
        </row>
        <row r="120">
          <cell r="G120">
            <v>111690</v>
          </cell>
        </row>
        <row r="121">
          <cell r="G121">
            <v>1962593.0200000003</v>
          </cell>
        </row>
        <row r="122">
          <cell r="G122">
            <v>981300.7100000002</v>
          </cell>
        </row>
        <row r="123">
          <cell r="G123">
            <v>857706</v>
          </cell>
        </row>
        <row r="125">
          <cell r="G125">
            <v>3240</v>
          </cell>
        </row>
        <row r="126">
          <cell r="G126">
            <v>1000</v>
          </cell>
        </row>
        <row r="129">
          <cell r="G129">
            <v>1413400</v>
          </cell>
        </row>
        <row r="130">
          <cell r="G130">
            <v>1114194</v>
          </cell>
        </row>
        <row r="131">
          <cell r="G131">
            <v>3350</v>
          </cell>
        </row>
        <row r="132">
          <cell r="G132">
            <v>231540</v>
          </cell>
        </row>
        <row r="133">
          <cell r="G133">
            <v>34053.979999999996</v>
          </cell>
        </row>
        <row r="134">
          <cell r="G134">
            <v>52161.17</v>
          </cell>
        </row>
        <row r="135">
          <cell r="G135">
            <v>266500</v>
          </cell>
        </row>
        <row r="136">
          <cell r="G136">
            <v>938889.06</v>
          </cell>
        </row>
        <row r="137">
          <cell r="G137">
            <v>21376</v>
          </cell>
        </row>
        <row r="138">
          <cell r="G138">
            <v>91770</v>
          </cell>
        </row>
        <row r="139">
          <cell r="G139">
            <v>1629133.44</v>
          </cell>
        </row>
        <row r="140">
          <cell r="G140">
            <v>834566.72</v>
          </cell>
        </row>
        <row r="141">
          <cell r="G141">
            <v>734407</v>
          </cell>
        </row>
        <row r="142">
          <cell r="G142">
            <v>347020</v>
          </cell>
        </row>
        <row r="143">
          <cell r="G143">
            <v>3150</v>
          </cell>
        </row>
        <row r="144">
          <cell r="G144">
            <v>4600</v>
          </cell>
        </row>
        <row r="147">
          <cell r="G147">
            <v>1296001.99</v>
          </cell>
        </row>
        <row r="148">
          <cell r="G148">
            <v>884257</v>
          </cell>
        </row>
        <row r="149">
          <cell r="G149">
            <v>7246.4</v>
          </cell>
        </row>
        <row r="150">
          <cell r="G150">
            <v>216480</v>
          </cell>
        </row>
        <row r="151">
          <cell r="G151">
            <v>32553.48</v>
          </cell>
        </row>
        <row r="152">
          <cell r="G152">
            <v>45422.559999999998</v>
          </cell>
        </row>
        <row r="153">
          <cell r="G153">
            <v>250000</v>
          </cell>
        </row>
        <row r="154">
          <cell r="G154">
            <v>816603.12</v>
          </cell>
        </row>
        <row r="155">
          <cell r="G155">
            <v>0</v>
          </cell>
        </row>
        <row r="156">
          <cell r="G156">
            <v>81100</v>
          </cell>
        </row>
        <row r="157">
          <cell r="G157">
            <v>1450373.67</v>
          </cell>
        </row>
        <row r="158">
          <cell r="G158">
            <v>725135.14</v>
          </cell>
        </row>
        <row r="159">
          <cell r="G159">
            <v>649912</v>
          </cell>
        </row>
        <row r="160">
          <cell r="G160">
            <v>95340</v>
          </cell>
        </row>
        <row r="161">
          <cell r="G161">
            <v>3960</v>
          </cell>
        </row>
        <row r="162">
          <cell r="G162">
            <v>4700</v>
          </cell>
        </row>
        <row r="166">
          <cell r="G166">
            <v>1365272</v>
          </cell>
        </row>
        <row r="167">
          <cell r="G167">
            <v>1015595.68</v>
          </cell>
        </row>
        <row r="168">
          <cell r="G168">
            <v>3233</v>
          </cell>
        </row>
        <row r="169">
          <cell r="G169">
            <v>227920</v>
          </cell>
        </row>
        <row r="170">
          <cell r="G170">
            <v>18950.120000000003</v>
          </cell>
        </row>
        <row r="171">
          <cell r="G171">
            <v>48657.079999999987</v>
          </cell>
        </row>
        <row r="172">
          <cell r="G172">
            <v>259000</v>
          </cell>
        </row>
        <row r="173">
          <cell r="G173">
            <v>867197.1399999999</v>
          </cell>
        </row>
        <row r="174">
          <cell r="G174">
            <v>0</v>
          </cell>
        </row>
        <row r="175">
          <cell r="G175">
            <v>82770</v>
          </cell>
        </row>
        <row r="176">
          <cell r="G176">
            <v>1499123.2700000003</v>
          </cell>
        </row>
        <row r="178">
          <cell r="G178">
            <v>683560</v>
          </cell>
        </row>
        <row r="179">
          <cell r="G179">
            <v>13020</v>
          </cell>
        </row>
        <row r="180">
          <cell r="G180">
            <v>3240</v>
          </cell>
        </row>
        <row r="181">
          <cell r="G181">
            <v>1400</v>
          </cell>
        </row>
        <row r="185">
          <cell r="G185">
            <v>4420721</v>
          </cell>
        </row>
        <row r="186">
          <cell r="G186">
            <v>2833512</v>
          </cell>
        </row>
        <row r="187">
          <cell r="G187">
            <v>8816</v>
          </cell>
        </row>
        <row r="188">
          <cell r="G188">
            <v>679360</v>
          </cell>
        </row>
        <row r="189">
          <cell r="G189">
            <v>88736.680000000008</v>
          </cell>
        </row>
        <row r="190">
          <cell r="G190">
            <v>158713.54</v>
          </cell>
        </row>
        <row r="191">
          <cell r="G191">
            <v>769000</v>
          </cell>
        </row>
        <row r="192">
          <cell r="G192">
            <v>2856850.0900000003</v>
          </cell>
        </row>
        <row r="193">
          <cell r="G193">
            <v>7413.3</v>
          </cell>
        </row>
        <row r="194">
          <cell r="G194">
            <v>270860</v>
          </cell>
        </row>
        <row r="195">
          <cell r="G195">
            <v>5078843.93</v>
          </cell>
        </row>
        <row r="196">
          <cell r="G196">
            <v>2539421.6200000006</v>
          </cell>
        </row>
        <row r="197">
          <cell r="G197">
            <v>2219422</v>
          </cell>
        </row>
        <row r="198">
          <cell r="G198">
            <v>84230</v>
          </cell>
        </row>
        <row r="199">
          <cell r="G199">
            <v>3480</v>
          </cell>
        </row>
        <row r="200">
          <cell r="G200">
            <v>10000</v>
          </cell>
        </row>
        <row r="203">
          <cell r="G203">
            <v>164918</v>
          </cell>
        </row>
        <row r="204">
          <cell r="G204">
            <v>140279</v>
          </cell>
        </row>
        <row r="205">
          <cell r="G205">
            <v>372</v>
          </cell>
        </row>
        <row r="206">
          <cell r="G206">
            <v>26400</v>
          </cell>
        </row>
        <row r="207">
          <cell r="G207">
            <v>2507.96</v>
          </cell>
        </row>
        <row r="208">
          <cell r="G208">
            <v>6375.8200000000006</v>
          </cell>
        </row>
        <row r="209">
          <cell r="G209">
            <v>30000</v>
          </cell>
        </row>
        <row r="210">
          <cell r="G210">
            <v>114761.32</v>
          </cell>
        </row>
        <row r="211">
          <cell r="G211">
            <v>1403.64</v>
          </cell>
        </row>
        <row r="212">
          <cell r="G212">
            <v>14300</v>
          </cell>
        </row>
        <row r="213">
          <cell r="G213">
            <v>204019.36</v>
          </cell>
        </row>
        <row r="214">
          <cell r="G214">
            <v>95292.84</v>
          </cell>
        </row>
        <row r="215">
          <cell r="G215">
            <v>89340</v>
          </cell>
        </row>
        <row r="216">
          <cell r="G216">
            <v>78900</v>
          </cell>
        </row>
        <row r="217">
          <cell r="G217">
            <v>0</v>
          </cell>
        </row>
        <row r="218">
          <cell r="G218">
            <v>0</v>
          </cell>
        </row>
        <row r="222">
          <cell r="G222">
            <v>517177</v>
          </cell>
        </row>
        <row r="223">
          <cell r="G223">
            <v>298954</v>
          </cell>
        </row>
        <row r="224">
          <cell r="G224">
            <v>906</v>
          </cell>
        </row>
        <row r="225">
          <cell r="G225">
            <v>91960</v>
          </cell>
        </row>
        <row r="226">
          <cell r="G226">
            <v>11225.140000000001</v>
          </cell>
        </row>
        <row r="227">
          <cell r="G227">
            <v>17825.14</v>
          </cell>
        </row>
        <row r="228">
          <cell r="G228">
            <v>104500</v>
          </cell>
        </row>
        <row r="229">
          <cell r="G229">
            <v>320843.16000000003</v>
          </cell>
        </row>
        <row r="230">
          <cell r="G230">
            <v>0</v>
          </cell>
        </row>
        <row r="231">
          <cell r="G231">
            <v>35615</v>
          </cell>
        </row>
        <row r="232">
          <cell r="G232">
            <v>570385.76</v>
          </cell>
        </row>
        <row r="233">
          <cell r="G233">
            <v>285192.88</v>
          </cell>
        </row>
        <row r="234">
          <cell r="G234">
            <v>250444</v>
          </cell>
        </row>
        <row r="235">
          <cell r="G235">
            <v>0</v>
          </cell>
        </row>
        <row r="236">
          <cell r="G236">
            <v>90</v>
          </cell>
        </row>
        <row r="237">
          <cell r="G237">
            <v>700</v>
          </cell>
        </row>
        <row r="240">
          <cell r="G240">
            <v>2639804.2999999998</v>
          </cell>
        </row>
        <row r="241">
          <cell r="G241">
            <v>1593379.5</v>
          </cell>
        </row>
        <row r="242">
          <cell r="G242">
            <v>2973</v>
          </cell>
        </row>
        <row r="243">
          <cell r="G243">
            <v>443120</v>
          </cell>
        </row>
        <row r="244">
          <cell r="G244">
            <v>43447.3</v>
          </cell>
        </row>
        <row r="245">
          <cell r="G245">
            <v>107259.71</v>
          </cell>
        </row>
        <row r="246">
          <cell r="G246">
            <v>507500</v>
          </cell>
        </row>
        <row r="247">
          <cell r="G247">
            <v>1941684.1799999997</v>
          </cell>
        </row>
        <row r="248">
          <cell r="G248">
            <v>0</v>
          </cell>
        </row>
        <row r="249">
          <cell r="G249">
            <v>157720</v>
          </cell>
        </row>
        <row r="250">
          <cell r="G250">
            <v>3460214.88</v>
          </cell>
        </row>
        <row r="251">
          <cell r="G251">
            <v>1703902.5</v>
          </cell>
        </row>
        <row r="252">
          <cell r="G252">
            <v>1464399</v>
          </cell>
        </row>
        <row r="253">
          <cell r="G253">
            <v>79300</v>
          </cell>
        </row>
        <row r="254">
          <cell r="G254">
            <v>3840</v>
          </cell>
        </row>
        <row r="255">
          <cell r="G255">
            <v>1100</v>
          </cell>
        </row>
        <row r="258">
          <cell r="G258">
            <v>927131.75</v>
          </cell>
        </row>
        <row r="259">
          <cell r="G259">
            <v>627199.32000000007</v>
          </cell>
        </row>
        <row r="260">
          <cell r="G260">
            <v>1799</v>
          </cell>
        </row>
        <row r="261">
          <cell r="G261">
            <v>164120</v>
          </cell>
        </row>
        <row r="264">
          <cell r="G264">
            <v>188500</v>
          </cell>
        </row>
        <row r="266">
          <cell r="G266">
            <v>2958.86</v>
          </cell>
        </row>
        <row r="267">
          <cell r="G267">
            <v>65710</v>
          </cell>
        </row>
        <row r="270">
          <cell r="G270">
            <v>470999</v>
          </cell>
        </row>
        <row r="271">
          <cell r="G271">
            <v>186300</v>
          </cell>
        </row>
        <row r="272">
          <cell r="G272">
            <v>1080</v>
          </cell>
        </row>
        <row r="273">
          <cell r="G273">
            <v>1200</v>
          </cell>
        </row>
      </sheetData>
      <sheetData sheetId="11">
        <row r="3">
          <cell r="X3">
            <v>4946485</v>
          </cell>
          <cell r="Y3">
            <v>247324.25</v>
          </cell>
        </row>
        <row r="4">
          <cell r="X4">
            <v>5166495</v>
          </cell>
          <cell r="Y4">
            <v>258324.75</v>
          </cell>
        </row>
        <row r="5">
          <cell r="X5">
            <v>3707920</v>
          </cell>
          <cell r="Y5">
            <v>185396</v>
          </cell>
        </row>
        <row r="7">
          <cell r="X7">
            <v>2976780</v>
          </cell>
          <cell r="Y7">
            <v>148839</v>
          </cell>
        </row>
        <row r="8">
          <cell r="X8">
            <v>3848400</v>
          </cell>
          <cell r="Y8">
            <v>192420</v>
          </cell>
        </row>
        <row r="9">
          <cell r="X9">
            <v>6298175</v>
          </cell>
          <cell r="Y9">
            <v>314908.75</v>
          </cell>
        </row>
        <row r="10">
          <cell r="X10">
            <v>6804495</v>
          </cell>
          <cell r="Y10">
            <v>340224.75</v>
          </cell>
        </row>
      </sheetData>
      <sheetData sheetId="12">
        <row r="2">
          <cell r="L2">
            <v>682070</v>
          </cell>
          <cell r="M2">
            <v>34103.5</v>
          </cell>
        </row>
        <row r="3">
          <cell r="L3">
            <v>286000</v>
          </cell>
          <cell r="M3">
            <v>6935.5</v>
          </cell>
        </row>
        <row r="4">
          <cell r="L4">
            <v>572000</v>
          </cell>
          <cell r="M4">
            <v>14157</v>
          </cell>
        </row>
        <row r="5">
          <cell r="L5">
            <v>858000</v>
          </cell>
          <cell r="M5">
            <v>23738</v>
          </cell>
        </row>
        <row r="6">
          <cell r="L6">
            <v>1166870</v>
          </cell>
          <cell r="M6">
            <v>58343.5</v>
          </cell>
        </row>
        <row r="7">
          <cell r="L7">
            <v>715000</v>
          </cell>
          <cell r="M7">
            <v>30602</v>
          </cell>
        </row>
        <row r="8">
          <cell r="L8">
            <v>893700</v>
          </cell>
          <cell r="M8">
            <v>40967</v>
          </cell>
        </row>
        <row r="9">
          <cell r="L9">
            <v>858000</v>
          </cell>
          <cell r="M9">
            <v>34177</v>
          </cell>
        </row>
        <row r="10">
          <cell r="L10">
            <v>1129670</v>
          </cell>
          <cell r="M10">
            <v>56483.5</v>
          </cell>
        </row>
        <row r="11">
          <cell r="L11">
            <v>572000</v>
          </cell>
          <cell r="M11">
            <v>21521.5</v>
          </cell>
        </row>
        <row r="12">
          <cell r="L12">
            <v>750700</v>
          </cell>
          <cell r="M12">
            <v>36248</v>
          </cell>
        </row>
        <row r="13">
          <cell r="L13">
            <v>572000</v>
          </cell>
          <cell r="M13">
            <v>17660.5</v>
          </cell>
        </row>
        <row r="14">
          <cell r="L14">
            <v>858000</v>
          </cell>
          <cell r="M14">
            <v>31746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单位名</v>
          </cell>
          <cell r="E1" t="str">
            <v>隶属</v>
          </cell>
          <cell r="F1" t="str">
            <v>所在镇</v>
          </cell>
        </row>
        <row r="2">
          <cell r="D2" t="str">
            <v>上海市闵行区颛桥镇第二幼儿园</v>
          </cell>
          <cell r="E2" t="str">
            <v>镇管</v>
          </cell>
          <cell r="F2" t="str">
            <v>颛桥</v>
          </cell>
        </row>
        <row r="3">
          <cell r="D3" t="str">
            <v>上海师范大学闵行实验幼儿园</v>
          </cell>
          <cell r="E3" t="str">
            <v>镇管</v>
          </cell>
          <cell r="F3" t="str">
            <v>颛桥</v>
          </cell>
        </row>
        <row r="4">
          <cell r="D4" t="str">
            <v>上海师范大学闵行实验幼儿园</v>
          </cell>
          <cell r="E4" t="str">
            <v>镇管</v>
          </cell>
          <cell r="F4" t="str">
            <v>颛桥</v>
          </cell>
        </row>
        <row r="5">
          <cell r="D5" t="str">
            <v>上海市闵行区君莲幼儿园</v>
          </cell>
          <cell r="E5" t="str">
            <v>镇管</v>
          </cell>
          <cell r="F5" t="str">
            <v>颛桥</v>
          </cell>
        </row>
        <row r="6">
          <cell r="D6" t="str">
            <v>上海市闵行区君莲幼儿园</v>
          </cell>
          <cell r="E6" t="str">
            <v>镇管</v>
          </cell>
          <cell r="F6" t="str">
            <v>颛桥</v>
          </cell>
        </row>
        <row r="7">
          <cell r="D7" t="str">
            <v>上海市闵行区君莲幼儿园</v>
          </cell>
          <cell r="E7" t="str">
            <v>镇管</v>
          </cell>
          <cell r="F7" t="str">
            <v>颛桥</v>
          </cell>
        </row>
        <row r="8">
          <cell r="D8" t="str">
            <v>上海市闵行区田园外语实验小学</v>
          </cell>
          <cell r="E8" t="str">
            <v>镇管</v>
          </cell>
          <cell r="F8" t="str">
            <v>颛桥</v>
          </cell>
        </row>
        <row r="9">
          <cell r="D9" t="str">
            <v>上海市闵行区田园外语实验小学</v>
          </cell>
          <cell r="E9" t="str">
            <v>镇管</v>
          </cell>
          <cell r="F9" t="str">
            <v>颛桥</v>
          </cell>
        </row>
        <row r="10">
          <cell r="D10" t="str">
            <v>上海市闵行区田园外语实验小学</v>
          </cell>
          <cell r="E10" t="str">
            <v>镇管</v>
          </cell>
          <cell r="F10" t="str">
            <v>颛桥</v>
          </cell>
        </row>
        <row r="11">
          <cell r="D11" t="str">
            <v>上海市闵行区田园外语实验小学</v>
          </cell>
          <cell r="E11" t="str">
            <v>镇管</v>
          </cell>
          <cell r="F11" t="str">
            <v>颛桥</v>
          </cell>
        </row>
        <row r="12">
          <cell r="D12" t="str">
            <v>上海市闵行区田园外语实验小学</v>
          </cell>
          <cell r="E12" t="str">
            <v>镇管</v>
          </cell>
          <cell r="F12" t="str">
            <v>颛桥</v>
          </cell>
        </row>
        <row r="13">
          <cell r="D13" t="str">
            <v>上海市闵行区田园外语实验小学</v>
          </cell>
          <cell r="E13" t="str">
            <v>镇管</v>
          </cell>
          <cell r="F13" t="str">
            <v>颛桥</v>
          </cell>
        </row>
        <row r="14">
          <cell r="D14" t="str">
            <v>上海市闵行区田园外语实验小学</v>
          </cell>
          <cell r="E14" t="str">
            <v>镇管</v>
          </cell>
          <cell r="F14" t="str">
            <v>颛桥</v>
          </cell>
        </row>
        <row r="15">
          <cell r="D15" t="str">
            <v>上海市闵行区田园外语实验小学</v>
          </cell>
          <cell r="E15" t="str">
            <v>镇管</v>
          </cell>
          <cell r="F15" t="str">
            <v>颛桥</v>
          </cell>
        </row>
        <row r="16">
          <cell r="D16" t="str">
            <v>上海市闵行区君莲学校</v>
          </cell>
          <cell r="E16" t="str">
            <v>镇管</v>
          </cell>
          <cell r="F16" t="str">
            <v>颛桥</v>
          </cell>
        </row>
        <row r="17">
          <cell r="D17" t="str">
            <v>上海市闵行区田园第二外语实验小学</v>
          </cell>
          <cell r="E17" t="str">
            <v>镇管</v>
          </cell>
          <cell r="F17" t="str">
            <v>颛桥</v>
          </cell>
        </row>
        <row r="18">
          <cell r="D18" t="str">
            <v>上海市闵行区田园第二外语实验小学</v>
          </cell>
          <cell r="E18" t="str">
            <v>镇管</v>
          </cell>
          <cell r="F18" t="str">
            <v>颛桥</v>
          </cell>
        </row>
        <row r="19">
          <cell r="D19" t="str">
            <v>上海市闵行区田园外国语中学</v>
          </cell>
          <cell r="E19" t="str">
            <v>镇管</v>
          </cell>
          <cell r="F19" t="str">
            <v>颛桥</v>
          </cell>
        </row>
        <row r="20">
          <cell r="D20" t="str">
            <v>上海市闵行区田园外国语中学</v>
          </cell>
          <cell r="E20" t="str">
            <v>镇管</v>
          </cell>
          <cell r="F20" t="str">
            <v>颛桥</v>
          </cell>
        </row>
        <row r="21">
          <cell r="D21" t="str">
            <v>上海市闵行区田园外国语中学</v>
          </cell>
          <cell r="E21" t="str">
            <v>镇管</v>
          </cell>
          <cell r="F21" t="str">
            <v>颛桥</v>
          </cell>
        </row>
        <row r="22">
          <cell r="D22" t="str">
            <v>上海市闵行区田园外国语中学</v>
          </cell>
          <cell r="E22" t="str">
            <v>镇管</v>
          </cell>
          <cell r="F22" t="str">
            <v>颛桥</v>
          </cell>
        </row>
        <row r="23">
          <cell r="D23" t="str">
            <v>上海市闵行区田园外国语中学</v>
          </cell>
          <cell r="E23" t="str">
            <v>镇管</v>
          </cell>
          <cell r="F23" t="str">
            <v>颛桥</v>
          </cell>
        </row>
        <row r="24">
          <cell r="D24" t="str">
            <v>上海市闵行区田园外国语中学</v>
          </cell>
          <cell r="E24" t="str">
            <v>镇管</v>
          </cell>
          <cell r="F24" t="str">
            <v>颛桥</v>
          </cell>
        </row>
        <row r="25">
          <cell r="D25" t="str">
            <v>上海市闵行区田园外国语中学</v>
          </cell>
          <cell r="E25" t="str">
            <v>镇管</v>
          </cell>
          <cell r="F25" t="str">
            <v>颛桥</v>
          </cell>
        </row>
        <row r="26">
          <cell r="D26" t="str">
            <v>上海市闵行区田园外国语中学</v>
          </cell>
          <cell r="E26" t="str">
            <v>镇管</v>
          </cell>
          <cell r="F26" t="str">
            <v>颛桥</v>
          </cell>
        </row>
        <row r="27">
          <cell r="D27" t="str">
            <v>上海市闵行区田园外国语中学</v>
          </cell>
          <cell r="E27" t="str">
            <v>镇管</v>
          </cell>
          <cell r="F27" t="str">
            <v>颛桥</v>
          </cell>
        </row>
        <row r="28">
          <cell r="D28" t="str">
            <v>上海市闵行区田园外国语中学</v>
          </cell>
          <cell r="E28" t="str">
            <v>镇管</v>
          </cell>
          <cell r="F28" t="str">
            <v>颛桥</v>
          </cell>
        </row>
        <row r="29">
          <cell r="D29" t="str">
            <v>上海市闵行区君莲学校</v>
          </cell>
          <cell r="E29" t="str">
            <v>镇管</v>
          </cell>
          <cell r="F29" t="str">
            <v>颛桥</v>
          </cell>
        </row>
        <row r="30">
          <cell r="D30" t="str">
            <v>上海市闵行区君莲学校</v>
          </cell>
          <cell r="E30" t="str">
            <v>镇管</v>
          </cell>
          <cell r="F30" t="str">
            <v>颛桥</v>
          </cell>
        </row>
        <row r="31">
          <cell r="D31" t="str">
            <v>上海市闵行区北桥中学</v>
          </cell>
          <cell r="E31" t="str">
            <v>镇管</v>
          </cell>
          <cell r="F31" t="str">
            <v>颛桥</v>
          </cell>
        </row>
        <row r="32">
          <cell r="D32" t="str">
            <v>上海市闵行区北桥中学</v>
          </cell>
          <cell r="E32" t="str">
            <v>镇管</v>
          </cell>
          <cell r="F32" t="str">
            <v>颛桥</v>
          </cell>
        </row>
        <row r="33">
          <cell r="D33" t="str">
            <v>上海市闵行区颛桥中学</v>
          </cell>
          <cell r="E33" t="str">
            <v>镇管</v>
          </cell>
          <cell r="F33" t="str">
            <v>颛桥</v>
          </cell>
        </row>
        <row r="34">
          <cell r="D34" t="str">
            <v>上海市闵行区颛桥中学</v>
          </cell>
          <cell r="E34" t="str">
            <v>镇管</v>
          </cell>
          <cell r="F34" t="str">
            <v>颛桥</v>
          </cell>
        </row>
        <row r="35">
          <cell r="D35" t="str">
            <v>上海市闵行区颛桥中学</v>
          </cell>
          <cell r="E35" t="str">
            <v>镇管</v>
          </cell>
          <cell r="F35" t="str">
            <v>颛桥</v>
          </cell>
        </row>
        <row r="36">
          <cell r="D36" t="str">
            <v>上海市闵行区颛桥中学</v>
          </cell>
          <cell r="E36" t="str">
            <v>镇管</v>
          </cell>
          <cell r="F36" t="str">
            <v>颛桥</v>
          </cell>
        </row>
        <row r="37">
          <cell r="D37" t="str">
            <v>上海市闵行区颛桥中学</v>
          </cell>
          <cell r="E37" t="str">
            <v>镇管</v>
          </cell>
          <cell r="F37" t="str">
            <v>颛桥</v>
          </cell>
        </row>
        <row r="38">
          <cell r="D38" t="str">
            <v>上海市闵行区北桥中学</v>
          </cell>
          <cell r="E38" t="str">
            <v>镇管</v>
          </cell>
          <cell r="F38" t="str">
            <v>颛桥</v>
          </cell>
        </row>
        <row r="39">
          <cell r="D39" t="str">
            <v>上海市闵行区颛桥中学</v>
          </cell>
          <cell r="E39" t="str">
            <v>镇管</v>
          </cell>
          <cell r="F39" t="str">
            <v>颛桥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 t="str">
            <v>华东师范大学附属闵行永德幼儿园</v>
          </cell>
          <cell r="E41" t="str">
            <v>镇管</v>
          </cell>
          <cell r="F41" t="str">
            <v>吴泾</v>
          </cell>
        </row>
        <row r="42">
          <cell r="D42" t="str">
            <v>华东师范大学附属闵行永德幼儿园</v>
          </cell>
          <cell r="E42" t="str">
            <v>镇管</v>
          </cell>
          <cell r="F42" t="str">
            <v>吴泾</v>
          </cell>
        </row>
        <row r="43">
          <cell r="D43" t="str">
            <v>华东师范大学附属闵行永德幼儿园</v>
          </cell>
          <cell r="E43" t="str">
            <v>镇管</v>
          </cell>
          <cell r="F43" t="str">
            <v>吴泾</v>
          </cell>
        </row>
        <row r="44">
          <cell r="D44" t="str">
            <v>华东师范大学附属闵行永德幼儿园</v>
          </cell>
          <cell r="E44" t="str">
            <v>镇管</v>
          </cell>
          <cell r="F44" t="str">
            <v>吴泾</v>
          </cell>
        </row>
        <row r="45">
          <cell r="D45" t="str">
            <v>华东师范大学附属闵行永德幼儿园</v>
          </cell>
          <cell r="E45" t="str">
            <v>镇管</v>
          </cell>
          <cell r="F45" t="str">
            <v>吴泾</v>
          </cell>
        </row>
        <row r="46">
          <cell r="D46" t="str">
            <v>华东师范大学附属闵行永德幼儿园</v>
          </cell>
          <cell r="E46" t="str">
            <v>镇管</v>
          </cell>
          <cell r="F46" t="str">
            <v>吴泾</v>
          </cell>
        </row>
        <row r="47">
          <cell r="D47" t="str">
            <v>上海市闵行区景东小学</v>
          </cell>
          <cell r="E47" t="str">
            <v>镇管</v>
          </cell>
          <cell r="F47" t="str">
            <v>吴泾</v>
          </cell>
        </row>
        <row r="48">
          <cell r="D48" t="str">
            <v>上海市闵行区景东小学</v>
          </cell>
          <cell r="E48" t="str">
            <v>镇管</v>
          </cell>
          <cell r="F48" t="str">
            <v>吴泾</v>
          </cell>
        </row>
        <row r="49">
          <cell r="D49" t="str">
            <v>上海市闵行区景东小学</v>
          </cell>
          <cell r="E49" t="str">
            <v>镇管</v>
          </cell>
          <cell r="F49" t="str">
            <v>吴泾</v>
          </cell>
        </row>
        <row r="50">
          <cell r="D50" t="str">
            <v>上海市闵行区吴泾镇社区学校</v>
          </cell>
          <cell r="E50" t="str">
            <v>镇管</v>
          </cell>
          <cell r="F50" t="str">
            <v>吴泾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 t="str">
            <v>上海市闵行区康城幼儿园</v>
          </cell>
          <cell r="E52" t="str">
            <v>镇管</v>
          </cell>
          <cell r="F52" t="str">
            <v>莘庄</v>
          </cell>
        </row>
        <row r="53">
          <cell r="D53" t="str">
            <v>上海市闵行区康城幼儿园</v>
          </cell>
          <cell r="E53" t="str">
            <v>镇管</v>
          </cell>
          <cell r="F53" t="str">
            <v>莘庄</v>
          </cell>
        </row>
        <row r="54">
          <cell r="D54" t="str">
            <v>上海市闵行区康城幼儿园</v>
          </cell>
          <cell r="E54" t="str">
            <v>镇管</v>
          </cell>
          <cell r="F54" t="str">
            <v>莘庄</v>
          </cell>
        </row>
        <row r="55">
          <cell r="D55" t="str">
            <v>上海市闵行区明星学校</v>
          </cell>
          <cell r="E55" t="str">
            <v>镇管</v>
          </cell>
          <cell r="F55" t="str">
            <v>莘庄</v>
          </cell>
        </row>
        <row r="56">
          <cell r="D56" t="str">
            <v>上海市闵行区明星学校</v>
          </cell>
          <cell r="E56" t="str">
            <v>镇管</v>
          </cell>
          <cell r="F56" t="str">
            <v>莘庄</v>
          </cell>
        </row>
        <row r="57">
          <cell r="D57" t="str">
            <v>上海市闵行区明星学校</v>
          </cell>
          <cell r="E57" t="str">
            <v>镇管</v>
          </cell>
          <cell r="F57" t="str">
            <v>莘庄</v>
          </cell>
        </row>
        <row r="58">
          <cell r="D58" t="str">
            <v>上海市闵行区明星学校</v>
          </cell>
          <cell r="E58" t="str">
            <v>镇管</v>
          </cell>
          <cell r="F58" t="str">
            <v>莘庄</v>
          </cell>
        </row>
        <row r="59">
          <cell r="D59" t="str">
            <v>上海市闵行区明星学校</v>
          </cell>
          <cell r="E59" t="str">
            <v>镇管</v>
          </cell>
          <cell r="F59" t="str">
            <v>莘庄</v>
          </cell>
        </row>
        <row r="60">
          <cell r="D60" t="str">
            <v>上海市闵行区明星学校</v>
          </cell>
          <cell r="E60" t="str">
            <v>镇管</v>
          </cell>
          <cell r="F60" t="str">
            <v>莘庄</v>
          </cell>
        </row>
        <row r="61">
          <cell r="D61" t="str">
            <v>上海市闵行区明星学校</v>
          </cell>
          <cell r="E61" t="str">
            <v>镇管</v>
          </cell>
          <cell r="F61" t="str">
            <v>莘庄</v>
          </cell>
        </row>
        <row r="62">
          <cell r="D62" t="str">
            <v>上海市闵行区明星学校</v>
          </cell>
          <cell r="E62" t="str">
            <v>镇管</v>
          </cell>
          <cell r="F62" t="str">
            <v>莘庄</v>
          </cell>
        </row>
        <row r="63">
          <cell r="D63" t="str">
            <v>上海市闵行区明星学校</v>
          </cell>
          <cell r="E63" t="str">
            <v>镇管</v>
          </cell>
          <cell r="F63" t="str">
            <v>莘庄</v>
          </cell>
        </row>
        <row r="64">
          <cell r="D64" t="str">
            <v>上海市闵行区明星学校</v>
          </cell>
          <cell r="E64" t="str">
            <v>镇管</v>
          </cell>
          <cell r="F64" t="str">
            <v>莘庄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 t="str">
            <v>上海市闵行区七宝明强幼儿园</v>
          </cell>
          <cell r="E66" t="str">
            <v>镇管</v>
          </cell>
          <cell r="F66" t="str">
            <v>七宝</v>
          </cell>
        </row>
        <row r="67">
          <cell r="D67" t="str">
            <v>上海市闵行区启英宝盛幼儿园</v>
          </cell>
          <cell r="E67" t="str">
            <v>镇管</v>
          </cell>
          <cell r="F67" t="str">
            <v>七宝</v>
          </cell>
        </row>
        <row r="68">
          <cell r="D68" t="str">
            <v>上海市闵行区启英宝盛幼儿园</v>
          </cell>
          <cell r="E68" t="str">
            <v>镇管</v>
          </cell>
          <cell r="F68" t="str">
            <v>七宝</v>
          </cell>
        </row>
        <row r="69">
          <cell r="D69" t="str">
            <v>上海市闵行区启英宝盛幼儿园</v>
          </cell>
          <cell r="E69" t="str">
            <v>镇管</v>
          </cell>
          <cell r="F69" t="str">
            <v>七宝</v>
          </cell>
        </row>
        <row r="70">
          <cell r="D70" t="str">
            <v>闵行区七宝镇明强小学</v>
          </cell>
          <cell r="E70" t="str">
            <v>镇管</v>
          </cell>
          <cell r="F70" t="str">
            <v>七宝</v>
          </cell>
        </row>
        <row r="71">
          <cell r="D71" t="str">
            <v>闵行区七宝镇明强小学</v>
          </cell>
          <cell r="E71" t="str">
            <v>镇管</v>
          </cell>
          <cell r="F71" t="str">
            <v>七宝</v>
          </cell>
        </row>
        <row r="72">
          <cell r="D72" t="str">
            <v>闵行区七宝镇明强小学</v>
          </cell>
          <cell r="E72" t="str">
            <v>镇管</v>
          </cell>
          <cell r="F72" t="str">
            <v>七宝</v>
          </cell>
        </row>
        <row r="73">
          <cell r="D73" t="str">
            <v>上海市闵行区七宝明强第二小学</v>
          </cell>
          <cell r="E73" t="str">
            <v>镇管</v>
          </cell>
          <cell r="F73" t="str">
            <v>七宝</v>
          </cell>
        </row>
        <row r="74">
          <cell r="D74" t="str">
            <v>上海市闵行区七宝明强第二小学</v>
          </cell>
          <cell r="E74" t="str">
            <v>镇管</v>
          </cell>
          <cell r="F74" t="str">
            <v>七宝</v>
          </cell>
        </row>
        <row r="75">
          <cell r="D75" t="str">
            <v>上海市闵行区七宝明强第二小学</v>
          </cell>
          <cell r="E75" t="str">
            <v>镇管</v>
          </cell>
          <cell r="F75" t="str">
            <v>七宝</v>
          </cell>
        </row>
        <row r="76">
          <cell r="D76" t="str">
            <v>上海市闵行区七宝明强第二小学</v>
          </cell>
          <cell r="E76" t="str">
            <v>镇管</v>
          </cell>
          <cell r="F76" t="str">
            <v>七宝</v>
          </cell>
        </row>
        <row r="77">
          <cell r="D77" t="str">
            <v>上海市闵行区七宝明强第二小学</v>
          </cell>
          <cell r="E77" t="str">
            <v>镇管</v>
          </cell>
          <cell r="F77" t="str">
            <v>七宝</v>
          </cell>
        </row>
        <row r="78">
          <cell r="D78" t="str">
            <v>上海市闵行区七宝文来学校</v>
          </cell>
          <cell r="E78" t="str">
            <v>镇管</v>
          </cell>
          <cell r="F78" t="str">
            <v>七宝</v>
          </cell>
        </row>
        <row r="79">
          <cell r="D79" t="str">
            <v>上海市闵行区七宝文来学校</v>
          </cell>
          <cell r="E79" t="str">
            <v>镇管</v>
          </cell>
          <cell r="F79" t="str">
            <v>七宝</v>
          </cell>
        </row>
        <row r="80">
          <cell r="D80" t="str">
            <v>上海市闵行区七宝文来学校</v>
          </cell>
          <cell r="E80" t="str">
            <v>镇管</v>
          </cell>
          <cell r="F80" t="str">
            <v>七宝</v>
          </cell>
        </row>
        <row r="81">
          <cell r="D81" t="str">
            <v>闵行区航华第二小学</v>
          </cell>
          <cell r="E81" t="str">
            <v>镇管</v>
          </cell>
          <cell r="F81" t="str">
            <v>七宝</v>
          </cell>
        </row>
        <row r="82">
          <cell r="D82" t="str">
            <v>闵行区黎明小学</v>
          </cell>
          <cell r="E82" t="str">
            <v>镇管</v>
          </cell>
          <cell r="F82" t="str">
            <v>七宝</v>
          </cell>
        </row>
        <row r="83">
          <cell r="D83" t="str">
            <v>上海市七宝实验小学</v>
          </cell>
          <cell r="E83" t="str">
            <v>镇管</v>
          </cell>
          <cell r="F83" t="str">
            <v>七宝</v>
          </cell>
        </row>
        <row r="84">
          <cell r="D84" t="str">
            <v>上海市七宝实验小学</v>
          </cell>
          <cell r="E84" t="str">
            <v>镇管</v>
          </cell>
          <cell r="F84" t="str">
            <v>七宝</v>
          </cell>
        </row>
        <row r="85">
          <cell r="D85" t="str">
            <v>上海市七宝实验小学</v>
          </cell>
          <cell r="E85" t="str">
            <v>镇管</v>
          </cell>
          <cell r="F85" t="str">
            <v>七宝</v>
          </cell>
        </row>
        <row r="86">
          <cell r="D86" t="str">
            <v>上海市航华中学</v>
          </cell>
          <cell r="E86" t="str">
            <v>镇管</v>
          </cell>
          <cell r="F86" t="str">
            <v>七宝</v>
          </cell>
        </row>
        <row r="87">
          <cell r="D87" t="str">
            <v>上海市航华中学</v>
          </cell>
          <cell r="E87" t="str">
            <v>镇管</v>
          </cell>
          <cell r="F87" t="str">
            <v>七宝</v>
          </cell>
        </row>
        <row r="88">
          <cell r="D88" t="str">
            <v>上海市航华中学</v>
          </cell>
          <cell r="E88" t="str">
            <v>镇管</v>
          </cell>
          <cell r="F88" t="str">
            <v>七宝</v>
          </cell>
        </row>
        <row r="89">
          <cell r="D89" t="str">
            <v>上海市航华中学</v>
          </cell>
          <cell r="E89" t="str">
            <v>镇管</v>
          </cell>
          <cell r="F89" t="str">
            <v>七宝</v>
          </cell>
        </row>
        <row r="90">
          <cell r="D90" t="str">
            <v>上海市闵行区七宝第二中学</v>
          </cell>
          <cell r="E90" t="str">
            <v>镇管</v>
          </cell>
          <cell r="F90" t="str">
            <v>七宝</v>
          </cell>
        </row>
        <row r="91">
          <cell r="D91" t="str">
            <v>上海市闵行区七宝第二中学</v>
          </cell>
          <cell r="E91" t="str">
            <v>镇管</v>
          </cell>
          <cell r="F91" t="str">
            <v>七宝</v>
          </cell>
        </row>
        <row r="92">
          <cell r="D92" t="str">
            <v>上海市闵行区七宝第二中学</v>
          </cell>
          <cell r="E92" t="str">
            <v>镇管</v>
          </cell>
          <cell r="F92" t="str">
            <v>七宝</v>
          </cell>
        </row>
        <row r="93">
          <cell r="D93" t="str">
            <v>上海市闵行区七宝第二中学</v>
          </cell>
          <cell r="E93" t="str">
            <v>镇管</v>
          </cell>
          <cell r="F93" t="str">
            <v>七宝</v>
          </cell>
        </row>
        <row r="94">
          <cell r="D94" t="str">
            <v>上海市闵行区七宝第二中学</v>
          </cell>
          <cell r="E94" t="str">
            <v>镇管</v>
          </cell>
          <cell r="F94" t="str">
            <v>七宝</v>
          </cell>
        </row>
        <row r="95">
          <cell r="D95" t="str">
            <v>上海市闵行区七宝第二中学</v>
          </cell>
          <cell r="E95" t="str">
            <v>镇管</v>
          </cell>
          <cell r="F95" t="str">
            <v>七宝</v>
          </cell>
        </row>
        <row r="96">
          <cell r="D96" t="str">
            <v>上海市闵行区七宝第三中学</v>
          </cell>
          <cell r="E96" t="str">
            <v>镇管</v>
          </cell>
          <cell r="F96" t="str">
            <v>七宝</v>
          </cell>
        </row>
        <row r="97">
          <cell r="D97" t="str">
            <v>上海市闵行区七宝文来学校</v>
          </cell>
          <cell r="E97" t="str">
            <v>镇管</v>
          </cell>
          <cell r="F97" t="str">
            <v>七宝</v>
          </cell>
        </row>
        <row r="98">
          <cell r="D98" t="str">
            <v>上海市闵行区七宝文来学校</v>
          </cell>
          <cell r="E98" t="str">
            <v>镇管</v>
          </cell>
          <cell r="F98" t="str">
            <v>七宝</v>
          </cell>
        </row>
        <row r="99">
          <cell r="D99" t="str">
            <v>上海市闵行区七宝文来学校</v>
          </cell>
          <cell r="E99" t="str">
            <v>镇管</v>
          </cell>
          <cell r="F99" t="str">
            <v>七宝</v>
          </cell>
        </row>
        <row r="100">
          <cell r="D100" t="str">
            <v>上海市闵行区七宝文来学校</v>
          </cell>
          <cell r="E100" t="str">
            <v>镇管</v>
          </cell>
          <cell r="F100" t="str">
            <v>七宝</v>
          </cell>
        </row>
        <row r="101">
          <cell r="D101" t="str">
            <v>上海市七宝实验中学</v>
          </cell>
          <cell r="E101" t="str">
            <v>镇管</v>
          </cell>
          <cell r="F101" t="str">
            <v>七宝</v>
          </cell>
        </row>
        <row r="102">
          <cell r="D102" t="str">
            <v>上海市七宝实验中学</v>
          </cell>
          <cell r="E102" t="str">
            <v>镇管</v>
          </cell>
          <cell r="F102" t="str">
            <v>七宝</v>
          </cell>
        </row>
        <row r="103">
          <cell r="D103" t="str">
            <v>上海市七宝实验中学</v>
          </cell>
          <cell r="E103" t="str">
            <v>镇管</v>
          </cell>
          <cell r="F103" t="str">
            <v>七宝</v>
          </cell>
        </row>
        <row r="104">
          <cell r="D104" t="str">
            <v>上海市七宝实验中学</v>
          </cell>
          <cell r="E104" t="str">
            <v>镇管</v>
          </cell>
          <cell r="F104" t="str">
            <v>七宝</v>
          </cell>
        </row>
        <row r="105">
          <cell r="D105" t="str">
            <v>上海市七宝实验中学</v>
          </cell>
          <cell r="E105" t="str">
            <v>镇管</v>
          </cell>
          <cell r="F105" t="str">
            <v>七宝</v>
          </cell>
        </row>
        <row r="106">
          <cell r="D106" t="str">
            <v>上海市七宝实验中学</v>
          </cell>
          <cell r="E106" t="str">
            <v>镇管</v>
          </cell>
          <cell r="F106" t="str">
            <v>七宝</v>
          </cell>
        </row>
        <row r="107">
          <cell r="D107" t="str">
            <v>上海市七宝实验中学</v>
          </cell>
          <cell r="E107" t="str">
            <v>镇管</v>
          </cell>
          <cell r="F107" t="str">
            <v>七宝</v>
          </cell>
        </row>
        <row r="108">
          <cell r="D108" t="str">
            <v>上海市七宝实验中学</v>
          </cell>
          <cell r="E108" t="str">
            <v>镇管</v>
          </cell>
          <cell r="F108" t="str">
            <v>七宝</v>
          </cell>
        </row>
        <row r="109">
          <cell r="D109" t="str">
            <v>上海市闵行区七宝第三中学</v>
          </cell>
          <cell r="E109" t="str">
            <v>镇管</v>
          </cell>
          <cell r="F109" t="str">
            <v>七宝</v>
          </cell>
        </row>
        <row r="110">
          <cell r="D110" t="str">
            <v>上海市闵行区七宝第三中学</v>
          </cell>
          <cell r="E110" t="str">
            <v>镇管</v>
          </cell>
          <cell r="F110" t="str">
            <v>七宝</v>
          </cell>
        </row>
        <row r="111">
          <cell r="D111" t="str">
            <v>上海市七宝实验中学</v>
          </cell>
          <cell r="E111" t="str">
            <v>镇管</v>
          </cell>
          <cell r="F111" t="str">
            <v>七宝</v>
          </cell>
        </row>
        <row r="112">
          <cell r="D112">
            <v>0</v>
          </cell>
          <cell r="E112">
            <v>0</v>
          </cell>
          <cell r="F112">
            <v>0</v>
          </cell>
        </row>
        <row r="113">
          <cell r="D113" t="str">
            <v>上海市闵行区浦江宝邸幼儿园</v>
          </cell>
          <cell r="E113" t="str">
            <v>镇管</v>
          </cell>
          <cell r="F113" t="str">
            <v>浦江</v>
          </cell>
        </row>
        <row r="114">
          <cell r="D114" t="str">
            <v>上海市闵行区浦江宝邸幼儿园</v>
          </cell>
          <cell r="E114" t="str">
            <v>镇管</v>
          </cell>
          <cell r="F114" t="str">
            <v>浦江</v>
          </cell>
        </row>
        <row r="115">
          <cell r="D115" t="str">
            <v>上海市闵行区浦江宝邸幼儿园</v>
          </cell>
          <cell r="E115" t="str">
            <v>镇管</v>
          </cell>
          <cell r="F115" t="str">
            <v>浦江</v>
          </cell>
        </row>
        <row r="116">
          <cell r="D116" t="str">
            <v>上海市闵行区浦江宝邸幼儿园</v>
          </cell>
          <cell r="E116" t="str">
            <v>镇管</v>
          </cell>
          <cell r="F116" t="str">
            <v>浦江</v>
          </cell>
        </row>
        <row r="117">
          <cell r="D117" t="str">
            <v>上海市闵行区浦江瑞和城幼儿园</v>
          </cell>
          <cell r="E117" t="str">
            <v>镇管</v>
          </cell>
          <cell r="F117" t="str">
            <v>浦江</v>
          </cell>
        </row>
        <row r="118">
          <cell r="D118" t="str">
            <v>上海市闵行区浦江瑞和城幼儿园</v>
          </cell>
          <cell r="E118" t="str">
            <v>镇管</v>
          </cell>
          <cell r="F118" t="str">
            <v>浦江</v>
          </cell>
        </row>
        <row r="119">
          <cell r="D119" t="str">
            <v>上海市闵行区浦江瑞和城幼儿园</v>
          </cell>
          <cell r="E119" t="str">
            <v>镇管</v>
          </cell>
          <cell r="F119" t="str">
            <v>浦江</v>
          </cell>
        </row>
        <row r="120">
          <cell r="D120" t="str">
            <v>上海市闵行区浦江瑞和城幼儿园</v>
          </cell>
          <cell r="E120" t="str">
            <v>镇管</v>
          </cell>
          <cell r="F120" t="str">
            <v>浦江</v>
          </cell>
        </row>
        <row r="121">
          <cell r="D121" t="str">
            <v>上海市闵行区浦江瑞和城幼儿园</v>
          </cell>
          <cell r="E121" t="str">
            <v>镇管</v>
          </cell>
          <cell r="F121" t="str">
            <v>浦江</v>
          </cell>
        </row>
        <row r="122">
          <cell r="D122" t="str">
            <v>上海市闵行区浦江瑞和城幼儿园</v>
          </cell>
          <cell r="E122" t="str">
            <v>镇管</v>
          </cell>
          <cell r="F122" t="str">
            <v>浦江</v>
          </cell>
        </row>
        <row r="123">
          <cell r="D123" t="str">
            <v>上海市闵行区浦江瑞和城幼儿园</v>
          </cell>
          <cell r="E123" t="str">
            <v>镇管</v>
          </cell>
          <cell r="F123" t="str">
            <v>浦江</v>
          </cell>
        </row>
        <row r="124">
          <cell r="D124" t="str">
            <v>上海市闵行区浦江闸航路幼儿园</v>
          </cell>
          <cell r="E124" t="str">
            <v>镇管</v>
          </cell>
          <cell r="F124" t="str">
            <v>浦江</v>
          </cell>
        </row>
        <row r="125">
          <cell r="D125" t="str">
            <v>上海市闵行区浦江闸航路幼儿园</v>
          </cell>
          <cell r="E125" t="str">
            <v>镇管</v>
          </cell>
          <cell r="F125" t="str">
            <v>浦江</v>
          </cell>
        </row>
        <row r="126">
          <cell r="D126" t="str">
            <v>上海市闵行区浦江闸航路幼儿园</v>
          </cell>
          <cell r="E126" t="str">
            <v>镇管</v>
          </cell>
          <cell r="F126" t="str">
            <v>浦江</v>
          </cell>
        </row>
        <row r="127">
          <cell r="D127" t="str">
            <v>上海市闵行区浦江闸航路幼儿园</v>
          </cell>
          <cell r="E127" t="str">
            <v>镇管</v>
          </cell>
          <cell r="F127" t="str">
            <v>浦江</v>
          </cell>
        </row>
        <row r="128">
          <cell r="D128" t="str">
            <v>上海市闵行区浦江闸航路幼儿园</v>
          </cell>
          <cell r="E128" t="str">
            <v>镇管</v>
          </cell>
          <cell r="F128" t="str">
            <v>浦江</v>
          </cell>
        </row>
        <row r="129">
          <cell r="D129" t="str">
            <v>上海市闵行区浦莲幼儿园</v>
          </cell>
          <cell r="E129" t="str">
            <v>镇管</v>
          </cell>
          <cell r="F129" t="str">
            <v>浦江</v>
          </cell>
        </row>
        <row r="130">
          <cell r="D130" t="str">
            <v>上海市闵行区浦莲幼儿园</v>
          </cell>
          <cell r="E130" t="str">
            <v>镇管</v>
          </cell>
          <cell r="F130" t="str">
            <v>浦江</v>
          </cell>
        </row>
        <row r="131">
          <cell r="D131" t="str">
            <v>上海市闵行区浦莲幼儿园</v>
          </cell>
          <cell r="E131" t="str">
            <v>镇管</v>
          </cell>
          <cell r="F131" t="str">
            <v>浦江</v>
          </cell>
        </row>
        <row r="132">
          <cell r="D132" t="str">
            <v>上海市闵行区浦莲幼儿园</v>
          </cell>
          <cell r="E132" t="str">
            <v>镇管</v>
          </cell>
          <cell r="F132" t="str">
            <v>浦江</v>
          </cell>
        </row>
        <row r="133">
          <cell r="D133" t="str">
            <v>上海市闵行区浦莲幼儿园</v>
          </cell>
          <cell r="E133" t="str">
            <v>镇管</v>
          </cell>
          <cell r="F133" t="str">
            <v>浦江</v>
          </cell>
        </row>
        <row r="134">
          <cell r="D134" t="str">
            <v>上海市闵行区浦莲幼儿园</v>
          </cell>
          <cell r="E134" t="str">
            <v>镇管</v>
          </cell>
          <cell r="F134" t="str">
            <v>浦江</v>
          </cell>
        </row>
        <row r="135">
          <cell r="D135" t="str">
            <v>上海市闵行区浦莲幼儿园</v>
          </cell>
          <cell r="E135" t="str">
            <v>镇管</v>
          </cell>
          <cell r="F135" t="str">
            <v>浦江</v>
          </cell>
        </row>
        <row r="136">
          <cell r="D136" t="str">
            <v>上海市闵行区浦莲幼儿园</v>
          </cell>
          <cell r="E136" t="str">
            <v>镇管</v>
          </cell>
          <cell r="F136" t="str">
            <v>浦江</v>
          </cell>
        </row>
        <row r="137">
          <cell r="D137" t="str">
            <v>上海市闵行区浦莲幼儿园</v>
          </cell>
          <cell r="E137" t="str">
            <v>镇管</v>
          </cell>
          <cell r="F137" t="str">
            <v>浦江</v>
          </cell>
        </row>
        <row r="138">
          <cell r="D138" t="str">
            <v>上海市闵行区浦莲幼儿园</v>
          </cell>
          <cell r="E138" t="str">
            <v>镇管</v>
          </cell>
          <cell r="F138" t="str">
            <v>浦江</v>
          </cell>
        </row>
        <row r="139">
          <cell r="D139" t="str">
            <v>上海市闵行区浦莲幼儿园</v>
          </cell>
          <cell r="E139" t="str">
            <v>镇管</v>
          </cell>
          <cell r="F139" t="str">
            <v>浦江</v>
          </cell>
        </row>
        <row r="140">
          <cell r="D140" t="str">
            <v>上海市闵行区浦莲幼儿园</v>
          </cell>
          <cell r="E140" t="str">
            <v>镇管</v>
          </cell>
          <cell r="F140" t="str">
            <v>浦江</v>
          </cell>
        </row>
        <row r="141">
          <cell r="D141" t="str">
            <v>上海市闵行区浦莲幼儿园</v>
          </cell>
          <cell r="E141" t="str">
            <v>镇管</v>
          </cell>
          <cell r="F141" t="str">
            <v>浦江</v>
          </cell>
        </row>
        <row r="142">
          <cell r="D142" t="str">
            <v>上海市闵行区浦莲幼儿园</v>
          </cell>
          <cell r="E142" t="str">
            <v>镇管</v>
          </cell>
          <cell r="F142" t="str">
            <v>浦江</v>
          </cell>
        </row>
        <row r="143">
          <cell r="D143" t="str">
            <v>上海市闵行区浦莲幼儿园</v>
          </cell>
          <cell r="E143" t="str">
            <v>镇管</v>
          </cell>
          <cell r="F143" t="str">
            <v>浦江</v>
          </cell>
        </row>
        <row r="144">
          <cell r="D144" t="str">
            <v>上海市闵行区浦瑞幼儿园</v>
          </cell>
          <cell r="E144" t="str">
            <v>镇管</v>
          </cell>
          <cell r="F144" t="str">
            <v>浦江</v>
          </cell>
        </row>
        <row r="145">
          <cell r="D145" t="str">
            <v>上海市闵行区浦瑞幼儿园</v>
          </cell>
          <cell r="E145" t="str">
            <v>镇管</v>
          </cell>
          <cell r="F145" t="str">
            <v>浦江</v>
          </cell>
        </row>
        <row r="146">
          <cell r="D146" t="str">
            <v>上海市闵行区浦瑞幼儿园</v>
          </cell>
          <cell r="E146" t="str">
            <v>镇管</v>
          </cell>
          <cell r="F146" t="str">
            <v>浦江</v>
          </cell>
        </row>
        <row r="147">
          <cell r="D147" t="str">
            <v>上海市闵行区浦瑞幼儿园</v>
          </cell>
          <cell r="E147" t="str">
            <v>镇管</v>
          </cell>
          <cell r="F147" t="str">
            <v>浦江</v>
          </cell>
        </row>
        <row r="148">
          <cell r="D148" t="str">
            <v>上海市闵行区浦瑞幼儿园</v>
          </cell>
          <cell r="E148" t="str">
            <v>镇管</v>
          </cell>
          <cell r="F148" t="str">
            <v>浦江</v>
          </cell>
        </row>
        <row r="149">
          <cell r="D149" t="str">
            <v>上海市闵行区浦瑞幼儿园</v>
          </cell>
          <cell r="E149" t="str">
            <v>镇管</v>
          </cell>
          <cell r="F149" t="str">
            <v>浦江</v>
          </cell>
        </row>
        <row r="150">
          <cell r="D150" t="str">
            <v>上海市闵行区浦瑞幼儿园</v>
          </cell>
          <cell r="E150" t="str">
            <v>镇管</v>
          </cell>
          <cell r="F150" t="str">
            <v>浦江</v>
          </cell>
        </row>
        <row r="151">
          <cell r="D151" t="str">
            <v>上海市闵行区浦瑞幼儿园</v>
          </cell>
          <cell r="E151" t="str">
            <v>镇管</v>
          </cell>
          <cell r="F151" t="str">
            <v>浦江</v>
          </cell>
        </row>
        <row r="152">
          <cell r="D152" t="str">
            <v>上海市闵行区浦瑞幼儿园</v>
          </cell>
          <cell r="E152" t="str">
            <v>镇管</v>
          </cell>
          <cell r="F152" t="str">
            <v>浦江</v>
          </cell>
        </row>
        <row r="153">
          <cell r="D153" t="str">
            <v>上海市闵行区浦瑞幼儿园</v>
          </cell>
          <cell r="E153" t="str">
            <v>镇管</v>
          </cell>
          <cell r="F153" t="str">
            <v>浦江</v>
          </cell>
        </row>
        <row r="154">
          <cell r="D154" t="str">
            <v>上海市闵行区浦瑞幼儿园</v>
          </cell>
          <cell r="E154" t="str">
            <v>镇管</v>
          </cell>
          <cell r="F154" t="str">
            <v>浦江</v>
          </cell>
        </row>
        <row r="155">
          <cell r="D155" t="str">
            <v>上海市闵行区浦航幼儿园</v>
          </cell>
          <cell r="E155" t="str">
            <v>镇管</v>
          </cell>
          <cell r="F155" t="str">
            <v>浦江</v>
          </cell>
        </row>
        <row r="156">
          <cell r="D156" t="str">
            <v>上海市闵行区浦航幼儿园</v>
          </cell>
          <cell r="E156" t="str">
            <v>镇管</v>
          </cell>
          <cell r="F156" t="str">
            <v>浦江</v>
          </cell>
        </row>
        <row r="157">
          <cell r="D157" t="str">
            <v>上海市闵行区浦航幼儿园</v>
          </cell>
          <cell r="E157" t="str">
            <v>镇管</v>
          </cell>
          <cell r="F157" t="str">
            <v>浦江</v>
          </cell>
        </row>
        <row r="158">
          <cell r="D158" t="str">
            <v>上海市闵行区浦航幼儿园</v>
          </cell>
          <cell r="E158" t="str">
            <v>镇管</v>
          </cell>
          <cell r="F158" t="str">
            <v>浦江</v>
          </cell>
        </row>
        <row r="159">
          <cell r="D159" t="str">
            <v>上海市闵行区浦航幼儿园</v>
          </cell>
          <cell r="E159" t="str">
            <v>镇管</v>
          </cell>
          <cell r="F159" t="str">
            <v>浦江</v>
          </cell>
        </row>
        <row r="160">
          <cell r="D160" t="str">
            <v>上海市闵行区浦江镇第二幼儿园</v>
          </cell>
          <cell r="E160" t="str">
            <v>镇管</v>
          </cell>
          <cell r="F160" t="str">
            <v>浦江</v>
          </cell>
        </row>
        <row r="161">
          <cell r="D161" t="str">
            <v>闵行区浦江镇第三幼儿园</v>
          </cell>
          <cell r="E161" t="str">
            <v>镇管</v>
          </cell>
          <cell r="F161" t="str">
            <v>浦江</v>
          </cell>
        </row>
        <row r="162">
          <cell r="D162" t="str">
            <v>闵行区浦江镇第三幼儿园</v>
          </cell>
          <cell r="E162" t="str">
            <v>镇管</v>
          </cell>
          <cell r="F162" t="str">
            <v>浦江</v>
          </cell>
        </row>
        <row r="163">
          <cell r="D163" t="str">
            <v>闵行区浦江镇第三幼儿园</v>
          </cell>
          <cell r="E163" t="str">
            <v>镇管</v>
          </cell>
          <cell r="F163" t="str">
            <v>浦江</v>
          </cell>
        </row>
        <row r="164">
          <cell r="D164" t="str">
            <v>闵行区浦江镇第三幼儿园</v>
          </cell>
          <cell r="E164" t="str">
            <v>镇管</v>
          </cell>
          <cell r="F164" t="str">
            <v>浦江</v>
          </cell>
        </row>
        <row r="165">
          <cell r="D165" t="str">
            <v>闵行区浦江镇第三幼儿园</v>
          </cell>
          <cell r="E165" t="str">
            <v>镇管</v>
          </cell>
          <cell r="F165" t="str">
            <v>浦江</v>
          </cell>
        </row>
        <row r="166">
          <cell r="D166" t="str">
            <v>闵行区浦江镇第三幼儿园</v>
          </cell>
          <cell r="E166" t="str">
            <v>镇管</v>
          </cell>
          <cell r="F166" t="str">
            <v>浦江</v>
          </cell>
        </row>
        <row r="167">
          <cell r="D167" t="str">
            <v>上海市闵行区浦莲幼儿园</v>
          </cell>
          <cell r="E167" t="str">
            <v>镇管</v>
          </cell>
          <cell r="F167" t="str">
            <v>浦江</v>
          </cell>
        </row>
        <row r="168">
          <cell r="D168" t="str">
            <v>上海市闵行区浦瑞幼儿园</v>
          </cell>
          <cell r="E168" t="str">
            <v>镇管</v>
          </cell>
          <cell r="F168" t="str">
            <v>浦江</v>
          </cell>
        </row>
        <row r="169">
          <cell r="D169" t="str">
            <v>上海市闵行区福山实验学校</v>
          </cell>
          <cell r="E169" t="str">
            <v>镇管</v>
          </cell>
          <cell r="F169" t="str">
            <v>浦江</v>
          </cell>
        </row>
        <row r="170">
          <cell r="D170" t="str">
            <v>上海市闵行区福山实验学校</v>
          </cell>
          <cell r="E170" t="str">
            <v>镇管</v>
          </cell>
          <cell r="F170" t="str">
            <v>浦江</v>
          </cell>
        </row>
        <row r="171">
          <cell r="D171" t="str">
            <v>上海市闵行区福山实验学校</v>
          </cell>
          <cell r="E171" t="str">
            <v>镇管</v>
          </cell>
          <cell r="F171" t="str">
            <v>浦江</v>
          </cell>
        </row>
        <row r="172">
          <cell r="D172" t="str">
            <v>上海市闵行区福山实验学校</v>
          </cell>
          <cell r="E172" t="str">
            <v>镇管</v>
          </cell>
          <cell r="F172" t="str">
            <v>浦江</v>
          </cell>
        </row>
        <row r="173">
          <cell r="D173" t="str">
            <v>上海市闵行区福山实验学校</v>
          </cell>
          <cell r="E173" t="str">
            <v>镇管</v>
          </cell>
          <cell r="F173" t="str">
            <v>浦江</v>
          </cell>
        </row>
        <row r="174">
          <cell r="D174" t="str">
            <v>上海市闵行区福山实验学校</v>
          </cell>
          <cell r="E174" t="str">
            <v>镇管</v>
          </cell>
          <cell r="F174" t="str">
            <v>浦江</v>
          </cell>
        </row>
        <row r="175">
          <cell r="D175" t="str">
            <v>上海市闵行区福山实验学校</v>
          </cell>
          <cell r="E175" t="str">
            <v>镇管</v>
          </cell>
          <cell r="F175" t="str">
            <v>浦江</v>
          </cell>
        </row>
        <row r="176">
          <cell r="D176" t="str">
            <v>上海市闵行区浦汇小学</v>
          </cell>
          <cell r="E176" t="str">
            <v>镇管</v>
          </cell>
          <cell r="F176" t="str">
            <v>浦江</v>
          </cell>
        </row>
        <row r="177">
          <cell r="D177" t="str">
            <v>上海市闵行区浦汇小学</v>
          </cell>
          <cell r="E177" t="str">
            <v>镇管</v>
          </cell>
          <cell r="F177" t="str">
            <v>浦江</v>
          </cell>
        </row>
        <row r="178">
          <cell r="D178" t="str">
            <v>上海市闵行区浦汇小学</v>
          </cell>
          <cell r="E178" t="str">
            <v>镇管</v>
          </cell>
          <cell r="F178" t="str">
            <v>浦江</v>
          </cell>
        </row>
        <row r="179">
          <cell r="D179" t="str">
            <v>上海市闵行区浦汇小学</v>
          </cell>
          <cell r="E179" t="str">
            <v>镇管</v>
          </cell>
          <cell r="F179" t="str">
            <v>浦江</v>
          </cell>
        </row>
        <row r="180">
          <cell r="D180" t="str">
            <v>上海市闵行区浦汇小学</v>
          </cell>
          <cell r="E180" t="str">
            <v>镇管</v>
          </cell>
          <cell r="F180" t="str">
            <v>浦江</v>
          </cell>
        </row>
        <row r="181">
          <cell r="D181" t="str">
            <v>上海市闵行区浦汇小学</v>
          </cell>
          <cell r="E181" t="str">
            <v>镇管</v>
          </cell>
          <cell r="F181" t="str">
            <v>浦江</v>
          </cell>
        </row>
        <row r="182">
          <cell r="D182" t="str">
            <v>上海市闵行区浦汇小学</v>
          </cell>
          <cell r="E182" t="str">
            <v>镇管</v>
          </cell>
          <cell r="F182" t="str">
            <v>浦江</v>
          </cell>
        </row>
        <row r="183">
          <cell r="D183" t="str">
            <v>上海市闵行区浦汇小学</v>
          </cell>
          <cell r="E183" t="str">
            <v>镇管</v>
          </cell>
          <cell r="F183" t="str">
            <v>浦江</v>
          </cell>
        </row>
        <row r="184">
          <cell r="D184" t="str">
            <v>上海市闵行区浦汇小学</v>
          </cell>
          <cell r="E184" t="str">
            <v>镇管</v>
          </cell>
          <cell r="F184" t="str">
            <v>浦江</v>
          </cell>
        </row>
        <row r="185">
          <cell r="D185" t="str">
            <v>上海市闵行区浦江第二小学</v>
          </cell>
          <cell r="E185" t="str">
            <v>镇管</v>
          </cell>
          <cell r="F185" t="str">
            <v>浦江</v>
          </cell>
        </row>
        <row r="186">
          <cell r="D186" t="str">
            <v>上海市闵行区浦江第二小学</v>
          </cell>
          <cell r="E186" t="str">
            <v>镇管</v>
          </cell>
          <cell r="F186" t="str">
            <v>浦江</v>
          </cell>
        </row>
        <row r="187">
          <cell r="D187" t="str">
            <v>上海市闵行区浦江第二小学</v>
          </cell>
          <cell r="E187" t="str">
            <v>镇管</v>
          </cell>
          <cell r="F187" t="str">
            <v>浦江</v>
          </cell>
        </row>
        <row r="188">
          <cell r="D188" t="str">
            <v>上海市闵行区浦江第二小学</v>
          </cell>
          <cell r="E188" t="str">
            <v>镇管</v>
          </cell>
          <cell r="F188" t="str">
            <v>浦江</v>
          </cell>
        </row>
        <row r="189">
          <cell r="D189" t="str">
            <v>上海市闵行区浦江第二小学</v>
          </cell>
          <cell r="E189" t="str">
            <v>镇管</v>
          </cell>
          <cell r="F189" t="str">
            <v>浦江</v>
          </cell>
        </row>
        <row r="190">
          <cell r="D190" t="str">
            <v>上海市闵行区浦江第二小学</v>
          </cell>
          <cell r="E190" t="str">
            <v>镇管</v>
          </cell>
          <cell r="F190" t="str">
            <v>浦江</v>
          </cell>
        </row>
        <row r="191">
          <cell r="D191" t="str">
            <v>上海市闵行区浦江第二小学</v>
          </cell>
          <cell r="E191" t="str">
            <v>镇管</v>
          </cell>
          <cell r="F191" t="str">
            <v>浦江</v>
          </cell>
        </row>
        <row r="192">
          <cell r="D192" t="str">
            <v>上海市闵行区浦江第二小学</v>
          </cell>
          <cell r="E192" t="str">
            <v>镇管</v>
          </cell>
          <cell r="F192" t="str">
            <v>浦江</v>
          </cell>
        </row>
        <row r="193">
          <cell r="D193" t="str">
            <v>上海市闵行区浦江第三小学</v>
          </cell>
          <cell r="E193" t="str">
            <v>镇管</v>
          </cell>
          <cell r="F193" t="str">
            <v>浦江</v>
          </cell>
        </row>
        <row r="194">
          <cell r="D194" t="str">
            <v>上海市闵行区浦江第三小学</v>
          </cell>
          <cell r="E194" t="str">
            <v>镇管</v>
          </cell>
          <cell r="F194" t="str">
            <v>浦江</v>
          </cell>
        </row>
        <row r="195">
          <cell r="D195" t="str">
            <v>上海市闵行区浦江第三小学</v>
          </cell>
          <cell r="E195" t="str">
            <v>镇管</v>
          </cell>
          <cell r="F195" t="str">
            <v>浦江</v>
          </cell>
        </row>
        <row r="196">
          <cell r="D196" t="str">
            <v>上海市闵行区浦江第三小学</v>
          </cell>
          <cell r="E196" t="str">
            <v>镇管</v>
          </cell>
          <cell r="F196" t="str">
            <v>浦江</v>
          </cell>
        </row>
        <row r="197">
          <cell r="D197" t="str">
            <v>上海市闵行区浦江第三小学</v>
          </cell>
          <cell r="E197" t="str">
            <v>镇管</v>
          </cell>
          <cell r="F197" t="str">
            <v>浦江</v>
          </cell>
        </row>
        <row r="198">
          <cell r="D198" t="str">
            <v>上海市闵行区浦江第三小学</v>
          </cell>
          <cell r="E198" t="str">
            <v>镇管</v>
          </cell>
          <cell r="F198" t="str">
            <v>浦江</v>
          </cell>
        </row>
        <row r="199">
          <cell r="D199" t="str">
            <v>上海市闵行区浦江第三小学</v>
          </cell>
          <cell r="E199" t="str">
            <v>镇管</v>
          </cell>
          <cell r="F199" t="str">
            <v>浦江</v>
          </cell>
        </row>
        <row r="200">
          <cell r="D200" t="str">
            <v>上海市闵行区浦江第三小学</v>
          </cell>
          <cell r="E200" t="str">
            <v>镇管</v>
          </cell>
          <cell r="F200" t="str">
            <v>浦江</v>
          </cell>
        </row>
        <row r="201">
          <cell r="D201" t="str">
            <v>上海市闵行区浦江第三小学</v>
          </cell>
          <cell r="E201" t="str">
            <v>镇管</v>
          </cell>
          <cell r="F201" t="str">
            <v>浦江</v>
          </cell>
        </row>
        <row r="202">
          <cell r="D202" t="str">
            <v>上海市闵行区浦江第三小学</v>
          </cell>
          <cell r="E202" t="str">
            <v>镇管</v>
          </cell>
          <cell r="F202" t="str">
            <v>浦江</v>
          </cell>
        </row>
        <row r="203">
          <cell r="D203" t="str">
            <v>上海戏剧学院闵行附属学校</v>
          </cell>
          <cell r="E203" t="str">
            <v>镇管</v>
          </cell>
          <cell r="F203" t="str">
            <v>浦江</v>
          </cell>
        </row>
        <row r="204">
          <cell r="D204" t="str">
            <v>上海世外教育附属浦江外国语学校</v>
          </cell>
          <cell r="E204" t="str">
            <v>镇管</v>
          </cell>
          <cell r="F204" t="str">
            <v>浦江</v>
          </cell>
        </row>
        <row r="205">
          <cell r="D205" t="str">
            <v>上海世外教育附属浦江外国语学校</v>
          </cell>
          <cell r="E205" t="str">
            <v>镇管</v>
          </cell>
          <cell r="F205" t="str">
            <v>浦江</v>
          </cell>
        </row>
        <row r="206">
          <cell r="D206" t="str">
            <v>上海世外教育附属浦江外国语学校</v>
          </cell>
          <cell r="E206" t="str">
            <v>镇管</v>
          </cell>
          <cell r="F206" t="str">
            <v>浦江</v>
          </cell>
        </row>
        <row r="207">
          <cell r="D207" t="str">
            <v>上海世外教育附属浦江外国语学校</v>
          </cell>
          <cell r="E207" t="str">
            <v>镇管</v>
          </cell>
          <cell r="F207" t="str">
            <v>浦江</v>
          </cell>
        </row>
        <row r="208">
          <cell r="D208" t="str">
            <v>上海市闵行区浦江第二小学</v>
          </cell>
          <cell r="E208" t="str">
            <v>镇管</v>
          </cell>
          <cell r="F208" t="str">
            <v>浦江</v>
          </cell>
        </row>
        <row r="209">
          <cell r="D209" t="str">
            <v>上海师范大学附属中学闵行实验学校</v>
          </cell>
          <cell r="E209" t="str">
            <v>镇管</v>
          </cell>
          <cell r="F209" t="str">
            <v>浦江</v>
          </cell>
        </row>
        <row r="210">
          <cell r="D210" t="str">
            <v>上海师范大学附属中学闵行实验学校</v>
          </cell>
          <cell r="E210" t="str">
            <v>镇管</v>
          </cell>
          <cell r="F210" t="str">
            <v>浦江</v>
          </cell>
        </row>
        <row r="211">
          <cell r="D211" t="str">
            <v>上海师范大学附属中学闵行实验学校</v>
          </cell>
          <cell r="E211" t="str">
            <v>镇管</v>
          </cell>
          <cell r="F211" t="str">
            <v>浦江</v>
          </cell>
        </row>
        <row r="212">
          <cell r="D212" t="str">
            <v>上海师范大学附属中学闵行实验学校</v>
          </cell>
          <cell r="E212" t="str">
            <v>镇管</v>
          </cell>
          <cell r="F212" t="str">
            <v>浦江</v>
          </cell>
        </row>
        <row r="213">
          <cell r="D213" t="str">
            <v>上海师范大学附属中学闵行实验学校</v>
          </cell>
          <cell r="E213" t="str">
            <v>镇管</v>
          </cell>
          <cell r="F213" t="str">
            <v>浦江</v>
          </cell>
        </row>
        <row r="214">
          <cell r="D214" t="str">
            <v>上海市闵行区浦航实验中学</v>
          </cell>
          <cell r="E214" t="str">
            <v>镇管</v>
          </cell>
          <cell r="F214" t="str">
            <v>浦江</v>
          </cell>
        </row>
        <row r="215">
          <cell r="D215" t="str">
            <v>上海市闵行区浦航实验中学</v>
          </cell>
          <cell r="E215" t="str">
            <v>镇管</v>
          </cell>
          <cell r="F215" t="str">
            <v>浦江</v>
          </cell>
        </row>
        <row r="216">
          <cell r="D216" t="str">
            <v>上海市闵行区浦航实验中学</v>
          </cell>
          <cell r="E216" t="str">
            <v>镇管</v>
          </cell>
          <cell r="F216" t="str">
            <v>浦江</v>
          </cell>
        </row>
        <row r="217">
          <cell r="D217" t="str">
            <v>上海市闵行区浦航实验中学</v>
          </cell>
          <cell r="E217" t="str">
            <v>镇管</v>
          </cell>
          <cell r="F217" t="str">
            <v>浦江</v>
          </cell>
        </row>
        <row r="218">
          <cell r="D218" t="str">
            <v>上海市闵行区浦航实验中学</v>
          </cell>
          <cell r="E218" t="str">
            <v>镇管</v>
          </cell>
          <cell r="F218" t="str">
            <v>浦江</v>
          </cell>
        </row>
        <row r="219">
          <cell r="D219" t="str">
            <v>上海市闵行区浦航实验中学</v>
          </cell>
          <cell r="E219" t="str">
            <v>镇管</v>
          </cell>
          <cell r="F219" t="str">
            <v>浦江</v>
          </cell>
        </row>
        <row r="220">
          <cell r="D220" t="str">
            <v>上海市闵行区浦江第二中学</v>
          </cell>
          <cell r="E220" t="str">
            <v>镇管</v>
          </cell>
          <cell r="F220" t="str">
            <v>浦江</v>
          </cell>
        </row>
        <row r="221">
          <cell r="D221" t="str">
            <v>上海市闵行区浦江第二中学</v>
          </cell>
          <cell r="E221" t="str">
            <v>镇管</v>
          </cell>
          <cell r="F221" t="str">
            <v>浦江</v>
          </cell>
        </row>
        <row r="222">
          <cell r="D222" t="str">
            <v>上海市闵行区浦江第二中学</v>
          </cell>
          <cell r="E222" t="str">
            <v>镇管</v>
          </cell>
          <cell r="F222" t="str">
            <v>浦江</v>
          </cell>
        </row>
        <row r="223">
          <cell r="D223" t="str">
            <v>上海市闵行区浦江第二中学</v>
          </cell>
          <cell r="E223" t="str">
            <v>镇管</v>
          </cell>
          <cell r="F223" t="str">
            <v>浦江</v>
          </cell>
        </row>
        <row r="224">
          <cell r="D224" t="str">
            <v>上海市闵行区浦江第二中学</v>
          </cell>
          <cell r="E224" t="str">
            <v>镇管</v>
          </cell>
          <cell r="F224" t="str">
            <v>浦江</v>
          </cell>
        </row>
        <row r="225">
          <cell r="D225" t="str">
            <v>上海市闵行区浦江第二中学</v>
          </cell>
          <cell r="E225" t="str">
            <v>镇管</v>
          </cell>
          <cell r="F225" t="str">
            <v>浦江</v>
          </cell>
        </row>
        <row r="226">
          <cell r="D226" t="str">
            <v>上海市闵行区浦江第二中学</v>
          </cell>
          <cell r="E226" t="str">
            <v>镇管</v>
          </cell>
          <cell r="F226" t="str">
            <v>浦江</v>
          </cell>
        </row>
        <row r="227">
          <cell r="D227" t="str">
            <v>上海市闵行区浦江第三中学</v>
          </cell>
          <cell r="E227" t="str">
            <v>镇管</v>
          </cell>
          <cell r="F227" t="str">
            <v>浦江</v>
          </cell>
        </row>
        <row r="228">
          <cell r="D228" t="str">
            <v>上海市闵行区浦江第三中学</v>
          </cell>
          <cell r="E228" t="str">
            <v>镇管</v>
          </cell>
          <cell r="F228" t="str">
            <v>浦江</v>
          </cell>
        </row>
        <row r="229">
          <cell r="D229" t="str">
            <v>上海市闵行区浦江第三中学</v>
          </cell>
          <cell r="E229" t="str">
            <v>镇管</v>
          </cell>
          <cell r="F229" t="str">
            <v>浦江</v>
          </cell>
        </row>
        <row r="230">
          <cell r="D230" t="str">
            <v>上海市闵行区浦江第三中学</v>
          </cell>
          <cell r="E230" t="str">
            <v>镇管</v>
          </cell>
          <cell r="F230" t="str">
            <v>浦江</v>
          </cell>
        </row>
        <row r="231">
          <cell r="D231" t="str">
            <v>上海市闵行区浦江第三中学</v>
          </cell>
          <cell r="E231" t="str">
            <v>镇管</v>
          </cell>
          <cell r="F231" t="str">
            <v>浦江</v>
          </cell>
        </row>
        <row r="232">
          <cell r="D232" t="str">
            <v>上海师范大学附属中学闵行实验学校</v>
          </cell>
          <cell r="E232" t="str">
            <v>镇管</v>
          </cell>
          <cell r="F232" t="str">
            <v>浦江</v>
          </cell>
        </row>
        <row r="233">
          <cell r="D233" t="str">
            <v>上海师范大学附属中学闵行实验学校</v>
          </cell>
          <cell r="E233" t="str">
            <v>镇管</v>
          </cell>
          <cell r="F233" t="str">
            <v>浦江</v>
          </cell>
        </row>
        <row r="234">
          <cell r="D234" t="str">
            <v>上海市闵行区浦航实验中学</v>
          </cell>
          <cell r="E234" t="str">
            <v>镇管</v>
          </cell>
          <cell r="F234" t="str">
            <v>浦江</v>
          </cell>
        </row>
        <row r="235">
          <cell r="D235" t="str">
            <v>上海市闵行区浦航实验中学</v>
          </cell>
          <cell r="E235" t="str">
            <v>镇管</v>
          </cell>
          <cell r="F235" t="str">
            <v>浦江</v>
          </cell>
        </row>
        <row r="236">
          <cell r="D236" t="str">
            <v>上海市闵行区浦江第二中学</v>
          </cell>
          <cell r="E236" t="str">
            <v>镇管</v>
          </cell>
          <cell r="F236" t="str">
            <v>浦江</v>
          </cell>
        </row>
        <row r="237">
          <cell r="D237">
            <v>0</v>
          </cell>
          <cell r="E237">
            <v>0</v>
          </cell>
          <cell r="F237">
            <v>0</v>
          </cell>
        </row>
        <row r="238">
          <cell r="D238" t="str">
            <v>上海市闵行区春申景城幼儿园</v>
          </cell>
          <cell r="E238" t="str">
            <v>镇管</v>
          </cell>
          <cell r="F238" t="str">
            <v>梅陇</v>
          </cell>
        </row>
        <row r="239">
          <cell r="D239" t="str">
            <v>上海市闵行区梅陇永联幼儿园</v>
          </cell>
          <cell r="E239" t="str">
            <v>镇管</v>
          </cell>
          <cell r="F239" t="str">
            <v>梅陇</v>
          </cell>
        </row>
        <row r="240">
          <cell r="D240" t="str">
            <v>上海市闵行区梅陇梅锦幼儿园</v>
          </cell>
          <cell r="E240" t="str">
            <v>镇管</v>
          </cell>
          <cell r="F240" t="str">
            <v>梅陇</v>
          </cell>
        </row>
        <row r="241">
          <cell r="D241" t="str">
            <v>上海市闵行区梅陇梅锦幼儿园</v>
          </cell>
          <cell r="E241" t="str">
            <v>镇管</v>
          </cell>
          <cell r="F241" t="str">
            <v>梅陇</v>
          </cell>
        </row>
        <row r="242">
          <cell r="D242" t="str">
            <v>上海中医药大学附属闵行蔷薇小学</v>
          </cell>
          <cell r="E242" t="str">
            <v>镇管</v>
          </cell>
          <cell r="F242" t="str">
            <v>梅陇</v>
          </cell>
        </row>
        <row r="243">
          <cell r="D243" t="str">
            <v>上海市闵行区第三实验小学</v>
          </cell>
          <cell r="E243" t="str">
            <v>镇管</v>
          </cell>
          <cell r="F243" t="str">
            <v>梅陇</v>
          </cell>
        </row>
        <row r="244">
          <cell r="D244" t="str">
            <v>华东理工大学附属闵行梅陇实验学校</v>
          </cell>
          <cell r="E244" t="str">
            <v>镇管</v>
          </cell>
          <cell r="F244" t="str">
            <v>梅陇</v>
          </cell>
        </row>
        <row r="245">
          <cell r="D245" t="str">
            <v>上海市罗阳中学</v>
          </cell>
          <cell r="E245" t="str">
            <v>镇管</v>
          </cell>
          <cell r="F245" t="str">
            <v>梅陇</v>
          </cell>
        </row>
        <row r="246">
          <cell r="D246" t="str">
            <v>上海市罗阳中学</v>
          </cell>
          <cell r="E246" t="str">
            <v>镇管</v>
          </cell>
          <cell r="F246" t="str">
            <v>梅陇</v>
          </cell>
        </row>
        <row r="247">
          <cell r="D247" t="str">
            <v>上海市罗阳中学</v>
          </cell>
          <cell r="E247" t="str">
            <v>镇管</v>
          </cell>
          <cell r="F247" t="str">
            <v>梅陇</v>
          </cell>
        </row>
        <row r="248">
          <cell r="D248" t="str">
            <v>上海市七宝中学附属闵行金都实验中学</v>
          </cell>
          <cell r="E248" t="str">
            <v>镇管</v>
          </cell>
          <cell r="F248" t="str">
            <v>梅陇</v>
          </cell>
        </row>
        <row r="249">
          <cell r="D249" t="str">
            <v>上海市七宝中学附属闵行金都实验中学</v>
          </cell>
          <cell r="E249" t="str">
            <v>镇管</v>
          </cell>
          <cell r="F249" t="str">
            <v>梅陇</v>
          </cell>
        </row>
        <row r="250">
          <cell r="D250" t="str">
            <v>上海市七宝中学附属闵行金都实验中学</v>
          </cell>
          <cell r="E250" t="str">
            <v>镇管</v>
          </cell>
          <cell r="F250" t="str">
            <v>梅陇</v>
          </cell>
        </row>
        <row r="251">
          <cell r="D251" t="str">
            <v>上海市七宝中学附属闵行金都实验中学</v>
          </cell>
          <cell r="E251" t="str">
            <v>镇管</v>
          </cell>
          <cell r="F251" t="str">
            <v>梅陇</v>
          </cell>
        </row>
        <row r="252">
          <cell r="D252" t="str">
            <v>上海市七宝中学附属闵行金都实验中学</v>
          </cell>
          <cell r="E252" t="str">
            <v>镇管</v>
          </cell>
          <cell r="F252" t="str">
            <v>梅陇</v>
          </cell>
        </row>
        <row r="253">
          <cell r="D253" t="str">
            <v>上海中医药大学附属闵行晶城中学</v>
          </cell>
          <cell r="E253" t="str">
            <v>镇管</v>
          </cell>
          <cell r="F253" t="str">
            <v>梅陇</v>
          </cell>
        </row>
        <row r="254">
          <cell r="D254" t="str">
            <v>上海中医药大学附属闵行晶城中学</v>
          </cell>
          <cell r="E254" t="str">
            <v>镇管</v>
          </cell>
          <cell r="F254" t="str">
            <v>梅陇</v>
          </cell>
        </row>
        <row r="255">
          <cell r="D255" t="str">
            <v>上海中医药大学附属闵行晶城中学</v>
          </cell>
          <cell r="E255" t="str">
            <v>镇管</v>
          </cell>
          <cell r="F255" t="str">
            <v>梅陇</v>
          </cell>
        </row>
        <row r="256">
          <cell r="D256" t="str">
            <v>上海中医药大学附属闵行晶城中学</v>
          </cell>
          <cell r="E256" t="str">
            <v>镇管</v>
          </cell>
          <cell r="F256" t="str">
            <v>梅陇</v>
          </cell>
        </row>
        <row r="257">
          <cell r="D257" t="str">
            <v>上海中医药大学附属闵行晶城中学</v>
          </cell>
          <cell r="E257" t="str">
            <v>镇管</v>
          </cell>
          <cell r="F257" t="str">
            <v>梅陇</v>
          </cell>
        </row>
        <row r="258">
          <cell r="D258">
            <v>0</v>
          </cell>
          <cell r="E258">
            <v>0</v>
          </cell>
          <cell r="F258">
            <v>0</v>
          </cell>
        </row>
        <row r="259">
          <cell r="D259" t="str">
            <v>上海市闵行区马桥富国幼儿园</v>
          </cell>
          <cell r="E259" t="str">
            <v>镇管</v>
          </cell>
          <cell r="F259" t="str">
            <v>马桥</v>
          </cell>
        </row>
        <row r="260">
          <cell r="D260" t="str">
            <v>上海市闵行区马桥富国幼儿园</v>
          </cell>
          <cell r="E260" t="str">
            <v>镇管</v>
          </cell>
          <cell r="F260" t="str">
            <v>马桥</v>
          </cell>
        </row>
        <row r="261">
          <cell r="D261" t="str">
            <v>上海市闵行区马桥富国幼儿园</v>
          </cell>
          <cell r="E261" t="str">
            <v>镇管</v>
          </cell>
          <cell r="F261" t="str">
            <v>马桥</v>
          </cell>
        </row>
        <row r="262">
          <cell r="D262" t="str">
            <v>上海市闵行区马桥启英幼儿园</v>
          </cell>
          <cell r="E262" t="str">
            <v>镇管</v>
          </cell>
          <cell r="F262" t="str">
            <v>马桥</v>
          </cell>
        </row>
        <row r="263">
          <cell r="D263" t="str">
            <v>上海市闵行区马桥启英幼儿园</v>
          </cell>
          <cell r="E263" t="str">
            <v>镇管</v>
          </cell>
          <cell r="F263" t="str">
            <v>马桥</v>
          </cell>
        </row>
        <row r="264">
          <cell r="D264" t="str">
            <v>上海市闵行区马桥启英幼儿园</v>
          </cell>
          <cell r="E264" t="str">
            <v>镇管</v>
          </cell>
          <cell r="F264" t="str">
            <v>马桥</v>
          </cell>
        </row>
        <row r="265">
          <cell r="D265" t="str">
            <v>上海市闵行区马桥富国幼儿园</v>
          </cell>
          <cell r="E265" t="str">
            <v>镇管</v>
          </cell>
          <cell r="F265" t="str">
            <v>马桥</v>
          </cell>
        </row>
        <row r="266">
          <cell r="D266" t="str">
            <v>上海市闵行区马桥文来外国语小学</v>
          </cell>
          <cell r="E266" t="str">
            <v>镇管</v>
          </cell>
          <cell r="F266" t="str">
            <v>马桥</v>
          </cell>
        </row>
        <row r="267">
          <cell r="D267" t="str">
            <v>上海市闵行区马桥文来外国语小学</v>
          </cell>
          <cell r="E267" t="str">
            <v>镇管</v>
          </cell>
          <cell r="F267" t="str">
            <v>马桥</v>
          </cell>
        </row>
        <row r="268">
          <cell r="D268" t="str">
            <v>上海市闵行区马桥文来外国语小学</v>
          </cell>
          <cell r="E268" t="str">
            <v>镇管</v>
          </cell>
          <cell r="F268" t="str">
            <v>马桥</v>
          </cell>
        </row>
        <row r="269">
          <cell r="D269" t="str">
            <v>上海市闵行区马桥文来外国语小学</v>
          </cell>
          <cell r="E269" t="str">
            <v>镇管</v>
          </cell>
          <cell r="F269" t="str">
            <v>马桥</v>
          </cell>
        </row>
        <row r="270">
          <cell r="D270" t="str">
            <v>上海交通大学附属闵行马桥实验学校</v>
          </cell>
          <cell r="E270" t="str">
            <v>镇管</v>
          </cell>
          <cell r="F270" t="str">
            <v>马桥</v>
          </cell>
        </row>
        <row r="271">
          <cell r="D271" t="str">
            <v>上海交通大学附属闵行马桥实验学校</v>
          </cell>
          <cell r="E271" t="str">
            <v>镇管</v>
          </cell>
          <cell r="F271" t="str">
            <v>马桥</v>
          </cell>
        </row>
        <row r="272">
          <cell r="D272" t="str">
            <v>上海交通大学附属闵行马桥实验学校</v>
          </cell>
          <cell r="E272" t="str">
            <v>镇管</v>
          </cell>
          <cell r="F272" t="str">
            <v>马桥</v>
          </cell>
        </row>
        <row r="273">
          <cell r="D273" t="str">
            <v>上海交通大学附属闵行马桥实验学校</v>
          </cell>
          <cell r="E273" t="str">
            <v>镇管</v>
          </cell>
          <cell r="F273" t="str">
            <v>马桥</v>
          </cell>
        </row>
        <row r="274">
          <cell r="D274" t="str">
            <v>上海交通大学附属闵行马桥实验学校</v>
          </cell>
          <cell r="E274" t="str">
            <v>镇管</v>
          </cell>
          <cell r="F274" t="str">
            <v>马桥</v>
          </cell>
        </row>
        <row r="275">
          <cell r="D275" t="str">
            <v>上海交通大学附属闵行马桥实验学校</v>
          </cell>
          <cell r="E275" t="str">
            <v>镇管</v>
          </cell>
          <cell r="F275" t="str">
            <v>马桥</v>
          </cell>
        </row>
        <row r="276">
          <cell r="D276" t="str">
            <v>上海交通大学附属闵行马桥实验学校</v>
          </cell>
          <cell r="E276" t="str">
            <v>镇管</v>
          </cell>
          <cell r="F276" t="str">
            <v>马桥</v>
          </cell>
        </row>
        <row r="277">
          <cell r="D277" t="str">
            <v>上海交通大学附属闵行马桥实验学校</v>
          </cell>
          <cell r="E277" t="str">
            <v>镇管</v>
          </cell>
          <cell r="F277" t="str">
            <v>马桥</v>
          </cell>
        </row>
        <row r="278">
          <cell r="D278" t="str">
            <v>上海交通大学附属闵行马桥实验学校</v>
          </cell>
          <cell r="E278" t="str">
            <v>镇管</v>
          </cell>
          <cell r="F278" t="str">
            <v>马桥</v>
          </cell>
        </row>
        <row r="279">
          <cell r="D279" t="str">
            <v>上海交通大学附属闵行马桥实验学校</v>
          </cell>
          <cell r="E279" t="str">
            <v>镇管</v>
          </cell>
          <cell r="F279" t="str">
            <v>马桥</v>
          </cell>
        </row>
        <row r="280">
          <cell r="D280" t="str">
            <v>上海市马桥强恕学校</v>
          </cell>
          <cell r="E280" t="str">
            <v>镇管</v>
          </cell>
          <cell r="F280" t="str">
            <v>马桥</v>
          </cell>
        </row>
        <row r="281">
          <cell r="D281" t="str">
            <v>上海市马桥强恕学校</v>
          </cell>
          <cell r="E281" t="str">
            <v>镇管</v>
          </cell>
          <cell r="F281" t="str">
            <v>马桥</v>
          </cell>
        </row>
        <row r="282">
          <cell r="D282" t="str">
            <v>上海市闵行区马桥复旦万科实验中学</v>
          </cell>
          <cell r="E282" t="str">
            <v>镇管</v>
          </cell>
          <cell r="F282" t="str">
            <v>马桥</v>
          </cell>
        </row>
        <row r="283">
          <cell r="D283" t="str">
            <v>上海市闵行区马桥复旦万科实验中学</v>
          </cell>
          <cell r="E283" t="str">
            <v>镇管</v>
          </cell>
          <cell r="F283" t="str">
            <v>马桥</v>
          </cell>
        </row>
        <row r="284">
          <cell r="D284" t="str">
            <v>上海交通大学附属闵行马桥实验学校</v>
          </cell>
          <cell r="E284" t="str">
            <v>镇管</v>
          </cell>
          <cell r="F284" t="str">
            <v>马桥</v>
          </cell>
        </row>
        <row r="285">
          <cell r="D285">
            <v>0</v>
          </cell>
          <cell r="E285">
            <v>0</v>
          </cell>
          <cell r="F285">
            <v>0</v>
          </cell>
        </row>
        <row r="286">
          <cell r="D286" t="str">
            <v>上海市闵行区华漕镇金色幼儿园</v>
          </cell>
          <cell r="E286" t="str">
            <v>镇管</v>
          </cell>
          <cell r="F286" t="str">
            <v>华漕</v>
          </cell>
        </row>
        <row r="287">
          <cell r="D287" t="str">
            <v>闵行区华漕镇纪王幼儿园</v>
          </cell>
          <cell r="E287" t="str">
            <v>镇管</v>
          </cell>
          <cell r="F287" t="str">
            <v>华漕</v>
          </cell>
        </row>
        <row r="288">
          <cell r="D288" t="str">
            <v>上海市闵行区华漕镇季乐路幼儿园</v>
          </cell>
          <cell r="E288" t="str">
            <v>镇管</v>
          </cell>
          <cell r="F288" t="str">
            <v>华漕</v>
          </cell>
        </row>
        <row r="289">
          <cell r="D289" t="str">
            <v>上海市闵行区华漕镇季乐路幼儿园</v>
          </cell>
          <cell r="E289" t="str">
            <v>镇管</v>
          </cell>
          <cell r="F289" t="str">
            <v>华漕</v>
          </cell>
        </row>
        <row r="290">
          <cell r="D290" t="str">
            <v>上海市闵行区华漕镇季乐路幼儿园</v>
          </cell>
          <cell r="E290" t="str">
            <v>镇管</v>
          </cell>
          <cell r="F290" t="str">
            <v>华漕</v>
          </cell>
        </row>
        <row r="291">
          <cell r="D291" t="str">
            <v>上海市闵行区华漕镇季乐路幼儿园</v>
          </cell>
          <cell r="E291" t="str">
            <v>镇管</v>
          </cell>
          <cell r="F291" t="str">
            <v>华漕</v>
          </cell>
        </row>
        <row r="292">
          <cell r="D292" t="str">
            <v>上海市闵行区华漕镇季乐路幼儿园</v>
          </cell>
          <cell r="E292" t="str">
            <v>镇管</v>
          </cell>
          <cell r="F292" t="str">
            <v>华漕</v>
          </cell>
        </row>
        <row r="293">
          <cell r="D293" t="str">
            <v>上海市闵行区华漕镇季乐路幼儿园</v>
          </cell>
          <cell r="E293" t="str">
            <v>镇管</v>
          </cell>
          <cell r="F293" t="str">
            <v>华漕</v>
          </cell>
        </row>
        <row r="294">
          <cell r="D294" t="str">
            <v>上海市闵行区华漕学校</v>
          </cell>
          <cell r="E294" t="str">
            <v>镇管</v>
          </cell>
          <cell r="F294" t="str">
            <v>华漕</v>
          </cell>
        </row>
        <row r="295">
          <cell r="D295" t="str">
            <v>上海市闵行区华漕学校</v>
          </cell>
          <cell r="E295" t="str">
            <v>镇管</v>
          </cell>
          <cell r="F295" t="str">
            <v>华漕</v>
          </cell>
        </row>
        <row r="296">
          <cell r="D296" t="str">
            <v>上海市闵行区华漕学校</v>
          </cell>
          <cell r="E296" t="str">
            <v>镇管</v>
          </cell>
          <cell r="F296" t="str">
            <v>华漕</v>
          </cell>
        </row>
        <row r="297">
          <cell r="D297" t="str">
            <v>上海市闵行区诸翟学校</v>
          </cell>
          <cell r="E297" t="str">
            <v>镇管</v>
          </cell>
          <cell r="F297" t="str">
            <v>华漕</v>
          </cell>
        </row>
        <row r="298">
          <cell r="D298" t="str">
            <v>上海市闵行区诸翟学校</v>
          </cell>
          <cell r="E298" t="str">
            <v>镇管</v>
          </cell>
          <cell r="F298" t="str">
            <v>华漕</v>
          </cell>
        </row>
        <row r="299">
          <cell r="D299" t="str">
            <v>上海市闵行区诸翟学校</v>
          </cell>
          <cell r="E299" t="str">
            <v>镇管</v>
          </cell>
          <cell r="F299" t="str">
            <v>华漕</v>
          </cell>
        </row>
        <row r="300">
          <cell r="D300" t="str">
            <v>上海市闵行区诸翟学校</v>
          </cell>
          <cell r="E300" t="str">
            <v>镇管</v>
          </cell>
          <cell r="F300" t="str">
            <v>华漕</v>
          </cell>
        </row>
        <row r="301">
          <cell r="D301" t="str">
            <v>上海市闵行区诸翟学校</v>
          </cell>
          <cell r="E301" t="str">
            <v>镇管</v>
          </cell>
          <cell r="F301" t="str">
            <v>华漕</v>
          </cell>
        </row>
        <row r="302">
          <cell r="D302" t="str">
            <v>上海市闵行区诸翟学校</v>
          </cell>
          <cell r="E302" t="str">
            <v>镇管</v>
          </cell>
          <cell r="F302" t="str">
            <v>华漕</v>
          </cell>
        </row>
        <row r="303">
          <cell r="D303" t="str">
            <v>上海市闵行区华漕学校</v>
          </cell>
          <cell r="E303" t="str">
            <v>镇管</v>
          </cell>
          <cell r="F303" t="str">
            <v>华漕</v>
          </cell>
        </row>
        <row r="304">
          <cell r="D304" t="str">
            <v>上海市闵行区诸翟学校</v>
          </cell>
          <cell r="E304" t="str">
            <v>镇管</v>
          </cell>
          <cell r="F304" t="str">
            <v>华漕</v>
          </cell>
        </row>
        <row r="305">
          <cell r="D305" t="str">
            <v>上海市闵行区诸翟学校</v>
          </cell>
          <cell r="E305" t="str">
            <v>镇管</v>
          </cell>
          <cell r="F305" t="str">
            <v>华漕</v>
          </cell>
        </row>
        <row r="306">
          <cell r="D306" t="str">
            <v>上海市闵行区诸翟学校</v>
          </cell>
          <cell r="E306" t="str">
            <v>镇管</v>
          </cell>
          <cell r="F306" t="str">
            <v>华漕</v>
          </cell>
        </row>
        <row r="307">
          <cell r="D307" t="str">
            <v>上海市闵行区诸翟学校</v>
          </cell>
          <cell r="E307" t="str">
            <v>镇管</v>
          </cell>
          <cell r="F307" t="str">
            <v>华漕</v>
          </cell>
        </row>
        <row r="308">
          <cell r="D308" t="str">
            <v>上海市闵行区诸翟学校</v>
          </cell>
          <cell r="E308" t="str">
            <v>镇管</v>
          </cell>
          <cell r="F308" t="str">
            <v>华漕</v>
          </cell>
        </row>
        <row r="309">
          <cell r="D309" t="str">
            <v>上海市闵行区纪王学校</v>
          </cell>
          <cell r="E309" t="str">
            <v>镇管</v>
          </cell>
          <cell r="F309" t="str">
            <v>华漕</v>
          </cell>
        </row>
        <row r="310">
          <cell r="D310" t="str">
            <v>上海市闵行区纪王学校</v>
          </cell>
          <cell r="E310" t="str">
            <v>镇管</v>
          </cell>
          <cell r="F310" t="str">
            <v>华漕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 t="str">
            <v>华东师范大学附属闵行虹桥幼儿园</v>
          </cell>
          <cell r="E312" t="str">
            <v>镇管</v>
          </cell>
          <cell r="F312" t="str">
            <v>虹桥</v>
          </cell>
        </row>
        <row r="313">
          <cell r="D313" t="str">
            <v>华东师范大学附属闵行虹桥幼儿园</v>
          </cell>
          <cell r="E313" t="str">
            <v>镇管</v>
          </cell>
          <cell r="F313" t="str">
            <v>虹桥</v>
          </cell>
        </row>
        <row r="314">
          <cell r="D314" t="str">
            <v>华东师范大学附属闵行虹桥幼儿园</v>
          </cell>
          <cell r="E314" t="str">
            <v>镇管</v>
          </cell>
          <cell r="F314" t="str">
            <v>虹桥</v>
          </cell>
        </row>
        <row r="315">
          <cell r="D315" t="str">
            <v>华东师范大学附属闵行虹桥幼儿园</v>
          </cell>
          <cell r="E315" t="str">
            <v>镇管</v>
          </cell>
          <cell r="F315" t="str">
            <v>虹桥</v>
          </cell>
        </row>
        <row r="316">
          <cell r="D316" t="str">
            <v>华东师范大学附属闵行虹桥幼儿园</v>
          </cell>
          <cell r="E316" t="str">
            <v>镇管</v>
          </cell>
          <cell r="F316" t="str">
            <v>虹桥</v>
          </cell>
        </row>
        <row r="317">
          <cell r="D317" t="str">
            <v>闵行区虹桥中心小学</v>
          </cell>
          <cell r="E317" t="str">
            <v>镇管</v>
          </cell>
          <cell r="F317" t="str">
            <v>虹桥</v>
          </cell>
        </row>
        <row r="318">
          <cell r="D318" t="str">
            <v>闵行区虹桥中心小学</v>
          </cell>
          <cell r="E318" t="str">
            <v>镇管</v>
          </cell>
          <cell r="F318" t="str">
            <v>虹桥</v>
          </cell>
        </row>
        <row r="319">
          <cell r="D319" t="str">
            <v>闵行区虹桥中心小学</v>
          </cell>
          <cell r="E319" t="str">
            <v>镇管</v>
          </cell>
          <cell r="F319" t="str">
            <v>虹桥</v>
          </cell>
        </row>
        <row r="320">
          <cell r="D320" t="str">
            <v>闵行区虹桥中心小学</v>
          </cell>
          <cell r="E320" t="str">
            <v>镇管</v>
          </cell>
          <cell r="F320" t="str">
            <v>虹桥</v>
          </cell>
        </row>
        <row r="321">
          <cell r="D321" t="str">
            <v>闵行区虹桥中心小学</v>
          </cell>
          <cell r="E321" t="str">
            <v>镇管</v>
          </cell>
          <cell r="F321" t="str">
            <v>虹桥</v>
          </cell>
        </row>
        <row r="322">
          <cell r="D322" t="str">
            <v>华东师范大学附属闵行虹桥学校</v>
          </cell>
          <cell r="E322" t="str">
            <v>镇管</v>
          </cell>
          <cell r="F322" t="str">
            <v>虹桥</v>
          </cell>
        </row>
        <row r="323">
          <cell r="D323" t="str">
            <v>华东师范大学附属闵行虹桥学校</v>
          </cell>
          <cell r="E323" t="str">
            <v>镇管</v>
          </cell>
          <cell r="F323" t="str">
            <v>虹桥</v>
          </cell>
        </row>
        <row r="324">
          <cell r="D324" t="str">
            <v>华东师范大学附属闵行虹桥学校</v>
          </cell>
          <cell r="E324" t="str">
            <v>镇管</v>
          </cell>
          <cell r="F324" t="str">
            <v>虹桥</v>
          </cell>
        </row>
        <row r="325">
          <cell r="D325" t="str">
            <v>闵行区龙柏第一小学</v>
          </cell>
          <cell r="E325" t="str">
            <v>镇管</v>
          </cell>
          <cell r="F325" t="str">
            <v>虹桥</v>
          </cell>
        </row>
        <row r="326">
          <cell r="D326" t="str">
            <v>上海市龙柏中学</v>
          </cell>
          <cell r="E326" t="str">
            <v>镇管</v>
          </cell>
          <cell r="F326" t="str">
            <v>虹桥</v>
          </cell>
        </row>
        <row r="327">
          <cell r="D327" t="str">
            <v>上海市龙柏中学</v>
          </cell>
          <cell r="E327" t="str">
            <v>镇管</v>
          </cell>
          <cell r="F327" t="str">
            <v>虹桥</v>
          </cell>
        </row>
        <row r="328">
          <cell r="D328" t="str">
            <v>上海市龙柏中学</v>
          </cell>
          <cell r="E328" t="str">
            <v>镇管</v>
          </cell>
          <cell r="F328" t="str">
            <v>虹桥</v>
          </cell>
        </row>
        <row r="329">
          <cell r="D329" t="str">
            <v>上海市闵行区上虹中学</v>
          </cell>
          <cell r="E329" t="str">
            <v>镇管</v>
          </cell>
          <cell r="F329" t="str">
            <v>虹桥</v>
          </cell>
        </row>
        <row r="330">
          <cell r="D330" t="str">
            <v>上海市闵行区上虹中学</v>
          </cell>
          <cell r="E330" t="str">
            <v>镇管</v>
          </cell>
          <cell r="F330" t="str">
            <v>虹桥</v>
          </cell>
        </row>
        <row r="331">
          <cell r="D331">
            <v>0</v>
          </cell>
          <cell r="E331">
            <v>0</v>
          </cell>
          <cell r="F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355" t="s">
        <v>270</v>
      </c>
      <c r="B1" s="1356"/>
      <c r="C1" s="1356"/>
      <c r="D1" s="1356"/>
      <c r="E1" s="1356"/>
      <c r="F1" s="1356"/>
      <c r="G1" s="1356"/>
      <c r="H1" s="1356"/>
      <c r="I1" s="1356"/>
      <c r="J1" s="1356"/>
      <c r="K1" s="1356"/>
      <c r="L1" s="1356"/>
      <c r="M1" s="1356"/>
      <c r="N1" s="1356"/>
      <c r="O1" s="1356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374" t="s">
        <v>1240</v>
      </c>
      <c r="B1" s="1375"/>
      <c r="C1" s="1375"/>
      <c r="D1" s="1375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376" t="s">
        <v>1076</v>
      </c>
      <c r="B1" s="1376"/>
      <c r="C1" s="1376"/>
      <c r="D1" s="1376"/>
      <c r="E1" s="1376"/>
      <c r="F1" s="1376"/>
      <c r="G1" s="1376"/>
      <c r="H1" s="1376"/>
      <c r="I1" s="1376"/>
      <c r="J1" s="1376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377" t="s">
        <v>735</v>
      </c>
      <c r="B1" s="1378"/>
      <c r="C1" s="1378"/>
      <c r="D1" s="1378"/>
      <c r="E1" s="1378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379" t="s">
        <v>833</v>
      </c>
      <c r="B1" s="1379"/>
      <c r="C1" s="1379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380" t="s">
        <v>954</v>
      </c>
      <c r="B1" s="1380"/>
      <c r="C1" s="1380"/>
      <c r="D1" s="1380"/>
      <c r="E1" s="1380"/>
      <c r="F1" s="1380"/>
      <c r="G1" s="1380"/>
      <c r="H1" s="1380"/>
      <c r="I1" s="1380"/>
      <c r="J1" s="1380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383" t="s">
        <v>965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  <c r="N1" s="1384"/>
      <c r="O1" s="1384"/>
      <c r="P1" s="1384"/>
      <c r="Q1" s="1384"/>
      <c r="R1" s="1384"/>
      <c r="S1" s="1384"/>
      <c r="T1" s="1384"/>
      <c r="U1" s="1384"/>
      <c r="V1" s="1384"/>
      <c r="W1" s="1384"/>
      <c r="X1" s="1384"/>
      <c r="Y1" s="1384"/>
      <c r="Z1" s="1384"/>
      <c r="AA1" s="1384"/>
      <c r="AB1" s="1384"/>
      <c r="AC1" s="1384"/>
      <c r="AD1" s="1384"/>
      <c r="AE1" s="1384"/>
      <c r="AF1" s="1384"/>
      <c r="AG1" s="1384"/>
      <c r="AH1" s="1384"/>
      <c r="AI1" s="1384"/>
      <c r="AJ1" s="1384"/>
      <c r="AK1" s="1384"/>
      <c r="AL1" s="1384"/>
      <c r="AM1" s="1384"/>
      <c r="AN1" s="1385"/>
      <c r="AO1" s="1385"/>
    </row>
    <row r="2" spans="1:41" ht="11.25" customHeight="1">
      <c r="A2" s="1386" t="s">
        <v>631</v>
      </c>
      <c r="B2" s="1386" t="s">
        <v>632</v>
      </c>
      <c r="C2" s="1386" t="s">
        <v>955</v>
      </c>
      <c r="D2" s="1386" t="s">
        <v>633</v>
      </c>
      <c r="E2" s="1386" t="s">
        <v>634</v>
      </c>
      <c r="F2" s="1386"/>
      <c r="G2" s="1386"/>
      <c r="H2" s="1386"/>
      <c r="I2" s="1386"/>
      <c r="J2" s="1386" t="s">
        <v>966</v>
      </c>
      <c r="K2" s="1386"/>
      <c r="L2" s="1386"/>
      <c r="M2" s="1386"/>
      <c r="N2" s="1386"/>
      <c r="O2" s="1387" t="s">
        <v>635</v>
      </c>
      <c r="P2" s="1387"/>
      <c r="Q2" s="1387"/>
      <c r="R2" s="1387"/>
      <c r="S2" s="1387"/>
      <c r="T2" s="1387" t="s">
        <v>636</v>
      </c>
      <c r="U2" s="1387"/>
      <c r="V2" s="1387"/>
      <c r="W2" s="1387"/>
      <c r="X2" s="1387"/>
      <c r="Y2" s="1387" t="s">
        <v>637</v>
      </c>
      <c r="Z2" s="1387"/>
      <c r="AA2" s="1387"/>
      <c r="AB2" s="1387"/>
      <c r="AC2" s="1387"/>
      <c r="AD2" s="1386" t="s">
        <v>967</v>
      </c>
      <c r="AE2" s="1386"/>
      <c r="AF2" s="1386"/>
      <c r="AG2" s="1386"/>
      <c r="AH2" s="1386"/>
      <c r="AI2" s="1386"/>
      <c r="AJ2" s="1386"/>
      <c r="AK2" s="1386"/>
      <c r="AL2" s="1386"/>
      <c r="AM2" s="1386"/>
      <c r="AN2" s="1381" t="s">
        <v>968</v>
      </c>
      <c r="AO2" s="1381" t="s">
        <v>267</v>
      </c>
    </row>
    <row r="3" spans="1:41" ht="33.75">
      <c r="A3" s="1386"/>
      <c r="B3" s="1386"/>
      <c r="C3" s="1386"/>
      <c r="D3" s="1386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382"/>
      <c r="AO3" s="1382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388" t="s">
        <v>1059</v>
      </c>
      <c r="B1" s="1388"/>
      <c r="C1" s="1388"/>
      <c r="D1" s="1389"/>
      <c r="E1" s="1389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390" t="s">
        <v>1657</v>
      </c>
      <c r="B1" s="1390"/>
      <c r="C1" s="1390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391" t="s">
        <v>1301</v>
      </c>
      <c r="B1" s="1391"/>
      <c r="C1" s="1391"/>
      <c r="D1" s="1391"/>
      <c r="E1" s="1391"/>
      <c r="F1" s="1391"/>
      <c r="G1" s="1391"/>
      <c r="H1" s="1391"/>
      <c r="I1" s="1391"/>
      <c r="J1" s="1391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392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393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393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393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393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357" t="s">
        <v>827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</row>
    <row r="2" spans="1:11" ht="1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359" t="s">
        <v>17</v>
      </c>
      <c r="K2" s="1359" t="s">
        <v>18</v>
      </c>
    </row>
    <row r="3" spans="1:11" ht="15" customHeight="1">
      <c r="A3" s="1360"/>
      <c r="B3" s="1360"/>
      <c r="C3" s="1360"/>
      <c r="D3" s="1360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360"/>
      <c r="K3" s="1360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394" t="s">
        <v>1681</v>
      </c>
      <c r="B1" s="1395"/>
      <c r="C1" s="1395"/>
      <c r="D1" s="1395"/>
      <c r="E1" s="1395"/>
      <c r="F1" s="1395"/>
      <c r="G1" s="1395"/>
      <c r="H1" s="1395"/>
      <c r="I1" s="1395"/>
      <c r="J1" s="1395"/>
      <c r="K1" s="1395"/>
      <c r="L1" s="1395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96" t="s">
        <v>2140</v>
      </c>
      <c r="B1" s="1397"/>
      <c r="C1" s="1397"/>
      <c r="D1" s="1397"/>
      <c r="E1" s="1397"/>
      <c r="F1" s="1397"/>
      <c r="G1" s="1397"/>
      <c r="H1" s="1397"/>
    </row>
    <row r="2" spans="1:13" s="550" customFormat="1" ht="12.75">
      <c r="A2" s="1398" t="s">
        <v>2141</v>
      </c>
      <c r="B2" s="1398" t="s">
        <v>2142</v>
      </c>
      <c r="C2" s="1398" t="s">
        <v>2143</v>
      </c>
      <c r="D2" s="1398" t="s">
        <v>2144</v>
      </c>
      <c r="E2" s="1401" t="s">
        <v>2145</v>
      </c>
      <c r="F2" s="1403" t="s">
        <v>2146</v>
      </c>
      <c r="G2" s="1404"/>
      <c r="H2" s="1405" t="s">
        <v>18</v>
      </c>
      <c r="I2" s="549"/>
      <c r="J2" s="549"/>
      <c r="K2" s="549"/>
      <c r="L2" s="549"/>
      <c r="M2" s="549"/>
    </row>
    <row r="3" spans="1:13" s="554" customFormat="1" ht="12.75">
      <c r="A3" s="1399"/>
      <c r="B3" s="1399"/>
      <c r="C3" s="1399"/>
      <c r="D3" s="1400"/>
      <c r="E3" s="1402"/>
      <c r="F3" s="551" t="s">
        <v>2147</v>
      </c>
      <c r="G3" s="552" t="s">
        <v>2148</v>
      </c>
      <c r="H3" s="1406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96" t="s">
        <v>2252</v>
      </c>
      <c r="B1" s="1397"/>
      <c r="C1" s="1397"/>
      <c r="D1" s="1397"/>
      <c r="E1" s="1397"/>
      <c r="F1" s="1397"/>
      <c r="G1" s="1397"/>
      <c r="H1" s="1397"/>
    </row>
    <row r="2" spans="1:13" s="550" customFormat="1" ht="12.75">
      <c r="A2" s="1398" t="s">
        <v>2141</v>
      </c>
      <c r="B2" s="1398" t="s">
        <v>2142</v>
      </c>
      <c r="C2" s="1398" t="s">
        <v>2143</v>
      </c>
      <c r="D2" s="1398" t="s">
        <v>2144</v>
      </c>
      <c r="E2" s="1401" t="s">
        <v>2145</v>
      </c>
      <c r="F2" s="1403" t="s">
        <v>2146</v>
      </c>
      <c r="G2" s="1404"/>
      <c r="H2" s="1405" t="s">
        <v>18</v>
      </c>
      <c r="I2" s="549"/>
      <c r="J2" s="549"/>
      <c r="K2" s="549"/>
      <c r="L2" s="549"/>
      <c r="M2" s="549"/>
    </row>
    <row r="3" spans="1:13" s="554" customFormat="1" ht="12.75">
      <c r="A3" s="1399"/>
      <c r="B3" s="1399"/>
      <c r="C3" s="1399"/>
      <c r="D3" s="1400"/>
      <c r="E3" s="1402"/>
      <c r="F3" s="551" t="s">
        <v>2147</v>
      </c>
      <c r="G3" s="552" t="s">
        <v>2148</v>
      </c>
      <c r="H3" s="1406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407" t="s">
        <v>2272</v>
      </c>
      <c r="B1" s="1408"/>
      <c r="C1" s="1408"/>
      <c r="D1" s="1408"/>
      <c r="E1" s="1408"/>
      <c r="F1" s="1408"/>
      <c r="G1" s="1408"/>
      <c r="H1" s="1408"/>
    </row>
    <row r="2" spans="1:13" s="629" customFormat="1" ht="12.75">
      <c r="A2" s="1409" t="s">
        <v>2141</v>
      </c>
      <c r="B2" s="1409" t="s">
        <v>2142</v>
      </c>
      <c r="C2" s="1409" t="s">
        <v>2143</v>
      </c>
      <c r="D2" s="1409" t="s">
        <v>2144</v>
      </c>
      <c r="E2" s="1412" t="s">
        <v>2145</v>
      </c>
      <c r="F2" s="1414" t="s">
        <v>2273</v>
      </c>
      <c r="G2" s="1415"/>
      <c r="H2" s="1416" t="s">
        <v>18</v>
      </c>
      <c r="I2" s="628"/>
      <c r="J2" s="628"/>
      <c r="K2" s="628"/>
      <c r="L2" s="628"/>
      <c r="M2" s="628"/>
    </row>
    <row r="3" spans="1:13" s="633" customFormat="1" ht="12.75">
      <c r="A3" s="1410"/>
      <c r="B3" s="1410"/>
      <c r="C3" s="1410"/>
      <c r="D3" s="1411"/>
      <c r="E3" s="1413"/>
      <c r="F3" s="630" t="s">
        <v>2147</v>
      </c>
      <c r="G3" s="631" t="s">
        <v>2148</v>
      </c>
      <c r="H3" s="1417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421" t="s">
        <v>2299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</row>
    <row r="2" spans="1:16" s="697" customFormat="1" ht="24.95" customHeight="1">
      <c r="A2" s="1423" t="s">
        <v>2300</v>
      </c>
      <c r="B2" s="1423"/>
      <c r="C2" s="1423"/>
      <c r="D2" s="1423"/>
      <c r="E2" s="1423"/>
      <c r="F2" s="1423"/>
      <c r="G2" s="1423"/>
      <c r="H2" s="1423"/>
      <c r="I2" s="1423"/>
      <c r="J2" s="1423"/>
      <c r="K2" s="1423"/>
      <c r="L2" s="1423"/>
      <c r="M2" s="1423"/>
      <c r="N2" s="1423"/>
      <c r="O2" s="1423"/>
    </row>
    <row r="3" spans="1:16" s="698" customFormat="1" ht="16.7" customHeight="1">
      <c r="A3" s="1420" t="s">
        <v>12</v>
      </c>
      <c r="B3" s="1419" t="s">
        <v>2301</v>
      </c>
      <c r="C3" s="1419" t="s">
        <v>13</v>
      </c>
      <c r="D3" s="1419" t="s">
        <v>1242</v>
      </c>
      <c r="E3" s="1419" t="s">
        <v>1243</v>
      </c>
      <c r="F3" s="1419" t="s">
        <v>2302</v>
      </c>
      <c r="G3" s="1419" t="s">
        <v>1245</v>
      </c>
      <c r="H3" s="1419" t="s">
        <v>1244</v>
      </c>
      <c r="I3" s="1419" t="s">
        <v>1246</v>
      </c>
      <c r="J3" s="1419" t="s">
        <v>2303</v>
      </c>
      <c r="K3" s="1419" t="s">
        <v>2304</v>
      </c>
      <c r="L3" s="1419" t="s">
        <v>2305</v>
      </c>
      <c r="M3" s="1419" t="s">
        <v>2306</v>
      </c>
      <c r="N3" s="1420" t="s">
        <v>2307</v>
      </c>
      <c r="O3" s="1420" t="s">
        <v>18</v>
      </c>
    </row>
    <row r="4" spans="1:16" s="698" customFormat="1" ht="18.600000000000001" customHeight="1">
      <c r="A4" s="1420"/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20"/>
      <c r="O4" s="1420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418" t="s">
        <v>2349</v>
      </c>
      <c r="B22" s="1418"/>
      <c r="C22" s="1418"/>
      <c r="D22" s="1418"/>
      <c r="E22" s="1418"/>
      <c r="F22" s="1418"/>
      <c r="G22" s="1418"/>
      <c r="H22" s="1418"/>
      <c r="I22" s="1418"/>
      <c r="J22" s="1418"/>
      <c r="K22" s="1418"/>
      <c r="L22" s="1418"/>
      <c r="M22" s="1418"/>
      <c r="N22" s="1418"/>
      <c r="O22" s="1418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427" t="s">
        <v>2136</v>
      </c>
      <c r="B1" s="1428"/>
      <c r="C1" s="1428"/>
      <c r="D1" s="1428"/>
      <c r="E1" s="1428"/>
      <c r="F1" s="1428"/>
      <c r="G1" s="1428"/>
      <c r="H1" s="1428"/>
      <c r="I1" s="1428"/>
      <c r="J1" s="1429"/>
    </row>
    <row r="2" spans="1:10">
      <c r="A2" s="1424" t="s">
        <v>12</v>
      </c>
      <c r="B2" s="1424" t="s">
        <v>1303</v>
      </c>
      <c r="C2" s="1424" t="s">
        <v>1305</v>
      </c>
      <c r="D2" s="1424" t="s">
        <v>1306</v>
      </c>
      <c r="E2" s="1424" t="s">
        <v>1307</v>
      </c>
      <c r="F2" s="1424" t="s">
        <v>1</v>
      </c>
      <c r="G2" s="1425" t="s">
        <v>1683</v>
      </c>
      <c r="H2" s="1425"/>
      <c r="I2" s="1426"/>
      <c r="J2" s="1492" t="s">
        <v>2134</v>
      </c>
    </row>
    <row r="3" spans="1:10">
      <c r="A3" s="1424"/>
      <c r="B3" s="1424"/>
      <c r="C3" s="1424"/>
      <c r="D3" s="1424"/>
      <c r="E3" s="1424"/>
      <c r="F3" s="1424"/>
      <c r="G3" s="163" t="s">
        <v>1308</v>
      </c>
      <c r="H3" s="361" t="s">
        <v>1309</v>
      </c>
      <c r="I3" s="526" t="s">
        <v>1310</v>
      </c>
      <c r="J3" s="1492"/>
    </row>
    <row r="4" spans="1:10" s="170" customFormat="1" ht="24">
      <c r="A4" s="1430">
        <v>1</v>
      </c>
      <c r="B4" s="1430" t="s">
        <v>2350</v>
      </c>
      <c r="C4" s="1431" t="s">
        <v>1312</v>
      </c>
      <c r="D4" s="1430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493">
        <f>ROUND(I10*0.8,0)</f>
        <v>292350</v>
      </c>
    </row>
    <row r="5" spans="1:10" s="170" customFormat="1" ht="13.5">
      <c r="A5" s="1430"/>
      <c r="B5" s="1430"/>
      <c r="C5" s="1431"/>
      <c r="D5" s="1430"/>
      <c r="E5" s="365" t="s">
        <v>1687</v>
      </c>
      <c r="F5" s="365" t="s">
        <v>1686</v>
      </c>
      <c r="G5" s="1434">
        <v>1150</v>
      </c>
      <c r="H5" s="1502">
        <v>168</v>
      </c>
      <c r="I5" s="1432">
        <v>193200</v>
      </c>
      <c r="J5" s="1494"/>
    </row>
    <row r="6" spans="1:10" s="170" customFormat="1" ht="24">
      <c r="A6" s="1430"/>
      <c r="B6" s="1430"/>
      <c r="C6" s="1431"/>
      <c r="D6" s="1430"/>
      <c r="E6" s="365" t="s">
        <v>1688</v>
      </c>
      <c r="F6" s="365" t="s">
        <v>1686</v>
      </c>
      <c r="G6" s="1435"/>
      <c r="H6" s="1503"/>
      <c r="I6" s="1433"/>
      <c r="J6" s="1494"/>
    </row>
    <row r="7" spans="1:10" s="170" customFormat="1" ht="13.5">
      <c r="A7" s="1430"/>
      <c r="B7" s="1430"/>
      <c r="C7" s="1431"/>
      <c r="D7" s="367" t="s">
        <v>1332</v>
      </c>
      <c r="E7" s="365"/>
      <c r="F7" s="365"/>
      <c r="G7" s="75"/>
      <c r="H7" s="366"/>
      <c r="I7" s="529">
        <v>309408</v>
      </c>
      <c r="J7" s="1494"/>
    </row>
    <row r="8" spans="1:10" s="170" customFormat="1" ht="13.5">
      <c r="A8" s="1430"/>
      <c r="B8" s="1430"/>
      <c r="C8" s="1431"/>
      <c r="D8" s="367" t="s">
        <v>1334</v>
      </c>
      <c r="E8" s="365"/>
      <c r="F8" s="365"/>
      <c r="G8" s="137"/>
      <c r="H8" s="366"/>
      <c r="I8" s="529">
        <v>37128.959999999999</v>
      </c>
      <c r="J8" s="1494"/>
    </row>
    <row r="9" spans="1:10" s="170" customFormat="1" ht="13.5">
      <c r="A9" s="1430"/>
      <c r="B9" s="1430"/>
      <c r="C9" s="1431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494"/>
    </row>
    <row r="10" spans="1:10" s="170" customFormat="1" ht="13.5">
      <c r="A10" s="1430"/>
      <c r="B10" s="1430"/>
      <c r="C10" s="1431"/>
      <c r="D10" s="367" t="s">
        <v>1342</v>
      </c>
      <c r="E10" s="365"/>
      <c r="F10" s="365"/>
      <c r="G10" s="75"/>
      <c r="H10" s="366"/>
      <c r="I10" s="529">
        <v>365436.96</v>
      </c>
      <c r="J10" s="1495"/>
    </row>
    <row r="11" spans="1:10" s="170" customFormat="1" ht="24">
      <c r="A11" s="1430">
        <v>2</v>
      </c>
      <c r="B11" s="1430" t="s">
        <v>2351</v>
      </c>
      <c r="C11" s="1431" t="s">
        <v>1690</v>
      </c>
      <c r="D11" s="1430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496">
        <f>ROUND(I15*0.9,0)</f>
        <v>900630</v>
      </c>
    </row>
    <row r="12" spans="1:10" s="170" customFormat="1" ht="13.5">
      <c r="A12" s="1430"/>
      <c r="B12" s="1430"/>
      <c r="C12" s="1431"/>
      <c r="D12" s="1430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497"/>
    </row>
    <row r="13" spans="1:10" s="170" customFormat="1" ht="13.5">
      <c r="A13" s="1430"/>
      <c r="B13" s="1430"/>
      <c r="C13" s="1431"/>
      <c r="D13" s="367" t="s">
        <v>1332</v>
      </c>
      <c r="E13" s="365"/>
      <c r="F13" s="365"/>
      <c r="G13" s="75"/>
      <c r="H13" s="366"/>
      <c r="I13" s="529">
        <v>898699.86</v>
      </c>
      <c r="J13" s="1497"/>
    </row>
    <row r="14" spans="1:10" s="170" customFormat="1" ht="13.5">
      <c r="A14" s="1430"/>
      <c r="B14" s="1430"/>
      <c r="C14" s="1431"/>
      <c r="D14" s="367" t="s">
        <v>1334</v>
      </c>
      <c r="E14" s="365"/>
      <c r="F14" s="365"/>
      <c r="G14" s="137"/>
      <c r="H14" s="366"/>
      <c r="I14" s="529">
        <v>102000</v>
      </c>
      <c r="J14" s="1497"/>
    </row>
    <row r="15" spans="1:10" s="170" customFormat="1" ht="13.5">
      <c r="A15" s="1430"/>
      <c r="B15" s="1430"/>
      <c r="C15" s="1431"/>
      <c r="D15" s="367" t="s">
        <v>1342</v>
      </c>
      <c r="E15" s="365"/>
      <c r="F15" s="365"/>
      <c r="G15" s="75"/>
      <c r="H15" s="366"/>
      <c r="I15" s="529">
        <v>1000699.86</v>
      </c>
      <c r="J15" s="1498"/>
    </row>
    <row r="16" spans="1:10" s="170" customFormat="1" ht="24">
      <c r="A16" s="1430">
        <v>3</v>
      </c>
      <c r="B16" s="1430" t="s">
        <v>2352</v>
      </c>
      <c r="C16" s="1431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496">
        <f>ROUND(I23*0.8,0)</f>
        <v>1029095</v>
      </c>
    </row>
    <row r="17" spans="1:10" s="170" customFormat="1" ht="24">
      <c r="A17" s="1430"/>
      <c r="B17" s="1430"/>
      <c r="C17" s="1431"/>
      <c r="D17" s="1430" t="s">
        <v>1694</v>
      </c>
      <c r="E17" s="365" t="s">
        <v>1695</v>
      </c>
      <c r="F17" s="365" t="s">
        <v>1686</v>
      </c>
      <c r="G17" s="1434">
        <v>1150</v>
      </c>
      <c r="H17" s="1502">
        <v>319</v>
      </c>
      <c r="I17" s="1432">
        <v>366850</v>
      </c>
      <c r="J17" s="1497"/>
    </row>
    <row r="18" spans="1:10" s="170" customFormat="1" ht="24">
      <c r="A18" s="1430"/>
      <c r="B18" s="1430"/>
      <c r="C18" s="1431"/>
      <c r="D18" s="1430"/>
      <c r="E18" s="365" t="s">
        <v>1696</v>
      </c>
      <c r="F18" s="365" t="s">
        <v>1686</v>
      </c>
      <c r="G18" s="1435"/>
      <c r="H18" s="1503"/>
      <c r="I18" s="1433"/>
      <c r="J18" s="1497"/>
    </row>
    <row r="19" spans="1:10" s="170" customFormat="1" ht="13.5">
      <c r="A19" s="1430"/>
      <c r="B19" s="1430"/>
      <c r="C19" s="1431"/>
      <c r="D19" s="1430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497"/>
    </row>
    <row r="20" spans="1:10" s="170" customFormat="1" ht="13.5">
      <c r="A20" s="1430"/>
      <c r="B20" s="1430"/>
      <c r="C20" s="1431"/>
      <c r="D20" s="367" t="s">
        <v>1332</v>
      </c>
      <c r="E20" s="365"/>
      <c r="F20" s="365"/>
      <c r="G20" s="75"/>
      <c r="H20" s="366"/>
      <c r="I20" s="529">
        <v>1138018.3500000001</v>
      </c>
      <c r="J20" s="1497"/>
    </row>
    <row r="21" spans="1:10" s="170" customFormat="1" ht="13.5">
      <c r="A21" s="1430"/>
      <c r="B21" s="1430"/>
      <c r="C21" s="1431"/>
      <c r="D21" s="367" t="s">
        <v>1334</v>
      </c>
      <c r="E21" s="365"/>
      <c r="F21" s="365"/>
      <c r="G21" s="137"/>
      <c r="H21" s="366"/>
      <c r="I21" s="529">
        <v>118350</v>
      </c>
      <c r="J21" s="1497"/>
    </row>
    <row r="22" spans="1:10" s="170" customFormat="1" ht="13.5">
      <c r="A22" s="1430"/>
      <c r="B22" s="1430"/>
      <c r="C22" s="1431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497"/>
    </row>
    <row r="23" spans="1:10" s="170" customFormat="1" ht="13.5">
      <c r="A23" s="1430"/>
      <c r="B23" s="1430"/>
      <c r="C23" s="1431"/>
      <c r="D23" s="367" t="s">
        <v>1342</v>
      </c>
      <c r="E23" s="365"/>
      <c r="F23" s="365"/>
      <c r="G23" s="75"/>
      <c r="H23" s="366"/>
      <c r="I23" s="529">
        <v>1286368.3500000001</v>
      </c>
      <c r="J23" s="1498"/>
    </row>
    <row r="24" spans="1:10" s="170" customFormat="1" ht="24">
      <c r="A24" s="1430">
        <v>4</v>
      </c>
      <c r="B24" s="1430" t="s">
        <v>2353</v>
      </c>
      <c r="C24" s="1431" t="s">
        <v>1690</v>
      </c>
      <c r="D24" s="1430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496">
        <f>ROUND(I29*0.8,0)</f>
        <v>410010</v>
      </c>
    </row>
    <row r="25" spans="1:10" s="170" customFormat="1" ht="36">
      <c r="A25" s="1430"/>
      <c r="B25" s="1430"/>
      <c r="C25" s="1431"/>
      <c r="D25" s="1430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497"/>
    </row>
    <row r="26" spans="1:10" s="170" customFormat="1" ht="13.5">
      <c r="A26" s="1430"/>
      <c r="B26" s="1430"/>
      <c r="C26" s="1431"/>
      <c r="D26" s="1430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497"/>
    </row>
    <row r="27" spans="1:10" s="170" customFormat="1" ht="13.5">
      <c r="A27" s="1430"/>
      <c r="B27" s="1430"/>
      <c r="C27" s="1431"/>
      <c r="D27" s="367" t="s">
        <v>1332</v>
      </c>
      <c r="E27" s="365"/>
      <c r="F27" s="365"/>
      <c r="G27" s="75"/>
      <c r="H27" s="366"/>
      <c r="I27" s="529">
        <v>457600</v>
      </c>
      <c r="J27" s="1497"/>
    </row>
    <row r="28" spans="1:10" s="170" customFormat="1" ht="13.5">
      <c r="A28" s="1430"/>
      <c r="B28" s="1430"/>
      <c r="C28" s="1431"/>
      <c r="D28" s="367" t="s">
        <v>1334</v>
      </c>
      <c r="E28" s="365"/>
      <c r="F28" s="365"/>
      <c r="G28" s="137"/>
      <c r="H28" s="366"/>
      <c r="I28" s="529">
        <v>54912</v>
      </c>
      <c r="J28" s="1497"/>
    </row>
    <row r="29" spans="1:10" s="170" customFormat="1" ht="13.5">
      <c r="A29" s="1430"/>
      <c r="B29" s="1430"/>
      <c r="C29" s="1431"/>
      <c r="D29" s="367" t="s">
        <v>1342</v>
      </c>
      <c r="E29" s="365"/>
      <c r="F29" s="365"/>
      <c r="G29" s="75"/>
      <c r="H29" s="366"/>
      <c r="I29" s="529">
        <v>512512</v>
      </c>
      <c r="J29" s="1498"/>
    </row>
    <row r="30" spans="1:10" s="374" customFormat="1">
      <c r="A30" s="1437">
        <v>5</v>
      </c>
      <c r="B30" s="1437" t="s">
        <v>1391</v>
      </c>
      <c r="C30" s="1440" t="s">
        <v>1702</v>
      </c>
      <c r="D30" s="1443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499">
        <f>ROUND(I65*0.9,0)</f>
        <v>2028146</v>
      </c>
    </row>
    <row r="31" spans="1:10" s="374" customFormat="1">
      <c r="A31" s="1438"/>
      <c r="B31" s="1438"/>
      <c r="C31" s="1441"/>
      <c r="D31" s="1443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500"/>
    </row>
    <row r="32" spans="1:10" s="374" customFormat="1">
      <c r="A32" s="1438"/>
      <c r="B32" s="1438"/>
      <c r="C32" s="1441"/>
      <c r="D32" s="1443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500"/>
    </row>
    <row r="33" spans="1:10" s="374" customFormat="1">
      <c r="A33" s="1438"/>
      <c r="B33" s="1438"/>
      <c r="C33" s="1441"/>
      <c r="D33" s="1443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500"/>
    </row>
    <row r="34" spans="1:10" s="374" customFormat="1">
      <c r="A34" s="1438"/>
      <c r="B34" s="1438"/>
      <c r="C34" s="1441"/>
      <c r="D34" s="1443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500"/>
    </row>
    <row r="35" spans="1:10" s="374" customFormat="1">
      <c r="A35" s="1438"/>
      <c r="B35" s="1438"/>
      <c r="C35" s="1441"/>
      <c r="D35" s="1443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500"/>
    </row>
    <row r="36" spans="1:10" s="374" customFormat="1">
      <c r="A36" s="1438"/>
      <c r="B36" s="1438"/>
      <c r="C36" s="1441"/>
      <c r="D36" s="1443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500"/>
    </row>
    <row r="37" spans="1:10" s="374" customFormat="1">
      <c r="A37" s="1438"/>
      <c r="B37" s="1438"/>
      <c r="C37" s="1441"/>
      <c r="D37" s="1443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500"/>
    </row>
    <row r="38" spans="1:10" s="374" customFormat="1">
      <c r="A38" s="1438"/>
      <c r="B38" s="1438"/>
      <c r="C38" s="1441"/>
      <c r="D38" s="1443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500"/>
    </row>
    <row r="39" spans="1:10" s="374" customFormat="1">
      <c r="A39" s="1438"/>
      <c r="B39" s="1438"/>
      <c r="C39" s="1441"/>
      <c r="D39" s="1443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500"/>
    </row>
    <row r="40" spans="1:10" s="374" customFormat="1">
      <c r="A40" s="1438"/>
      <c r="B40" s="1438"/>
      <c r="C40" s="1441"/>
      <c r="D40" s="1443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500"/>
    </row>
    <row r="41" spans="1:10" s="374" customFormat="1">
      <c r="A41" s="1438"/>
      <c r="B41" s="1438"/>
      <c r="C41" s="1441"/>
      <c r="D41" s="1443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500"/>
    </row>
    <row r="42" spans="1:10" s="374" customFormat="1">
      <c r="A42" s="1438"/>
      <c r="B42" s="1438"/>
      <c r="C42" s="1441"/>
      <c r="D42" s="1443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500"/>
    </row>
    <row r="43" spans="1:10" s="374" customFormat="1">
      <c r="A43" s="1438"/>
      <c r="B43" s="1438"/>
      <c r="C43" s="1441"/>
      <c r="D43" s="1443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500"/>
    </row>
    <row r="44" spans="1:10" s="374" customFormat="1">
      <c r="A44" s="1438"/>
      <c r="B44" s="1438"/>
      <c r="C44" s="1441"/>
      <c r="D44" s="1443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500"/>
    </row>
    <row r="45" spans="1:10" s="374" customFormat="1">
      <c r="A45" s="1438"/>
      <c r="B45" s="1438"/>
      <c r="C45" s="1441"/>
      <c r="D45" s="1443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500"/>
    </row>
    <row r="46" spans="1:10" s="374" customFormat="1">
      <c r="A46" s="1438"/>
      <c r="B46" s="1438"/>
      <c r="C46" s="1441"/>
      <c r="D46" s="1443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500"/>
    </row>
    <row r="47" spans="1:10" s="374" customFormat="1">
      <c r="A47" s="1437"/>
      <c r="B47" s="1437"/>
      <c r="C47" s="1440"/>
      <c r="D47" s="1444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500"/>
    </row>
    <row r="48" spans="1:10" s="374" customFormat="1">
      <c r="A48" s="1438"/>
      <c r="B48" s="1438"/>
      <c r="C48" s="1441"/>
      <c r="D48" s="1444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500"/>
    </row>
    <row r="49" spans="1:10" s="374" customFormat="1">
      <c r="A49" s="1438"/>
      <c r="B49" s="1438"/>
      <c r="C49" s="1441"/>
      <c r="D49" s="1444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500"/>
    </row>
    <row r="50" spans="1:10" s="374" customFormat="1">
      <c r="A50" s="1438"/>
      <c r="B50" s="1438"/>
      <c r="C50" s="1441"/>
      <c r="D50" s="1444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500"/>
    </row>
    <row r="51" spans="1:10" s="374" customFormat="1">
      <c r="A51" s="1438"/>
      <c r="B51" s="1438"/>
      <c r="C51" s="1441"/>
      <c r="D51" s="1444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500"/>
    </row>
    <row r="52" spans="1:10" s="374" customFormat="1">
      <c r="A52" s="1438"/>
      <c r="B52" s="1438"/>
      <c r="C52" s="1441"/>
      <c r="D52" s="1444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500"/>
    </row>
    <row r="53" spans="1:10" s="374" customFormat="1">
      <c r="A53" s="1438"/>
      <c r="B53" s="1438"/>
      <c r="C53" s="1441"/>
      <c r="D53" s="1444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500"/>
    </row>
    <row r="54" spans="1:10" s="374" customFormat="1">
      <c r="A54" s="1438"/>
      <c r="B54" s="1438"/>
      <c r="C54" s="1441"/>
      <c r="D54" s="1444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500"/>
    </row>
    <row r="55" spans="1:10" s="374" customFormat="1">
      <c r="A55" s="1438"/>
      <c r="B55" s="1438"/>
      <c r="C55" s="1441"/>
      <c r="D55" s="1444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500"/>
    </row>
    <row r="56" spans="1:10" s="374" customFormat="1">
      <c r="A56" s="1438"/>
      <c r="B56" s="1438"/>
      <c r="C56" s="1441"/>
      <c r="D56" s="1444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500"/>
    </row>
    <row r="57" spans="1:10" s="374" customFormat="1" ht="24">
      <c r="A57" s="1438"/>
      <c r="B57" s="1438"/>
      <c r="C57" s="1441"/>
      <c r="D57" s="1444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500"/>
    </row>
    <row r="58" spans="1:10" s="374" customFormat="1">
      <c r="A58" s="1438"/>
      <c r="B58" s="1438"/>
      <c r="C58" s="1441"/>
      <c r="D58" s="1444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500"/>
    </row>
    <row r="59" spans="1:10" s="374" customFormat="1">
      <c r="A59" s="1438"/>
      <c r="B59" s="1438"/>
      <c r="C59" s="1441"/>
      <c r="D59" s="1444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500"/>
    </row>
    <row r="60" spans="1:10" s="374" customFormat="1">
      <c r="A60" s="1438"/>
      <c r="B60" s="1438"/>
      <c r="C60" s="1441"/>
      <c r="D60" s="1444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500"/>
    </row>
    <row r="61" spans="1:10" s="374" customFormat="1">
      <c r="A61" s="1438"/>
      <c r="B61" s="1438"/>
      <c r="C61" s="1441"/>
      <c r="D61" s="382" t="s">
        <v>1332</v>
      </c>
      <c r="E61" s="367"/>
      <c r="F61" s="383"/>
      <c r="G61" s="301"/>
      <c r="H61" s="384"/>
      <c r="I61" s="510">
        <v>2023323.58</v>
      </c>
      <c r="J61" s="1500"/>
    </row>
    <row r="62" spans="1:10" s="374" customFormat="1">
      <c r="A62" s="1438"/>
      <c r="B62" s="1438"/>
      <c r="C62" s="1441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500"/>
    </row>
    <row r="63" spans="1:10" s="374" customFormat="1">
      <c r="A63" s="1438"/>
      <c r="B63" s="1438"/>
      <c r="C63" s="1441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500"/>
    </row>
    <row r="64" spans="1:10" s="374" customFormat="1">
      <c r="A64" s="1438"/>
      <c r="B64" s="1438"/>
      <c r="C64" s="1441"/>
      <c r="D64" s="382" t="s">
        <v>1742</v>
      </c>
      <c r="E64" s="367"/>
      <c r="F64" s="383"/>
      <c r="G64" s="301"/>
      <c r="H64" s="384"/>
      <c r="I64" s="510">
        <v>230172.35800000001</v>
      </c>
      <c r="J64" s="1500"/>
    </row>
    <row r="65" spans="1:10" s="374" customFormat="1">
      <c r="A65" s="1439"/>
      <c r="B65" s="1439"/>
      <c r="C65" s="1442"/>
      <c r="D65" s="382" t="s">
        <v>1342</v>
      </c>
      <c r="E65" s="367"/>
      <c r="F65" s="383"/>
      <c r="G65" s="301"/>
      <c r="H65" s="384"/>
      <c r="I65" s="510">
        <v>2253495.9380000001</v>
      </c>
      <c r="J65" s="1501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436">
        <v>1</v>
      </c>
      <c r="B67" s="1436" t="s">
        <v>2354</v>
      </c>
      <c r="C67" s="1436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496">
        <f>ROUND(I74*0.9,0)</f>
        <v>2289409</v>
      </c>
    </row>
    <row r="68" spans="1:10" s="170" customFormat="1" ht="48">
      <c r="A68" s="1436"/>
      <c r="B68" s="1436"/>
      <c r="C68" s="1436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504"/>
    </row>
    <row r="69" spans="1:10" s="170" customFormat="1" ht="48">
      <c r="A69" s="1436"/>
      <c r="B69" s="1436"/>
      <c r="C69" s="1436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504"/>
    </row>
    <row r="70" spans="1:10" s="170" customFormat="1" ht="48">
      <c r="A70" s="1436"/>
      <c r="B70" s="1436"/>
      <c r="C70" s="1436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504"/>
    </row>
    <row r="71" spans="1:10" s="170" customFormat="1" ht="36">
      <c r="A71" s="1436"/>
      <c r="B71" s="1436"/>
      <c r="C71" s="1436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504"/>
    </row>
    <row r="72" spans="1:10" s="364" customFormat="1">
      <c r="A72" s="1436"/>
      <c r="B72" s="1436"/>
      <c r="C72" s="1436"/>
      <c r="D72" s="362" t="s">
        <v>1332</v>
      </c>
      <c r="E72" s="362"/>
      <c r="F72" s="362"/>
      <c r="G72" s="362"/>
      <c r="H72" s="363"/>
      <c r="I72" s="533">
        <v>2312534</v>
      </c>
      <c r="J72" s="1504"/>
    </row>
    <row r="73" spans="1:10" s="364" customFormat="1">
      <c r="A73" s="1436"/>
      <c r="B73" s="1436"/>
      <c r="C73" s="1436"/>
      <c r="D73" s="367" t="s">
        <v>1334</v>
      </c>
      <c r="E73" s="362"/>
      <c r="F73" s="362"/>
      <c r="G73" s="362"/>
      <c r="H73" s="363"/>
      <c r="I73" s="533">
        <v>231253.4</v>
      </c>
      <c r="J73" s="1504"/>
    </row>
    <row r="74" spans="1:10" s="364" customFormat="1">
      <c r="A74" s="1436"/>
      <c r="B74" s="1436"/>
      <c r="C74" s="1436"/>
      <c r="D74" s="362" t="s">
        <v>1342</v>
      </c>
      <c r="E74" s="362"/>
      <c r="F74" s="362"/>
      <c r="G74" s="362"/>
      <c r="H74" s="363"/>
      <c r="I74" s="533">
        <v>2543787.4</v>
      </c>
      <c r="J74" s="1505"/>
    </row>
    <row r="75" spans="1:10" s="170" customFormat="1" ht="36">
      <c r="A75" s="1430">
        <v>2</v>
      </c>
      <c r="B75" s="1430" t="s">
        <v>2355</v>
      </c>
      <c r="C75" s="1431" t="s">
        <v>1312</v>
      </c>
      <c r="D75" s="1430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496">
        <f>ROUND(I80*0.9,0)</f>
        <v>722592</v>
      </c>
    </row>
    <row r="76" spans="1:10" s="170" customFormat="1" ht="24">
      <c r="A76" s="1430"/>
      <c r="B76" s="1430"/>
      <c r="C76" s="1431"/>
      <c r="D76" s="1430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497"/>
    </row>
    <row r="77" spans="1:10" s="170" customFormat="1" ht="13.5">
      <c r="A77" s="1430"/>
      <c r="B77" s="1430"/>
      <c r="C77" s="1431"/>
      <c r="D77" s="367" t="s">
        <v>1332</v>
      </c>
      <c r="E77" s="365"/>
      <c r="F77" s="365"/>
      <c r="G77" s="395"/>
      <c r="H77" s="366"/>
      <c r="I77" s="529">
        <v>690430</v>
      </c>
      <c r="J77" s="1497"/>
    </row>
    <row r="78" spans="1:10" s="170" customFormat="1" ht="13.5">
      <c r="A78" s="1430"/>
      <c r="B78" s="1430"/>
      <c r="C78" s="1431"/>
      <c r="D78" s="367" t="s">
        <v>1334</v>
      </c>
      <c r="E78" s="365"/>
      <c r="F78" s="365"/>
      <c r="G78" s="395"/>
      <c r="H78" s="366"/>
      <c r="I78" s="529">
        <v>82450</v>
      </c>
      <c r="J78" s="1497"/>
    </row>
    <row r="79" spans="1:10" s="170" customFormat="1" ht="13.5">
      <c r="A79" s="1430"/>
      <c r="B79" s="1430"/>
      <c r="C79" s="1431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497"/>
    </row>
    <row r="80" spans="1:10" s="170" customFormat="1" ht="13.5">
      <c r="A80" s="1430"/>
      <c r="B80" s="1430"/>
      <c r="C80" s="1431"/>
      <c r="D80" s="367" t="s">
        <v>1342</v>
      </c>
      <c r="E80" s="365"/>
      <c r="F80" s="365"/>
      <c r="G80" s="395"/>
      <c r="H80" s="366"/>
      <c r="I80" s="529">
        <v>802880</v>
      </c>
      <c r="J80" s="1498"/>
    </row>
    <row r="81" spans="1:10" s="170" customFormat="1" ht="24">
      <c r="A81" s="1430">
        <v>3</v>
      </c>
      <c r="B81" s="1430" t="s">
        <v>2356</v>
      </c>
      <c r="C81" s="1431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496">
        <f>ROUND(I93*0.9,0)</f>
        <v>1646563</v>
      </c>
    </row>
    <row r="82" spans="1:10" s="170" customFormat="1" ht="36">
      <c r="A82" s="1430"/>
      <c r="B82" s="1430"/>
      <c r="C82" s="1431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497"/>
    </row>
    <row r="83" spans="1:10" s="170" customFormat="1" ht="36">
      <c r="A83" s="1430"/>
      <c r="B83" s="1430"/>
      <c r="C83" s="1431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497"/>
    </row>
    <row r="84" spans="1:10" s="170" customFormat="1" ht="13.5">
      <c r="A84" s="1430"/>
      <c r="B84" s="1430"/>
      <c r="C84" s="1431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497"/>
    </row>
    <row r="85" spans="1:10" s="170" customFormat="1" ht="13.5">
      <c r="A85" s="1430"/>
      <c r="B85" s="1430"/>
      <c r="C85" s="1431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497"/>
    </row>
    <row r="86" spans="1:10" s="170" customFormat="1" ht="24">
      <c r="A86" s="1430"/>
      <c r="B86" s="1430"/>
      <c r="C86" s="1431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497"/>
    </row>
    <row r="87" spans="1:10" s="170" customFormat="1" ht="48">
      <c r="A87" s="1430"/>
      <c r="B87" s="1430"/>
      <c r="C87" s="1431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497"/>
    </row>
    <row r="88" spans="1:10" s="170" customFormat="1" ht="24">
      <c r="A88" s="1430"/>
      <c r="B88" s="1430"/>
      <c r="C88" s="1431"/>
      <c r="D88" s="1445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497"/>
    </row>
    <row r="89" spans="1:10" s="170" customFormat="1" ht="48">
      <c r="A89" s="1430"/>
      <c r="B89" s="1430"/>
      <c r="C89" s="1431"/>
      <c r="D89" s="1445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497"/>
    </row>
    <row r="90" spans="1:10" s="170" customFormat="1" ht="36">
      <c r="A90" s="1430"/>
      <c r="B90" s="1430"/>
      <c r="C90" s="1431"/>
      <c r="D90" s="1445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497"/>
    </row>
    <row r="91" spans="1:10" s="170" customFormat="1" ht="13.5">
      <c r="A91" s="1430"/>
      <c r="B91" s="1430"/>
      <c r="C91" s="1431"/>
      <c r="D91" s="367" t="s">
        <v>1332</v>
      </c>
      <c r="E91" s="365"/>
      <c r="F91" s="365"/>
      <c r="G91" s="395"/>
      <c r="H91" s="366"/>
      <c r="I91" s="529">
        <v>1633495.29</v>
      </c>
      <c r="J91" s="1497"/>
    </row>
    <row r="92" spans="1:10" s="170" customFormat="1" ht="13.5">
      <c r="A92" s="1430"/>
      <c r="B92" s="1430"/>
      <c r="C92" s="1431"/>
      <c r="D92" s="367" t="s">
        <v>1334</v>
      </c>
      <c r="E92" s="365"/>
      <c r="F92" s="365"/>
      <c r="G92" s="395"/>
      <c r="H92" s="366"/>
      <c r="I92" s="529">
        <v>196019.43479999999</v>
      </c>
      <c r="J92" s="1497"/>
    </row>
    <row r="93" spans="1:10" s="170" customFormat="1" ht="13.5">
      <c r="A93" s="1430"/>
      <c r="B93" s="1430"/>
      <c r="C93" s="1431"/>
      <c r="D93" s="367" t="s">
        <v>1342</v>
      </c>
      <c r="E93" s="365"/>
      <c r="F93" s="365"/>
      <c r="G93" s="395"/>
      <c r="H93" s="366"/>
      <c r="I93" s="529">
        <v>1829514.7248</v>
      </c>
      <c r="J93" s="1498"/>
    </row>
    <row r="94" spans="1:10" s="170" customFormat="1" ht="60">
      <c r="A94" s="1430">
        <v>4</v>
      </c>
      <c r="B94" s="1430" t="s">
        <v>2357</v>
      </c>
      <c r="C94" s="1431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496">
        <f>ROUND(I97*0.8,0)</f>
        <v>417043</v>
      </c>
    </row>
    <row r="95" spans="1:10" s="170" customFormat="1" ht="13.5">
      <c r="A95" s="1430"/>
      <c r="B95" s="1430"/>
      <c r="C95" s="1431"/>
      <c r="D95" s="367" t="s">
        <v>1332</v>
      </c>
      <c r="E95" s="365"/>
      <c r="F95" s="365"/>
      <c r="G95" s="395"/>
      <c r="H95" s="366"/>
      <c r="I95" s="529">
        <v>465450</v>
      </c>
      <c r="J95" s="1497"/>
    </row>
    <row r="96" spans="1:10" s="170" customFormat="1" ht="13.5">
      <c r="A96" s="1430"/>
      <c r="B96" s="1430"/>
      <c r="C96" s="1431"/>
      <c r="D96" s="367" t="s">
        <v>1334</v>
      </c>
      <c r="E96" s="365"/>
      <c r="F96" s="365"/>
      <c r="G96" s="395"/>
      <c r="H96" s="366"/>
      <c r="I96" s="529">
        <v>55854</v>
      </c>
      <c r="J96" s="1497"/>
    </row>
    <row r="97" spans="1:10" s="170" customFormat="1" ht="13.5">
      <c r="A97" s="1430"/>
      <c r="B97" s="1430"/>
      <c r="C97" s="1431"/>
      <c r="D97" s="367" t="s">
        <v>1342</v>
      </c>
      <c r="E97" s="365"/>
      <c r="F97" s="365"/>
      <c r="G97" s="395"/>
      <c r="H97" s="366"/>
      <c r="I97" s="529">
        <v>521304</v>
      </c>
      <c r="J97" s="1498"/>
    </row>
    <row r="98" spans="1:10" s="170" customFormat="1" ht="48">
      <c r="A98" s="1430">
        <v>5</v>
      </c>
      <c r="B98" s="1430" t="s">
        <v>2358</v>
      </c>
      <c r="C98" s="1431" t="s">
        <v>1690</v>
      </c>
      <c r="D98" s="1430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496">
        <f>ROUND(I102*0.8,0)</f>
        <v>121887</v>
      </c>
    </row>
    <row r="99" spans="1:10" s="170" customFormat="1" ht="13.5">
      <c r="A99" s="1430"/>
      <c r="B99" s="1430"/>
      <c r="C99" s="1431"/>
      <c r="D99" s="1430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497"/>
    </row>
    <row r="100" spans="1:10" s="170" customFormat="1" ht="13.5">
      <c r="A100" s="1430"/>
      <c r="B100" s="1430"/>
      <c r="C100" s="1431"/>
      <c r="D100" s="367" t="s">
        <v>1332</v>
      </c>
      <c r="E100" s="365"/>
      <c r="F100" s="365"/>
      <c r="G100" s="395"/>
      <c r="H100" s="366"/>
      <c r="I100" s="529">
        <v>136035</v>
      </c>
      <c r="J100" s="1497"/>
    </row>
    <row r="101" spans="1:10" s="170" customFormat="1" ht="13.5">
      <c r="A101" s="1430"/>
      <c r="B101" s="1430"/>
      <c r="C101" s="1431"/>
      <c r="D101" s="367" t="s">
        <v>1334</v>
      </c>
      <c r="E101" s="365"/>
      <c r="F101" s="365"/>
      <c r="G101" s="395"/>
      <c r="H101" s="366"/>
      <c r="I101" s="533">
        <v>16324.2</v>
      </c>
      <c r="J101" s="1497"/>
    </row>
    <row r="102" spans="1:10" s="170" customFormat="1" ht="13.5">
      <c r="A102" s="1430"/>
      <c r="B102" s="1430"/>
      <c r="C102" s="1431"/>
      <c r="D102" s="367" t="s">
        <v>1342</v>
      </c>
      <c r="E102" s="365"/>
      <c r="F102" s="365"/>
      <c r="G102" s="395"/>
      <c r="H102" s="366"/>
      <c r="I102" s="529">
        <v>152359.20000000001</v>
      </c>
      <c r="J102" s="1498"/>
    </row>
    <row r="103" spans="1:10" s="170" customFormat="1" ht="36">
      <c r="A103" s="1445">
        <v>6</v>
      </c>
      <c r="B103" s="1445" t="s">
        <v>2359</v>
      </c>
      <c r="C103" s="1446" t="s">
        <v>1312</v>
      </c>
      <c r="D103" s="1445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496">
        <f>ROUND(I108*0.8,0)</f>
        <v>302082</v>
      </c>
    </row>
    <row r="104" spans="1:10" s="170" customFormat="1" ht="24">
      <c r="A104" s="1445"/>
      <c r="B104" s="1445"/>
      <c r="C104" s="1446"/>
      <c r="D104" s="1445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497"/>
    </row>
    <row r="105" spans="1:10" s="170" customFormat="1" ht="36">
      <c r="A105" s="1445"/>
      <c r="B105" s="1445"/>
      <c r="C105" s="1446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497"/>
    </row>
    <row r="106" spans="1:10" s="170" customFormat="1" ht="13.5">
      <c r="A106" s="1445"/>
      <c r="B106" s="1445"/>
      <c r="C106" s="1446"/>
      <c r="D106" s="398" t="s">
        <v>1332</v>
      </c>
      <c r="E106" s="396"/>
      <c r="F106" s="396"/>
      <c r="G106" s="395"/>
      <c r="H106" s="366"/>
      <c r="I106" s="531">
        <v>337145</v>
      </c>
      <c r="J106" s="1497"/>
    </row>
    <row r="107" spans="1:10" s="170" customFormat="1" ht="13.5">
      <c r="A107" s="1445"/>
      <c r="B107" s="1445"/>
      <c r="C107" s="1446"/>
      <c r="D107" s="398" t="s">
        <v>1334</v>
      </c>
      <c r="E107" s="396"/>
      <c r="F107" s="365"/>
      <c r="G107" s="395"/>
      <c r="H107" s="366"/>
      <c r="I107" s="531">
        <v>40457.4</v>
      </c>
      <c r="J107" s="1497"/>
    </row>
    <row r="108" spans="1:10" s="170" customFormat="1" ht="13.5">
      <c r="A108" s="1445"/>
      <c r="B108" s="1445"/>
      <c r="C108" s="1446"/>
      <c r="D108" s="398" t="s">
        <v>1342</v>
      </c>
      <c r="E108" s="396"/>
      <c r="F108" s="396"/>
      <c r="G108" s="395"/>
      <c r="H108" s="366"/>
      <c r="I108" s="531">
        <v>377602.4</v>
      </c>
      <c r="J108" s="1498"/>
    </row>
    <row r="109" spans="1:10" s="374" customFormat="1" ht="24">
      <c r="A109" s="1447">
        <v>7</v>
      </c>
      <c r="B109" s="1447" t="s">
        <v>2360</v>
      </c>
      <c r="C109" s="1436" t="s">
        <v>1783</v>
      </c>
      <c r="D109" s="1447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499">
        <f>ROUND(I124*0.9,0)</f>
        <v>1188231</v>
      </c>
    </row>
    <row r="110" spans="1:10" s="374" customFormat="1">
      <c r="A110" s="1447"/>
      <c r="B110" s="1447"/>
      <c r="C110" s="1436"/>
      <c r="D110" s="1447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500"/>
    </row>
    <row r="111" spans="1:10" s="374" customFormat="1">
      <c r="A111" s="1447"/>
      <c r="B111" s="1447"/>
      <c r="C111" s="1436"/>
      <c r="D111" s="1447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500"/>
    </row>
    <row r="112" spans="1:10" s="374" customFormat="1">
      <c r="A112" s="1447"/>
      <c r="B112" s="1447"/>
      <c r="C112" s="1436"/>
      <c r="D112" s="1447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500"/>
    </row>
    <row r="113" spans="1:10" s="374" customFormat="1">
      <c r="A113" s="1447"/>
      <c r="B113" s="1447"/>
      <c r="C113" s="1436"/>
      <c r="D113" s="1447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500"/>
    </row>
    <row r="114" spans="1:10" s="374" customFormat="1">
      <c r="A114" s="1447"/>
      <c r="B114" s="1447"/>
      <c r="C114" s="1436"/>
      <c r="D114" s="1447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500"/>
    </row>
    <row r="115" spans="1:10" s="374" customFormat="1">
      <c r="A115" s="1447"/>
      <c r="B115" s="1447"/>
      <c r="C115" s="1436"/>
      <c r="D115" s="1447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500"/>
    </row>
    <row r="116" spans="1:10" s="374" customFormat="1">
      <c r="A116" s="1447"/>
      <c r="B116" s="1447"/>
      <c r="C116" s="1436"/>
      <c r="D116" s="1447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500"/>
    </row>
    <row r="117" spans="1:10" s="374" customFormat="1">
      <c r="A117" s="1447"/>
      <c r="B117" s="1447"/>
      <c r="C117" s="1436"/>
      <c r="D117" s="1447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500"/>
    </row>
    <row r="118" spans="1:10" s="374" customFormat="1">
      <c r="A118" s="1447"/>
      <c r="B118" s="1447"/>
      <c r="C118" s="1436"/>
      <c r="D118" s="1447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500"/>
    </row>
    <row r="119" spans="1:10" s="374" customFormat="1">
      <c r="A119" s="1447"/>
      <c r="B119" s="1447"/>
      <c r="C119" s="1436"/>
      <c r="D119" s="1447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500"/>
    </row>
    <row r="120" spans="1:10" s="374" customFormat="1">
      <c r="A120" s="1447"/>
      <c r="B120" s="1447"/>
      <c r="C120" s="1436"/>
      <c r="D120" s="1447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500"/>
    </row>
    <row r="121" spans="1:10" s="374" customFormat="1">
      <c r="A121" s="1448"/>
      <c r="B121" s="1448"/>
      <c r="C121" s="1424"/>
      <c r="D121" s="401" t="s">
        <v>1332</v>
      </c>
      <c r="E121" s="362"/>
      <c r="F121" s="402"/>
      <c r="G121" s="403"/>
      <c r="H121" s="373"/>
      <c r="I121" s="510">
        <v>1049336</v>
      </c>
      <c r="J121" s="1500"/>
    </row>
    <row r="122" spans="1:10" s="374" customFormat="1">
      <c r="A122" s="1447"/>
      <c r="B122" s="1447"/>
      <c r="C122" s="1436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500"/>
    </row>
    <row r="123" spans="1:10" s="374" customFormat="1">
      <c r="A123" s="1448"/>
      <c r="B123" s="1448"/>
      <c r="C123" s="1424"/>
      <c r="D123" s="382" t="s">
        <v>1742</v>
      </c>
      <c r="E123" s="362"/>
      <c r="F123" s="402"/>
      <c r="G123" s="403"/>
      <c r="H123" s="404"/>
      <c r="I123" s="510">
        <v>270920.32000000001</v>
      </c>
      <c r="J123" s="1500"/>
    </row>
    <row r="124" spans="1:10" s="374" customFormat="1">
      <c r="A124" s="1448"/>
      <c r="B124" s="1448"/>
      <c r="C124" s="1424"/>
      <c r="D124" s="401" t="s">
        <v>1342</v>
      </c>
      <c r="E124" s="362"/>
      <c r="F124" s="402"/>
      <c r="G124" s="403"/>
      <c r="H124" s="404"/>
      <c r="I124" s="510">
        <v>1320256.32</v>
      </c>
      <c r="J124" s="1501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430">
        <v>1</v>
      </c>
      <c r="B126" s="1430" t="s">
        <v>2361</v>
      </c>
      <c r="C126" s="1431" t="s">
        <v>1312</v>
      </c>
      <c r="D126" s="1430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496">
        <f>ROUND(I131*0.8,0)</f>
        <v>372500</v>
      </c>
    </row>
    <row r="127" spans="1:10" s="170" customFormat="1" ht="24">
      <c r="A127" s="1430"/>
      <c r="B127" s="1430"/>
      <c r="C127" s="1431"/>
      <c r="D127" s="1430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497"/>
    </row>
    <row r="128" spans="1:10" s="170" customFormat="1" ht="24">
      <c r="A128" s="1430"/>
      <c r="B128" s="1430"/>
      <c r="C128" s="1431"/>
      <c r="D128" s="1430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497"/>
    </row>
    <row r="129" spans="1:10" s="170" customFormat="1" ht="13.5">
      <c r="A129" s="1430"/>
      <c r="B129" s="1430"/>
      <c r="C129" s="1431"/>
      <c r="D129" s="367" t="s">
        <v>1332</v>
      </c>
      <c r="E129" s="365"/>
      <c r="F129" s="365"/>
      <c r="G129" s="365"/>
      <c r="H129" s="370"/>
      <c r="I129" s="529">
        <v>415737.13</v>
      </c>
      <c r="J129" s="1497"/>
    </row>
    <row r="130" spans="1:10" s="170" customFormat="1" ht="13.5">
      <c r="A130" s="1430"/>
      <c r="B130" s="1430"/>
      <c r="C130" s="1431"/>
      <c r="D130" s="367" t="s">
        <v>1334</v>
      </c>
      <c r="E130" s="365"/>
      <c r="F130" s="365"/>
      <c r="G130" s="365"/>
      <c r="H130" s="370"/>
      <c r="I130" s="529">
        <v>49888.455600000001</v>
      </c>
      <c r="J130" s="1497"/>
    </row>
    <row r="131" spans="1:10" s="170" customFormat="1" ht="13.5">
      <c r="A131" s="1430"/>
      <c r="B131" s="1430"/>
      <c r="C131" s="1431"/>
      <c r="D131" s="367" t="s">
        <v>1342</v>
      </c>
      <c r="E131" s="365"/>
      <c r="F131" s="365"/>
      <c r="G131" s="365"/>
      <c r="H131" s="370"/>
      <c r="I131" s="529">
        <v>465625.58559999999</v>
      </c>
      <c r="J131" s="1498"/>
    </row>
    <row r="132" spans="1:10" s="170" customFormat="1" ht="13.5">
      <c r="A132" s="1430">
        <v>2</v>
      </c>
      <c r="B132" s="1430" t="s">
        <v>2362</v>
      </c>
      <c r="C132" s="1431" t="s">
        <v>1690</v>
      </c>
      <c r="D132" s="1430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496">
        <f>ROUND(I137*0.8,0)</f>
        <v>541024</v>
      </c>
    </row>
    <row r="133" spans="1:10" s="170" customFormat="1" ht="13.5">
      <c r="A133" s="1430"/>
      <c r="B133" s="1430"/>
      <c r="C133" s="1431"/>
      <c r="D133" s="1430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497"/>
    </row>
    <row r="134" spans="1:10" s="170" customFormat="1" ht="13.5">
      <c r="A134" s="1430"/>
      <c r="B134" s="1430"/>
      <c r="C134" s="1431"/>
      <c r="D134" s="367" t="s">
        <v>1332</v>
      </c>
      <c r="E134" s="365"/>
      <c r="F134" s="365"/>
      <c r="G134" s="75"/>
      <c r="H134" s="366"/>
      <c r="I134" s="529">
        <v>580000</v>
      </c>
      <c r="J134" s="1497"/>
    </row>
    <row r="135" spans="1:10" s="170" customFormat="1" ht="13.5">
      <c r="A135" s="1430"/>
      <c r="B135" s="1430"/>
      <c r="C135" s="1431"/>
      <c r="D135" s="367" t="s">
        <v>1334</v>
      </c>
      <c r="E135" s="365"/>
      <c r="F135" s="365"/>
      <c r="G135" s="137"/>
      <c r="H135" s="366"/>
      <c r="I135" s="529">
        <v>66280</v>
      </c>
      <c r="J135" s="1497"/>
    </row>
    <row r="136" spans="1:10" s="170" customFormat="1" ht="13.5">
      <c r="A136" s="1430"/>
      <c r="B136" s="1430"/>
      <c r="C136" s="1431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497"/>
    </row>
    <row r="137" spans="1:10" s="170" customFormat="1" ht="13.5">
      <c r="A137" s="1430"/>
      <c r="B137" s="1430"/>
      <c r="C137" s="1431"/>
      <c r="D137" s="367" t="s">
        <v>1342</v>
      </c>
      <c r="E137" s="365"/>
      <c r="F137" s="365"/>
      <c r="G137" s="75"/>
      <c r="H137" s="366"/>
      <c r="I137" s="529">
        <v>676280</v>
      </c>
      <c r="J137" s="1498"/>
    </row>
    <row r="138" spans="1:10" s="170" customFormat="1" ht="24">
      <c r="A138" s="1430">
        <v>3</v>
      </c>
      <c r="B138" s="1430" t="s">
        <v>2363</v>
      </c>
      <c r="C138" s="1431" t="s">
        <v>1312</v>
      </c>
      <c r="D138" s="1430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496">
        <f>ROUND(I145*0.8,0)</f>
        <v>174956</v>
      </c>
    </row>
    <row r="139" spans="1:10" s="170" customFormat="1" ht="24">
      <c r="A139" s="1430"/>
      <c r="B139" s="1430"/>
      <c r="C139" s="1431"/>
      <c r="D139" s="1430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497"/>
    </row>
    <row r="140" spans="1:10" s="170" customFormat="1" ht="24">
      <c r="A140" s="1430"/>
      <c r="B140" s="1430"/>
      <c r="C140" s="1431"/>
      <c r="D140" s="1430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497"/>
    </row>
    <row r="141" spans="1:10" s="170" customFormat="1" ht="13.5">
      <c r="A141" s="1430"/>
      <c r="B141" s="1430"/>
      <c r="C141" s="1431"/>
      <c r="D141" s="1430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497"/>
    </row>
    <row r="142" spans="1:10" s="170" customFormat="1" ht="13.5">
      <c r="A142" s="1430"/>
      <c r="B142" s="1430"/>
      <c r="C142" s="1431"/>
      <c r="D142" s="367" t="s">
        <v>1332</v>
      </c>
      <c r="E142" s="365"/>
      <c r="F142" s="365"/>
      <c r="G142" s="75"/>
      <c r="H142" s="366"/>
      <c r="I142" s="529">
        <v>183210.23999999999</v>
      </c>
      <c r="J142" s="1497"/>
    </row>
    <row r="143" spans="1:10" s="170" customFormat="1" ht="13.5">
      <c r="A143" s="1430"/>
      <c r="B143" s="1430"/>
      <c r="C143" s="1431"/>
      <c r="D143" s="367" t="s">
        <v>1334</v>
      </c>
      <c r="E143" s="365"/>
      <c r="F143" s="365"/>
      <c r="G143" s="137"/>
      <c r="H143" s="366"/>
      <c r="I143" s="529">
        <v>21985.228800000001</v>
      </c>
      <c r="J143" s="1497"/>
    </row>
    <row r="144" spans="1:10" s="170" customFormat="1" ht="13.5">
      <c r="A144" s="1430"/>
      <c r="B144" s="1430"/>
      <c r="C144" s="1431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497"/>
    </row>
    <row r="145" spans="1:10" s="170" customFormat="1" ht="13.5">
      <c r="A145" s="1430"/>
      <c r="B145" s="1430"/>
      <c r="C145" s="1431"/>
      <c r="D145" s="367" t="s">
        <v>1342</v>
      </c>
      <c r="E145" s="365"/>
      <c r="F145" s="365"/>
      <c r="G145" s="75"/>
      <c r="H145" s="366"/>
      <c r="I145" s="529">
        <v>218695.4688</v>
      </c>
      <c r="J145" s="1498"/>
    </row>
    <row r="146" spans="1:10" s="170" customFormat="1" ht="24">
      <c r="A146" s="1430">
        <v>4</v>
      </c>
      <c r="B146" s="1430" t="s">
        <v>2364</v>
      </c>
      <c r="C146" s="1431" t="s">
        <v>1312</v>
      </c>
      <c r="D146" s="1430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496">
        <f>ROUND(I153*0.9,0)</f>
        <v>1070240</v>
      </c>
    </row>
    <row r="147" spans="1:10" s="170" customFormat="1" ht="24">
      <c r="A147" s="1430"/>
      <c r="B147" s="1430"/>
      <c r="C147" s="1431"/>
      <c r="D147" s="1430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497"/>
    </row>
    <row r="148" spans="1:10" s="170" customFormat="1" ht="24">
      <c r="A148" s="1430"/>
      <c r="B148" s="1430"/>
      <c r="C148" s="1431"/>
      <c r="D148" s="1430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497"/>
    </row>
    <row r="149" spans="1:10" s="170" customFormat="1" ht="13.5">
      <c r="A149" s="1430"/>
      <c r="B149" s="1430"/>
      <c r="C149" s="1431"/>
      <c r="D149" s="1430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497"/>
    </row>
    <row r="150" spans="1:10" s="170" customFormat="1" ht="13.5">
      <c r="A150" s="1430"/>
      <c r="B150" s="1430"/>
      <c r="C150" s="1431"/>
      <c r="D150" s="367" t="s">
        <v>1332</v>
      </c>
      <c r="E150" s="365"/>
      <c r="F150" s="365"/>
      <c r="G150" s="75"/>
      <c r="H150" s="366"/>
      <c r="I150" s="529">
        <v>1027605</v>
      </c>
      <c r="J150" s="1497"/>
    </row>
    <row r="151" spans="1:10" s="170" customFormat="1" ht="13.5">
      <c r="A151" s="1430"/>
      <c r="B151" s="1430"/>
      <c r="C151" s="1431"/>
      <c r="D151" s="367" t="s">
        <v>1334</v>
      </c>
      <c r="E151" s="365"/>
      <c r="F151" s="365"/>
      <c r="G151" s="137"/>
      <c r="H151" s="366"/>
      <c r="I151" s="529">
        <v>111550</v>
      </c>
      <c r="J151" s="1497"/>
    </row>
    <row r="152" spans="1:10" s="170" customFormat="1" ht="13.5">
      <c r="A152" s="1430"/>
      <c r="B152" s="1430"/>
      <c r="C152" s="1431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497"/>
    </row>
    <row r="153" spans="1:10" s="170" customFormat="1" ht="13.5">
      <c r="A153" s="1430"/>
      <c r="B153" s="1430"/>
      <c r="C153" s="1431"/>
      <c r="D153" s="367" t="s">
        <v>1342</v>
      </c>
      <c r="E153" s="365"/>
      <c r="F153" s="365"/>
      <c r="G153" s="75"/>
      <c r="H153" s="366"/>
      <c r="I153" s="529">
        <v>1189155</v>
      </c>
      <c r="J153" s="1498"/>
    </row>
    <row r="154" spans="1:10" s="170" customFormat="1" ht="24">
      <c r="A154" s="1430">
        <v>5</v>
      </c>
      <c r="B154" s="1430" t="s">
        <v>2365</v>
      </c>
      <c r="C154" s="1431" t="s">
        <v>1690</v>
      </c>
      <c r="D154" s="1430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496">
        <f>ROUND(I161*0.9,0)</f>
        <v>865002</v>
      </c>
    </row>
    <row r="155" spans="1:10" s="170" customFormat="1" ht="24">
      <c r="A155" s="1430"/>
      <c r="B155" s="1430"/>
      <c r="C155" s="1431"/>
      <c r="D155" s="1430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497"/>
    </row>
    <row r="156" spans="1:10" s="170" customFormat="1" ht="24">
      <c r="A156" s="1430"/>
      <c r="B156" s="1430"/>
      <c r="C156" s="1431"/>
      <c r="D156" s="1430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497"/>
    </row>
    <row r="157" spans="1:10" s="170" customFormat="1" ht="13.5">
      <c r="A157" s="1430"/>
      <c r="B157" s="1430"/>
      <c r="C157" s="1431"/>
      <c r="D157" s="1430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497"/>
    </row>
    <row r="158" spans="1:10" s="170" customFormat="1" ht="13.5">
      <c r="A158" s="1430"/>
      <c r="B158" s="1430"/>
      <c r="C158" s="1431"/>
      <c r="D158" s="367" t="s">
        <v>1332</v>
      </c>
      <c r="E158" s="365"/>
      <c r="F158" s="365"/>
      <c r="G158" s="75"/>
      <c r="H158" s="366"/>
      <c r="I158" s="529">
        <v>821513</v>
      </c>
      <c r="J158" s="1497"/>
    </row>
    <row r="159" spans="1:10" s="170" customFormat="1" ht="13.5">
      <c r="A159" s="1430"/>
      <c r="B159" s="1430"/>
      <c r="C159" s="1431"/>
      <c r="D159" s="367" t="s">
        <v>1334</v>
      </c>
      <c r="E159" s="365"/>
      <c r="F159" s="365"/>
      <c r="G159" s="137"/>
      <c r="H159" s="366"/>
      <c r="I159" s="529">
        <v>89600</v>
      </c>
      <c r="J159" s="1497"/>
    </row>
    <row r="160" spans="1:10" s="170" customFormat="1" ht="13.5">
      <c r="A160" s="1430"/>
      <c r="B160" s="1430"/>
      <c r="C160" s="1431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497"/>
    </row>
    <row r="161" spans="1:10" s="170" customFormat="1" ht="13.5">
      <c r="A161" s="1430"/>
      <c r="B161" s="1430"/>
      <c r="C161" s="1431"/>
      <c r="D161" s="367" t="s">
        <v>1342</v>
      </c>
      <c r="E161" s="365"/>
      <c r="F161" s="365"/>
      <c r="G161" s="75"/>
      <c r="H161" s="366"/>
      <c r="I161" s="529">
        <v>961113</v>
      </c>
      <c r="J161" s="1498"/>
    </row>
    <row r="162" spans="1:10" s="170" customFormat="1" ht="36">
      <c r="A162" s="1430">
        <v>6</v>
      </c>
      <c r="B162" s="1430" t="s">
        <v>2366</v>
      </c>
      <c r="C162" s="1431" t="s">
        <v>1312</v>
      </c>
      <c r="D162" s="1430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496">
        <f>ROUND(I169*0.9,0)</f>
        <v>907101</v>
      </c>
    </row>
    <row r="163" spans="1:10" s="170" customFormat="1" ht="24">
      <c r="A163" s="1430"/>
      <c r="B163" s="1430"/>
      <c r="C163" s="1431"/>
      <c r="D163" s="1430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497"/>
    </row>
    <row r="164" spans="1:10" s="170" customFormat="1" ht="24">
      <c r="A164" s="1430"/>
      <c r="B164" s="1430"/>
      <c r="C164" s="1431"/>
      <c r="D164" s="1430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497"/>
    </row>
    <row r="165" spans="1:10" s="170" customFormat="1" ht="24">
      <c r="A165" s="1430"/>
      <c r="B165" s="1430"/>
      <c r="C165" s="1431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497"/>
    </row>
    <row r="166" spans="1:10" s="170" customFormat="1" ht="13.5">
      <c r="A166" s="1430"/>
      <c r="B166" s="1430"/>
      <c r="C166" s="1431"/>
      <c r="D166" s="367" t="s">
        <v>1332</v>
      </c>
      <c r="E166" s="365"/>
      <c r="F166" s="365"/>
      <c r="G166" s="75"/>
      <c r="H166" s="366"/>
      <c r="I166" s="529">
        <v>873116.01</v>
      </c>
      <c r="J166" s="1497"/>
    </row>
    <row r="167" spans="1:10" s="170" customFormat="1" ht="13.5">
      <c r="A167" s="1430"/>
      <c r="B167" s="1430"/>
      <c r="C167" s="1431"/>
      <c r="D167" s="367" t="s">
        <v>1334</v>
      </c>
      <c r="E167" s="365"/>
      <c r="F167" s="365"/>
      <c r="G167" s="137"/>
      <c r="H167" s="366"/>
      <c r="I167" s="529">
        <v>104773.9212</v>
      </c>
      <c r="J167" s="1497"/>
    </row>
    <row r="168" spans="1:10" s="170" customFormat="1" ht="13.5">
      <c r="A168" s="1430"/>
      <c r="B168" s="1430"/>
      <c r="C168" s="1431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497"/>
    </row>
    <row r="169" spans="1:10" s="170" customFormat="1" ht="13.5">
      <c r="A169" s="1430"/>
      <c r="B169" s="1430"/>
      <c r="C169" s="1431"/>
      <c r="D169" s="367" t="s">
        <v>1342</v>
      </c>
      <c r="E169" s="365"/>
      <c r="F169" s="365"/>
      <c r="G169" s="75"/>
      <c r="H169" s="366"/>
      <c r="I169" s="529">
        <v>1007889.9312</v>
      </c>
      <c r="J169" s="1498"/>
    </row>
    <row r="170" spans="1:10" s="170" customFormat="1" ht="60">
      <c r="A170" s="1449">
        <v>7</v>
      </c>
      <c r="B170" s="1449" t="s">
        <v>2367</v>
      </c>
      <c r="C170" s="1449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496">
        <f>ROUND(I173*0.9,0)</f>
        <v>134793</v>
      </c>
    </row>
    <row r="171" spans="1:10" s="170" customFormat="1" ht="13.5">
      <c r="A171" s="1430"/>
      <c r="B171" s="1430"/>
      <c r="C171" s="1431"/>
      <c r="D171" s="367" t="s">
        <v>1332</v>
      </c>
      <c r="E171" s="365"/>
      <c r="F171" s="365"/>
      <c r="G171" s="75"/>
      <c r="H171" s="366"/>
      <c r="I171" s="534">
        <v>133723.38</v>
      </c>
      <c r="J171" s="1497"/>
    </row>
    <row r="172" spans="1:10" s="170" customFormat="1" ht="13.5">
      <c r="A172" s="1430"/>
      <c r="B172" s="1430"/>
      <c r="C172" s="1431"/>
      <c r="D172" s="367" t="s">
        <v>1334</v>
      </c>
      <c r="E172" s="365"/>
      <c r="F172" s="365"/>
      <c r="G172" s="137"/>
      <c r="H172" s="366"/>
      <c r="I172" s="534">
        <v>16046.8056</v>
      </c>
      <c r="J172" s="1497"/>
    </row>
    <row r="173" spans="1:10" s="170" customFormat="1" ht="13.5">
      <c r="A173" s="1430"/>
      <c r="B173" s="1430"/>
      <c r="C173" s="1431"/>
      <c r="D173" s="367" t="s">
        <v>1342</v>
      </c>
      <c r="E173" s="365"/>
      <c r="F173" s="365"/>
      <c r="G173" s="75"/>
      <c r="H173" s="366"/>
      <c r="I173" s="533">
        <v>149770.1856</v>
      </c>
      <c r="J173" s="1498"/>
    </row>
    <row r="174" spans="1:10" s="170" customFormat="1" ht="13.5">
      <c r="A174" s="1430">
        <v>8</v>
      </c>
      <c r="B174" s="1430" t="s">
        <v>2368</v>
      </c>
      <c r="C174" s="1431" t="s">
        <v>1312</v>
      </c>
      <c r="D174" s="1430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430"/>
      <c r="B175" s="1430"/>
      <c r="C175" s="1431"/>
      <c r="D175" s="1430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496">
        <f>ROUND(I182*0.9,0)</f>
        <v>1467511</v>
      </c>
    </row>
    <row r="176" spans="1:10" s="170" customFormat="1" ht="13.5">
      <c r="A176" s="1430"/>
      <c r="B176" s="1430"/>
      <c r="C176" s="1431"/>
      <c r="D176" s="1430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497"/>
    </row>
    <row r="177" spans="1:10" s="170" customFormat="1" ht="13.5">
      <c r="A177" s="1430"/>
      <c r="B177" s="1430"/>
      <c r="C177" s="1431"/>
      <c r="D177" s="1430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497"/>
    </row>
    <row r="178" spans="1:10" s="170" customFormat="1" ht="13.5">
      <c r="A178" s="1430"/>
      <c r="B178" s="1430"/>
      <c r="C178" s="1431"/>
      <c r="D178" s="1430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497"/>
    </row>
    <row r="179" spans="1:10" s="170" customFormat="1" ht="13.5">
      <c r="A179" s="1430"/>
      <c r="B179" s="1430"/>
      <c r="C179" s="1431"/>
      <c r="D179" s="367" t="s">
        <v>1332</v>
      </c>
      <c r="E179" s="365"/>
      <c r="F179" s="365"/>
      <c r="G179" s="75"/>
      <c r="H179" s="366"/>
      <c r="I179" s="529">
        <v>1429078.72</v>
      </c>
      <c r="J179" s="1497"/>
    </row>
    <row r="180" spans="1:10" s="170" customFormat="1" ht="13.5">
      <c r="A180" s="1430"/>
      <c r="B180" s="1430"/>
      <c r="C180" s="1431"/>
      <c r="D180" s="367" t="s">
        <v>1334</v>
      </c>
      <c r="E180" s="365"/>
      <c r="F180" s="365"/>
      <c r="G180" s="137"/>
      <c r="H180" s="366"/>
      <c r="I180" s="529">
        <v>171489.44639999999</v>
      </c>
      <c r="J180" s="1497"/>
    </row>
    <row r="181" spans="1:10" s="170" customFormat="1" ht="13.5">
      <c r="A181" s="1430"/>
      <c r="B181" s="1430"/>
      <c r="C181" s="1431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497"/>
    </row>
    <row r="182" spans="1:10" s="170" customFormat="1" ht="13.5">
      <c r="A182" s="1430"/>
      <c r="B182" s="1430"/>
      <c r="C182" s="1431"/>
      <c r="D182" s="367" t="s">
        <v>1342</v>
      </c>
      <c r="E182" s="365"/>
      <c r="F182" s="365"/>
      <c r="G182" s="75"/>
      <c r="H182" s="366"/>
      <c r="I182" s="529">
        <v>1630568.1664</v>
      </c>
      <c r="J182" s="1498"/>
    </row>
    <row r="183" spans="1:10" s="170" customFormat="1" ht="48">
      <c r="A183" s="1430">
        <v>9</v>
      </c>
      <c r="B183" s="1430" t="s">
        <v>2369</v>
      </c>
      <c r="C183" s="1431" t="s">
        <v>1690</v>
      </c>
      <c r="D183" s="1430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496">
        <f>ROUND(I189*0.9,0)</f>
        <v>1635998</v>
      </c>
    </row>
    <row r="184" spans="1:10" s="170" customFormat="1" ht="48">
      <c r="A184" s="1430"/>
      <c r="B184" s="1430"/>
      <c r="C184" s="1431"/>
      <c r="D184" s="1430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497"/>
    </row>
    <row r="185" spans="1:10" s="170" customFormat="1" ht="36">
      <c r="A185" s="1430"/>
      <c r="B185" s="1430"/>
      <c r="C185" s="1431"/>
      <c r="D185" s="1430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497"/>
    </row>
    <row r="186" spans="1:10" s="170" customFormat="1" ht="13.5">
      <c r="A186" s="1430"/>
      <c r="B186" s="1430"/>
      <c r="C186" s="1431"/>
      <c r="D186" s="367" t="s">
        <v>1332</v>
      </c>
      <c r="E186" s="365"/>
      <c r="F186" s="365"/>
      <c r="G186" s="75"/>
      <c r="H186" s="366"/>
      <c r="I186" s="529">
        <v>1640250.94</v>
      </c>
      <c r="J186" s="1497"/>
    </row>
    <row r="187" spans="1:10" s="170" customFormat="1" ht="13.5">
      <c r="A187" s="1430"/>
      <c r="B187" s="1430"/>
      <c r="C187" s="1431"/>
      <c r="D187" s="367" t="s">
        <v>1334</v>
      </c>
      <c r="E187" s="365"/>
      <c r="F187" s="365"/>
      <c r="G187" s="137"/>
      <c r="H187" s="366"/>
      <c r="I187" s="529">
        <v>164025.09400000001</v>
      </c>
      <c r="J187" s="1497"/>
    </row>
    <row r="188" spans="1:10" s="170" customFormat="1" ht="13.5">
      <c r="A188" s="1430"/>
      <c r="B188" s="1430"/>
      <c r="C188" s="1431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497"/>
    </row>
    <row r="189" spans="1:10" s="170" customFormat="1" ht="13.5">
      <c r="A189" s="1430"/>
      <c r="B189" s="1430"/>
      <c r="C189" s="1431"/>
      <c r="D189" s="367" t="s">
        <v>1342</v>
      </c>
      <c r="E189" s="365"/>
      <c r="F189" s="365"/>
      <c r="G189" s="75"/>
      <c r="H189" s="366"/>
      <c r="I189" s="529">
        <v>1817776.034</v>
      </c>
      <c r="J189" s="1498"/>
    </row>
    <row r="190" spans="1:10" s="170" customFormat="1" ht="24">
      <c r="A190" s="1430">
        <v>10</v>
      </c>
      <c r="B190" s="1430" t="s">
        <v>2370</v>
      </c>
      <c r="C190" s="1431" t="s">
        <v>1827</v>
      </c>
      <c r="D190" s="1430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496">
        <f>ROUND(I200*0.9,0)</f>
        <v>2622213</v>
      </c>
    </row>
    <row r="191" spans="1:10" s="170" customFormat="1" ht="13.5">
      <c r="A191" s="1430"/>
      <c r="B191" s="1430"/>
      <c r="C191" s="1431"/>
      <c r="D191" s="1430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497"/>
    </row>
    <row r="192" spans="1:10" s="170" customFormat="1" ht="13.5">
      <c r="A192" s="1430"/>
      <c r="B192" s="1430"/>
      <c r="C192" s="1431"/>
      <c r="D192" s="1430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497"/>
    </row>
    <row r="193" spans="1:10" s="170" customFormat="1" ht="13.5">
      <c r="A193" s="1430"/>
      <c r="B193" s="1430"/>
      <c r="C193" s="1431"/>
      <c r="D193" s="1430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497"/>
    </row>
    <row r="194" spans="1:10" s="170" customFormat="1" ht="13.5">
      <c r="A194" s="1430"/>
      <c r="B194" s="1430"/>
      <c r="C194" s="1431"/>
      <c r="D194" s="1430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497"/>
    </row>
    <row r="195" spans="1:10" s="170" customFormat="1" ht="13.5">
      <c r="A195" s="1430"/>
      <c r="B195" s="1430"/>
      <c r="C195" s="1431"/>
      <c r="D195" s="1430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497"/>
    </row>
    <row r="196" spans="1:10" s="170" customFormat="1" ht="24">
      <c r="A196" s="1430"/>
      <c r="B196" s="1430"/>
      <c r="C196" s="1431"/>
      <c r="D196" s="1430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497"/>
    </row>
    <row r="197" spans="1:10" s="170" customFormat="1" ht="13.5">
      <c r="A197" s="1430"/>
      <c r="B197" s="1430"/>
      <c r="C197" s="1431"/>
      <c r="D197" s="1430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497"/>
    </row>
    <row r="198" spans="1:10" s="170" customFormat="1" ht="13.5">
      <c r="A198" s="1430"/>
      <c r="B198" s="1430"/>
      <c r="C198" s="1431"/>
      <c r="D198" s="367" t="s">
        <v>1332</v>
      </c>
      <c r="E198" s="365"/>
      <c r="F198" s="365"/>
      <c r="G198" s="75"/>
      <c r="H198" s="366"/>
      <c r="I198" s="529">
        <v>2648700</v>
      </c>
      <c r="J198" s="1497"/>
    </row>
    <row r="199" spans="1:10" s="170" customFormat="1" ht="13.5">
      <c r="A199" s="1430"/>
      <c r="B199" s="1430"/>
      <c r="C199" s="1431"/>
      <c r="D199" s="367" t="s">
        <v>1334</v>
      </c>
      <c r="E199" s="365"/>
      <c r="F199" s="365"/>
      <c r="G199" s="137"/>
      <c r="H199" s="366"/>
      <c r="I199" s="529">
        <v>264870</v>
      </c>
      <c r="J199" s="1497"/>
    </row>
    <row r="200" spans="1:10" s="170" customFormat="1" ht="13.5">
      <c r="A200" s="1430"/>
      <c r="B200" s="1430"/>
      <c r="C200" s="1431"/>
      <c r="D200" s="367" t="s">
        <v>1342</v>
      </c>
      <c r="E200" s="365"/>
      <c r="F200" s="365"/>
      <c r="G200" s="75"/>
      <c r="H200" s="366"/>
      <c r="I200" s="529">
        <v>2913570</v>
      </c>
      <c r="J200" s="1498"/>
    </row>
    <row r="201" spans="1:10" s="170" customFormat="1" ht="36">
      <c r="A201" s="1430">
        <v>11</v>
      </c>
      <c r="B201" s="1450" t="s">
        <v>1837</v>
      </c>
      <c r="C201" s="1450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496">
        <f>ROUND(I205*0.8,0)</f>
        <v>221000</v>
      </c>
    </row>
    <row r="202" spans="1:10" s="170" customFormat="1" ht="13.5">
      <c r="A202" s="1430"/>
      <c r="B202" s="1450"/>
      <c r="C202" s="1450"/>
      <c r="D202" s="405" t="s">
        <v>1332</v>
      </c>
      <c r="E202" s="365"/>
      <c r="F202" s="365"/>
      <c r="G202" s="75"/>
      <c r="H202" s="366"/>
      <c r="I202" s="529">
        <v>244020</v>
      </c>
      <c r="J202" s="1497"/>
    </row>
    <row r="203" spans="1:10" s="170" customFormat="1" ht="13.5">
      <c r="A203" s="1430"/>
      <c r="B203" s="1450"/>
      <c r="C203" s="1450"/>
      <c r="D203" s="405" t="s">
        <v>1334</v>
      </c>
      <c r="E203" s="365"/>
      <c r="F203" s="365"/>
      <c r="G203" s="75"/>
      <c r="H203" s="366"/>
      <c r="I203" s="529">
        <v>27730</v>
      </c>
      <c r="J203" s="1497"/>
    </row>
    <row r="204" spans="1:10" s="170" customFormat="1" ht="13.5">
      <c r="A204" s="1430"/>
      <c r="B204" s="1450"/>
      <c r="C204" s="1450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497"/>
    </row>
    <row r="205" spans="1:10" s="170" customFormat="1" ht="13.5">
      <c r="A205" s="1430"/>
      <c r="B205" s="1450"/>
      <c r="C205" s="1450"/>
      <c r="D205" s="405" t="s">
        <v>1342</v>
      </c>
      <c r="E205" s="365"/>
      <c r="F205" s="365"/>
      <c r="G205" s="75"/>
      <c r="H205" s="366"/>
      <c r="I205" s="529">
        <v>276250</v>
      </c>
      <c r="J205" s="1498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452">
        <v>1</v>
      </c>
      <c r="B207" s="1453" t="s">
        <v>1840</v>
      </c>
      <c r="C207" s="1454" t="s">
        <v>1312</v>
      </c>
      <c r="D207" s="1453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506">
        <f>ROUND(I214*0.8,0)</f>
        <v>783200</v>
      </c>
    </row>
    <row r="208" spans="1:10" s="416" customFormat="1" ht="24">
      <c r="A208" s="1452"/>
      <c r="B208" s="1453"/>
      <c r="C208" s="1454"/>
      <c r="D208" s="1453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507"/>
    </row>
    <row r="209" spans="1:10" s="416" customFormat="1" ht="24">
      <c r="A209" s="1452"/>
      <c r="B209" s="1453"/>
      <c r="C209" s="1454"/>
      <c r="D209" s="1453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507"/>
    </row>
    <row r="210" spans="1:10" s="416" customFormat="1">
      <c r="A210" s="1452"/>
      <c r="B210" s="1453"/>
      <c r="C210" s="1454"/>
      <c r="D210" s="418" t="s">
        <v>1332</v>
      </c>
      <c r="E210" s="412"/>
      <c r="F210" s="413"/>
      <c r="G210" s="410"/>
      <c r="H210" s="406"/>
      <c r="I210" s="514">
        <v>844700</v>
      </c>
      <c r="J210" s="1507"/>
    </row>
    <row r="211" spans="1:10" s="416" customFormat="1">
      <c r="A211" s="1452"/>
      <c r="B211" s="1453"/>
      <c r="C211" s="1454"/>
      <c r="D211" s="418" t="s">
        <v>1334</v>
      </c>
      <c r="E211" s="412"/>
      <c r="F211" s="413"/>
      <c r="G211" s="419"/>
      <c r="H211" s="408"/>
      <c r="I211" s="515">
        <v>95300</v>
      </c>
      <c r="J211" s="1507"/>
    </row>
    <row r="212" spans="1:10" s="416" customFormat="1">
      <c r="A212" s="1452"/>
      <c r="B212" s="1453"/>
      <c r="C212" s="1454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507"/>
    </row>
    <row r="213" spans="1:10" s="416" customFormat="1">
      <c r="A213" s="1452"/>
      <c r="B213" s="1453"/>
      <c r="C213" s="1454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507"/>
    </row>
    <row r="214" spans="1:10" s="416" customFormat="1">
      <c r="A214" s="1452"/>
      <c r="B214" s="1453"/>
      <c r="C214" s="1454"/>
      <c r="D214" s="418" t="s">
        <v>1342</v>
      </c>
      <c r="E214" s="412"/>
      <c r="F214" s="413"/>
      <c r="G214" s="410"/>
      <c r="H214" s="406"/>
      <c r="I214" s="514">
        <v>979000</v>
      </c>
      <c r="J214" s="1508"/>
    </row>
    <row r="215" spans="1:10" s="416" customFormat="1" ht="24">
      <c r="A215" s="1452">
        <v>2</v>
      </c>
      <c r="B215" s="1453" t="s">
        <v>1843</v>
      </c>
      <c r="C215" s="1454" t="s">
        <v>1312</v>
      </c>
      <c r="D215" s="1453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506">
        <f>ROUND(I225*0.8,0)</f>
        <v>531776</v>
      </c>
    </row>
    <row r="216" spans="1:10" s="416" customFormat="1" ht="24">
      <c r="A216" s="1452"/>
      <c r="B216" s="1453"/>
      <c r="C216" s="1454"/>
      <c r="D216" s="1453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507"/>
    </row>
    <row r="217" spans="1:10" s="416" customFormat="1" ht="24">
      <c r="A217" s="1452"/>
      <c r="B217" s="1453"/>
      <c r="C217" s="1454"/>
      <c r="D217" s="1453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507"/>
    </row>
    <row r="218" spans="1:10" s="416" customFormat="1" ht="24">
      <c r="A218" s="1452"/>
      <c r="B218" s="1453"/>
      <c r="C218" s="1454"/>
      <c r="D218" s="1453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507"/>
    </row>
    <row r="219" spans="1:10" s="416" customFormat="1" ht="36">
      <c r="A219" s="1452"/>
      <c r="B219" s="1453"/>
      <c r="C219" s="1454"/>
      <c r="D219" s="1453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507"/>
    </row>
    <row r="220" spans="1:10" s="416" customFormat="1" ht="24">
      <c r="A220" s="1452"/>
      <c r="B220" s="1453"/>
      <c r="C220" s="1454"/>
      <c r="D220" s="1453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507"/>
    </row>
    <row r="221" spans="1:10" s="416" customFormat="1">
      <c r="A221" s="1452"/>
      <c r="B221" s="1453"/>
      <c r="C221" s="1454"/>
      <c r="D221" s="418" t="s">
        <v>1332</v>
      </c>
      <c r="E221" s="412"/>
      <c r="F221" s="413"/>
      <c r="G221" s="410"/>
      <c r="H221" s="406"/>
      <c r="I221" s="514">
        <v>569450</v>
      </c>
      <c r="J221" s="1507"/>
    </row>
    <row r="222" spans="1:10" s="416" customFormat="1">
      <c r="A222" s="1452"/>
      <c r="B222" s="1453"/>
      <c r="C222" s="1454"/>
      <c r="D222" s="418" t="s">
        <v>1334</v>
      </c>
      <c r="E222" s="412"/>
      <c r="F222" s="413"/>
      <c r="G222" s="419"/>
      <c r="H222" s="408"/>
      <c r="I222" s="515">
        <v>59870</v>
      </c>
      <c r="J222" s="1507"/>
    </row>
    <row r="223" spans="1:10" s="416" customFormat="1">
      <c r="A223" s="1452"/>
      <c r="B223" s="1453"/>
      <c r="C223" s="1454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507"/>
    </row>
    <row r="224" spans="1:10" s="416" customFormat="1">
      <c r="A224" s="1452"/>
      <c r="B224" s="1453"/>
      <c r="C224" s="1454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507"/>
    </row>
    <row r="225" spans="1:10" s="416" customFormat="1">
      <c r="A225" s="1452"/>
      <c r="B225" s="1453"/>
      <c r="C225" s="1454"/>
      <c r="D225" s="418" t="s">
        <v>1342</v>
      </c>
      <c r="E225" s="412"/>
      <c r="F225" s="413"/>
      <c r="G225" s="410"/>
      <c r="H225" s="406"/>
      <c r="I225" s="514">
        <v>664720</v>
      </c>
      <c r="J225" s="1508"/>
    </row>
    <row r="226" spans="1:10" s="416" customFormat="1" ht="24">
      <c r="A226" s="1452">
        <v>3</v>
      </c>
      <c r="B226" s="1453" t="s">
        <v>1848</v>
      </c>
      <c r="C226" s="1454" t="s">
        <v>1312</v>
      </c>
      <c r="D226" s="1453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506">
        <f>ROUND(I240*0.9,0)</f>
        <v>375030</v>
      </c>
    </row>
    <row r="227" spans="1:10" s="416" customFormat="1" ht="24">
      <c r="A227" s="1452"/>
      <c r="B227" s="1453"/>
      <c r="C227" s="1454"/>
      <c r="D227" s="1453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507"/>
    </row>
    <row r="228" spans="1:10" s="416" customFormat="1" ht="36">
      <c r="A228" s="1452"/>
      <c r="B228" s="1453"/>
      <c r="C228" s="1454"/>
      <c r="D228" s="1453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507"/>
    </row>
    <row r="229" spans="1:10" s="416" customFormat="1" ht="24">
      <c r="A229" s="1452"/>
      <c r="B229" s="1453"/>
      <c r="C229" s="1454"/>
      <c r="D229" s="1453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507"/>
    </row>
    <row r="230" spans="1:10" s="416" customFormat="1" ht="24">
      <c r="A230" s="1452"/>
      <c r="B230" s="1453"/>
      <c r="C230" s="1454"/>
      <c r="D230" s="1453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507"/>
    </row>
    <row r="231" spans="1:10" s="416" customFormat="1" ht="24">
      <c r="A231" s="1452"/>
      <c r="B231" s="1453"/>
      <c r="C231" s="1454"/>
      <c r="D231" s="1453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507"/>
    </row>
    <row r="232" spans="1:10" s="416" customFormat="1" ht="24">
      <c r="A232" s="1452"/>
      <c r="B232" s="1453"/>
      <c r="C232" s="1454"/>
      <c r="D232" s="1453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507"/>
    </row>
    <row r="233" spans="1:10" s="416" customFormat="1">
      <c r="A233" s="1452"/>
      <c r="B233" s="1453"/>
      <c r="C233" s="1454"/>
      <c r="D233" s="1453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507"/>
    </row>
    <row r="234" spans="1:10" s="416" customFormat="1" ht="24">
      <c r="A234" s="1452"/>
      <c r="B234" s="1453"/>
      <c r="C234" s="1454"/>
      <c r="D234" s="1453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507"/>
    </row>
    <row r="235" spans="1:10" s="416" customFormat="1" ht="24">
      <c r="A235" s="1452"/>
      <c r="B235" s="1453"/>
      <c r="C235" s="1454"/>
      <c r="D235" s="1453"/>
      <c r="E235" s="1451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507"/>
    </row>
    <row r="236" spans="1:10" s="416" customFormat="1" ht="24">
      <c r="A236" s="1452"/>
      <c r="B236" s="1453"/>
      <c r="C236" s="1454"/>
      <c r="D236" s="1453"/>
      <c r="E236" s="1451"/>
      <c r="F236" s="413" t="s">
        <v>1315</v>
      </c>
      <c r="G236" s="414">
        <v>269</v>
      </c>
      <c r="H236" s="413">
        <v>330</v>
      </c>
      <c r="I236" s="512">
        <v>88770</v>
      </c>
      <c r="J236" s="1507"/>
    </row>
    <row r="237" spans="1:10" s="416" customFormat="1">
      <c r="A237" s="1452"/>
      <c r="B237" s="1453"/>
      <c r="C237" s="1454"/>
      <c r="D237" s="418" t="s">
        <v>1332</v>
      </c>
      <c r="E237" s="412"/>
      <c r="F237" s="413"/>
      <c r="G237" s="410"/>
      <c r="H237" s="406"/>
      <c r="I237" s="514">
        <v>368405</v>
      </c>
      <c r="J237" s="1507"/>
    </row>
    <row r="238" spans="1:10" s="416" customFormat="1">
      <c r="A238" s="1452"/>
      <c r="B238" s="1453"/>
      <c r="C238" s="1454"/>
      <c r="D238" s="418" t="s">
        <v>1334</v>
      </c>
      <c r="E238" s="412"/>
      <c r="F238" s="413"/>
      <c r="G238" s="419"/>
      <c r="H238" s="408"/>
      <c r="I238" s="515">
        <v>43795</v>
      </c>
      <c r="J238" s="1507"/>
    </row>
    <row r="239" spans="1:10" s="416" customFormat="1">
      <c r="A239" s="1452"/>
      <c r="B239" s="1453"/>
      <c r="C239" s="1454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507"/>
    </row>
    <row r="240" spans="1:10" s="416" customFormat="1">
      <c r="A240" s="1452"/>
      <c r="B240" s="1453"/>
      <c r="C240" s="1454"/>
      <c r="D240" s="418" t="s">
        <v>1342</v>
      </c>
      <c r="E240" s="412"/>
      <c r="F240" s="413"/>
      <c r="G240" s="410"/>
      <c r="H240" s="406"/>
      <c r="I240" s="514">
        <v>416700</v>
      </c>
      <c r="J240" s="1508"/>
    </row>
    <row r="241" spans="1:10" s="416" customFormat="1" ht="24">
      <c r="A241" s="1452">
        <v>4</v>
      </c>
      <c r="B241" s="1453" t="s">
        <v>1860</v>
      </c>
      <c r="C241" s="1454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506">
        <f>ROUND(I247*0.9,0)</f>
        <v>203400</v>
      </c>
    </row>
    <row r="242" spans="1:10" s="416" customFormat="1" ht="24">
      <c r="A242" s="1452"/>
      <c r="B242" s="1453"/>
      <c r="C242" s="1454"/>
      <c r="D242" s="1453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507"/>
    </row>
    <row r="243" spans="1:10" s="416" customFormat="1" ht="24">
      <c r="A243" s="1452"/>
      <c r="B243" s="1453"/>
      <c r="C243" s="1454"/>
      <c r="D243" s="1453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507"/>
    </row>
    <row r="244" spans="1:10" s="416" customFormat="1">
      <c r="A244" s="1452"/>
      <c r="B244" s="1453"/>
      <c r="C244" s="1454"/>
      <c r="D244" s="418" t="s">
        <v>1332</v>
      </c>
      <c r="E244" s="412"/>
      <c r="F244" s="413"/>
      <c r="G244" s="410"/>
      <c r="H244" s="406"/>
      <c r="I244" s="514">
        <v>175000</v>
      </c>
      <c r="J244" s="1507"/>
    </row>
    <row r="245" spans="1:10" s="416" customFormat="1">
      <c r="A245" s="1452"/>
      <c r="B245" s="1453"/>
      <c r="C245" s="1454"/>
      <c r="D245" s="418" t="s">
        <v>1334</v>
      </c>
      <c r="E245" s="412"/>
      <c r="F245" s="413"/>
      <c r="G245" s="419"/>
      <c r="H245" s="408"/>
      <c r="I245" s="515">
        <v>21000</v>
      </c>
      <c r="J245" s="1507"/>
    </row>
    <row r="246" spans="1:10" s="416" customFormat="1">
      <c r="A246" s="1452"/>
      <c r="B246" s="1453"/>
      <c r="C246" s="1454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507"/>
    </row>
    <row r="247" spans="1:10" s="416" customFormat="1">
      <c r="A247" s="1452"/>
      <c r="B247" s="1453"/>
      <c r="C247" s="1454"/>
      <c r="D247" s="418" t="s">
        <v>1342</v>
      </c>
      <c r="E247" s="412"/>
      <c r="F247" s="413"/>
      <c r="G247" s="410"/>
      <c r="H247" s="406"/>
      <c r="I247" s="514">
        <v>226000</v>
      </c>
      <c r="J247" s="1508"/>
    </row>
    <row r="248" spans="1:10" s="416" customFormat="1" ht="24">
      <c r="A248" s="1452">
        <v>5</v>
      </c>
      <c r="B248" s="1453" t="s">
        <v>243</v>
      </c>
      <c r="C248" s="1454" t="s">
        <v>1312</v>
      </c>
      <c r="D248" s="1453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506">
        <f>ROUND(I253*0.9,0)</f>
        <v>268956</v>
      </c>
    </row>
    <row r="249" spans="1:10" s="416" customFormat="1" ht="24">
      <c r="A249" s="1452"/>
      <c r="B249" s="1453"/>
      <c r="C249" s="1454"/>
      <c r="D249" s="1453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507"/>
    </row>
    <row r="250" spans="1:10" s="416" customFormat="1">
      <c r="A250" s="1452"/>
      <c r="B250" s="1453"/>
      <c r="C250" s="1454"/>
      <c r="D250" s="418" t="s">
        <v>1332</v>
      </c>
      <c r="E250" s="412"/>
      <c r="F250" s="413"/>
      <c r="G250" s="410"/>
      <c r="H250" s="406"/>
      <c r="I250" s="515">
        <v>244500</v>
      </c>
      <c r="J250" s="1507"/>
    </row>
    <row r="251" spans="1:10" s="416" customFormat="1">
      <c r="A251" s="1452"/>
      <c r="B251" s="1453"/>
      <c r="C251" s="1454"/>
      <c r="D251" s="418" t="s">
        <v>1334</v>
      </c>
      <c r="E251" s="412"/>
      <c r="F251" s="413"/>
      <c r="G251" s="419"/>
      <c r="H251" s="408"/>
      <c r="I251" s="515">
        <v>29340</v>
      </c>
      <c r="J251" s="1507"/>
    </row>
    <row r="252" spans="1:10" s="416" customFormat="1">
      <c r="A252" s="1452"/>
      <c r="B252" s="1453"/>
      <c r="C252" s="1454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507"/>
    </row>
    <row r="253" spans="1:10" s="416" customFormat="1">
      <c r="A253" s="1452"/>
      <c r="B253" s="1453"/>
      <c r="C253" s="1454"/>
      <c r="D253" s="418" t="s">
        <v>1342</v>
      </c>
      <c r="E253" s="412"/>
      <c r="F253" s="413"/>
      <c r="G253" s="410"/>
      <c r="H253" s="406"/>
      <c r="I253" s="514">
        <v>298840</v>
      </c>
      <c r="J253" s="1508"/>
    </row>
    <row r="254" spans="1:10" s="416" customFormat="1" ht="24">
      <c r="A254" s="1452">
        <v>6</v>
      </c>
      <c r="B254" s="1453" t="s">
        <v>238</v>
      </c>
      <c r="C254" s="1454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506">
        <f>ROUND(I258*0.9,0)</f>
        <v>1209060</v>
      </c>
    </row>
    <row r="255" spans="1:10" s="416" customFormat="1">
      <c r="A255" s="1452"/>
      <c r="B255" s="1453"/>
      <c r="C255" s="1454"/>
      <c r="D255" s="418" t="s">
        <v>1332</v>
      </c>
      <c r="E255" s="412"/>
      <c r="F255" s="413"/>
      <c r="G255" s="410"/>
      <c r="H255" s="406"/>
      <c r="I255" s="514">
        <v>1200000</v>
      </c>
      <c r="J255" s="1507"/>
    </row>
    <row r="256" spans="1:10" s="416" customFormat="1">
      <c r="A256" s="1452"/>
      <c r="B256" s="1453"/>
      <c r="C256" s="1454"/>
      <c r="D256" s="418" t="s">
        <v>1334</v>
      </c>
      <c r="E256" s="412"/>
      <c r="F256" s="413"/>
      <c r="G256" s="419"/>
      <c r="H256" s="408"/>
      <c r="I256" s="515">
        <v>134400</v>
      </c>
      <c r="J256" s="1507"/>
    </row>
    <row r="257" spans="1:10" s="416" customFormat="1">
      <c r="A257" s="1452"/>
      <c r="B257" s="1453"/>
      <c r="C257" s="1454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507"/>
    </row>
    <row r="258" spans="1:10" s="416" customFormat="1">
      <c r="A258" s="1452"/>
      <c r="B258" s="1453"/>
      <c r="C258" s="1454"/>
      <c r="D258" s="418" t="s">
        <v>1342</v>
      </c>
      <c r="E258" s="412"/>
      <c r="F258" s="413"/>
      <c r="G258" s="410"/>
      <c r="H258" s="406"/>
      <c r="I258" s="514">
        <v>1343400</v>
      </c>
      <c r="J258" s="1508"/>
    </row>
    <row r="259" spans="1:10" s="416" customFormat="1">
      <c r="A259" s="1452">
        <v>7</v>
      </c>
      <c r="B259" s="1453" t="s">
        <v>1866</v>
      </c>
      <c r="C259" s="1454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506">
        <f>ROUND(I272*0.8,0)</f>
        <v>1047264</v>
      </c>
    </row>
    <row r="260" spans="1:10" s="416" customFormat="1">
      <c r="A260" s="1452"/>
      <c r="B260" s="1453"/>
      <c r="C260" s="1454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507"/>
    </row>
    <row r="261" spans="1:10" s="416" customFormat="1">
      <c r="A261" s="1452"/>
      <c r="B261" s="1453"/>
      <c r="C261" s="1454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507"/>
    </row>
    <row r="262" spans="1:10" s="416" customFormat="1">
      <c r="A262" s="1452"/>
      <c r="B262" s="1453"/>
      <c r="C262" s="1454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507"/>
    </row>
    <row r="263" spans="1:10" s="416" customFormat="1">
      <c r="A263" s="1452"/>
      <c r="B263" s="1453"/>
      <c r="C263" s="1454"/>
      <c r="D263" s="1453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507"/>
    </row>
    <row r="264" spans="1:10" s="416" customFormat="1" ht="24">
      <c r="A264" s="1452"/>
      <c r="B264" s="1453"/>
      <c r="C264" s="1454"/>
      <c r="D264" s="1453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507"/>
    </row>
    <row r="265" spans="1:10" s="416" customFormat="1" ht="24">
      <c r="A265" s="1452"/>
      <c r="B265" s="1453"/>
      <c r="C265" s="1454"/>
      <c r="D265" s="1453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507"/>
    </row>
    <row r="266" spans="1:10" s="416" customFormat="1">
      <c r="A266" s="1452"/>
      <c r="B266" s="1453"/>
      <c r="C266" s="1454"/>
      <c r="D266" s="1453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507"/>
    </row>
    <row r="267" spans="1:10" s="416" customFormat="1">
      <c r="A267" s="1452"/>
      <c r="B267" s="1453"/>
      <c r="C267" s="1454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507"/>
    </row>
    <row r="268" spans="1:10" s="416" customFormat="1">
      <c r="A268" s="1452"/>
      <c r="B268" s="1453"/>
      <c r="C268" s="1454"/>
      <c r="D268" s="418" t="s">
        <v>1332</v>
      </c>
      <c r="E268" s="412"/>
      <c r="F268" s="413"/>
      <c r="G268" s="419"/>
      <c r="H268" s="408"/>
      <c r="I268" s="515">
        <v>1134000</v>
      </c>
      <c r="J268" s="1507"/>
    </row>
    <row r="269" spans="1:10" s="416" customFormat="1">
      <c r="A269" s="1452"/>
      <c r="B269" s="1453"/>
      <c r="C269" s="1454"/>
      <c r="D269" s="408" t="s">
        <v>1880</v>
      </c>
      <c r="E269" s="423"/>
      <c r="F269" s="418"/>
      <c r="G269" s="419"/>
      <c r="H269" s="408"/>
      <c r="I269" s="515">
        <v>136080</v>
      </c>
      <c r="J269" s="1507"/>
    </row>
    <row r="270" spans="1:10" s="416" customFormat="1">
      <c r="A270" s="1452"/>
      <c r="B270" s="1453"/>
      <c r="C270" s="1454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507"/>
    </row>
    <row r="271" spans="1:10" s="416" customFormat="1">
      <c r="A271" s="1452"/>
      <c r="B271" s="1453"/>
      <c r="C271" s="1454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507"/>
    </row>
    <row r="272" spans="1:10" s="416" customFormat="1">
      <c r="A272" s="1452"/>
      <c r="B272" s="1453"/>
      <c r="C272" s="1454"/>
      <c r="D272" s="418" t="s">
        <v>1342</v>
      </c>
      <c r="E272" s="412"/>
      <c r="F272" s="413"/>
      <c r="G272" s="419"/>
      <c r="H272" s="408"/>
      <c r="I272" s="515">
        <v>1309080</v>
      </c>
      <c r="J272" s="1508"/>
    </row>
    <row r="273" spans="1:10" s="416" customFormat="1">
      <c r="A273" s="1452">
        <v>8</v>
      </c>
      <c r="B273" s="1453" t="s">
        <v>1008</v>
      </c>
      <c r="C273" s="1454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506">
        <f>ROUND(I280*0.8,0)</f>
        <v>2858965</v>
      </c>
    </row>
    <row r="274" spans="1:10" s="416" customFormat="1">
      <c r="A274" s="1452"/>
      <c r="B274" s="1453"/>
      <c r="C274" s="1454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507"/>
    </row>
    <row r="275" spans="1:10" s="416" customFormat="1" ht="48">
      <c r="A275" s="1452"/>
      <c r="B275" s="1453"/>
      <c r="C275" s="1454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507"/>
    </row>
    <row r="276" spans="1:10" s="416" customFormat="1">
      <c r="A276" s="1452"/>
      <c r="B276" s="1453"/>
      <c r="C276" s="1454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507"/>
    </row>
    <row r="277" spans="1:10" s="416" customFormat="1">
      <c r="A277" s="1452"/>
      <c r="B277" s="1453"/>
      <c r="C277" s="1454"/>
      <c r="D277" s="418" t="s">
        <v>1332</v>
      </c>
      <c r="E277" s="412"/>
      <c r="F277" s="413"/>
      <c r="G277" s="419"/>
      <c r="H277" s="408"/>
      <c r="I277" s="511">
        <v>3247187</v>
      </c>
      <c r="J277" s="1507"/>
    </row>
    <row r="278" spans="1:10" s="416" customFormat="1">
      <c r="A278" s="1452"/>
      <c r="B278" s="1453"/>
      <c r="C278" s="1454"/>
      <c r="D278" s="408" t="s">
        <v>1880</v>
      </c>
      <c r="E278" s="423"/>
      <c r="F278" s="418"/>
      <c r="G278" s="419"/>
      <c r="H278" s="408"/>
      <c r="I278" s="515">
        <v>324718.7</v>
      </c>
      <c r="J278" s="1507"/>
    </row>
    <row r="279" spans="1:10" s="416" customFormat="1">
      <c r="A279" s="1452"/>
      <c r="B279" s="1453"/>
      <c r="C279" s="1454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507"/>
    </row>
    <row r="280" spans="1:10" s="416" customFormat="1">
      <c r="A280" s="1452"/>
      <c r="B280" s="1453"/>
      <c r="C280" s="1454"/>
      <c r="D280" s="418" t="s">
        <v>1342</v>
      </c>
      <c r="E280" s="412"/>
      <c r="F280" s="413"/>
      <c r="G280" s="419"/>
      <c r="H280" s="408"/>
      <c r="I280" s="515">
        <v>3573705.7</v>
      </c>
      <c r="J280" s="1508"/>
    </row>
    <row r="281" spans="1:10" s="416" customFormat="1" ht="24">
      <c r="A281" s="1452">
        <v>9</v>
      </c>
      <c r="B281" s="1453" t="s">
        <v>1887</v>
      </c>
      <c r="C281" s="1454" t="s">
        <v>1690</v>
      </c>
      <c r="D281" s="1453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506">
        <f>ROUND(I290*0.9,0)</f>
        <v>1817744</v>
      </c>
    </row>
    <row r="282" spans="1:10" s="416" customFormat="1">
      <c r="A282" s="1452"/>
      <c r="B282" s="1453"/>
      <c r="C282" s="1454"/>
      <c r="D282" s="1453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507"/>
    </row>
    <row r="283" spans="1:10" s="416" customFormat="1" ht="24">
      <c r="A283" s="1452"/>
      <c r="B283" s="1453"/>
      <c r="C283" s="1454"/>
      <c r="D283" s="1453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507"/>
    </row>
    <row r="284" spans="1:10" s="416" customFormat="1" ht="24">
      <c r="A284" s="1452"/>
      <c r="B284" s="1453"/>
      <c r="C284" s="1454"/>
      <c r="D284" s="1453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507"/>
    </row>
    <row r="285" spans="1:10" s="416" customFormat="1" ht="24">
      <c r="A285" s="1452"/>
      <c r="B285" s="1453"/>
      <c r="C285" s="1454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507"/>
    </row>
    <row r="286" spans="1:10" s="416" customFormat="1">
      <c r="A286" s="1452"/>
      <c r="B286" s="1453"/>
      <c r="C286" s="1454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507"/>
    </row>
    <row r="287" spans="1:10" s="416" customFormat="1">
      <c r="A287" s="1452"/>
      <c r="B287" s="1453"/>
      <c r="C287" s="1454"/>
      <c r="D287" s="418" t="s">
        <v>1332</v>
      </c>
      <c r="E287" s="412"/>
      <c r="F287" s="413"/>
      <c r="G287" s="419"/>
      <c r="H287" s="408"/>
      <c r="I287" s="515">
        <v>1781560</v>
      </c>
      <c r="J287" s="1507"/>
    </row>
    <row r="288" spans="1:10" s="416" customFormat="1">
      <c r="A288" s="1452"/>
      <c r="B288" s="1453"/>
      <c r="C288" s="1454"/>
      <c r="D288" s="408" t="s">
        <v>1880</v>
      </c>
      <c r="E288" s="423"/>
      <c r="F288" s="418"/>
      <c r="G288" s="419"/>
      <c r="H288" s="408"/>
      <c r="I288" s="515">
        <v>178156</v>
      </c>
      <c r="J288" s="1507"/>
    </row>
    <row r="289" spans="1:10" s="416" customFormat="1" ht="24">
      <c r="A289" s="1452"/>
      <c r="B289" s="1453"/>
      <c r="C289" s="1454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507"/>
    </row>
    <row r="290" spans="1:10" s="416" customFormat="1">
      <c r="A290" s="1452"/>
      <c r="B290" s="1453"/>
      <c r="C290" s="1454"/>
      <c r="D290" s="418" t="s">
        <v>1342</v>
      </c>
      <c r="E290" s="412"/>
      <c r="F290" s="413"/>
      <c r="G290" s="419"/>
      <c r="H290" s="408"/>
      <c r="I290" s="515">
        <v>2019716</v>
      </c>
      <c r="J290" s="1508"/>
    </row>
    <row r="291" spans="1:10" s="416" customFormat="1" ht="36">
      <c r="A291" s="1452">
        <v>10</v>
      </c>
      <c r="B291" s="1453" t="s">
        <v>240</v>
      </c>
      <c r="C291" s="1454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506">
        <f>ROUND(I297*0.9,0)</f>
        <v>1369260</v>
      </c>
    </row>
    <row r="292" spans="1:10" s="416" customFormat="1" ht="24">
      <c r="A292" s="1452"/>
      <c r="B292" s="1453"/>
      <c r="C292" s="1454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507"/>
    </row>
    <row r="293" spans="1:10" s="416" customFormat="1">
      <c r="A293" s="1452"/>
      <c r="B293" s="1453"/>
      <c r="C293" s="1454"/>
      <c r="D293" s="418" t="s">
        <v>1332</v>
      </c>
      <c r="E293" s="412"/>
      <c r="F293" s="413"/>
      <c r="G293" s="419"/>
      <c r="H293" s="408"/>
      <c r="I293" s="515">
        <v>1332500</v>
      </c>
      <c r="J293" s="1507"/>
    </row>
    <row r="294" spans="1:10" s="416" customFormat="1">
      <c r="A294" s="1452"/>
      <c r="B294" s="1453"/>
      <c r="C294" s="1454"/>
      <c r="D294" s="408" t="s">
        <v>1880</v>
      </c>
      <c r="E294" s="423"/>
      <c r="F294" s="418"/>
      <c r="G294" s="419"/>
      <c r="H294" s="408"/>
      <c r="I294" s="515">
        <v>159900</v>
      </c>
      <c r="J294" s="1507"/>
    </row>
    <row r="295" spans="1:10" s="416" customFormat="1">
      <c r="A295" s="1452"/>
      <c r="B295" s="1453"/>
      <c r="C295" s="1454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507"/>
    </row>
    <row r="296" spans="1:10" s="416" customFormat="1">
      <c r="A296" s="1452"/>
      <c r="B296" s="1453"/>
      <c r="C296" s="1454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507"/>
    </row>
    <row r="297" spans="1:10" s="416" customFormat="1">
      <c r="A297" s="1452"/>
      <c r="B297" s="1453"/>
      <c r="C297" s="1454"/>
      <c r="D297" s="418" t="s">
        <v>1342</v>
      </c>
      <c r="E297" s="412"/>
      <c r="F297" s="413"/>
      <c r="G297" s="419"/>
      <c r="H297" s="408"/>
      <c r="I297" s="515">
        <v>1521400</v>
      </c>
      <c r="J297" s="1508"/>
    </row>
    <row r="298" spans="1:10" s="416" customFormat="1" ht="24">
      <c r="A298" s="1457">
        <v>11</v>
      </c>
      <c r="B298" s="1453" t="s">
        <v>1904</v>
      </c>
      <c r="C298" s="1454" t="s">
        <v>1690</v>
      </c>
      <c r="D298" s="1453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506">
        <f>ROUND(I303*0.9,0)</f>
        <v>658800</v>
      </c>
    </row>
    <row r="299" spans="1:10" s="416" customFormat="1">
      <c r="A299" s="1457"/>
      <c r="B299" s="1453"/>
      <c r="C299" s="1454"/>
      <c r="D299" s="1453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507"/>
    </row>
    <row r="300" spans="1:10" s="416" customFormat="1">
      <c r="A300" s="1457"/>
      <c r="B300" s="1453"/>
      <c r="C300" s="1454"/>
      <c r="D300" s="418" t="s">
        <v>1332</v>
      </c>
      <c r="E300" s="412"/>
      <c r="F300" s="413"/>
      <c r="G300" s="419"/>
      <c r="H300" s="408"/>
      <c r="I300" s="515">
        <v>640000</v>
      </c>
      <c r="J300" s="1507"/>
    </row>
    <row r="301" spans="1:10" s="416" customFormat="1">
      <c r="A301" s="1457"/>
      <c r="B301" s="1453"/>
      <c r="C301" s="1454"/>
      <c r="D301" s="408" t="s">
        <v>1880</v>
      </c>
      <c r="E301" s="423"/>
      <c r="F301" s="418"/>
      <c r="G301" s="419"/>
      <c r="H301" s="408"/>
      <c r="I301" s="515">
        <v>72000</v>
      </c>
      <c r="J301" s="1507"/>
    </row>
    <row r="302" spans="1:10" s="416" customFormat="1">
      <c r="A302" s="1457"/>
      <c r="B302" s="1453"/>
      <c r="C302" s="1454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507"/>
    </row>
    <row r="303" spans="1:10" s="416" customFormat="1">
      <c r="A303" s="1457"/>
      <c r="B303" s="1453"/>
      <c r="C303" s="1454"/>
      <c r="D303" s="418" t="s">
        <v>1342</v>
      </c>
      <c r="E303" s="412"/>
      <c r="F303" s="413"/>
      <c r="G303" s="419"/>
      <c r="H303" s="408"/>
      <c r="I303" s="515">
        <v>732000</v>
      </c>
      <c r="J303" s="1508"/>
    </row>
    <row r="304" spans="1:10" s="374" customFormat="1">
      <c r="A304" s="1458">
        <v>12</v>
      </c>
      <c r="B304" s="1459" t="s">
        <v>1008</v>
      </c>
      <c r="C304" s="1447" t="s">
        <v>1907</v>
      </c>
      <c r="D304" s="1459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499">
        <f>ROUND(I314*0.8,0)</f>
        <v>1094650</v>
      </c>
    </row>
    <row r="305" spans="1:10" s="374" customFormat="1">
      <c r="A305" s="1458"/>
      <c r="B305" s="1459"/>
      <c r="C305" s="1447"/>
      <c r="D305" s="1459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500"/>
    </row>
    <row r="306" spans="1:10" s="374" customFormat="1">
      <c r="A306" s="1458"/>
      <c r="B306" s="1459"/>
      <c r="C306" s="1447"/>
      <c r="D306" s="1459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500"/>
    </row>
    <row r="307" spans="1:10" s="374" customFormat="1">
      <c r="A307" s="1458"/>
      <c r="B307" s="1459"/>
      <c r="C307" s="1447"/>
      <c r="D307" s="1459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500"/>
    </row>
    <row r="308" spans="1:10" s="374" customFormat="1">
      <c r="A308" s="1458"/>
      <c r="B308" s="1459"/>
      <c r="C308" s="1447"/>
      <c r="D308" s="433" t="s">
        <v>1332</v>
      </c>
      <c r="E308" s="428"/>
      <c r="F308" s="429"/>
      <c r="G308" s="403"/>
      <c r="H308" s="404"/>
      <c r="I308" s="510">
        <v>1221707.21</v>
      </c>
      <c r="J308" s="1500"/>
    </row>
    <row r="309" spans="1:10" s="374" customFormat="1">
      <c r="A309" s="1458"/>
      <c r="B309" s="1459"/>
      <c r="C309" s="1447"/>
      <c r="D309" s="434" t="s">
        <v>1911</v>
      </c>
      <c r="E309" s="428"/>
      <c r="F309" s="429"/>
      <c r="G309" s="1447"/>
      <c r="H309" s="1455"/>
      <c r="I309" s="1456">
        <v>146604.8652</v>
      </c>
      <c r="J309" s="1500"/>
    </row>
    <row r="310" spans="1:10" s="374" customFormat="1">
      <c r="A310" s="1458"/>
      <c r="B310" s="1459"/>
      <c r="C310" s="1447"/>
      <c r="D310" s="434" t="s">
        <v>1912</v>
      </c>
      <c r="E310" s="428"/>
      <c r="F310" s="429"/>
      <c r="G310" s="1447"/>
      <c r="H310" s="1455"/>
      <c r="I310" s="1456"/>
      <c r="J310" s="1500"/>
    </row>
    <row r="311" spans="1:10" s="374" customFormat="1" ht="24">
      <c r="A311" s="1458"/>
      <c r="B311" s="1459"/>
      <c r="C311" s="1447"/>
      <c r="D311" s="434" t="s">
        <v>1913</v>
      </c>
      <c r="E311" s="428"/>
      <c r="F311" s="429"/>
      <c r="G311" s="1447"/>
      <c r="H311" s="1455"/>
      <c r="I311" s="1456"/>
      <c r="J311" s="1500"/>
    </row>
    <row r="312" spans="1:10" s="374" customFormat="1">
      <c r="A312" s="1458"/>
      <c r="B312" s="1459"/>
      <c r="C312" s="1447"/>
      <c r="D312" s="434" t="s">
        <v>1914</v>
      </c>
      <c r="E312" s="428"/>
      <c r="F312" s="429"/>
      <c r="G312" s="1447"/>
      <c r="H312" s="1455"/>
      <c r="I312" s="1456"/>
      <c r="J312" s="1500"/>
    </row>
    <row r="313" spans="1:10" s="374" customFormat="1" ht="24">
      <c r="A313" s="1458"/>
      <c r="B313" s="1459"/>
      <c r="C313" s="1447"/>
      <c r="D313" s="367" t="s">
        <v>1742</v>
      </c>
      <c r="E313" s="428"/>
      <c r="F313" s="429"/>
      <c r="G313" s="403"/>
      <c r="H313" s="404"/>
      <c r="I313" s="510">
        <v>146604.8652</v>
      </c>
      <c r="J313" s="1500"/>
    </row>
    <row r="314" spans="1:10" s="374" customFormat="1">
      <c r="A314" s="1458"/>
      <c r="B314" s="1459"/>
      <c r="C314" s="1447"/>
      <c r="D314" s="433" t="s">
        <v>1342</v>
      </c>
      <c r="E314" s="428"/>
      <c r="F314" s="429"/>
      <c r="G314" s="403"/>
      <c r="H314" s="404"/>
      <c r="I314" s="510">
        <v>1368312.0752000001</v>
      </c>
      <c r="J314" s="1501"/>
    </row>
    <row r="315" spans="1:10" s="374" customFormat="1">
      <c r="A315" s="1447">
        <v>13</v>
      </c>
      <c r="B315" s="1436" t="s">
        <v>1003</v>
      </c>
      <c r="C315" s="1447" t="s">
        <v>1907</v>
      </c>
      <c r="D315" s="1436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499">
        <f>ROUND(I325*0.8,0)</f>
        <v>89600</v>
      </c>
    </row>
    <row r="316" spans="1:10" s="374" customFormat="1">
      <c r="A316" s="1447"/>
      <c r="B316" s="1436"/>
      <c r="C316" s="1447"/>
      <c r="D316" s="1436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500"/>
    </row>
    <row r="317" spans="1:10" s="374" customFormat="1">
      <c r="A317" s="1447"/>
      <c r="B317" s="1436"/>
      <c r="C317" s="1447"/>
      <c r="D317" s="1436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500"/>
    </row>
    <row r="318" spans="1:10" s="374" customFormat="1">
      <c r="A318" s="1447"/>
      <c r="B318" s="1436"/>
      <c r="C318" s="1447"/>
      <c r="D318" s="1436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500"/>
    </row>
    <row r="319" spans="1:10" s="374" customFormat="1">
      <c r="A319" s="1447"/>
      <c r="B319" s="1436"/>
      <c r="C319" s="1447"/>
      <c r="D319" s="433" t="s">
        <v>1332</v>
      </c>
      <c r="E319" s="428"/>
      <c r="F319" s="429"/>
      <c r="G319" s="403"/>
      <c r="H319" s="404"/>
      <c r="I319" s="510">
        <v>100000</v>
      </c>
      <c r="J319" s="1500"/>
    </row>
    <row r="320" spans="1:10" s="374" customFormat="1">
      <c r="A320" s="1447"/>
      <c r="B320" s="1436"/>
      <c r="C320" s="1447"/>
      <c r="D320" s="434" t="s">
        <v>1918</v>
      </c>
      <c r="E320" s="428"/>
      <c r="F320" s="429"/>
      <c r="G320" s="1447"/>
      <c r="H320" s="1455"/>
      <c r="I320" s="1456">
        <v>12000</v>
      </c>
      <c r="J320" s="1500"/>
    </row>
    <row r="321" spans="1:28" s="374" customFormat="1" ht="24">
      <c r="A321" s="1447"/>
      <c r="B321" s="1436"/>
      <c r="C321" s="1447"/>
      <c r="D321" s="434" t="s">
        <v>1913</v>
      </c>
      <c r="E321" s="428"/>
      <c r="F321" s="429"/>
      <c r="G321" s="1447"/>
      <c r="H321" s="1455"/>
      <c r="I321" s="1456"/>
      <c r="J321" s="1500"/>
    </row>
    <row r="322" spans="1:28" s="374" customFormat="1">
      <c r="A322" s="1447"/>
      <c r="B322" s="1436"/>
      <c r="C322" s="1447"/>
      <c r="D322" s="434" t="s">
        <v>1911</v>
      </c>
      <c r="E322" s="428"/>
      <c r="F322" s="429"/>
      <c r="G322" s="1447"/>
      <c r="H322" s="1455"/>
      <c r="I322" s="1456"/>
      <c r="J322" s="1500"/>
    </row>
    <row r="323" spans="1:28" s="374" customFormat="1" ht="24">
      <c r="A323" s="1447"/>
      <c r="B323" s="1436"/>
      <c r="C323" s="1447"/>
      <c r="D323" s="434" t="s">
        <v>1919</v>
      </c>
      <c r="E323" s="428"/>
      <c r="F323" s="429"/>
      <c r="G323" s="1447"/>
      <c r="H323" s="1455"/>
      <c r="I323" s="1456"/>
      <c r="J323" s="1500"/>
    </row>
    <row r="324" spans="1:28" s="374" customFormat="1" ht="24">
      <c r="A324" s="1447"/>
      <c r="B324" s="1436"/>
      <c r="C324" s="1447"/>
      <c r="D324" s="433" t="s">
        <v>1742</v>
      </c>
      <c r="E324" s="428"/>
      <c r="F324" s="429"/>
      <c r="G324" s="403"/>
      <c r="H324" s="404"/>
      <c r="I324" s="510">
        <v>12000</v>
      </c>
      <c r="J324" s="1500"/>
    </row>
    <row r="325" spans="1:28" s="374" customFormat="1">
      <c r="A325" s="1447"/>
      <c r="B325" s="1436"/>
      <c r="C325" s="1447"/>
      <c r="D325" s="433" t="s">
        <v>1342</v>
      </c>
      <c r="E325" s="428"/>
      <c r="F325" s="429"/>
      <c r="G325" s="403"/>
      <c r="H325" s="404"/>
      <c r="I325" s="510">
        <v>112000</v>
      </c>
      <c r="J325" s="1501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462">
        <v>1</v>
      </c>
      <c r="B327" s="1462" t="s">
        <v>1922</v>
      </c>
      <c r="C327" s="1464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506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462"/>
      <c r="B328" s="1462"/>
      <c r="C328" s="1464"/>
      <c r="D328" s="436" t="s">
        <v>1332</v>
      </c>
      <c r="E328" s="438"/>
      <c r="F328" s="437"/>
      <c r="G328" s="440"/>
      <c r="H328" s="441"/>
      <c r="I328" s="514">
        <v>168750</v>
      </c>
      <c r="J328" s="1507"/>
    </row>
    <row r="329" spans="1:28" s="416" customFormat="1" ht="14.25">
      <c r="A329" s="1462"/>
      <c r="B329" s="1462"/>
      <c r="C329" s="1464"/>
      <c r="D329" s="436" t="s">
        <v>1334</v>
      </c>
      <c r="E329" s="438"/>
      <c r="F329" s="437"/>
      <c r="G329" s="440"/>
      <c r="H329" s="442"/>
      <c r="I329" s="515">
        <v>20250</v>
      </c>
      <c r="J329" s="1507"/>
    </row>
    <row r="330" spans="1:28" s="416" customFormat="1">
      <c r="A330" s="1462"/>
      <c r="B330" s="1462"/>
      <c r="C330" s="1464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507"/>
    </row>
    <row r="331" spans="1:28" s="416" customFormat="1">
      <c r="A331" s="1462"/>
      <c r="B331" s="1462"/>
      <c r="C331" s="1464"/>
      <c r="D331" s="436" t="s">
        <v>1342</v>
      </c>
      <c r="E331" s="438"/>
      <c r="F331" s="437"/>
      <c r="G331" s="441"/>
      <c r="H331" s="441"/>
      <c r="I331" s="519">
        <v>192600</v>
      </c>
      <c r="J331" s="1508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460">
        <v>1</v>
      </c>
      <c r="B333" s="1461" t="s">
        <v>246</v>
      </c>
      <c r="C333" s="1463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506">
        <f>ROUND(I340*0.9,0)</f>
        <v>1454011</v>
      </c>
    </row>
    <row r="334" spans="1:28" s="416" customFormat="1">
      <c r="A334" s="1460"/>
      <c r="B334" s="1462"/>
      <c r="C334" s="1464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507"/>
    </row>
    <row r="335" spans="1:28" s="416" customFormat="1">
      <c r="A335" s="1460"/>
      <c r="B335" s="1462"/>
      <c r="C335" s="1464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507"/>
    </row>
    <row r="336" spans="1:28" s="416" customFormat="1">
      <c r="A336" s="1460"/>
      <c r="B336" s="1462"/>
      <c r="C336" s="1464"/>
      <c r="D336" s="436" t="s">
        <v>1332</v>
      </c>
      <c r="E336" s="438"/>
      <c r="F336" s="437"/>
      <c r="G336" s="441"/>
      <c r="H336" s="441"/>
      <c r="I336" s="514">
        <v>1421400</v>
      </c>
      <c r="J336" s="1507"/>
    </row>
    <row r="337" spans="1:10" s="416" customFormat="1">
      <c r="A337" s="1460"/>
      <c r="B337" s="1462"/>
      <c r="C337" s="1464"/>
      <c r="D337" s="436" t="s">
        <v>1334</v>
      </c>
      <c r="E337" s="438"/>
      <c r="F337" s="437"/>
      <c r="G337" s="442"/>
      <c r="H337" s="442"/>
      <c r="I337" s="515">
        <v>170568</v>
      </c>
      <c r="J337" s="1507"/>
    </row>
    <row r="338" spans="1:10" s="416" customFormat="1">
      <c r="A338" s="1460"/>
      <c r="B338" s="1462"/>
      <c r="C338" s="1464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507"/>
    </row>
    <row r="339" spans="1:10" s="416" customFormat="1">
      <c r="A339" s="1460"/>
      <c r="B339" s="1462"/>
      <c r="C339" s="1464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507"/>
    </row>
    <row r="340" spans="1:10" s="416" customFormat="1">
      <c r="A340" s="1460"/>
      <c r="B340" s="1462"/>
      <c r="C340" s="1464"/>
      <c r="D340" s="436" t="s">
        <v>1342</v>
      </c>
      <c r="E340" s="438"/>
      <c r="F340" s="437"/>
      <c r="G340" s="441"/>
      <c r="H340" s="441"/>
      <c r="I340" s="514">
        <v>1615568</v>
      </c>
      <c r="J340" s="1508"/>
    </row>
    <row r="341" spans="1:10" s="416" customFormat="1">
      <c r="A341" s="1460">
        <v>2</v>
      </c>
      <c r="B341" s="1461" t="s">
        <v>1048</v>
      </c>
      <c r="C341" s="1463" t="s">
        <v>1690</v>
      </c>
      <c r="D341" s="1462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506">
        <f>ROUND(I349*0.8,0)</f>
        <v>1091520</v>
      </c>
    </row>
    <row r="342" spans="1:10" s="416" customFormat="1" ht="24">
      <c r="A342" s="1460"/>
      <c r="B342" s="1461"/>
      <c r="C342" s="1463"/>
      <c r="D342" s="1462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507"/>
    </row>
    <row r="343" spans="1:10" s="416" customFormat="1">
      <c r="A343" s="1460"/>
      <c r="B343" s="1461"/>
      <c r="C343" s="1463"/>
      <c r="D343" s="1462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507"/>
    </row>
    <row r="344" spans="1:10" s="416" customFormat="1" ht="36">
      <c r="A344" s="1460"/>
      <c r="B344" s="1462"/>
      <c r="C344" s="1464"/>
      <c r="D344" s="1462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507"/>
    </row>
    <row r="345" spans="1:10" s="416" customFormat="1" ht="24">
      <c r="A345" s="1460"/>
      <c r="B345" s="1462"/>
      <c r="C345" s="1464"/>
      <c r="D345" s="1462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507"/>
    </row>
    <row r="346" spans="1:10" s="416" customFormat="1">
      <c r="A346" s="1460"/>
      <c r="B346" s="1462"/>
      <c r="C346" s="1464"/>
      <c r="D346" s="436" t="s">
        <v>1332</v>
      </c>
      <c r="E346" s="438"/>
      <c r="F346" s="437"/>
      <c r="G346" s="441"/>
      <c r="H346" s="441"/>
      <c r="I346" s="514">
        <v>1208600</v>
      </c>
      <c r="J346" s="1507"/>
    </row>
    <row r="347" spans="1:10" s="416" customFormat="1">
      <c r="A347" s="1460"/>
      <c r="B347" s="1462"/>
      <c r="C347" s="1464"/>
      <c r="D347" s="436" t="s">
        <v>1334</v>
      </c>
      <c r="E347" s="438"/>
      <c r="F347" s="437"/>
      <c r="G347" s="442"/>
      <c r="H347" s="442"/>
      <c r="I347" s="515">
        <v>125800</v>
      </c>
      <c r="J347" s="1507"/>
    </row>
    <row r="348" spans="1:10" s="416" customFormat="1">
      <c r="A348" s="1460"/>
      <c r="B348" s="1462"/>
      <c r="C348" s="1464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507"/>
    </row>
    <row r="349" spans="1:10" s="416" customFormat="1">
      <c r="A349" s="1460"/>
      <c r="B349" s="1462"/>
      <c r="C349" s="1464"/>
      <c r="D349" s="436" t="s">
        <v>1342</v>
      </c>
      <c r="E349" s="438"/>
      <c r="F349" s="437"/>
      <c r="G349" s="441"/>
      <c r="H349" s="441"/>
      <c r="I349" s="514">
        <v>1364400</v>
      </c>
      <c r="J349" s="1508"/>
    </row>
    <row r="350" spans="1:10" s="416" customFormat="1">
      <c r="A350" s="1460">
        <v>3</v>
      </c>
      <c r="B350" s="1461" t="s">
        <v>251</v>
      </c>
      <c r="C350" s="1463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506">
        <f>ROUND(I354*0.9,0)</f>
        <v>136080</v>
      </c>
    </row>
    <row r="351" spans="1:10" s="416" customFormat="1">
      <c r="A351" s="1460"/>
      <c r="B351" s="1461"/>
      <c r="C351" s="1463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507"/>
    </row>
    <row r="352" spans="1:10" s="416" customFormat="1">
      <c r="A352" s="1460"/>
      <c r="B352" s="1462"/>
      <c r="C352" s="1464"/>
      <c r="D352" s="436" t="s">
        <v>1332</v>
      </c>
      <c r="E352" s="438"/>
      <c r="F352" s="437"/>
      <c r="G352" s="441"/>
      <c r="H352" s="441"/>
      <c r="I352" s="514">
        <v>135000</v>
      </c>
      <c r="J352" s="1507"/>
    </row>
    <row r="353" spans="1:10" s="416" customFormat="1">
      <c r="A353" s="1460"/>
      <c r="B353" s="1462"/>
      <c r="C353" s="1464"/>
      <c r="D353" s="436" t="s">
        <v>1334</v>
      </c>
      <c r="E353" s="438"/>
      <c r="F353" s="437"/>
      <c r="G353" s="442"/>
      <c r="H353" s="442"/>
      <c r="I353" s="515">
        <v>16200</v>
      </c>
      <c r="J353" s="1507"/>
    </row>
    <row r="354" spans="1:10" s="416" customFormat="1">
      <c r="A354" s="1460"/>
      <c r="B354" s="1462"/>
      <c r="C354" s="1464"/>
      <c r="D354" s="436" t="s">
        <v>1342</v>
      </c>
      <c r="E354" s="438"/>
      <c r="F354" s="437"/>
      <c r="G354" s="441"/>
      <c r="H354" s="441"/>
      <c r="I354" s="514">
        <v>151200</v>
      </c>
      <c r="J354" s="1508"/>
    </row>
    <row r="355" spans="1:10" s="416" customFormat="1">
      <c r="A355" s="1460">
        <v>4</v>
      </c>
      <c r="B355" s="1462" t="s">
        <v>809</v>
      </c>
      <c r="C355" s="1464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506">
        <f>ROUND(I360*0.9,0)</f>
        <v>1894770</v>
      </c>
    </row>
    <row r="356" spans="1:10" s="416" customFormat="1">
      <c r="A356" s="1460"/>
      <c r="B356" s="1462"/>
      <c r="C356" s="1464"/>
      <c r="D356" s="436" t="s">
        <v>1332</v>
      </c>
      <c r="E356" s="438"/>
      <c r="F356" s="437"/>
      <c r="G356" s="441"/>
      <c r="H356" s="441"/>
      <c r="I356" s="514">
        <v>1815000</v>
      </c>
      <c r="J356" s="1507"/>
    </row>
    <row r="357" spans="1:10" s="416" customFormat="1">
      <c r="A357" s="1460"/>
      <c r="B357" s="1462"/>
      <c r="C357" s="1464"/>
      <c r="D357" s="436" t="s">
        <v>1334</v>
      </c>
      <c r="E357" s="438"/>
      <c r="F357" s="437"/>
      <c r="G357" s="442"/>
      <c r="H357" s="442"/>
      <c r="I357" s="515">
        <v>181500</v>
      </c>
      <c r="J357" s="1507"/>
    </row>
    <row r="358" spans="1:10" s="416" customFormat="1">
      <c r="A358" s="1460"/>
      <c r="B358" s="1462"/>
      <c r="C358" s="1464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507"/>
    </row>
    <row r="359" spans="1:10" s="416" customFormat="1">
      <c r="A359" s="1460"/>
      <c r="B359" s="1462"/>
      <c r="C359" s="1464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507"/>
    </row>
    <row r="360" spans="1:10" s="416" customFormat="1">
      <c r="A360" s="1460"/>
      <c r="B360" s="1462"/>
      <c r="C360" s="1464"/>
      <c r="D360" s="436" t="s">
        <v>1342</v>
      </c>
      <c r="E360" s="438"/>
      <c r="F360" s="437"/>
      <c r="G360" s="441"/>
      <c r="H360" s="441"/>
      <c r="I360" s="514">
        <v>2105300</v>
      </c>
      <c r="J360" s="1508"/>
    </row>
    <row r="361" spans="1:10" s="416" customFormat="1">
      <c r="A361" s="1460">
        <v>5</v>
      </c>
      <c r="B361" s="1461" t="s">
        <v>1942</v>
      </c>
      <c r="C361" s="1463" t="s">
        <v>1690</v>
      </c>
      <c r="D361" s="1462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506">
        <f>ROUND(I366*0.8,0)</f>
        <v>467436</v>
      </c>
    </row>
    <row r="362" spans="1:10" s="416" customFormat="1" ht="24">
      <c r="A362" s="1460"/>
      <c r="B362" s="1461"/>
      <c r="C362" s="1463"/>
      <c r="D362" s="1462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507"/>
    </row>
    <row r="363" spans="1:10" s="416" customFormat="1">
      <c r="A363" s="1460"/>
      <c r="B363" s="1461"/>
      <c r="C363" s="1463"/>
      <c r="D363" s="448" t="s">
        <v>1332</v>
      </c>
      <c r="E363" s="449"/>
      <c r="F363" s="450"/>
      <c r="G363" s="448"/>
      <c r="H363" s="448"/>
      <c r="I363" s="521">
        <v>497350</v>
      </c>
      <c r="J363" s="1507"/>
    </row>
    <row r="364" spans="1:10" s="416" customFormat="1">
      <c r="A364" s="1460"/>
      <c r="B364" s="1461"/>
      <c r="C364" s="1463"/>
      <c r="D364" s="436" t="s">
        <v>1334</v>
      </c>
      <c r="E364" s="438"/>
      <c r="F364" s="437"/>
      <c r="G364" s="442"/>
      <c r="H364" s="442"/>
      <c r="I364" s="515">
        <v>56945</v>
      </c>
      <c r="J364" s="1507"/>
    </row>
    <row r="365" spans="1:10" s="416" customFormat="1">
      <c r="A365" s="1460"/>
      <c r="B365" s="1461"/>
      <c r="C365" s="1463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507"/>
    </row>
    <row r="366" spans="1:10" s="416" customFormat="1">
      <c r="A366" s="1460"/>
      <c r="B366" s="1461"/>
      <c r="C366" s="1463"/>
      <c r="D366" s="436" t="s">
        <v>1342</v>
      </c>
      <c r="E366" s="438"/>
      <c r="F366" s="437"/>
      <c r="G366" s="441"/>
      <c r="H366" s="441"/>
      <c r="I366" s="514">
        <v>584295</v>
      </c>
      <c r="J366" s="1508"/>
    </row>
    <row r="367" spans="1:10" s="416" customFormat="1" ht="24">
      <c r="A367" s="1460">
        <v>6</v>
      </c>
      <c r="B367" s="1462" t="s">
        <v>1945</v>
      </c>
      <c r="C367" s="1464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506">
        <f>ROUND(I371*0.8,0)</f>
        <v>146240</v>
      </c>
    </row>
    <row r="368" spans="1:10" s="416" customFormat="1">
      <c r="A368" s="1460"/>
      <c r="B368" s="1462"/>
      <c r="C368" s="1464"/>
      <c r="D368" s="436" t="s">
        <v>1332</v>
      </c>
      <c r="E368" s="438"/>
      <c r="F368" s="437"/>
      <c r="G368" s="441"/>
      <c r="H368" s="441"/>
      <c r="I368" s="514">
        <v>160000</v>
      </c>
      <c r="J368" s="1507"/>
    </row>
    <row r="369" spans="1:10" s="416" customFormat="1">
      <c r="A369" s="1460"/>
      <c r="B369" s="1462"/>
      <c r="C369" s="1464"/>
      <c r="D369" s="436" t="s">
        <v>1334</v>
      </c>
      <c r="E369" s="438"/>
      <c r="F369" s="437"/>
      <c r="G369" s="442"/>
      <c r="H369" s="442"/>
      <c r="I369" s="515">
        <v>19200</v>
      </c>
      <c r="J369" s="1507"/>
    </row>
    <row r="370" spans="1:10" s="416" customFormat="1">
      <c r="A370" s="1460"/>
      <c r="B370" s="1462"/>
      <c r="C370" s="1464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507"/>
    </row>
    <row r="371" spans="1:10" s="416" customFormat="1">
      <c r="A371" s="1460"/>
      <c r="B371" s="1462"/>
      <c r="C371" s="1464"/>
      <c r="D371" s="436" t="s">
        <v>1342</v>
      </c>
      <c r="E371" s="438"/>
      <c r="F371" s="437"/>
      <c r="G371" s="441"/>
      <c r="H371" s="441"/>
      <c r="I371" s="514">
        <v>182800</v>
      </c>
      <c r="J371" s="1508"/>
    </row>
    <row r="372" spans="1:10" s="416" customFormat="1">
      <c r="A372" s="1460">
        <v>7</v>
      </c>
      <c r="B372" s="1461" t="s">
        <v>1046</v>
      </c>
      <c r="C372" s="1463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506">
        <f>ROUND(I382*0.8,0)</f>
        <v>558189</v>
      </c>
    </row>
    <row r="373" spans="1:10" s="416" customFormat="1">
      <c r="A373" s="1460"/>
      <c r="B373" s="1461"/>
      <c r="C373" s="1463"/>
      <c r="D373" s="1462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507"/>
    </row>
    <row r="374" spans="1:10" s="416" customFormat="1">
      <c r="A374" s="1460"/>
      <c r="B374" s="1461"/>
      <c r="C374" s="1463"/>
      <c r="D374" s="1462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507"/>
    </row>
    <row r="375" spans="1:10" s="416" customFormat="1">
      <c r="A375" s="1460"/>
      <c r="B375" s="1461"/>
      <c r="C375" s="1463"/>
      <c r="D375" s="1462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507"/>
    </row>
    <row r="376" spans="1:10" s="416" customFormat="1">
      <c r="A376" s="1460"/>
      <c r="B376" s="1461"/>
      <c r="C376" s="1463"/>
      <c r="D376" s="1462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507"/>
    </row>
    <row r="377" spans="1:10" s="416" customFormat="1">
      <c r="A377" s="1460"/>
      <c r="B377" s="1461"/>
      <c r="C377" s="1463"/>
      <c r="D377" s="1462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507"/>
    </row>
    <row r="378" spans="1:10" s="416" customFormat="1">
      <c r="A378" s="1460"/>
      <c r="B378" s="1461"/>
      <c r="C378" s="1463"/>
      <c r="D378" s="1462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507"/>
    </row>
    <row r="379" spans="1:10" s="416" customFormat="1">
      <c r="A379" s="1460"/>
      <c r="B379" s="1461"/>
      <c r="C379" s="1463"/>
      <c r="D379" s="448" t="s">
        <v>1332</v>
      </c>
      <c r="E379" s="449"/>
      <c r="F379" s="450"/>
      <c r="G379" s="448"/>
      <c r="H379" s="448"/>
      <c r="I379" s="521">
        <v>616550</v>
      </c>
      <c r="J379" s="1507"/>
    </row>
    <row r="380" spans="1:10" s="416" customFormat="1">
      <c r="A380" s="1460"/>
      <c r="B380" s="1462"/>
      <c r="C380" s="1464"/>
      <c r="D380" s="436" t="s">
        <v>1334</v>
      </c>
      <c r="E380" s="438"/>
      <c r="F380" s="437"/>
      <c r="G380" s="442"/>
      <c r="H380" s="442"/>
      <c r="I380" s="515">
        <v>73986</v>
      </c>
      <c r="J380" s="1507"/>
    </row>
    <row r="381" spans="1:10" s="416" customFormat="1">
      <c r="A381" s="1460"/>
      <c r="B381" s="1462"/>
      <c r="C381" s="1464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507"/>
    </row>
    <row r="382" spans="1:10" s="416" customFormat="1">
      <c r="A382" s="1460"/>
      <c r="B382" s="1462"/>
      <c r="C382" s="1464"/>
      <c r="D382" s="436" t="s">
        <v>1342</v>
      </c>
      <c r="E382" s="438"/>
      <c r="F382" s="437"/>
      <c r="G382" s="441"/>
      <c r="H382" s="441"/>
      <c r="I382" s="514">
        <v>697736</v>
      </c>
      <c r="J382" s="1508"/>
    </row>
    <row r="383" spans="1:10" s="416" customFormat="1" ht="24">
      <c r="A383" s="1460">
        <v>8</v>
      </c>
      <c r="B383" s="1462" t="s">
        <v>245</v>
      </c>
      <c r="C383" s="1464" t="s">
        <v>1690</v>
      </c>
      <c r="D383" s="1462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506">
        <f>ROUND(I389*0.9,0)</f>
        <v>2299367</v>
      </c>
    </row>
    <row r="384" spans="1:10" s="416" customFormat="1">
      <c r="A384" s="1460"/>
      <c r="B384" s="1462"/>
      <c r="C384" s="1464"/>
      <c r="D384" s="1462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507"/>
    </row>
    <row r="385" spans="1:10" s="416" customFormat="1">
      <c r="A385" s="1460"/>
      <c r="B385" s="1462"/>
      <c r="C385" s="1464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507"/>
    </row>
    <row r="386" spans="1:10" s="416" customFormat="1">
      <c r="A386" s="1460"/>
      <c r="B386" s="1462"/>
      <c r="C386" s="1464"/>
      <c r="D386" s="436" t="s">
        <v>1332</v>
      </c>
      <c r="E386" s="438"/>
      <c r="F386" s="437"/>
      <c r="G386" s="441"/>
      <c r="H386" s="441"/>
      <c r="I386" s="514">
        <v>2295320</v>
      </c>
      <c r="J386" s="1507"/>
    </row>
    <row r="387" spans="1:10" s="416" customFormat="1">
      <c r="A387" s="1460"/>
      <c r="B387" s="1462"/>
      <c r="C387" s="1464"/>
      <c r="D387" s="436" t="s">
        <v>1334</v>
      </c>
      <c r="E387" s="438"/>
      <c r="F387" s="437"/>
      <c r="G387" s="442"/>
      <c r="H387" s="442"/>
      <c r="I387" s="515">
        <v>229532</v>
      </c>
      <c r="J387" s="1507"/>
    </row>
    <row r="388" spans="1:10" s="416" customFormat="1">
      <c r="A388" s="1460"/>
      <c r="B388" s="1462"/>
      <c r="C388" s="1464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507"/>
    </row>
    <row r="389" spans="1:10" s="416" customFormat="1">
      <c r="A389" s="1460"/>
      <c r="B389" s="1462"/>
      <c r="C389" s="1464"/>
      <c r="D389" s="436" t="s">
        <v>1342</v>
      </c>
      <c r="E389" s="438"/>
      <c r="F389" s="437"/>
      <c r="G389" s="441"/>
      <c r="H389" s="441"/>
      <c r="I389" s="514">
        <v>2554852</v>
      </c>
      <c r="J389" s="1508"/>
    </row>
    <row r="390" spans="1:10" s="416" customFormat="1">
      <c r="A390" s="1460">
        <v>9</v>
      </c>
      <c r="B390" s="1461" t="s">
        <v>1962</v>
      </c>
      <c r="C390" s="1463" t="s">
        <v>1312</v>
      </c>
      <c r="D390" s="1461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506">
        <f>ROUND(I405*0.8,0)</f>
        <v>309348</v>
      </c>
    </row>
    <row r="391" spans="1:10" s="416" customFormat="1">
      <c r="A391" s="1460"/>
      <c r="B391" s="1461"/>
      <c r="C391" s="1463"/>
      <c r="D391" s="1461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507"/>
    </row>
    <row r="392" spans="1:10" s="416" customFormat="1">
      <c r="A392" s="1460"/>
      <c r="B392" s="1461"/>
      <c r="C392" s="1463"/>
      <c r="D392" s="1461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507"/>
    </row>
    <row r="393" spans="1:10" s="416" customFormat="1" ht="24">
      <c r="A393" s="1460"/>
      <c r="B393" s="1461"/>
      <c r="C393" s="1463"/>
      <c r="D393" s="1461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507"/>
    </row>
    <row r="394" spans="1:10" s="416" customFormat="1">
      <c r="A394" s="1460"/>
      <c r="B394" s="1461"/>
      <c r="C394" s="1463"/>
      <c r="D394" s="1461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507"/>
    </row>
    <row r="395" spans="1:10" s="416" customFormat="1" ht="24">
      <c r="A395" s="1460"/>
      <c r="B395" s="1461"/>
      <c r="C395" s="1463"/>
      <c r="D395" s="1461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507"/>
    </row>
    <row r="396" spans="1:10" s="416" customFormat="1">
      <c r="A396" s="1460"/>
      <c r="B396" s="1461"/>
      <c r="C396" s="1463"/>
      <c r="D396" s="1461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507"/>
    </row>
    <row r="397" spans="1:10" s="416" customFormat="1" ht="24">
      <c r="A397" s="1460"/>
      <c r="B397" s="1461"/>
      <c r="C397" s="1463"/>
      <c r="D397" s="1461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507"/>
    </row>
    <row r="398" spans="1:10" s="416" customFormat="1" ht="24">
      <c r="A398" s="1460"/>
      <c r="B398" s="1461"/>
      <c r="C398" s="1463"/>
      <c r="D398" s="1461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507"/>
    </row>
    <row r="399" spans="1:10" s="416" customFormat="1">
      <c r="A399" s="1460"/>
      <c r="B399" s="1461"/>
      <c r="C399" s="1463"/>
      <c r="D399" s="1461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507"/>
    </row>
    <row r="400" spans="1:10" s="416" customFormat="1">
      <c r="A400" s="1460"/>
      <c r="B400" s="1461"/>
      <c r="C400" s="1463"/>
      <c r="D400" s="1461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507"/>
    </row>
    <row r="401" spans="1:10" s="416" customFormat="1">
      <c r="A401" s="1460"/>
      <c r="B401" s="1461"/>
      <c r="C401" s="1463"/>
      <c r="D401" s="1461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507"/>
    </row>
    <row r="402" spans="1:10" s="416" customFormat="1">
      <c r="A402" s="1460"/>
      <c r="B402" s="1461"/>
      <c r="C402" s="1463"/>
      <c r="D402" s="448" t="s">
        <v>1332</v>
      </c>
      <c r="E402" s="449"/>
      <c r="F402" s="450"/>
      <c r="G402" s="448"/>
      <c r="H402" s="448"/>
      <c r="I402" s="521">
        <v>341237</v>
      </c>
      <c r="J402" s="1507"/>
    </row>
    <row r="403" spans="1:10" s="416" customFormat="1">
      <c r="A403" s="1460"/>
      <c r="B403" s="1461"/>
      <c r="C403" s="1463"/>
      <c r="D403" s="448" t="s">
        <v>1334</v>
      </c>
      <c r="E403" s="449"/>
      <c r="F403" s="450"/>
      <c r="G403" s="448"/>
      <c r="H403" s="448"/>
      <c r="I403" s="521">
        <v>40948.44</v>
      </c>
      <c r="J403" s="1507"/>
    </row>
    <row r="404" spans="1:10" s="416" customFormat="1">
      <c r="A404" s="1460"/>
      <c r="B404" s="1461"/>
      <c r="C404" s="1463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507"/>
    </row>
    <row r="405" spans="1:10" s="416" customFormat="1">
      <c r="A405" s="1460"/>
      <c r="B405" s="1461"/>
      <c r="C405" s="1463"/>
      <c r="D405" s="448" t="s">
        <v>1342</v>
      </c>
      <c r="E405" s="449"/>
      <c r="F405" s="450"/>
      <c r="G405" s="448"/>
      <c r="H405" s="448"/>
      <c r="I405" s="521">
        <v>386685.44</v>
      </c>
      <c r="J405" s="1508"/>
    </row>
    <row r="406" spans="1:10" s="416" customFormat="1">
      <c r="A406" s="1460">
        <v>10</v>
      </c>
      <c r="B406" s="1462" t="s">
        <v>247</v>
      </c>
      <c r="C406" s="1464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506">
        <f>ROUND(I413*0.9,0)</f>
        <v>285476</v>
      </c>
    </row>
    <row r="407" spans="1:10" s="416" customFormat="1">
      <c r="A407" s="1460"/>
      <c r="B407" s="1462"/>
      <c r="C407" s="1464"/>
      <c r="D407" s="1462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507"/>
    </row>
    <row r="408" spans="1:10" s="416" customFormat="1">
      <c r="A408" s="1460"/>
      <c r="B408" s="1462"/>
      <c r="C408" s="1464"/>
      <c r="D408" s="1462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507"/>
    </row>
    <row r="409" spans="1:10" s="416" customFormat="1">
      <c r="A409" s="1460"/>
      <c r="B409" s="1462"/>
      <c r="C409" s="1464"/>
      <c r="D409" s="1462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507"/>
    </row>
    <row r="410" spans="1:10" s="416" customFormat="1">
      <c r="A410" s="1460"/>
      <c r="B410" s="1462"/>
      <c r="C410" s="1464"/>
      <c r="D410" s="436" t="s">
        <v>1332</v>
      </c>
      <c r="E410" s="438"/>
      <c r="F410" s="437"/>
      <c r="G410" s="441"/>
      <c r="H410" s="441"/>
      <c r="I410" s="514">
        <v>280800</v>
      </c>
      <c r="J410" s="1507"/>
    </row>
    <row r="411" spans="1:10" s="416" customFormat="1">
      <c r="A411" s="1460"/>
      <c r="B411" s="1462"/>
      <c r="C411" s="1464"/>
      <c r="D411" s="436" t="s">
        <v>1334</v>
      </c>
      <c r="E411" s="438"/>
      <c r="F411" s="437"/>
      <c r="G411" s="442"/>
      <c r="H411" s="442"/>
      <c r="I411" s="515">
        <v>33696</v>
      </c>
      <c r="J411" s="1507"/>
    </row>
    <row r="412" spans="1:10" s="416" customFormat="1">
      <c r="A412" s="1460"/>
      <c r="B412" s="1462"/>
      <c r="C412" s="1464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507"/>
    </row>
    <row r="413" spans="1:10" s="416" customFormat="1">
      <c r="A413" s="1460"/>
      <c r="B413" s="1462"/>
      <c r="C413" s="1464"/>
      <c r="D413" s="436" t="s">
        <v>1342</v>
      </c>
      <c r="E413" s="438"/>
      <c r="F413" s="437"/>
      <c r="G413" s="441"/>
      <c r="H413" s="441"/>
      <c r="I413" s="514">
        <v>317196</v>
      </c>
      <c r="J413" s="1508"/>
    </row>
    <row r="414" spans="1:10" s="374" customFormat="1">
      <c r="A414" s="1458">
        <v>11</v>
      </c>
      <c r="B414" s="1459" t="s">
        <v>186</v>
      </c>
      <c r="C414" s="1447"/>
      <c r="D414" s="1459" t="s">
        <v>1983</v>
      </c>
      <c r="E414" s="1459" t="s">
        <v>1984</v>
      </c>
      <c r="F414" s="1458" t="s">
        <v>1686</v>
      </c>
      <c r="G414" s="400">
        <v>189</v>
      </c>
      <c r="H414" s="432">
        <v>42.24</v>
      </c>
      <c r="I414" s="527">
        <v>7983.36</v>
      </c>
      <c r="J414" s="1499">
        <f>ROUND(I496*0.9,0)</f>
        <v>4232094</v>
      </c>
    </row>
    <row r="415" spans="1:10" s="374" customFormat="1">
      <c r="A415" s="1458"/>
      <c r="B415" s="1459"/>
      <c r="C415" s="1447"/>
      <c r="D415" s="1459"/>
      <c r="E415" s="1459"/>
      <c r="F415" s="1458"/>
      <c r="G415" s="400">
        <v>27</v>
      </c>
      <c r="H415" s="432">
        <v>260</v>
      </c>
      <c r="I415" s="527">
        <v>7020</v>
      </c>
      <c r="J415" s="1500"/>
    </row>
    <row r="416" spans="1:10" s="374" customFormat="1">
      <c r="A416" s="1458"/>
      <c r="B416" s="1459"/>
      <c r="C416" s="1447"/>
      <c r="D416" s="1459"/>
      <c r="E416" s="1459" t="s">
        <v>1985</v>
      </c>
      <c r="F416" s="1458" t="s">
        <v>1686</v>
      </c>
      <c r="G416" s="400" t="s">
        <v>1986</v>
      </c>
      <c r="H416" s="432">
        <v>1632</v>
      </c>
      <c r="I416" s="527">
        <v>65280</v>
      </c>
      <c r="J416" s="1500"/>
    </row>
    <row r="417" spans="1:10" s="374" customFormat="1">
      <c r="A417" s="1458"/>
      <c r="B417" s="1459"/>
      <c r="C417" s="1447"/>
      <c r="D417" s="1459"/>
      <c r="E417" s="1459"/>
      <c r="F417" s="1458"/>
      <c r="G417" s="400" t="s">
        <v>1987</v>
      </c>
      <c r="H417" s="432">
        <v>677.7</v>
      </c>
      <c r="I417" s="527">
        <v>10843.2</v>
      </c>
      <c r="J417" s="1500"/>
    </row>
    <row r="418" spans="1:10" s="374" customFormat="1" ht="36">
      <c r="A418" s="1458"/>
      <c r="B418" s="1459"/>
      <c r="C418" s="1447"/>
      <c r="D418" s="1459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500"/>
    </row>
    <row r="419" spans="1:10" s="374" customFormat="1" ht="24">
      <c r="A419" s="1458"/>
      <c r="B419" s="1459"/>
      <c r="C419" s="1447"/>
      <c r="D419" s="1459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500"/>
    </row>
    <row r="420" spans="1:10" s="374" customFormat="1" ht="24">
      <c r="A420" s="1458"/>
      <c r="B420" s="1459"/>
      <c r="C420" s="1447"/>
      <c r="D420" s="1459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500"/>
    </row>
    <row r="421" spans="1:10" s="374" customFormat="1">
      <c r="A421" s="1458"/>
      <c r="B421" s="1459"/>
      <c r="C421" s="1447"/>
      <c r="D421" s="1459"/>
      <c r="E421" s="1459" t="s">
        <v>1991</v>
      </c>
      <c r="F421" s="1458" t="s">
        <v>1686</v>
      </c>
      <c r="G421" s="400">
        <v>160.72</v>
      </c>
      <c r="H421" s="432">
        <v>47.5</v>
      </c>
      <c r="I421" s="527">
        <v>7634.2</v>
      </c>
      <c r="J421" s="1500"/>
    </row>
    <row r="422" spans="1:10" s="374" customFormat="1">
      <c r="A422" s="1458"/>
      <c r="B422" s="1459"/>
      <c r="C422" s="1447"/>
      <c r="D422" s="1459"/>
      <c r="E422" s="1459"/>
      <c r="F422" s="1458"/>
      <c r="G422" s="400">
        <v>100</v>
      </c>
      <c r="H422" s="432">
        <v>145</v>
      </c>
      <c r="I422" s="527">
        <v>14500</v>
      </c>
      <c r="J422" s="1500"/>
    </row>
    <row r="423" spans="1:10" s="374" customFormat="1" ht="24">
      <c r="A423" s="1458"/>
      <c r="B423" s="1459"/>
      <c r="C423" s="1447"/>
      <c r="D423" s="1459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500"/>
    </row>
    <row r="424" spans="1:10" s="374" customFormat="1">
      <c r="A424" s="1458"/>
      <c r="B424" s="1459"/>
      <c r="C424" s="1447"/>
      <c r="D424" s="1459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500"/>
    </row>
    <row r="425" spans="1:10" s="374" customFormat="1" ht="24">
      <c r="A425" s="1458"/>
      <c r="B425" s="1459"/>
      <c r="C425" s="1447"/>
      <c r="D425" s="1459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500"/>
    </row>
    <row r="426" spans="1:10" s="374" customFormat="1">
      <c r="A426" s="1458"/>
      <c r="B426" s="1459"/>
      <c r="C426" s="1447"/>
      <c r="D426" s="1459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500"/>
    </row>
    <row r="427" spans="1:10" s="374" customFormat="1">
      <c r="A427" s="1458"/>
      <c r="B427" s="1459"/>
      <c r="C427" s="1447"/>
      <c r="D427" s="1459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500"/>
    </row>
    <row r="428" spans="1:10" s="374" customFormat="1" ht="24">
      <c r="A428" s="1458"/>
      <c r="B428" s="1459"/>
      <c r="C428" s="1447"/>
      <c r="D428" s="1459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500"/>
    </row>
    <row r="429" spans="1:10" s="374" customFormat="1">
      <c r="A429" s="1458"/>
      <c r="B429" s="1459"/>
      <c r="C429" s="1447"/>
      <c r="D429" s="1459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500"/>
    </row>
    <row r="430" spans="1:10" s="374" customFormat="1" ht="24">
      <c r="A430" s="1458"/>
      <c r="B430" s="1459"/>
      <c r="C430" s="1447"/>
      <c r="D430" s="1459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500"/>
    </row>
    <row r="431" spans="1:10" s="374" customFormat="1" ht="48">
      <c r="A431" s="1458"/>
      <c r="B431" s="1459"/>
      <c r="C431" s="1447"/>
      <c r="D431" s="1459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500"/>
    </row>
    <row r="432" spans="1:10" s="374" customFormat="1">
      <c r="A432" s="1458"/>
      <c r="B432" s="1459"/>
      <c r="C432" s="1447"/>
      <c r="D432" s="1459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500"/>
    </row>
    <row r="433" spans="1:10" s="374" customFormat="1">
      <c r="A433" s="1458"/>
      <c r="B433" s="1459"/>
      <c r="C433" s="1447"/>
      <c r="D433" s="1459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500"/>
    </row>
    <row r="434" spans="1:10" s="374" customFormat="1">
      <c r="A434" s="1458"/>
      <c r="B434" s="1459"/>
      <c r="C434" s="1447"/>
      <c r="D434" s="1459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500"/>
    </row>
    <row r="435" spans="1:10" s="374" customFormat="1">
      <c r="A435" s="1458"/>
      <c r="B435" s="1459"/>
      <c r="C435" s="1447"/>
      <c r="D435" s="1459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500"/>
    </row>
    <row r="436" spans="1:10" s="374" customFormat="1">
      <c r="A436" s="1458"/>
      <c r="B436" s="1459"/>
      <c r="C436" s="1447"/>
      <c r="D436" s="1459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500"/>
    </row>
    <row r="437" spans="1:10" s="374" customFormat="1">
      <c r="A437" s="1458"/>
      <c r="B437" s="1459"/>
      <c r="C437" s="1447"/>
      <c r="D437" s="1459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500"/>
    </row>
    <row r="438" spans="1:10" s="374" customFormat="1">
      <c r="A438" s="1458"/>
      <c r="B438" s="1459"/>
      <c r="C438" s="1447"/>
      <c r="D438" s="1459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500"/>
    </row>
    <row r="439" spans="1:10" s="374" customFormat="1" ht="24">
      <c r="A439" s="1458"/>
      <c r="B439" s="1459"/>
      <c r="C439" s="1447"/>
      <c r="D439" s="1459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500"/>
    </row>
    <row r="440" spans="1:10" s="374" customFormat="1">
      <c r="A440" s="1458"/>
      <c r="B440" s="1459"/>
      <c r="C440" s="1447"/>
      <c r="D440" s="1459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500"/>
    </row>
    <row r="441" spans="1:10" s="374" customFormat="1" ht="24">
      <c r="A441" s="1458"/>
      <c r="B441" s="1459"/>
      <c r="C441" s="1447"/>
      <c r="D441" s="1459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500"/>
    </row>
    <row r="442" spans="1:10" s="374" customFormat="1">
      <c r="A442" s="1458"/>
      <c r="B442" s="1459"/>
      <c r="C442" s="1447"/>
      <c r="D442" s="1459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500"/>
    </row>
    <row r="443" spans="1:10" s="374" customFormat="1" ht="24">
      <c r="A443" s="1458"/>
      <c r="B443" s="1459"/>
      <c r="C443" s="1447"/>
      <c r="D443" s="1459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500"/>
    </row>
    <row r="444" spans="1:10" s="374" customFormat="1">
      <c r="A444" s="1458"/>
      <c r="B444" s="1459"/>
      <c r="C444" s="1447"/>
      <c r="D444" s="1459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500"/>
    </row>
    <row r="445" spans="1:10" s="374" customFormat="1">
      <c r="A445" s="1458"/>
      <c r="B445" s="1459"/>
      <c r="C445" s="1447"/>
      <c r="D445" s="1459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500"/>
    </row>
    <row r="446" spans="1:10" s="374" customFormat="1">
      <c r="A446" s="1458"/>
      <c r="B446" s="1459"/>
      <c r="C446" s="1447"/>
      <c r="D446" s="1459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500"/>
    </row>
    <row r="447" spans="1:10" s="374" customFormat="1">
      <c r="A447" s="1458"/>
      <c r="B447" s="1459"/>
      <c r="C447" s="1447"/>
      <c r="D447" s="1459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500"/>
    </row>
    <row r="448" spans="1:10" s="374" customFormat="1">
      <c r="A448" s="1458"/>
      <c r="B448" s="1459"/>
      <c r="C448" s="1447"/>
      <c r="D448" s="1459"/>
      <c r="E448" s="1459" t="s">
        <v>2012</v>
      </c>
      <c r="F448" s="1458" t="s">
        <v>1686</v>
      </c>
      <c r="G448" s="400">
        <v>808</v>
      </c>
      <c r="H448" s="432">
        <v>230</v>
      </c>
      <c r="I448" s="527">
        <v>185840</v>
      </c>
      <c r="J448" s="1500"/>
    </row>
    <row r="449" spans="1:10" s="374" customFormat="1">
      <c r="A449" s="1458"/>
      <c r="B449" s="1459"/>
      <c r="C449" s="1447"/>
      <c r="D449" s="1459"/>
      <c r="E449" s="1459"/>
      <c r="F449" s="1458"/>
      <c r="G449" s="400">
        <v>36</v>
      </c>
      <c r="H449" s="432">
        <v>165</v>
      </c>
      <c r="I449" s="527">
        <v>5940</v>
      </c>
      <c r="J449" s="1500"/>
    </row>
    <row r="450" spans="1:10" s="374" customFormat="1">
      <c r="A450" s="1458"/>
      <c r="B450" s="1459"/>
      <c r="C450" s="1447"/>
      <c r="D450" s="1459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500"/>
    </row>
    <row r="451" spans="1:10" s="374" customFormat="1" ht="24">
      <c r="A451" s="1458"/>
      <c r="B451" s="1459"/>
      <c r="C451" s="1447"/>
      <c r="D451" s="1459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500"/>
    </row>
    <row r="452" spans="1:10" s="374" customFormat="1" ht="24">
      <c r="A452" s="1458"/>
      <c r="B452" s="1459"/>
      <c r="C452" s="1447"/>
      <c r="D452" s="1459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500"/>
    </row>
    <row r="453" spans="1:10" s="374" customFormat="1" ht="36">
      <c r="A453" s="1458"/>
      <c r="B453" s="1459"/>
      <c r="C453" s="1447"/>
      <c r="D453" s="1459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500"/>
    </row>
    <row r="454" spans="1:10" s="374" customFormat="1" ht="24">
      <c r="A454" s="1458"/>
      <c r="B454" s="1459"/>
      <c r="C454" s="1447"/>
      <c r="D454" s="1459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500"/>
    </row>
    <row r="455" spans="1:10" s="374" customFormat="1" ht="24">
      <c r="A455" s="1458"/>
      <c r="B455" s="1459"/>
      <c r="C455" s="1447"/>
      <c r="D455" s="1459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500"/>
    </row>
    <row r="456" spans="1:10" s="374" customFormat="1" ht="24">
      <c r="A456" s="1458"/>
      <c r="B456" s="1459"/>
      <c r="C456" s="1447"/>
      <c r="D456" s="1459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500"/>
    </row>
    <row r="457" spans="1:10" s="374" customFormat="1">
      <c r="A457" s="1458"/>
      <c r="B457" s="1459"/>
      <c r="C457" s="1447"/>
      <c r="D457" s="1459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500"/>
    </row>
    <row r="458" spans="1:10" s="374" customFormat="1">
      <c r="A458" s="1458"/>
      <c r="B458" s="1459"/>
      <c r="C458" s="1447"/>
      <c r="D458" s="1459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500"/>
    </row>
    <row r="459" spans="1:10" s="374" customFormat="1">
      <c r="A459" s="1458"/>
      <c r="B459" s="1459"/>
      <c r="C459" s="1447"/>
      <c r="D459" s="1459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500"/>
    </row>
    <row r="460" spans="1:10" s="374" customFormat="1">
      <c r="A460" s="1458"/>
      <c r="B460" s="1459"/>
      <c r="C460" s="1447"/>
      <c r="D460" s="1459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500"/>
    </row>
    <row r="461" spans="1:10" s="374" customFormat="1">
      <c r="A461" s="1458"/>
      <c r="B461" s="1459"/>
      <c r="C461" s="1447"/>
      <c r="D461" s="1459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500"/>
    </row>
    <row r="462" spans="1:10" s="374" customFormat="1">
      <c r="A462" s="1458"/>
      <c r="B462" s="1459"/>
      <c r="C462" s="1447"/>
      <c r="D462" s="1459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500"/>
    </row>
    <row r="463" spans="1:10" s="374" customFormat="1" ht="36">
      <c r="A463" s="1458"/>
      <c r="B463" s="1459"/>
      <c r="C463" s="1447"/>
      <c r="D463" s="1459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500"/>
    </row>
    <row r="464" spans="1:10" s="374" customFormat="1">
      <c r="A464" s="1458"/>
      <c r="B464" s="1459"/>
      <c r="C464" s="1447"/>
      <c r="D464" s="1459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500"/>
    </row>
    <row r="465" spans="1:10" s="374" customFormat="1">
      <c r="A465" s="1458"/>
      <c r="B465" s="1459"/>
      <c r="C465" s="1447"/>
      <c r="D465" s="1459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500"/>
    </row>
    <row r="466" spans="1:10" s="374" customFormat="1">
      <c r="A466" s="1458"/>
      <c r="B466" s="1459"/>
      <c r="C466" s="1447"/>
      <c r="D466" s="1459" t="s">
        <v>2024</v>
      </c>
      <c r="E466" s="1459" t="s">
        <v>2025</v>
      </c>
      <c r="F466" s="1458" t="s">
        <v>1686</v>
      </c>
      <c r="G466" s="400" t="s">
        <v>2026</v>
      </c>
      <c r="H466" s="432">
        <v>1632</v>
      </c>
      <c r="I466" s="527">
        <v>8160</v>
      </c>
      <c r="J466" s="1500"/>
    </row>
    <row r="467" spans="1:10" s="374" customFormat="1">
      <c r="A467" s="1458"/>
      <c r="B467" s="1459"/>
      <c r="C467" s="1447"/>
      <c r="D467" s="1459"/>
      <c r="E467" s="1459"/>
      <c r="F467" s="1458"/>
      <c r="G467" s="400" t="s">
        <v>2027</v>
      </c>
      <c r="H467" s="432">
        <v>2532</v>
      </c>
      <c r="I467" s="527">
        <v>15192</v>
      </c>
      <c r="J467" s="1500"/>
    </row>
    <row r="468" spans="1:10" s="374" customFormat="1">
      <c r="A468" s="1458"/>
      <c r="B468" s="1459"/>
      <c r="C468" s="1447"/>
      <c r="D468" s="1459"/>
      <c r="E468" s="1459"/>
      <c r="F468" s="1458"/>
      <c r="G468" s="400" t="s">
        <v>2028</v>
      </c>
      <c r="H468" s="432">
        <v>677.7</v>
      </c>
      <c r="I468" s="527">
        <v>1321.5150000000001</v>
      </c>
      <c r="J468" s="1500"/>
    </row>
    <row r="469" spans="1:10" s="374" customFormat="1" ht="24">
      <c r="A469" s="1458"/>
      <c r="B469" s="1459"/>
      <c r="C469" s="1447"/>
      <c r="D469" s="1459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500"/>
    </row>
    <row r="470" spans="1:10" s="374" customFormat="1">
      <c r="A470" s="1458"/>
      <c r="B470" s="1459"/>
      <c r="C470" s="1447"/>
      <c r="D470" s="1459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500"/>
    </row>
    <row r="471" spans="1:10" s="374" customFormat="1">
      <c r="A471" s="1458"/>
      <c r="B471" s="1459"/>
      <c r="C471" s="1447"/>
      <c r="D471" s="1459"/>
      <c r="E471" s="1459" t="s">
        <v>2031</v>
      </c>
      <c r="F471" s="1458" t="s">
        <v>1686</v>
      </c>
      <c r="G471" s="400">
        <v>35.4</v>
      </c>
      <c r="H471" s="432">
        <v>42.24</v>
      </c>
      <c r="I471" s="527">
        <v>1495.296</v>
      </c>
      <c r="J471" s="1500"/>
    </row>
    <row r="472" spans="1:10" s="374" customFormat="1">
      <c r="A472" s="1458"/>
      <c r="B472" s="1459"/>
      <c r="C472" s="1447"/>
      <c r="D472" s="1459"/>
      <c r="E472" s="1459"/>
      <c r="F472" s="1458"/>
      <c r="G472" s="400">
        <v>47.4</v>
      </c>
      <c r="H472" s="432">
        <v>260</v>
      </c>
      <c r="I472" s="527">
        <v>12324</v>
      </c>
      <c r="J472" s="1500"/>
    </row>
    <row r="473" spans="1:10" s="374" customFormat="1">
      <c r="A473" s="1458"/>
      <c r="B473" s="1459"/>
      <c r="C473" s="1447"/>
      <c r="D473" s="1459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500"/>
    </row>
    <row r="474" spans="1:10" s="374" customFormat="1">
      <c r="A474" s="1458"/>
      <c r="B474" s="1459"/>
      <c r="C474" s="1447"/>
      <c r="D474" s="1459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500"/>
    </row>
    <row r="475" spans="1:10" s="374" customFormat="1">
      <c r="A475" s="1458"/>
      <c r="B475" s="1459"/>
      <c r="C475" s="1447"/>
      <c r="D475" s="1459"/>
      <c r="E475" s="1459" t="s">
        <v>2034</v>
      </c>
      <c r="F475" s="1458" t="s">
        <v>1686</v>
      </c>
      <c r="G475" s="400">
        <v>340</v>
      </c>
      <c r="H475" s="432">
        <v>280</v>
      </c>
      <c r="I475" s="527">
        <v>95200</v>
      </c>
      <c r="J475" s="1500"/>
    </row>
    <row r="476" spans="1:10" s="374" customFormat="1">
      <c r="A476" s="1458"/>
      <c r="B476" s="1459"/>
      <c r="C476" s="1447"/>
      <c r="D476" s="1459"/>
      <c r="E476" s="1459"/>
      <c r="F476" s="1458"/>
      <c r="G476" s="400" t="s">
        <v>2035</v>
      </c>
      <c r="H476" s="432">
        <v>249.07</v>
      </c>
      <c r="I476" s="527">
        <v>22416.3</v>
      </c>
      <c r="J476" s="1500"/>
    </row>
    <row r="477" spans="1:10" s="374" customFormat="1">
      <c r="A477" s="1458"/>
      <c r="B477" s="1459"/>
      <c r="C477" s="1447"/>
      <c r="D477" s="1459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500"/>
    </row>
    <row r="478" spans="1:10" s="374" customFormat="1">
      <c r="A478" s="1458"/>
      <c r="B478" s="1459"/>
      <c r="C478" s="1447"/>
      <c r="D478" s="1459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500"/>
    </row>
    <row r="479" spans="1:10" s="374" customFormat="1">
      <c r="A479" s="1458"/>
      <c r="B479" s="1459"/>
      <c r="C479" s="1447"/>
      <c r="D479" s="1459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500"/>
    </row>
    <row r="480" spans="1:10" s="374" customFormat="1">
      <c r="A480" s="1458"/>
      <c r="B480" s="1459"/>
      <c r="C480" s="1447"/>
      <c r="D480" s="1459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500"/>
    </row>
    <row r="481" spans="1:10" s="374" customFormat="1">
      <c r="A481" s="1458"/>
      <c r="B481" s="1459"/>
      <c r="C481" s="1447"/>
      <c r="D481" s="1459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500"/>
    </row>
    <row r="482" spans="1:10" s="374" customFormat="1" ht="24">
      <c r="A482" s="1458"/>
      <c r="B482" s="1459"/>
      <c r="C482" s="1447"/>
      <c r="D482" s="1459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500"/>
    </row>
    <row r="483" spans="1:10" s="374" customFormat="1">
      <c r="A483" s="1458"/>
      <c r="B483" s="1459"/>
      <c r="C483" s="1447"/>
      <c r="D483" s="1459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500"/>
    </row>
    <row r="484" spans="1:10" s="374" customFormat="1">
      <c r="A484" s="1458"/>
      <c r="B484" s="1459"/>
      <c r="C484" s="1447"/>
      <c r="D484" s="1459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500"/>
    </row>
    <row r="485" spans="1:10" s="374" customFormat="1">
      <c r="A485" s="1458"/>
      <c r="B485" s="1459"/>
      <c r="C485" s="1447"/>
      <c r="D485" s="1459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500"/>
    </row>
    <row r="486" spans="1:10" s="374" customFormat="1">
      <c r="A486" s="1458"/>
      <c r="B486" s="1459"/>
      <c r="C486" s="1447"/>
      <c r="D486" s="1459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500"/>
    </row>
    <row r="487" spans="1:10" s="374" customFormat="1" ht="24">
      <c r="A487" s="1458"/>
      <c r="B487" s="1459"/>
      <c r="C487" s="1447"/>
      <c r="D487" s="1459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500"/>
    </row>
    <row r="488" spans="1:10" s="374" customFormat="1" ht="36">
      <c r="A488" s="1458"/>
      <c r="B488" s="1459"/>
      <c r="C488" s="1447"/>
      <c r="D488" s="1459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500"/>
    </row>
    <row r="489" spans="1:10" s="374" customFormat="1">
      <c r="A489" s="1458"/>
      <c r="B489" s="1459"/>
      <c r="C489" s="1447"/>
      <c r="D489" s="1459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500"/>
    </row>
    <row r="490" spans="1:10" s="374" customFormat="1" ht="24">
      <c r="A490" s="1458"/>
      <c r="B490" s="1459"/>
      <c r="C490" s="1447"/>
      <c r="D490" s="1459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500"/>
    </row>
    <row r="491" spans="1:10" s="374" customFormat="1">
      <c r="A491" s="1458"/>
      <c r="B491" s="1459"/>
      <c r="C491" s="1447"/>
      <c r="D491" s="1459"/>
      <c r="E491" s="428" t="s">
        <v>2048</v>
      </c>
      <c r="F491" s="429" t="s">
        <v>1382</v>
      </c>
      <c r="G491" s="400">
        <v>0</v>
      </c>
      <c r="H491" s="432"/>
      <c r="I491" s="527"/>
      <c r="J491" s="1500"/>
    </row>
    <row r="492" spans="1:10" s="374" customFormat="1">
      <c r="A492" s="1458"/>
      <c r="B492" s="1459"/>
      <c r="C492" s="1447"/>
      <c r="D492" s="433" t="s">
        <v>1332</v>
      </c>
      <c r="E492" s="428"/>
      <c r="F492" s="429"/>
      <c r="G492" s="403"/>
      <c r="H492" s="404"/>
      <c r="I492" s="510">
        <v>4179388.0122000002</v>
      </c>
      <c r="J492" s="1500"/>
    </row>
    <row r="493" spans="1:10" s="374" customFormat="1" ht="24">
      <c r="A493" s="1458"/>
      <c r="B493" s="1459"/>
      <c r="C493" s="1447"/>
      <c r="D493" s="367" t="s">
        <v>1742</v>
      </c>
      <c r="E493" s="428"/>
      <c r="F493" s="429"/>
      <c r="G493" s="403"/>
      <c r="H493" s="404"/>
      <c r="I493" s="510">
        <v>417938.80122000002</v>
      </c>
      <c r="J493" s="1500"/>
    </row>
    <row r="494" spans="1:10" s="374" customFormat="1">
      <c r="A494" s="1458"/>
      <c r="B494" s="1459"/>
      <c r="C494" s="1447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500"/>
    </row>
    <row r="495" spans="1:10" s="374" customFormat="1">
      <c r="A495" s="1458"/>
      <c r="B495" s="1459"/>
      <c r="C495" s="1447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500"/>
    </row>
    <row r="496" spans="1:10" s="374" customFormat="1">
      <c r="A496" s="1458"/>
      <c r="B496" s="1459"/>
      <c r="C496" s="1447"/>
      <c r="D496" s="433" t="s">
        <v>1342</v>
      </c>
      <c r="E496" s="428"/>
      <c r="F496" s="429"/>
      <c r="G496" s="403"/>
      <c r="H496" s="404"/>
      <c r="I496" s="510">
        <v>4702326.8134199996</v>
      </c>
      <c r="J496" s="1501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437">
        <v>1</v>
      </c>
      <c r="B498" s="1467" t="s">
        <v>266</v>
      </c>
      <c r="C498" s="1440" t="s">
        <v>1312</v>
      </c>
      <c r="D498" s="1440" t="s">
        <v>2052</v>
      </c>
      <c r="E498" s="365" t="s">
        <v>2053</v>
      </c>
      <c r="F498" s="385" t="s">
        <v>1315</v>
      </c>
      <c r="G498" s="75">
        <v>610</v>
      </c>
      <c r="H498" s="1480">
        <v>51</v>
      </c>
      <c r="I498" s="1456">
        <v>31110</v>
      </c>
      <c r="J498" s="1506">
        <f>ROUND(I508*0.9,0)</f>
        <v>561109</v>
      </c>
    </row>
    <row r="499" spans="1:10" s="453" customFormat="1">
      <c r="A499" s="1438"/>
      <c r="B499" s="1468"/>
      <c r="C499" s="1441"/>
      <c r="D499" s="1441"/>
      <c r="E499" s="365" t="s">
        <v>2054</v>
      </c>
      <c r="F499" s="385" t="s">
        <v>1315</v>
      </c>
      <c r="G499" s="75">
        <v>610</v>
      </c>
      <c r="H499" s="1480"/>
      <c r="I499" s="1456"/>
      <c r="J499" s="1504"/>
    </row>
    <row r="500" spans="1:10" s="455" customFormat="1">
      <c r="A500" s="1438"/>
      <c r="B500" s="1468"/>
      <c r="C500" s="1441"/>
      <c r="D500" s="1441"/>
      <c r="E500" s="454" t="s">
        <v>2055</v>
      </c>
      <c r="F500" s="1481" t="s">
        <v>1315</v>
      </c>
      <c r="G500" s="75">
        <v>484.42</v>
      </c>
      <c r="H500" s="373">
        <v>199.5</v>
      </c>
      <c r="I500" s="527">
        <v>96641.79</v>
      </c>
      <c r="J500" s="1504"/>
    </row>
    <row r="501" spans="1:10" s="455" customFormat="1">
      <c r="A501" s="1438"/>
      <c r="B501" s="1468"/>
      <c r="C501" s="1441"/>
      <c r="D501" s="1441"/>
      <c r="E501" s="454" t="s">
        <v>2056</v>
      </c>
      <c r="F501" s="1481"/>
      <c r="G501" s="75">
        <v>125.58</v>
      </c>
      <c r="H501" s="373">
        <v>240</v>
      </c>
      <c r="I501" s="527">
        <v>30139.200000000001</v>
      </c>
      <c r="J501" s="1504"/>
    </row>
    <row r="502" spans="1:10" s="455" customFormat="1" ht="24">
      <c r="A502" s="1438"/>
      <c r="B502" s="1468"/>
      <c r="C502" s="1441"/>
      <c r="D502" s="1440" t="s">
        <v>1961</v>
      </c>
      <c r="E502" s="365" t="s">
        <v>2057</v>
      </c>
      <c r="F502" s="385" t="s">
        <v>1315</v>
      </c>
      <c r="G502" s="75">
        <v>1324</v>
      </c>
      <c r="H502" s="1480">
        <v>51</v>
      </c>
      <c r="I502" s="1456">
        <v>67524</v>
      </c>
      <c r="J502" s="1504"/>
    </row>
    <row r="503" spans="1:10" s="455" customFormat="1">
      <c r="A503" s="1438"/>
      <c r="B503" s="1468"/>
      <c r="C503" s="1441"/>
      <c r="D503" s="1441"/>
      <c r="E503" s="365" t="s">
        <v>2054</v>
      </c>
      <c r="F503" s="385" t="s">
        <v>1315</v>
      </c>
      <c r="G503" s="75">
        <v>1324</v>
      </c>
      <c r="H503" s="1480"/>
      <c r="I503" s="1456"/>
      <c r="J503" s="1504"/>
    </row>
    <row r="504" spans="1:10" s="455" customFormat="1">
      <c r="A504" s="1438"/>
      <c r="B504" s="1468"/>
      <c r="C504" s="1441"/>
      <c r="D504" s="1442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504"/>
    </row>
    <row r="505" spans="1:10" s="453" customFormat="1">
      <c r="A505" s="1465"/>
      <c r="B505" s="1469"/>
      <c r="C505" s="1471"/>
      <c r="D505" s="458" t="s">
        <v>1332</v>
      </c>
      <c r="E505" s="459"/>
      <c r="F505" s="460"/>
      <c r="G505" s="461"/>
      <c r="H505" s="462"/>
      <c r="I505" s="510">
        <v>503454.99</v>
      </c>
      <c r="J505" s="1504"/>
    </row>
    <row r="506" spans="1:10" s="453" customFormat="1">
      <c r="A506" s="1465"/>
      <c r="B506" s="1469"/>
      <c r="C506" s="1471"/>
      <c r="D506" s="458" t="s">
        <v>1742</v>
      </c>
      <c r="E506" s="459"/>
      <c r="F506" s="460"/>
      <c r="G506" s="463"/>
      <c r="H506" s="462"/>
      <c r="I506" s="510">
        <v>60000</v>
      </c>
      <c r="J506" s="1504"/>
    </row>
    <row r="507" spans="1:10" s="455" customFormat="1">
      <c r="A507" s="1438"/>
      <c r="B507" s="1468"/>
      <c r="C507" s="1441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504"/>
    </row>
    <row r="508" spans="1:10" s="453" customFormat="1">
      <c r="A508" s="1466"/>
      <c r="B508" s="1470"/>
      <c r="C508" s="1472"/>
      <c r="D508" s="458" t="s">
        <v>1342</v>
      </c>
      <c r="E508" s="459"/>
      <c r="F508" s="460"/>
      <c r="G508" s="468"/>
      <c r="H508" s="462"/>
      <c r="I508" s="510">
        <v>623454.99</v>
      </c>
      <c r="J508" s="1505"/>
    </row>
    <row r="509" spans="1:10" s="455" customFormat="1">
      <c r="A509" s="1473">
        <v>2</v>
      </c>
      <c r="B509" s="1475" t="s">
        <v>670</v>
      </c>
      <c r="C509" s="1477" t="s">
        <v>1312</v>
      </c>
      <c r="D509" s="1437" t="s">
        <v>2060</v>
      </c>
      <c r="E509" s="1467" t="s">
        <v>2061</v>
      </c>
      <c r="F509" s="1437" t="s">
        <v>1745</v>
      </c>
      <c r="G509" s="469" t="s">
        <v>2062</v>
      </c>
      <c r="H509" s="457">
        <v>1632</v>
      </c>
      <c r="I509" s="527">
        <v>17952</v>
      </c>
      <c r="J509" s="1506">
        <f>ROUND(I523*0.9,0)</f>
        <v>956698</v>
      </c>
    </row>
    <row r="510" spans="1:10" s="455" customFormat="1">
      <c r="A510" s="1473"/>
      <c r="B510" s="1475"/>
      <c r="C510" s="1477"/>
      <c r="D510" s="1438"/>
      <c r="E510" s="1479"/>
      <c r="F510" s="1439"/>
      <c r="G510" s="470" t="s">
        <v>2063</v>
      </c>
      <c r="H510" s="457">
        <v>2532</v>
      </c>
      <c r="I510" s="527">
        <v>5064</v>
      </c>
      <c r="J510" s="1504"/>
    </row>
    <row r="511" spans="1:10" s="455" customFormat="1">
      <c r="A511" s="1473"/>
      <c r="B511" s="1475"/>
      <c r="C511" s="1477"/>
      <c r="D511" s="1438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504"/>
    </row>
    <row r="512" spans="1:10" s="455" customFormat="1">
      <c r="A512" s="1473"/>
      <c r="B512" s="1475"/>
      <c r="C512" s="1477"/>
      <c r="D512" s="1438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504"/>
    </row>
    <row r="513" spans="1:10" s="455" customFormat="1">
      <c r="A513" s="1473"/>
      <c r="B513" s="1475"/>
      <c r="C513" s="1477"/>
      <c r="D513" s="1438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504"/>
    </row>
    <row r="514" spans="1:10" s="455" customFormat="1">
      <c r="A514" s="1473"/>
      <c r="B514" s="1475"/>
      <c r="C514" s="1477"/>
      <c r="D514" s="1438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504"/>
    </row>
    <row r="515" spans="1:10" s="455" customFormat="1">
      <c r="A515" s="1473"/>
      <c r="B515" s="1475"/>
      <c r="C515" s="1477"/>
      <c r="D515" s="1438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504"/>
    </row>
    <row r="516" spans="1:10" s="455" customFormat="1">
      <c r="A516" s="1473"/>
      <c r="B516" s="1475"/>
      <c r="C516" s="1477"/>
      <c r="D516" s="1439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504"/>
    </row>
    <row r="517" spans="1:10" s="455" customFormat="1" ht="24">
      <c r="A517" s="1473"/>
      <c r="B517" s="1475"/>
      <c r="C517" s="1477"/>
      <c r="D517" s="1440" t="s">
        <v>2070</v>
      </c>
      <c r="E517" s="465" t="s">
        <v>2071</v>
      </c>
      <c r="F517" s="466" t="s">
        <v>1315</v>
      </c>
      <c r="G517" s="467">
        <v>2250</v>
      </c>
      <c r="H517" s="1482">
        <v>51</v>
      </c>
      <c r="I517" s="1456">
        <v>114750</v>
      </c>
      <c r="J517" s="1504"/>
    </row>
    <row r="518" spans="1:10" s="455" customFormat="1">
      <c r="A518" s="1473"/>
      <c r="B518" s="1475"/>
      <c r="C518" s="1477"/>
      <c r="D518" s="1441"/>
      <c r="E518" s="465" t="s">
        <v>2054</v>
      </c>
      <c r="F518" s="466" t="s">
        <v>1315</v>
      </c>
      <c r="G518" s="467">
        <v>2250</v>
      </c>
      <c r="H518" s="1482"/>
      <c r="I518" s="1456"/>
      <c r="J518" s="1504"/>
    </row>
    <row r="519" spans="1:10" s="455" customFormat="1">
      <c r="A519" s="1473"/>
      <c r="B519" s="1475"/>
      <c r="C519" s="1477"/>
      <c r="D519" s="1442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504"/>
    </row>
    <row r="520" spans="1:10" s="453" customFormat="1">
      <c r="A520" s="1474"/>
      <c r="B520" s="1476"/>
      <c r="C520" s="1478"/>
      <c r="D520" s="458" t="s">
        <v>1332</v>
      </c>
      <c r="E520" s="459"/>
      <c r="F520" s="460"/>
      <c r="G520" s="463"/>
      <c r="H520" s="462"/>
      <c r="I520" s="510">
        <v>922319.59999999905</v>
      </c>
      <c r="J520" s="1504"/>
    </row>
    <row r="521" spans="1:10" s="453" customFormat="1">
      <c r="A521" s="1474"/>
      <c r="B521" s="1476"/>
      <c r="C521" s="1478"/>
      <c r="D521" s="458" t="s">
        <v>1742</v>
      </c>
      <c r="E521" s="459"/>
      <c r="F521" s="460"/>
      <c r="G521" s="463"/>
      <c r="H521" s="462"/>
      <c r="I521" s="510">
        <v>110678.352</v>
      </c>
      <c r="J521" s="1504"/>
    </row>
    <row r="522" spans="1:10" s="455" customFormat="1">
      <c r="A522" s="1473"/>
      <c r="B522" s="1475"/>
      <c r="C522" s="1477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504"/>
    </row>
    <row r="523" spans="1:10" s="453" customFormat="1">
      <c r="A523" s="1474"/>
      <c r="B523" s="1476"/>
      <c r="C523" s="1478"/>
      <c r="D523" s="458" t="s">
        <v>1342</v>
      </c>
      <c r="E523" s="459"/>
      <c r="F523" s="460"/>
      <c r="G523" s="468"/>
      <c r="H523" s="462"/>
      <c r="I523" s="510">
        <v>1062997.952</v>
      </c>
      <c r="J523" s="1505"/>
    </row>
    <row r="524" spans="1:10" s="455" customFormat="1" ht="24">
      <c r="A524" s="1473">
        <v>3</v>
      </c>
      <c r="B524" s="1475" t="s">
        <v>2074</v>
      </c>
      <c r="C524" s="1477" t="s">
        <v>1312</v>
      </c>
      <c r="D524" s="1437" t="s">
        <v>2075</v>
      </c>
      <c r="E524" s="465" t="s">
        <v>2076</v>
      </c>
      <c r="F524" s="466" t="s">
        <v>1315</v>
      </c>
      <c r="G524" s="469">
        <v>749</v>
      </c>
      <c r="H524" s="1482">
        <v>380</v>
      </c>
      <c r="I524" s="1456">
        <v>284620</v>
      </c>
      <c r="J524" s="1506">
        <f>ROUND(I535*0.9,0)</f>
        <v>868907</v>
      </c>
    </row>
    <row r="525" spans="1:10" s="455" customFormat="1" ht="24">
      <c r="A525" s="1473"/>
      <c r="B525" s="1475"/>
      <c r="C525" s="1477"/>
      <c r="D525" s="1439"/>
      <c r="E525" s="465" t="s">
        <v>1935</v>
      </c>
      <c r="F525" s="466" t="s">
        <v>1315</v>
      </c>
      <c r="G525" s="467">
        <v>749</v>
      </c>
      <c r="H525" s="1482"/>
      <c r="I525" s="1456"/>
      <c r="J525" s="1504"/>
    </row>
    <row r="526" spans="1:10" s="455" customFormat="1" ht="24">
      <c r="A526" s="1473"/>
      <c r="B526" s="1475"/>
      <c r="C526" s="1477"/>
      <c r="D526" s="1437" t="s">
        <v>2077</v>
      </c>
      <c r="E526" s="465" t="s">
        <v>2053</v>
      </c>
      <c r="F526" s="466" t="s">
        <v>1315</v>
      </c>
      <c r="G526" s="467">
        <v>425.5</v>
      </c>
      <c r="H526" s="1482">
        <v>51</v>
      </c>
      <c r="I526" s="1456">
        <v>21700.5</v>
      </c>
      <c r="J526" s="1504"/>
    </row>
    <row r="527" spans="1:10" s="455" customFormat="1">
      <c r="A527" s="1473"/>
      <c r="B527" s="1475"/>
      <c r="C527" s="1477"/>
      <c r="D527" s="1438"/>
      <c r="E527" s="465" t="s">
        <v>2054</v>
      </c>
      <c r="F527" s="466" t="s">
        <v>1315</v>
      </c>
      <c r="G527" s="467">
        <v>425.5</v>
      </c>
      <c r="H527" s="1482"/>
      <c r="I527" s="1456"/>
      <c r="J527" s="1504"/>
    </row>
    <row r="528" spans="1:10" s="455" customFormat="1">
      <c r="A528" s="1473"/>
      <c r="B528" s="1475"/>
      <c r="C528" s="1477"/>
      <c r="D528" s="1439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504"/>
    </row>
    <row r="529" spans="1:10" s="455" customFormat="1" ht="24">
      <c r="A529" s="1473"/>
      <c r="B529" s="1475"/>
      <c r="C529" s="1477"/>
      <c r="D529" s="1437" t="s">
        <v>1961</v>
      </c>
      <c r="E529" s="465" t="s">
        <v>2071</v>
      </c>
      <c r="F529" s="466" t="s">
        <v>1315</v>
      </c>
      <c r="G529" s="467">
        <v>1556</v>
      </c>
      <c r="H529" s="1482">
        <v>51</v>
      </c>
      <c r="I529" s="1456">
        <v>79356</v>
      </c>
      <c r="J529" s="1504"/>
    </row>
    <row r="530" spans="1:10" s="455" customFormat="1">
      <c r="A530" s="1473"/>
      <c r="B530" s="1475"/>
      <c r="C530" s="1477"/>
      <c r="D530" s="1438"/>
      <c r="E530" s="465" t="s">
        <v>2054</v>
      </c>
      <c r="F530" s="466" t="s">
        <v>1315</v>
      </c>
      <c r="G530" s="467">
        <v>1556</v>
      </c>
      <c r="H530" s="1482"/>
      <c r="I530" s="1456"/>
      <c r="J530" s="1504"/>
    </row>
    <row r="531" spans="1:10" s="455" customFormat="1">
      <c r="A531" s="1473"/>
      <c r="B531" s="1475"/>
      <c r="C531" s="1477"/>
      <c r="D531" s="1439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504"/>
    </row>
    <row r="532" spans="1:10" s="453" customFormat="1">
      <c r="A532" s="1474"/>
      <c r="B532" s="1476"/>
      <c r="C532" s="1478"/>
      <c r="D532" s="458" t="s">
        <v>1332</v>
      </c>
      <c r="E532" s="459"/>
      <c r="F532" s="460"/>
      <c r="G532" s="463"/>
      <c r="H532" s="462"/>
      <c r="I532" s="510">
        <v>814556.5</v>
      </c>
      <c r="J532" s="1504"/>
    </row>
    <row r="533" spans="1:10" s="453" customFormat="1">
      <c r="A533" s="1474"/>
      <c r="B533" s="1476"/>
      <c r="C533" s="1478"/>
      <c r="D533" s="458" t="s">
        <v>1742</v>
      </c>
      <c r="E533" s="459"/>
      <c r="F533" s="460"/>
      <c r="G533" s="463"/>
      <c r="H533" s="462"/>
      <c r="I533" s="510">
        <v>90896</v>
      </c>
      <c r="J533" s="1504"/>
    </row>
    <row r="534" spans="1:10" s="455" customFormat="1">
      <c r="A534" s="1473"/>
      <c r="B534" s="1475"/>
      <c r="C534" s="1477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504"/>
    </row>
    <row r="535" spans="1:10" s="453" customFormat="1">
      <c r="A535" s="1474"/>
      <c r="B535" s="1476"/>
      <c r="C535" s="1478"/>
      <c r="D535" s="458" t="s">
        <v>1342</v>
      </c>
      <c r="E535" s="459"/>
      <c r="F535" s="460"/>
      <c r="G535" s="468"/>
      <c r="H535" s="462"/>
      <c r="I535" s="510">
        <v>965452.5</v>
      </c>
      <c r="J535" s="1505"/>
    </row>
    <row r="536" spans="1:10" s="455" customFormat="1">
      <c r="A536" s="1473">
        <v>4</v>
      </c>
      <c r="B536" s="1475" t="s">
        <v>2078</v>
      </c>
      <c r="C536" s="1477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506">
        <f>ROUND(I543*0.9,0)</f>
        <v>2424196</v>
      </c>
    </row>
    <row r="537" spans="1:10" s="455" customFormat="1" ht="24">
      <c r="A537" s="1473"/>
      <c r="B537" s="1475"/>
      <c r="C537" s="1477"/>
      <c r="D537" s="1437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504"/>
    </row>
    <row r="538" spans="1:10" s="455" customFormat="1">
      <c r="A538" s="1473"/>
      <c r="B538" s="1475"/>
      <c r="C538" s="1477"/>
      <c r="D538" s="1438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504"/>
    </row>
    <row r="539" spans="1:10" s="455" customFormat="1" ht="24">
      <c r="A539" s="1473"/>
      <c r="B539" s="1475"/>
      <c r="C539" s="1477"/>
      <c r="D539" s="1439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504"/>
    </row>
    <row r="540" spans="1:10" s="453" customFormat="1">
      <c r="A540" s="1474"/>
      <c r="B540" s="1476"/>
      <c r="C540" s="1478"/>
      <c r="D540" s="458" t="s">
        <v>1332</v>
      </c>
      <c r="E540" s="459"/>
      <c r="F540" s="460"/>
      <c r="G540" s="463"/>
      <c r="H540" s="462"/>
      <c r="I540" s="510">
        <v>2421410</v>
      </c>
      <c r="J540" s="1504"/>
    </row>
    <row r="541" spans="1:10" s="453" customFormat="1">
      <c r="A541" s="1474"/>
      <c r="B541" s="1476"/>
      <c r="C541" s="1478"/>
      <c r="D541" s="458" t="s">
        <v>1742</v>
      </c>
      <c r="E541" s="459"/>
      <c r="F541" s="460"/>
      <c r="G541" s="463"/>
      <c r="H541" s="462"/>
      <c r="I541" s="510">
        <v>242141</v>
      </c>
      <c r="J541" s="1504"/>
    </row>
    <row r="542" spans="1:10" s="455" customFormat="1">
      <c r="A542" s="1473"/>
      <c r="B542" s="1475"/>
      <c r="C542" s="1477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504"/>
    </row>
    <row r="543" spans="1:10" s="453" customFormat="1">
      <c r="A543" s="1483"/>
      <c r="B543" s="1484"/>
      <c r="C543" s="1485"/>
      <c r="D543" s="474" t="s">
        <v>1342</v>
      </c>
      <c r="E543" s="475"/>
      <c r="F543" s="476"/>
      <c r="G543" s="477"/>
      <c r="H543" s="462"/>
      <c r="I543" s="510">
        <v>2693551</v>
      </c>
      <c r="J543" s="1505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473">
        <v>1</v>
      </c>
      <c r="B545" s="1475" t="s">
        <v>165</v>
      </c>
      <c r="C545" s="1477" t="s">
        <v>1312</v>
      </c>
      <c r="D545" s="1437" t="s">
        <v>2080</v>
      </c>
      <c r="E545" s="465" t="s">
        <v>2081</v>
      </c>
      <c r="F545" s="466" t="s">
        <v>1315</v>
      </c>
      <c r="G545" s="1440">
        <v>1750</v>
      </c>
      <c r="H545" s="1482">
        <v>400</v>
      </c>
      <c r="I545" s="1456">
        <v>700000</v>
      </c>
      <c r="J545" s="1506">
        <f>ROUND(I551*0.9,0)</f>
        <v>738176</v>
      </c>
    </row>
    <row r="546" spans="1:239" s="483" customFormat="1">
      <c r="A546" s="1473"/>
      <c r="B546" s="1475"/>
      <c r="C546" s="1477"/>
      <c r="D546" s="1439"/>
      <c r="E546" s="465" t="s">
        <v>2082</v>
      </c>
      <c r="F546" s="466" t="s">
        <v>1315</v>
      </c>
      <c r="G546" s="1442"/>
      <c r="H546" s="1482"/>
      <c r="I546" s="1456"/>
      <c r="J546" s="1504"/>
    </row>
    <row r="547" spans="1:239" s="483" customFormat="1">
      <c r="A547" s="1473"/>
      <c r="B547" s="1475"/>
      <c r="C547" s="1477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504"/>
    </row>
    <row r="548" spans="1:239" s="485" customFormat="1">
      <c r="A548" s="1474"/>
      <c r="B548" s="1476"/>
      <c r="C548" s="1478"/>
      <c r="D548" s="458" t="s">
        <v>1332</v>
      </c>
      <c r="E548" s="459"/>
      <c r="F548" s="460"/>
      <c r="G548" s="463"/>
      <c r="H548" s="462"/>
      <c r="I548" s="510">
        <v>714460</v>
      </c>
      <c r="J548" s="1504"/>
    </row>
    <row r="549" spans="1:239" s="485" customFormat="1">
      <c r="A549" s="1474"/>
      <c r="B549" s="1476"/>
      <c r="C549" s="1478"/>
      <c r="D549" s="458" t="s">
        <v>1742</v>
      </c>
      <c r="E549" s="459"/>
      <c r="F549" s="460"/>
      <c r="G549" s="463"/>
      <c r="H549" s="462"/>
      <c r="I549" s="510">
        <v>85735.2</v>
      </c>
      <c r="J549" s="1504"/>
    </row>
    <row r="550" spans="1:239" s="483" customFormat="1">
      <c r="A550" s="1473"/>
      <c r="B550" s="1475"/>
      <c r="C550" s="1477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504"/>
    </row>
    <row r="551" spans="1:239" s="485" customFormat="1">
      <c r="A551" s="1474"/>
      <c r="B551" s="1476"/>
      <c r="C551" s="1478"/>
      <c r="D551" s="458" t="s">
        <v>1342</v>
      </c>
      <c r="E551" s="459"/>
      <c r="F551" s="460"/>
      <c r="G551" s="468"/>
      <c r="H551" s="462"/>
      <c r="I551" s="510">
        <v>820195.2</v>
      </c>
      <c r="J551" s="1505"/>
    </row>
    <row r="552" spans="1:239" s="483" customFormat="1">
      <c r="A552" s="1473">
        <v>2</v>
      </c>
      <c r="B552" s="1475" t="s">
        <v>166</v>
      </c>
      <c r="C552" s="1477" t="s">
        <v>2085</v>
      </c>
      <c r="D552" s="1437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506">
        <f>ROUND(I558*0.8,0)</f>
        <v>123542</v>
      </c>
    </row>
    <row r="553" spans="1:239" s="483" customFormat="1">
      <c r="A553" s="1473"/>
      <c r="B553" s="1475"/>
      <c r="C553" s="1477"/>
      <c r="D553" s="1438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504"/>
    </row>
    <row r="554" spans="1:239" s="483" customFormat="1">
      <c r="A554" s="1473"/>
      <c r="B554" s="1475"/>
      <c r="C554" s="1477"/>
      <c r="D554" s="1438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504"/>
    </row>
    <row r="555" spans="1:239" s="483" customFormat="1" ht="45" customHeight="1">
      <c r="A555" s="1473"/>
      <c r="B555" s="1475"/>
      <c r="C555" s="1477"/>
      <c r="D555" s="1438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504"/>
    </row>
    <row r="556" spans="1:239" s="485" customFormat="1" ht="45" customHeight="1">
      <c r="A556" s="1474"/>
      <c r="B556" s="1476"/>
      <c r="C556" s="1478"/>
      <c r="D556" s="458" t="s">
        <v>1332</v>
      </c>
      <c r="E556" s="459"/>
      <c r="F556" s="460"/>
      <c r="G556" s="463"/>
      <c r="H556" s="462"/>
      <c r="I556" s="510">
        <v>138348</v>
      </c>
      <c r="J556" s="1504"/>
    </row>
    <row r="557" spans="1:239" s="485" customFormat="1" ht="45" customHeight="1">
      <c r="A557" s="1474"/>
      <c r="B557" s="1476"/>
      <c r="C557" s="1478"/>
      <c r="D557" s="458" t="s">
        <v>1742</v>
      </c>
      <c r="E557" s="459"/>
      <c r="F557" s="460"/>
      <c r="G557" s="463"/>
      <c r="H557" s="462"/>
      <c r="I557" s="510">
        <v>16080</v>
      </c>
      <c r="J557" s="1504"/>
    </row>
    <row r="558" spans="1:239" s="485" customFormat="1" ht="45" customHeight="1">
      <c r="A558" s="1474"/>
      <c r="B558" s="1476"/>
      <c r="C558" s="1478"/>
      <c r="D558" s="458" t="s">
        <v>1342</v>
      </c>
      <c r="E558" s="459"/>
      <c r="F558" s="460"/>
      <c r="G558" s="468"/>
      <c r="H558" s="462"/>
      <c r="I558" s="510">
        <v>154428</v>
      </c>
      <c r="J558" s="1505"/>
    </row>
    <row r="559" spans="1:239" s="489" customFormat="1" ht="75" hidden="1" customHeight="1">
      <c r="A559" s="1467">
        <v>3</v>
      </c>
      <c r="B559" s="1467" t="s">
        <v>168</v>
      </c>
      <c r="C559" s="1434" t="s">
        <v>1312</v>
      </c>
      <c r="D559" s="1475" t="s">
        <v>2091</v>
      </c>
      <c r="E559" s="1475" t="s">
        <v>2092</v>
      </c>
      <c r="F559" s="1475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468"/>
      <c r="B560" s="1468"/>
      <c r="C560" s="1486"/>
      <c r="D560" s="1467"/>
      <c r="E560" s="1475"/>
      <c r="F560" s="1475"/>
      <c r="G560" s="473">
        <v>174</v>
      </c>
      <c r="H560" s="487">
        <v>189.9</v>
      </c>
      <c r="I560" s="490">
        <v>33042.6</v>
      </c>
      <c r="J560" s="1506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468"/>
      <c r="B561" s="1468"/>
      <c r="C561" s="1486"/>
      <c r="D561" s="1467"/>
      <c r="E561" s="1475"/>
      <c r="F561" s="1475"/>
      <c r="G561" s="473">
        <v>33</v>
      </c>
      <c r="H561" s="487">
        <v>249.07</v>
      </c>
      <c r="I561" s="491">
        <v>8219.31</v>
      </c>
      <c r="J561" s="1507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468"/>
      <c r="B562" s="1468"/>
      <c r="C562" s="1486"/>
      <c r="D562" s="1467"/>
      <c r="E562" s="1475"/>
      <c r="F562" s="1475"/>
      <c r="G562" s="473">
        <v>174</v>
      </c>
      <c r="H562" s="487">
        <v>150</v>
      </c>
      <c r="I562" s="491">
        <v>26100</v>
      </c>
      <c r="J562" s="1507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468"/>
      <c r="B563" s="1468"/>
      <c r="C563" s="1486"/>
      <c r="D563" s="1467"/>
      <c r="E563" s="1475"/>
      <c r="F563" s="1475"/>
      <c r="G563" s="473">
        <v>174</v>
      </c>
      <c r="H563" s="487">
        <v>241.011494252874</v>
      </c>
      <c r="I563" s="491">
        <v>41936.000000000102</v>
      </c>
      <c r="J563" s="1507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468"/>
      <c r="B564" s="1468"/>
      <c r="C564" s="1486"/>
      <c r="D564" s="1467"/>
      <c r="E564" s="1475"/>
      <c r="F564" s="1475"/>
      <c r="G564" s="473">
        <v>19.8</v>
      </c>
      <c r="H564" s="487">
        <v>47.5</v>
      </c>
      <c r="I564" s="491">
        <v>940.5</v>
      </c>
      <c r="J564" s="1507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468"/>
      <c r="B565" s="1468"/>
      <c r="C565" s="1486"/>
      <c r="D565" s="1467"/>
      <c r="E565" s="1475"/>
      <c r="F565" s="1475"/>
      <c r="G565" s="473">
        <v>1</v>
      </c>
      <c r="H565" s="487">
        <v>1835</v>
      </c>
      <c r="I565" s="491">
        <v>1835</v>
      </c>
      <c r="J565" s="1507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468"/>
      <c r="B566" s="1468"/>
      <c r="C566" s="1486"/>
      <c r="D566" s="1467"/>
      <c r="E566" s="1475"/>
      <c r="F566" s="1475"/>
      <c r="G566" s="492">
        <v>174</v>
      </c>
      <c r="H566" s="493">
        <v>225.6</v>
      </c>
      <c r="I566" s="494">
        <v>39254.400000000001</v>
      </c>
      <c r="J566" s="1507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468"/>
      <c r="B567" s="1468"/>
      <c r="C567" s="1486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507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468"/>
      <c r="B568" s="1468"/>
      <c r="C568" s="1486"/>
      <c r="D568" s="459" t="s">
        <v>1332</v>
      </c>
      <c r="E568" s="465"/>
      <c r="F568" s="465"/>
      <c r="G568" s="469"/>
      <c r="H568" s="496"/>
      <c r="I568" s="523">
        <v>669537.96965166798</v>
      </c>
      <c r="J568" s="1507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468"/>
      <c r="B569" s="1468"/>
      <c r="C569" s="1486"/>
      <c r="D569" s="459" t="s">
        <v>1334</v>
      </c>
      <c r="E569" s="465"/>
      <c r="F569" s="465"/>
      <c r="G569" s="473"/>
      <c r="H569" s="487"/>
      <c r="I569" s="526">
        <v>80344.556358200207</v>
      </c>
      <c r="J569" s="1507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479"/>
      <c r="B570" s="1479"/>
      <c r="C570" s="1435"/>
      <c r="D570" s="459" t="s">
        <v>1342</v>
      </c>
      <c r="E570" s="465"/>
      <c r="F570" s="465"/>
      <c r="G570" s="467"/>
      <c r="H570" s="497"/>
      <c r="I570" s="522">
        <v>749882.52600986802</v>
      </c>
      <c r="J570" s="1508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440">
        <v>1</v>
      </c>
      <c r="B572" s="1434" t="s">
        <v>228</v>
      </c>
      <c r="C572" s="1440" t="s">
        <v>1312</v>
      </c>
      <c r="D572" s="1437" t="s">
        <v>1684</v>
      </c>
      <c r="E572" s="1467" t="s">
        <v>2096</v>
      </c>
      <c r="F572" s="1437" t="s">
        <v>1315</v>
      </c>
      <c r="G572" s="467">
        <v>17.010000000000002</v>
      </c>
      <c r="H572" s="457">
        <v>2500</v>
      </c>
      <c r="I572" s="527">
        <v>42525</v>
      </c>
      <c r="J572" s="1506">
        <f>ROUND(I577*0.9,0)</f>
        <v>497621</v>
      </c>
    </row>
    <row r="573" spans="1:239" s="485" customFormat="1">
      <c r="A573" s="1441"/>
      <c r="B573" s="1486"/>
      <c r="C573" s="1441"/>
      <c r="D573" s="1439"/>
      <c r="E573" s="1479"/>
      <c r="F573" s="1439"/>
      <c r="G573" s="467">
        <v>1</v>
      </c>
      <c r="H573" s="457">
        <v>2347</v>
      </c>
      <c r="I573" s="527">
        <v>2347</v>
      </c>
      <c r="J573" s="1507"/>
    </row>
    <row r="574" spans="1:239" s="485" customFormat="1" ht="108">
      <c r="A574" s="1441"/>
      <c r="B574" s="1486"/>
      <c r="C574" s="1441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507"/>
    </row>
    <row r="575" spans="1:239" s="485" customFormat="1">
      <c r="A575" s="1471"/>
      <c r="B575" s="1487"/>
      <c r="C575" s="1471"/>
      <c r="D575" s="458" t="s">
        <v>1332</v>
      </c>
      <c r="E575" s="459"/>
      <c r="F575" s="460"/>
      <c r="G575" s="463"/>
      <c r="H575" s="462"/>
      <c r="I575" s="510">
        <v>493672</v>
      </c>
      <c r="J575" s="1507"/>
    </row>
    <row r="576" spans="1:239" s="485" customFormat="1">
      <c r="A576" s="1471"/>
      <c r="B576" s="1487"/>
      <c r="C576" s="1471"/>
      <c r="D576" s="458" t="s">
        <v>1742</v>
      </c>
      <c r="E576" s="459"/>
      <c r="F576" s="460"/>
      <c r="G576" s="463"/>
      <c r="H576" s="462"/>
      <c r="I576" s="510">
        <v>59240.639999999999</v>
      </c>
      <c r="J576" s="1507"/>
    </row>
    <row r="577" spans="1:10" s="485" customFormat="1">
      <c r="A577" s="1472"/>
      <c r="B577" s="1488"/>
      <c r="C577" s="1472"/>
      <c r="D577" s="458" t="s">
        <v>1342</v>
      </c>
      <c r="E577" s="459"/>
      <c r="F577" s="460"/>
      <c r="G577" s="463"/>
      <c r="H577" s="462"/>
      <c r="I577" s="510">
        <v>552912.64000000001</v>
      </c>
      <c r="J577" s="1508"/>
    </row>
    <row r="578" spans="1:10" s="483" customFormat="1">
      <c r="A578" s="1440">
        <v>2</v>
      </c>
      <c r="B578" s="1434" t="s">
        <v>1015</v>
      </c>
      <c r="C578" s="1440" t="s">
        <v>1312</v>
      </c>
      <c r="D578" s="1437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506">
        <f>ROUND(I583*0.8,0)</f>
        <v>27172</v>
      </c>
    </row>
    <row r="579" spans="1:10" s="483" customFormat="1" ht="72">
      <c r="A579" s="1441"/>
      <c r="B579" s="1486"/>
      <c r="C579" s="1441"/>
      <c r="D579" s="1438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504"/>
    </row>
    <row r="580" spans="1:10" s="483" customFormat="1" ht="48">
      <c r="A580" s="1441"/>
      <c r="B580" s="1486"/>
      <c r="C580" s="1441"/>
      <c r="D580" s="1439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504"/>
    </row>
    <row r="581" spans="1:10" s="485" customFormat="1">
      <c r="A581" s="1471"/>
      <c r="B581" s="1487"/>
      <c r="C581" s="1471"/>
      <c r="D581" s="458" t="s">
        <v>1332</v>
      </c>
      <c r="E581" s="459"/>
      <c r="F581" s="460"/>
      <c r="G581" s="461"/>
      <c r="H581" s="462"/>
      <c r="I581" s="510">
        <v>30326.240000000002</v>
      </c>
      <c r="J581" s="1504"/>
    </row>
    <row r="582" spans="1:10" s="485" customFormat="1">
      <c r="A582" s="1471"/>
      <c r="B582" s="1487"/>
      <c r="C582" s="1471"/>
      <c r="D582" s="458" t="s">
        <v>1742</v>
      </c>
      <c r="E582" s="459"/>
      <c r="F582" s="460"/>
      <c r="G582" s="463"/>
      <c r="H582" s="462"/>
      <c r="I582" s="510">
        <v>3639.1487999999999</v>
      </c>
      <c r="J582" s="1504"/>
    </row>
    <row r="583" spans="1:10" s="485" customFormat="1">
      <c r="A583" s="1472"/>
      <c r="B583" s="1488"/>
      <c r="C583" s="1472"/>
      <c r="D583" s="458" t="s">
        <v>1342</v>
      </c>
      <c r="E583" s="459"/>
      <c r="F583" s="460"/>
      <c r="G583" s="463"/>
      <c r="H583" s="462"/>
      <c r="I583" s="510">
        <v>33965.388800000001</v>
      </c>
      <c r="J583" s="1505"/>
    </row>
    <row r="584" spans="1:10" s="483" customFormat="1">
      <c r="A584" s="1440">
        <v>3</v>
      </c>
      <c r="B584" s="1434" t="s">
        <v>2101</v>
      </c>
      <c r="C584" s="1440" t="s">
        <v>1312</v>
      </c>
      <c r="D584" s="1437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506">
        <f>ROUND(I591*0.8,0)</f>
        <v>316866</v>
      </c>
    </row>
    <row r="585" spans="1:10" s="483" customFormat="1">
      <c r="A585" s="1441"/>
      <c r="B585" s="1486"/>
      <c r="C585" s="1441"/>
      <c r="D585" s="1438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504"/>
    </row>
    <row r="586" spans="1:10" s="483" customFormat="1">
      <c r="A586" s="1441"/>
      <c r="B586" s="1486"/>
      <c r="C586" s="1441"/>
      <c r="D586" s="1438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504"/>
    </row>
    <row r="587" spans="1:10" s="483" customFormat="1">
      <c r="A587" s="1441"/>
      <c r="B587" s="1486"/>
      <c r="C587" s="1441"/>
      <c r="D587" s="1439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504"/>
    </row>
    <row r="588" spans="1:10" s="485" customFormat="1">
      <c r="A588" s="1471"/>
      <c r="B588" s="1487"/>
      <c r="C588" s="1471"/>
      <c r="D588" s="458" t="s">
        <v>1332</v>
      </c>
      <c r="E588" s="459"/>
      <c r="F588" s="460"/>
      <c r="G588" s="463"/>
      <c r="H588" s="462"/>
      <c r="I588" s="510">
        <v>347216.06</v>
      </c>
      <c r="J588" s="1504"/>
    </row>
    <row r="589" spans="1:10" s="485" customFormat="1">
      <c r="A589" s="1471"/>
      <c r="B589" s="1487"/>
      <c r="C589" s="1471"/>
      <c r="D589" s="458" t="s">
        <v>1742</v>
      </c>
      <c r="E589" s="459"/>
      <c r="F589" s="460"/>
      <c r="G589" s="463"/>
      <c r="H589" s="462"/>
      <c r="I589" s="510">
        <v>41665.927199999998</v>
      </c>
      <c r="J589" s="1504"/>
    </row>
    <row r="590" spans="1:10" s="483" customFormat="1">
      <c r="A590" s="1441"/>
      <c r="B590" s="1486"/>
      <c r="C590" s="1441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504"/>
    </row>
    <row r="591" spans="1:10" s="485" customFormat="1">
      <c r="A591" s="1472"/>
      <c r="B591" s="1488"/>
      <c r="C591" s="1472"/>
      <c r="D591" s="458" t="s">
        <v>1342</v>
      </c>
      <c r="E591" s="459"/>
      <c r="F591" s="460"/>
      <c r="G591" s="468"/>
      <c r="H591" s="462"/>
      <c r="I591" s="510">
        <v>396081.98719999997</v>
      </c>
      <c r="J591" s="1505"/>
    </row>
    <row r="592" spans="1:10" s="483" customFormat="1">
      <c r="A592" s="1437">
        <v>4</v>
      </c>
      <c r="B592" s="1434" t="s">
        <v>1012</v>
      </c>
      <c r="C592" s="1440" t="s">
        <v>1312</v>
      </c>
      <c r="D592" s="1437" t="s">
        <v>1684</v>
      </c>
      <c r="E592" s="1467" t="s">
        <v>2105</v>
      </c>
      <c r="F592" s="1437" t="s">
        <v>1315</v>
      </c>
      <c r="G592" s="469">
        <v>135</v>
      </c>
      <c r="H592" s="457">
        <v>222.3</v>
      </c>
      <c r="I592" s="527">
        <v>30010.5</v>
      </c>
      <c r="J592" s="1506">
        <f>ROUND(I600*0.8,0)</f>
        <v>234838</v>
      </c>
    </row>
    <row r="593" spans="1:10" s="483" customFormat="1">
      <c r="A593" s="1438"/>
      <c r="B593" s="1486"/>
      <c r="C593" s="1441"/>
      <c r="D593" s="1438"/>
      <c r="E593" s="1468"/>
      <c r="F593" s="1438"/>
      <c r="G593" s="467">
        <v>135</v>
      </c>
      <c r="H593" s="457">
        <v>97</v>
      </c>
      <c r="I593" s="527">
        <v>13095</v>
      </c>
      <c r="J593" s="1504"/>
    </row>
    <row r="594" spans="1:10" s="483" customFormat="1">
      <c r="A594" s="1438"/>
      <c r="B594" s="1486"/>
      <c r="C594" s="1441"/>
      <c r="D594" s="1438"/>
      <c r="E594" s="1468"/>
      <c r="F594" s="1438"/>
      <c r="G594" s="467">
        <v>249.48</v>
      </c>
      <c r="H594" s="457">
        <v>245.25</v>
      </c>
      <c r="I594" s="527">
        <v>61184.97</v>
      </c>
      <c r="J594" s="1504"/>
    </row>
    <row r="595" spans="1:10" s="483" customFormat="1">
      <c r="A595" s="1438"/>
      <c r="B595" s="1486"/>
      <c r="C595" s="1441"/>
      <c r="D595" s="1438"/>
      <c r="E595" s="1468"/>
      <c r="F595" s="1438"/>
      <c r="G595" s="467">
        <v>135</v>
      </c>
      <c r="H595" s="457">
        <v>225.6</v>
      </c>
      <c r="I595" s="527">
        <v>30456</v>
      </c>
      <c r="J595" s="1504"/>
    </row>
    <row r="596" spans="1:10" s="483" customFormat="1">
      <c r="A596" s="1438"/>
      <c r="B596" s="1486"/>
      <c r="C596" s="1441"/>
      <c r="D596" s="1438"/>
      <c r="E596" s="1468"/>
      <c r="F596" s="1438"/>
      <c r="G596" s="467">
        <v>1</v>
      </c>
      <c r="H596" s="457">
        <v>14850</v>
      </c>
      <c r="I596" s="527">
        <v>14850</v>
      </c>
      <c r="J596" s="1504"/>
    </row>
    <row r="597" spans="1:10" s="483" customFormat="1">
      <c r="A597" s="1438"/>
      <c r="B597" s="1486"/>
      <c r="C597" s="1441"/>
      <c r="D597" s="1439"/>
      <c r="E597" s="1479"/>
      <c r="F597" s="1439"/>
      <c r="G597" s="467">
        <v>90</v>
      </c>
      <c r="H597" s="457">
        <v>1250</v>
      </c>
      <c r="I597" s="527">
        <v>112500</v>
      </c>
      <c r="J597" s="1504"/>
    </row>
    <row r="598" spans="1:10" s="485" customFormat="1">
      <c r="A598" s="1465"/>
      <c r="B598" s="1487"/>
      <c r="C598" s="1471"/>
      <c r="D598" s="458" t="s">
        <v>1332</v>
      </c>
      <c r="E598" s="459"/>
      <c r="F598" s="460"/>
      <c r="G598" s="461"/>
      <c r="H598" s="462"/>
      <c r="I598" s="510">
        <v>262096.47</v>
      </c>
      <c r="J598" s="1504"/>
    </row>
    <row r="599" spans="1:10" s="485" customFormat="1">
      <c r="A599" s="1465"/>
      <c r="B599" s="1487"/>
      <c r="C599" s="1471"/>
      <c r="D599" s="458" t="s">
        <v>1742</v>
      </c>
      <c r="E599" s="459"/>
      <c r="F599" s="460"/>
      <c r="G599" s="463"/>
      <c r="H599" s="462"/>
      <c r="I599" s="510">
        <v>31451.576400000002</v>
      </c>
      <c r="J599" s="1504"/>
    </row>
    <row r="600" spans="1:10" s="485" customFormat="1">
      <c r="A600" s="1466"/>
      <c r="B600" s="1488"/>
      <c r="C600" s="1472"/>
      <c r="D600" s="458" t="s">
        <v>1342</v>
      </c>
      <c r="E600" s="459"/>
      <c r="F600" s="460"/>
      <c r="G600" s="477"/>
      <c r="H600" s="462"/>
      <c r="I600" s="510">
        <v>293548.04639999999</v>
      </c>
      <c r="J600" s="1505"/>
    </row>
    <row r="601" spans="1:10" s="483" customFormat="1">
      <c r="A601" s="1440">
        <v>5</v>
      </c>
      <c r="B601" s="1434" t="s">
        <v>2106</v>
      </c>
      <c r="C601" s="1440" t="s">
        <v>1312</v>
      </c>
      <c r="D601" s="1437" t="s">
        <v>1684</v>
      </c>
      <c r="E601" s="1467" t="s">
        <v>2107</v>
      </c>
      <c r="F601" s="1437" t="s">
        <v>1315</v>
      </c>
      <c r="G601" s="469">
        <v>240</v>
      </c>
      <c r="H601" s="457">
        <v>222.3</v>
      </c>
      <c r="I601" s="527">
        <v>53352</v>
      </c>
      <c r="J601" s="1506">
        <f>ROUND(I609*0.8,0)</f>
        <v>408377</v>
      </c>
    </row>
    <row r="602" spans="1:10" s="483" customFormat="1">
      <c r="A602" s="1441"/>
      <c r="B602" s="1486"/>
      <c r="C602" s="1441"/>
      <c r="D602" s="1438"/>
      <c r="E602" s="1468"/>
      <c r="F602" s="1438"/>
      <c r="G602" s="467">
        <v>240</v>
      </c>
      <c r="H602" s="457">
        <v>97</v>
      </c>
      <c r="I602" s="527">
        <v>23280</v>
      </c>
      <c r="J602" s="1504"/>
    </row>
    <row r="603" spans="1:10" s="483" customFormat="1">
      <c r="A603" s="1441"/>
      <c r="B603" s="1486"/>
      <c r="C603" s="1441"/>
      <c r="D603" s="1438"/>
      <c r="E603" s="1468"/>
      <c r="F603" s="1438"/>
      <c r="G603" s="467">
        <v>517.44000000000005</v>
      </c>
      <c r="H603" s="457">
        <v>245.25</v>
      </c>
      <c r="I603" s="527">
        <v>126902.16</v>
      </c>
      <c r="J603" s="1504"/>
    </row>
    <row r="604" spans="1:10" s="483" customFormat="1">
      <c r="A604" s="1441"/>
      <c r="B604" s="1486"/>
      <c r="C604" s="1441"/>
      <c r="D604" s="1438"/>
      <c r="E604" s="1468"/>
      <c r="F604" s="1438"/>
      <c r="G604" s="467">
        <v>240</v>
      </c>
      <c r="H604" s="457">
        <v>225.6</v>
      </c>
      <c r="I604" s="527">
        <v>54144</v>
      </c>
      <c r="J604" s="1504"/>
    </row>
    <row r="605" spans="1:10" s="483" customFormat="1">
      <c r="A605" s="1441"/>
      <c r="B605" s="1486"/>
      <c r="C605" s="1441"/>
      <c r="D605" s="1438"/>
      <c r="E605" s="1468"/>
      <c r="F605" s="1438"/>
      <c r="G605" s="467">
        <v>1</v>
      </c>
      <c r="H605" s="457">
        <v>23100</v>
      </c>
      <c r="I605" s="527">
        <v>23100</v>
      </c>
      <c r="J605" s="1504"/>
    </row>
    <row r="606" spans="1:10" s="483" customFormat="1">
      <c r="A606" s="1441"/>
      <c r="B606" s="1486"/>
      <c r="C606" s="1441"/>
      <c r="D606" s="1439"/>
      <c r="E606" s="1479"/>
      <c r="F606" s="1439"/>
      <c r="G606" s="500">
        <v>140</v>
      </c>
      <c r="H606" s="457">
        <v>1250</v>
      </c>
      <c r="I606" s="527">
        <v>175000</v>
      </c>
      <c r="J606" s="1504"/>
    </row>
    <row r="607" spans="1:10" s="485" customFormat="1">
      <c r="A607" s="1471"/>
      <c r="B607" s="1487"/>
      <c r="C607" s="1471"/>
      <c r="D607" s="458" t="s">
        <v>1332</v>
      </c>
      <c r="E607" s="459"/>
      <c r="F607" s="460"/>
      <c r="G607" s="463"/>
      <c r="H607" s="462"/>
      <c r="I607" s="510">
        <v>455778.16</v>
      </c>
      <c r="J607" s="1504"/>
    </row>
    <row r="608" spans="1:10" s="485" customFormat="1">
      <c r="A608" s="1471"/>
      <c r="B608" s="1487"/>
      <c r="C608" s="1471"/>
      <c r="D608" s="458" t="s">
        <v>1742</v>
      </c>
      <c r="E608" s="459"/>
      <c r="F608" s="460"/>
      <c r="G608" s="463"/>
      <c r="H608" s="462"/>
      <c r="I608" s="510">
        <v>54693.379200000003</v>
      </c>
      <c r="J608" s="1504"/>
    </row>
    <row r="609" spans="1:10" s="485" customFormat="1">
      <c r="A609" s="1472"/>
      <c r="B609" s="1488"/>
      <c r="C609" s="1472"/>
      <c r="D609" s="458" t="s">
        <v>1342</v>
      </c>
      <c r="E609" s="459"/>
      <c r="F609" s="460"/>
      <c r="G609" s="468"/>
      <c r="H609" s="462"/>
      <c r="I609" s="510">
        <v>510471.5392</v>
      </c>
      <c r="J609" s="1505"/>
    </row>
    <row r="610" spans="1:10" s="483" customFormat="1" ht="36">
      <c r="A610" s="1438">
        <v>6</v>
      </c>
      <c r="B610" s="1468" t="s">
        <v>542</v>
      </c>
      <c r="C610" s="1441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506">
        <f>ROUND(I614*0.8,0)</f>
        <v>335808</v>
      </c>
    </row>
    <row r="611" spans="1:10" s="485" customFormat="1">
      <c r="A611" s="1465"/>
      <c r="B611" s="1469"/>
      <c r="C611" s="1471"/>
      <c r="D611" s="458" t="s">
        <v>1332</v>
      </c>
      <c r="E611" s="459"/>
      <c r="F611" s="460"/>
      <c r="G611" s="463"/>
      <c r="H611" s="462"/>
      <c r="I611" s="510">
        <v>348000</v>
      </c>
      <c r="J611" s="1504"/>
    </row>
    <row r="612" spans="1:10" s="485" customFormat="1">
      <c r="A612" s="1465"/>
      <c r="B612" s="1469"/>
      <c r="C612" s="1471"/>
      <c r="D612" s="458" t="s">
        <v>1742</v>
      </c>
      <c r="E612" s="459"/>
      <c r="F612" s="460"/>
      <c r="G612" s="463"/>
      <c r="H612" s="462"/>
      <c r="I612" s="510">
        <v>41760</v>
      </c>
      <c r="J612" s="1504"/>
    </row>
    <row r="613" spans="1:10" s="483" customFormat="1">
      <c r="A613" s="1438"/>
      <c r="B613" s="1468"/>
      <c r="C613" s="1441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504"/>
    </row>
    <row r="614" spans="1:10" s="485" customFormat="1">
      <c r="A614" s="1466"/>
      <c r="B614" s="1470"/>
      <c r="C614" s="1472"/>
      <c r="D614" s="458" t="s">
        <v>1342</v>
      </c>
      <c r="E614" s="459"/>
      <c r="F614" s="460"/>
      <c r="G614" s="468"/>
      <c r="H614" s="462"/>
      <c r="I614" s="510">
        <v>419760</v>
      </c>
      <c r="J614" s="1505"/>
    </row>
    <row r="615" spans="1:10" s="483" customFormat="1">
      <c r="A615" s="1473">
        <v>7</v>
      </c>
      <c r="B615" s="1475" t="s">
        <v>2110</v>
      </c>
      <c r="C615" s="1477" t="s">
        <v>2111</v>
      </c>
      <c r="D615" s="1437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506">
        <f>ROUND(I621*0.8,0)</f>
        <v>45330</v>
      </c>
    </row>
    <row r="616" spans="1:10" s="483" customFormat="1">
      <c r="A616" s="1473"/>
      <c r="B616" s="1475"/>
      <c r="C616" s="1477"/>
      <c r="D616" s="1438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504"/>
    </row>
    <row r="617" spans="1:10" s="483" customFormat="1">
      <c r="A617" s="1473"/>
      <c r="B617" s="1475"/>
      <c r="C617" s="1477"/>
      <c r="D617" s="1439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504"/>
    </row>
    <row r="618" spans="1:10" s="485" customFormat="1">
      <c r="A618" s="1474"/>
      <c r="B618" s="1476"/>
      <c r="C618" s="1478"/>
      <c r="D618" s="458" t="s">
        <v>1332</v>
      </c>
      <c r="E618" s="459"/>
      <c r="F618" s="460"/>
      <c r="G618" s="463"/>
      <c r="H618" s="462"/>
      <c r="I618" s="510">
        <v>42556</v>
      </c>
      <c r="J618" s="1504"/>
    </row>
    <row r="619" spans="1:10" s="485" customFormat="1">
      <c r="A619" s="1474"/>
      <c r="B619" s="1476"/>
      <c r="C619" s="1478"/>
      <c r="D619" s="458" t="s">
        <v>1742</v>
      </c>
      <c r="E619" s="459"/>
      <c r="F619" s="460"/>
      <c r="G619" s="463"/>
      <c r="H619" s="462"/>
      <c r="I619" s="510">
        <v>5106.72</v>
      </c>
      <c r="J619" s="1504"/>
    </row>
    <row r="620" spans="1:10" s="483" customFormat="1">
      <c r="A620" s="1473"/>
      <c r="B620" s="1475"/>
      <c r="C620" s="1477"/>
      <c r="D620" s="1489" t="s">
        <v>1336</v>
      </c>
      <c r="E620" s="1489"/>
      <c r="F620" s="466" t="s">
        <v>1689</v>
      </c>
      <c r="G620" s="467">
        <v>10</v>
      </c>
      <c r="H620" s="457">
        <v>900</v>
      </c>
      <c r="I620" s="527">
        <v>9000</v>
      </c>
      <c r="J620" s="1504"/>
    </row>
    <row r="621" spans="1:10" s="485" customFormat="1">
      <c r="A621" s="1474"/>
      <c r="B621" s="1476"/>
      <c r="C621" s="1478"/>
      <c r="D621" s="458" t="s">
        <v>1342</v>
      </c>
      <c r="E621" s="459"/>
      <c r="F621" s="460"/>
      <c r="G621" s="468"/>
      <c r="H621" s="462"/>
      <c r="I621" s="510">
        <v>56662.720000000001</v>
      </c>
      <c r="J621" s="1505"/>
    </row>
    <row r="622" spans="1:10" s="483" customFormat="1">
      <c r="A622" s="1440">
        <v>8</v>
      </c>
      <c r="B622" s="1434" t="s">
        <v>1014</v>
      </c>
      <c r="C622" s="1440" t="s">
        <v>1312</v>
      </c>
      <c r="D622" s="1437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506">
        <f>ROUND(I629*0.8,0)</f>
        <v>74766</v>
      </c>
    </row>
    <row r="623" spans="1:10" s="483" customFormat="1">
      <c r="A623" s="1441"/>
      <c r="B623" s="1486"/>
      <c r="C623" s="1441"/>
      <c r="D623" s="1438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504"/>
    </row>
    <row r="624" spans="1:10" s="483" customFormat="1">
      <c r="A624" s="1441"/>
      <c r="B624" s="1486"/>
      <c r="C624" s="1441"/>
      <c r="D624" s="1438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504"/>
    </row>
    <row r="625" spans="1:10" s="483" customFormat="1">
      <c r="A625" s="1441"/>
      <c r="B625" s="1486"/>
      <c r="C625" s="1441"/>
      <c r="D625" s="1438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504"/>
    </row>
    <row r="626" spans="1:10" s="483" customFormat="1" ht="48">
      <c r="A626" s="1441"/>
      <c r="B626" s="1486"/>
      <c r="C626" s="1441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504"/>
    </row>
    <row r="627" spans="1:10" s="485" customFormat="1">
      <c r="A627" s="1471"/>
      <c r="B627" s="1487"/>
      <c r="C627" s="1471"/>
      <c r="D627" s="458" t="s">
        <v>1332</v>
      </c>
      <c r="E627" s="459"/>
      <c r="F627" s="460"/>
      <c r="G627" s="463"/>
      <c r="H627" s="462"/>
      <c r="I627" s="510">
        <v>83443.820000000007</v>
      </c>
      <c r="J627" s="1504"/>
    </row>
    <row r="628" spans="1:10" s="485" customFormat="1">
      <c r="A628" s="1471"/>
      <c r="B628" s="1487"/>
      <c r="C628" s="1471"/>
      <c r="D628" s="458" t="s">
        <v>1742</v>
      </c>
      <c r="E628" s="459"/>
      <c r="F628" s="460"/>
      <c r="G628" s="463"/>
      <c r="H628" s="462"/>
      <c r="I628" s="510">
        <v>10013.258400000001</v>
      </c>
      <c r="J628" s="1504"/>
    </row>
    <row r="629" spans="1:10" s="485" customFormat="1">
      <c r="A629" s="1472"/>
      <c r="B629" s="1488"/>
      <c r="C629" s="1472"/>
      <c r="D629" s="458" t="s">
        <v>1342</v>
      </c>
      <c r="E629" s="459"/>
      <c r="F629" s="460"/>
      <c r="G629" s="468"/>
      <c r="H629" s="462"/>
      <c r="I629" s="510">
        <v>93457.078399999999</v>
      </c>
      <c r="J629" s="1505"/>
    </row>
    <row r="630" spans="1:10" s="483" customFormat="1">
      <c r="A630" s="1440">
        <v>9</v>
      </c>
      <c r="B630" s="1434" t="s">
        <v>2121</v>
      </c>
      <c r="C630" s="1440" t="s">
        <v>1312</v>
      </c>
      <c r="D630" s="1437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506">
        <f>ROUND(I637*0.8,0)</f>
        <v>99918</v>
      </c>
    </row>
    <row r="631" spans="1:10" s="483" customFormat="1">
      <c r="A631" s="1441"/>
      <c r="B631" s="1486"/>
      <c r="C631" s="1441"/>
      <c r="D631" s="1438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504"/>
    </row>
    <row r="632" spans="1:10" s="483" customFormat="1">
      <c r="A632" s="1441"/>
      <c r="B632" s="1486"/>
      <c r="C632" s="1441"/>
      <c r="D632" s="1438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504"/>
    </row>
    <row r="633" spans="1:10" s="483" customFormat="1">
      <c r="A633" s="1441"/>
      <c r="B633" s="1486"/>
      <c r="C633" s="1441"/>
      <c r="D633" s="1438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504"/>
    </row>
    <row r="634" spans="1:10" s="483" customFormat="1" ht="48">
      <c r="A634" s="1441"/>
      <c r="B634" s="1486"/>
      <c r="C634" s="1441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504"/>
    </row>
    <row r="635" spans="1:10" s="485" customFormat="1">
      <c r="A635" s="1471"/>
      <c r="B635" s="1487"/>
      <c r="C635" s="1471"/>
      <c r="D635" s="458" t="s">
        <v>1332</v>
      </c>
      <c r="E635" s="459"/>
      <c r="F635" s="460"/>
      <c r="G635" s="463"/>
      <c r="H635" s="462"/>
      <c r="I635" s="510">
        <v>111515.7</v>
      </c>
      <c r="J635" s="1504"/>
    </row>
    <row r="636" spans="1:10" s="485" customFormat="1">
      <c r="A636" s="1471"/>
      <c r="B636" s="1487"/>
      <c r="C636" s="1471"/>
      <c r="D636" s="458" t="s">
        <v>1742</v>
      </c>
      <c r="E636" s="459"/>
      <c r="F636" s="460"/>
      <c r="G636" s="463"/>
      <c r="H636" s="462"/>
      <c r="I636" s="510">
        <v>13381.884</v>
      </c>
      <c r="J636" s="1504"/>
    </row>
    <row r="637" spans="1:10" s="485" customFormat="1">
      <c r="A637" s="1472"/>
      <c r="B637" s="1488"/>
      <c r="C637" s="1472"/>
      <c r="D637" s="458" t="s">
        <v>1342</v>
      </c>
      <c r="E637" s="459"/>
      <c r="F637" s="460"/>
      <c r="G637" s="468"/>
      <c r="H637" s="462"/>
      <c r="I637" s="510">
        <v>124897.584</v>
      </c>
      <c r="J637" s="1505"/>
    </row>
    <row r="638" spans="1:10" s="483" customFormat="1">
      <c r="A638" s="1473">
        <v>10</v>
      </c>
      <c r="B638" s="1475" t="s">
        <v>233</v>
      </c>
      <c r="C638" s="1477" t="s">
        <v>1312</v>
      </c>
      <c r="D638" s="1437" t="s">
        <v>1684</v>
      </c>
      <c r="E638" s="1467" t="s">
        <v>2123</v>
      </c>
      <c r="F638" s="1437" t="s">
        <v>1315</v>
      </c>
      <c r="G638" s="470">
        <v>322.32</v>
      </c>
      <c r="H638" s="457">
        <v>222.3</v>
      </c>
      <c r="I638" s="527">
        <v>71651.736000000004</v>
      </c>
      <c r="J638" s="1506">
        <f>ROUND(I653*0.9,0)</f>
        <v>1752482</v>
      </c>
    </row>
    <row r="639" spans="1:10" s="483" customFormat="1">
      <c r="A639" s="1473"/>
      <c r="B639" s="1475"/>
      <c r="C639" s="1477"/>
      <c r="D639" s="1438"/>
      <c r="E639" s="1468"/>
      <c r="F639" s="1438"/>
      <c r="G639" s="470">
        <v>309.95999999999998</v>
      </c>
      <c r="H639" s="457">
        <v>150</v>
      </c>
      <c r="I639" s="527">
        <v>46494</v>
      </c>
      <c r="J639" s="1504"/>
    </row>
    <row r="640" spans="1:10" s="483" customFormat="1">
      <c r="A640" s="1473"/>
      <c r="B640" s="1475"/>
      <c r="C640" s="1477"/>
      <c r="D640" s="1438"/>
      <c r="E640" s="1468"/>
      <c r="F640" s="1438"/>
      <c r="G640" s="470">
        <v>402</v>
      </c>
      <c r="H640" s="457">
        <v>245.25</v>
      </c>
      <c r="I640" s="527">
        <v>98590.5</v>
      </c>
      <c r="J640" s="1504"/>
    </row>
    <row r="641" spans="1:10" s="483" customFormat="1">
      <c r="A641" s="1473"/>
      <c r="B641" s="1475"/>
      <c r="C641" s="1477"/>
      <c r="D641" s="1438"/>
      <c r="E641" s="1468"/>
      <c r="F641" s="1438"/>
      <c r="G641" s="470">
        <v>322.32</v>
      </c>
      <c r="H641" s="457">
        <v>225.6</v>
      </c>
      <c r="I641" s="527">
        <v>72715.392000000007</v>
      </c>
      <c r="J641" s="1504"/>
    </row>
    <row r="642" spans="1:10" s="483" customFormat="1">
      <c r="A642" s="1473"/>
      <c r="B642" s="1475"/>
      <c r="C642" s="1477"/>
      <c r="D642" s="1438"/>
      <c r="E642" s="1468"/>
      <c r="F642" s="1438"/>
      <c r="G642" s="470">
        <v>1</v>
      </c>
      <c r="H642" s="457">
        <v>91238.399999999994</v>
      </c>
      <c r="I642" s="527">
        <v>91238.399999999994</v>
      </c>
      <c r="J642" s="1504"/>
    </row>
    <row r="643" spans="1:10" s="483" customFormat="1">
      <c r="A643" s="1473"/>
      <c r="B643" s="1475"/>
      <c r="C643" s="1477"/>
      <c r="D643" s="1439"/>
      <c r="E643" s="1479"/>
      <c r="F643" s="1439"/>
      <c r="G643" s="470">
        <v>56</v>
      </c>
      <c r="H643" s="457">
        <v>1250</v>
      </c>
      <c r="I643" s="527">
        <v>70000</v>
      </c>
      <c r="J643" s="1504"/>
    </row>
    <row r="644" spans="1:10" s="483" customFormat="1">
      <c r="A644" s="1473"/>
      <c r="B644" s="1475"/>
      <c r="C644" s="1477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504"/>
    </row>
    <row r="645" spans="1:10" s="483" customFormat="1">
      <c r="A645" s="1473"/>
      <c r="B645" s="1475"/>
      <c r="C645" s="1477"/>
      <c r="D645" s="1437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504"/>
    </row>
    <row r="646" spans="1:10" s="483" customFormat="1">
      <c r="A646" s="1473"/>
      <c r="B646" s="1475"/>
      <c r="C646" s="1477"/>
      <c r="D646" s="1438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504"/>
    </row>
    <row r="647" spans="1:10" s="483" customFormat="1">
      <c r="A647" s="1473"/>
      <c r="B647" s="1475"/>
      <c r="C647" s="1477"/>
      <c r="D647" s="1438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504"/>
    </row>
    <row r="648" spans="1:10" s="483" customFormat="1">
      <c r="A648" s="1473"/>
      <c r="B648" s="1475"/>
      <c r="C648" s="1477"/>
      <c r="D648" s="1438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504"/>
    </row>
    <row r="649" spans="1:10" s="483" customFormat="1">
      <c r="A649" s="1473"/>
      <c r="B649" s="1475"/>
      <c r="C649" s="1477"/>
      <c r="D649" s="1439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504"/>
    </row>
    <row r="650" spans="1:10" s="485" customFormat="1">
      <c r="A650" s="1474"/>
      <c r="B650" s="1476"/>
      <c r="C650" s="1478"/>
      <c r="D650" s="458" t="s">
        <v>1332</v>
      </c>
      <c r="E650" s="459"/>
      <c r="F650" s="460"/>
      <c r="G650" s="463"/>
      <c r="H650" s="462"/>
      <c r="I650" s="510">
        <v>1697457.054</v>
      </c>
      <c r="J650" s="1504"/>
    </row>
    <row r="651" spans="1:10" s="485" customFormat="1">
      <c r="A651" s="1474"/>
      <c r="B651" s="1476"/>
      <c r="C651" s="1478"/>
      <c r="D651" s="458" t="s">
        <v>1742</v>
      </c>
      <c r="E651" s="459"/>
      <c r="F651" s="460"/>
      <c r="G651" s="463"/>
      <c r="H651" s="462"/>
      <c r="I651" s="510">
        <v>169745.70540000001</v>
      </c>
      <c r="J651" s="1504"/>
    </row>
    <row r="652" spans="1:10" s="483" customFormat="1" ht="24">
      <c r="A652" s="1473"/>
      <c r="B652" s="1475"/>
      <c r="C652" s="1477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504"/>
    </row>
    <row r="653" spans="1:10" s="485" customFormat="1">
      <c r="A653" s="1474"/>
      <c r="B653" s="1476"/>
      <c r="C653" s="1478"/>
      <c r="D653" s="458" t="s">
        <v>1342</v>
      </c>
      <c r="E653" s="459"/>
      <c r="F653" s="460"/>
      <c r="G653" s="463"/>
      <c r="H653" s="462"/>
      <c r="I653" s="510">
        <v>1947202.7594000001</v>
      </c>
      <c r="J653" s="1505"/>
    </row>
    <row r="654" spans="1:10" s="483" customFormat="1" ht="36">
      <c r="A654" s="1477">
        <v>11</v>
      </c>
      <c r="B654" s="1490" t="s">
        <v>234</v>
      </c>
      <c r="C654" s="1477" t="s">
        <v>1312</v>
      </c>
      <c r="D654" s="1473" t="s">
        <v>1684</v>
      </c>
      <c r="E654" s="465" t="s">
        <v>2129</v>
      </c>
      <c r="F654" s="466" t="s">
        <v>1315</v>
      </c>
      <c r="G654" s="1477">
        <v>2534</v>
      </c>
      <c r="H654" s="1482">
        <v>310</v>
      </c>
      <c r="I654" s="1456">
        <v>785540</v>
      </c>
      <c r="J654" s="1506">
        <f>ROUND(I661*0.9,0)</f>
        <v>900471</v>
      </c>
    </row>
    <row r="655" spans="1:10" s="483" customFormat="1" ht="24">
      <c r="A655" s="1477"/>
      <c r="B655" s="1490"/>
      <c r="C655" s="1477"/>
      <c r="D655" s="1473"/>
      <c r="E655" s="465" t="s">
        <v>2130</v>
      </c>
      <c r="F655" s="466" t="s">
        <v>1315</v>
      </c>
      <c r="G655" s="1477"/>
      <c r="H655" s="1482"/>
      <c r="I655" s="1456"/>
      <c r="J655" s="1504"/>
    </row>
    <row r="656" spans="1:10" s="483" customFormat="1" ht="60">
      <c r="A656" s="1477"/>
      <c r="B656" s="1490"/>
      <c r="C656" s="1477"/>
      <c r="D656" s="1473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504"/>
    </row>
    <row r="657" spans="1:10" s="483" customFormat="1" ht="60">
      <c r="A657" s="1477"/>
      <c r="B657" s="1490"/>
      <c r="C657" s="1477"/>
      <c r="D657" s="1473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504"/>
    </row>
    <row r="658" spans="1:10" s="483" customFormat="1">
      <c r="A658" s="1477"/>
      <c r="B658" s="1490"/>
      <c r="C658" s="1477"/>
      <c r="D658" s="1473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504"/>
    </row>
    <row r="659" spans="1:10" s="485" customFormat="1">
      <c r="A659" s="1478"/>
      <c r="B659" s="1491"/>
      <c r="C659" s="1478"/>
      <c r="D659" s="458" t="s">
        <v>1332</v>
      </c>
      <c r="E659" s="459"/>
      <c r="F659" s="460"/>
      <c r="G659" s="463"/>
      <c r="H659" s="462"/>
      <c r="I659" s="510">
        <v>893324</v>
      </c>
      <c r="J659" s="1504"/>
    </row>
    <row r="660" spans="1:10" s="485" customFormat="1">
      <c r="A660" s="1478"/>
      <c r="B660" s="1491"/>
      <c r="C660" s="1478"/>
      <c r="D660" s="458" t="s">
        <v>1742</v>
      </c>
      <c r="E660" s="459"/>
      <c r="F660" s="460"/>
      <c r="G660" s="463"/>
      <c r="H660" s="462"/>
      <c r="I660" s="510">
        <v>107198.88</v>
      </c>
      <c r="J660" s="1504"/>
    </row>
    <row r="661" spans="1:10" s="485" customFormat="1">
      <c r="A661" s="1478"/>
      <c r="B661" s="1491"/>
      <c r="C661" s="1478"/>
      <c r="D661" s="458" t="s">
        <v>1342</v>
      </c>
      <c r="E661" s="459"/>
      <c r="F661" s="460"/>
      <c r="G661" s="463"/>
      <c r="H661" s="462"/>
      <c r="I661" s="510">
        <v>1000522.88</v>
      </c>
      <c r="J661" s="1505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509" t="s">
        <v>1343</v>
      </c>
      <c r="B1" s="1509"/>
      <c r="C1" s="1509"/>
      <c r="D1" s="1509"/>
      <c r="E1" s="1509"/>
      <c r="F1" s="1509"/>
      <c r="G1" s="1509"/>
      <c r="H1" s="1509"/>
      <c r="I1" s="1509"/>
      <c r="J1" s="1509"/>
      <c r="K1" s="1509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510">
        <v>1</v>
      </c>
      <c r="B3" s="1511" t="s">
        <v>246</v>
      </c>
      <c r="C3" s="1511" t="s">
        <v>1344</v>
      </c>
      <c r="D3" s="1513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510"/>
      <c r="B4" s="1511"/>
      <c r="C4" s="1511"/>
      <c r="D4" s="1513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510"/>
      <c r="B5" s="1511"/>
      <c r="C5" s="1511"/>
      <c r="D5" s="1513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510"/>
      <c r="B6" s="1511"/>
      <c r="C6" s="1511"/>
      <c r="D6" s="1513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510"/>
      <c r="B7" s="1511"/>
      <c r="C7" s="1511"/>
      <c r="D7" s="1513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510"/>
      <c r="B8" s="1511"/>
      <c r="C8" s="1511"/>
      <c r="D8" s="1513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510"/>
      <c r="B9" s="1511"/>
      <c r="C9" s="1511"/>
      <c r="D9" s="1513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510"/>
      <c r="B10" s="1511"/>
      <c r="C10" s="1511"/>
      <c r="D10" s="1513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510"/>
      <c r="B11" s="1511"/>
      <c r="C11" s="1511"/>
      <c r="D11" s="1513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510"/>
      <c r="B12" s="1511"/>
      <c r="C12" s="1511"/>
      <c r="D12" s="1513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510"/>
      <c r="B13" s="1511"/>
      <c r="C13" s="1511"/>
      <c r="D13" s="1513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510"/>
      <c r="B14" s="1511"/>
      <c r="C14" s="1511"/>
      <c r="D14" s="1513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510"/>
      <c r="B15" s="1511"/>
      <c r="C15" s="1511"/>
      <c r="D15" s="1513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510"/>
      <c r="B16" s="1511"/>
      <c r="C16" s="1511"/>
      <c r="D16" s="1513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510"/>
      <c r="B17" s="1511"/>
      <c r="C17" s="1511"/>
      <c r="D17" s="1513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510"/>
      <c r="B18" s="1511"/>
      <c r="C18" s="1511"/>
      <c r="D18" s="1513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510"/>
      <c r="B19" s="1511"/>
      <c r="C19" s="1511"/>
      <c r="D19" s="1513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510"/>
      <c r="B20" s="1511"/>
      <c r="C20" s="1511"/>
      <c r="D20" s="1513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510"/>
      <c r="B21" s="1511"/>
      <c r="C21" s="1511"/>
      <c r="D21" s="1513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510"/>
      <c r="B22" s="1511"/>
      <c r="C22" s="1511"/>
      <c r="D22" s="1513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510"/>
      <c r="B23" s="1511"/>
      <c r="C23" s="1511"/>
      <c r="D23" s="1513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510"/>
      <c r="B24" s="1511"/>
      <c r="C24" s="1511"/>
      <c r="D24" s="1513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510"/>
      <c r="B25" s="1511"/>
      <c r="C25" s="1511"/>
      <c r="D25" s="1513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510"/>
      <c r="B26" s="1511"/>
      <c r="C26" s="1511"/>
      <c r="D26" s="1513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510"/>
      <c r="B27" s="1512"/>
      <c r="C27" s="1512"/>
      <c r="D27" s="1513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509" t="s">
        <v>1302</v>
      </c>
      <c r="B1" s="1509"/>
      <c r="C1" s="1509"/>
      <c r="D1" s="1509"/>
      <c r="E1" s="1509"/>
      <c r="F1" s="1509"/>
      <c r="G1" s="1509"/>
      <c r="H1" s="1509"/>
      <c r="I1" s="1509"/>
      <c r="J1" s="1509"/>
      <c r="K1" s="1509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510">
        <v>1</v>
      </c>
      <c r="B3" s="1511" t="s">
        <v>1020</v>
      </c>
      <c r="C3" s="1511" t="s">
        <v>1311</v>
      </c>
      <c r="D3" s="1513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510"/>
      <c r="B4" s="1511"/>
      <c r="C4" s="1511"/>
      <c r="D4" s="1513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510"/>
      <c r="B5" s="1511"/>
      <c r="C5" s="1511"/>
      <c r="D5" s="1513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510"/>
      <c r="B6" s="1511"/>
      <c r="C6" s="1511"/>
      <c r="D6" s="1513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510"/>
      <c r="B7" s="1511"/>
      <c r="C7" s="1511"/>
      <c r="D7" s="1513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510"/>
      <c r="B8" s="1511"/>
      <c r="C8" s="1511"/>
      <c r="D8" s="1513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510"/>
      <c r="B9" s="1511"/>
      <c r="C9" s="1511"/>
      <c r="D9" s="1513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510"/>
      <c r="B10" s="1511"/>
      <c r="C10" s="1511"/>
      <c r="D10" s="1513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510"/>
      <c r="B11" s="1511"/>
      <c r="C11" s="1511"/>
      <c r="D11" s="1513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510"/>
      <c r="B12" s="1511"/>
      <c r="C12" s="1511"/>
      <c r="D12" s="1513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510"/>
      <c r="B13" s="1511"/>
      <c r="C13" s="1511"/>
      <c r="D13" s="1513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510"/>
      <c r="B14" s="1511"/>
      <c r="C14" s="1511"/>
      <c r="D14" s="1513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510"/>
      <c r="B15" s="1511"/>
      <c r="C15" s="1511"/>
      <c r="D15" s="1513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510"/>
      <c r="B16" s="1511"/>
      <c r="C16" s="1511"/>
      <c r="D16" s="1513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510"/>
      <c r="B17" s="1511"/>
      <c r="C17" s="1511"/>
      <c r="D17" s="1513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510"/>
      <c r="B18" s="1512"/>
      <c r="C18" s="1512"/>
      <c r="D18" s="1513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531" t="s">
        <v>1389</v>
      </c>
      <c r="B1" s="1531"/>
      <c r="C1" s="1531"/>
      <c r="D1" s="1531"/>
      <c r="E1" s="1531"/>
      <c r="F1" s="1531"/>
      <c r="G1" s="1531"/>
      <c r="H1" s="1531"/>
      <c r="I1" s="1531"/>
      <c r="J1" s="1531"/>
      <c r="K1" s="1531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532">
        <v>536351</v>
      </c>
      <c r="G21" s="1532">
        <v>535292.01</v>
      </c>
      <c r="H21" s="1532">
        <f>37641+17667+16500+5580+6164+2000</f>
        <v>85552</v>
      </c>
      <c r="I21" s="1532">
        <f t="shared" si="5"/>
        <v>620844.01</v>
      </c>
      <c r="J21" s="1532">
        <f>538883+84612</f>
        <v>623495</v>
      </c>
      <c r="K21" s="1532">
        <f t="shared" si="6"/>
        <v>-2650.9899999999907</v>
      </c>
      <c r="L21" s="1520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533"/>
      <c r="G22" s="1533"/>
      <c r="H22" s="1533"/>
      <c r="I22" s="1533"/>
      <c r="J22" s="1533"/>
      <c r="K22" s="1533"/>
      <c r="L22" s="1521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522">
        <v>1223655</v>
      </c>
      <c r="E24" s="1522">
        <v>1038978</v>
      </c>
      <c r="F24" s="1525">
        <v>1032617</v>
      </c>
      <c r="G24" s="1525">
        <v>1024383.77</v>
      </c>
      <c r="H24" s="1525">
        <v>166111</v>
      </c>
      <c r="I24" s="1525">
        <f t="shared" ref="I24:I29" si="9">G24+H24</f>
        <v>1190494.77</v>
      </c>
      <c r="J24" s="1525">
        <f>220184+978924</f>
        <v>1199108</v>
      </c>
      <c r="K24" s="1525">
        <f>I24-J24</f>
        <v>-8613.2299999999814</v>
      </c>
      <c r="L24" s="1528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523"/>
      <c r="E25" s="1523"/>
      <c r="F25" s="1526"/>
      <c r="G25" s="1526"/>
      <c r="H25" s="1526"/>
      <c r="I25" s="1526"/>
      <c r="J25" s="1526"/>
      <c r="K25" s="1526"/>
      <c r="L25" s="1529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523"/>
      <c r="E26" s="1523"/>
      <c r="F26" s="1526"/>
      <c r="G26" s="1526"/>
      <c r="H26" s="1526"/>
      <c r="I26" s="1526"/>
      <c r="J26" s="1526"/>
      <c r="K26" s="1526"/>
      <c r="L26" s="1529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524"/>
      <c r="E27" s="1524"/>
      <c r="F27" s="1527"/>
      <c r="G27" s="1527"/>
      <c r="H27" s="1527"/>
      <c r="I27" s="1527"/>
      <c r="J27" s="1527"/>
      <c r="K27" s="1527"/>
      <c r="L27" s="1530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514">
        <v>1726329.6</v>
      </c>
      <c r="E34" s="1514">
        <v>1514580</v>
      </c>
      <c r="F34" s="1514">
        <v>1497650.24</v>
      </c>
      <c r="G34" s="1514">
        <v>1496858</v>
      </c>
      <c r="H34" s="1514">
        <v>165131</v>
      </c>
      <c r="I34" s="1514">
        <v>1661898</v>
      </c>
      <c r="J34" s="1516">
        <v>1697229.6</v>
      </c>
      <c r="K34" s="1518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515"/>
      <c r="E35" s="1515"/>
      <c r="F35" s="1515"/>
      <c r="G35" s="1515"/>
      <c r="H35" s="1515"/>
      <c r="I35" s="1515"/>
      <c r="J35" s="1517"/>
      <c r="K35" s="1519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534" t="s">
        <v>2382</v>
      </c>
      <c r="B1" s="1535"/>
      <c r="C1" s="1535"/>
      <c r="D1" s="1535"/>
      <c r="E1" s="1535"/>
      <c r="F1" s="1535"/>
      <c r="G1" s="1535"/>
      <c r="H1" s="1535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357" t="s">
        <v>828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</row>
    <row r="2" spans="1:11" ht="24.7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359" t="s">
        <v>17</v>
      </c>
      <c r="K2" s="1359" t="s">
        <v>18</v>
      </c>
    </row>
    <row r="3" spans="1:11" ht="15" customHeight="1">
      <c r="A3" s="1360"/>
      <c r="B3" s="1360"/>
      <c r="C3" s="1360"/>
      <c r="D3" s="1360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360"/>
      <c r="K3" s="1360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F7" sqref="F7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2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36" t="s">
        <v>2867</v>
      </c>
      <c r="B1" s="1536"/>
      <c r="C1" s="1536"/>
      <c r="D1" s="1536"/>
      <c r="E1" s="1536"/>
      <c r="F1" s="1536"/>
      <c r="G1" s="1536"/>
      <c r="H1" s="1536"/>
      <c r="I1" s="1536"/>
      <c r="J1" s="1536"/>
      <c r="K1" s="1536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70" t="s">
        <v>2051</v>
      </c>
      <c r="B3" s="970" t="s">
        <v>1001</v>
      </c>
      <c r="C3" s="971" t="s">
        <v>1030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-50</v>
      </c>
      <c r="J3" s="974">
        <f t="shared" ref="J3:J14" si="0">H3*I3</f>
        <v>-20000</v>
      </c>
      <c r="K3" s="970"/>
    </row>
    <row r="4" spans="1:11" ht="20.100000000000001" customHeight="1" outlineLevel="2">
      <c r="A4" s="970" t="s">
        <v>2051</v>
      </c>
      <c r="B4" s="970" t="s">
        <v>1001</v>
      </c>
      <c r="C4" s="971" t="s">
        <v>1030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-1</v>
      </c>
      <c r="J4" s="974">
        <f t="shared" si="0"/>
        <v>-2000</v>
      </c>
      <c r="K4" s="970"/>
    </row>
    <row r="5" spans="1:11" ht="20.100000000000001" customHeight="1" outlineLevel="2">
      <c r="A5" s="970" t="s">
        <v>2051</v>
      </c>
      <c r="B5" s="970" t="s">
        <v>1001</v>
      </c>
      <c r="C5" s="971" t="s">
        <v>1030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-1</v>
      </c>
      <c r="J5" s="974">
        <f t="shared" si="0"/>
        <v>-3500</v>
      </c>
      <c r="K5" s="970"/>
    </row>
    <row r="6" spans="1:11" ht="20.100000000000001" customHeight="1" outlineLevel="2">
      <c r="A6" s="970" t="s">
        <v>2051</v>
      </c>
      <c r="B6" s="970" t="s">
        <v>1001</v>
      </c>
      <c r="C6" s="971" t="s">
        <v>1030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-1</v>
      </c>
      <c r="J6" s="974">
        <f t="shared" si="0"/>
        <v>-1100</v>
      </c>
      <c r="K6" s="970"/>
    </row>
    <row r="7" spans="1:11" ht="20.100000000000001" customHeight="1" outlineLevel="2">
      <c r="A7" s="970" t="s">
        <v>2051</v>
      </c>
      <c r="B7" s="970" t="s">
        <v>1001</v>
      </c>
      <c r="C7" s="971" t="s">
        <v>1030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-4</v>
      </c>
      <c r="J7" s="974">
        <f t="shared" si="0"/>
        <v>-6400</v>
      </c>
      <c r="K7" s="970"/>
    </row>
    <row r="8" spans="1:11" ht="20.100000000000001" customHeight="1" outlineLevel="2">
      <c r="A8" s="970" t="s">
        <v>2051</v>
      </c>
      <c r="B8" s="970" t="s">
        <v>1001</v>
      </c>
      <c r="C8" s="971" t="s">
        <v>1030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-2</v>
      </c>
      <c r="J8" s="974">
        <f t="shared" si="0"/>
        <v>-1400</v>
      </c>
      <c r="K8" s="970"/>
    </row>
    <row r="9" spans="1:11" ht="20.100000000000001" customHeight="1" outlineLevel="2">
      <c r="A9" s="970" t="s">
        <v>2051</v>
      </c>
      <c r="B9" s="970" t="s">
        <v>1001</v>
      </c>
      <c r="C9" s="971" t="s">
        <v>1030</v>
      </c>
      <c r="D9" s="972" t="s">
        <v>2456</v>
      </c>
      <c r="E9" s="971" t="s">
        <v>2468</v>
      </c>
      <c r="F9" s="975" t="s">
        <v>2483</v>
      </c>
      <c r="G9" s="970"/>
      <c r="H9" s="973">
        <v>18000</v>
      </c>
      <c r="I9" s="970">
        <v>-1</v>
      </c>
      <c r="J9" s="974">
        <f t="shared" si="0"/>
        <v>-18000</v>
      </c>
      <c r="K9" s="970"/>
    </row>
    <row r="10" spans="1:11" ht="20.100000000000001" customHeight="1" outlineLevel="2">
      <c r="A10" s="970" t="s">
        <v>2051</v>
      </c>
      <c r="B10" s="970" t="s">
        <v>1001</v>
      </c>
      <c r="C10" s="971" t="s">
        <v>1030</v>
      </c>
      <c r="D10" s="972" t="s">
        <v>2456</v>
      </c>
      <c r="E10" s="976" t="s">
        <v>2465</v>
      </c>
      <c r="F10" s="975" t="s">
        <v>2480</v>
      </c>
      <c r="G10" s="970"/>
      <c r="H10" s="973">
        <v>6000</v>
      </c>
      <c r="I10" s="970">
        <v>-4</v>
      </c>
      <c r="J10" s="974">
        <f t="shared" si="0"/>
        <v>-24000</v>
      </c>
      <c r="K10" s="970"/>
    </row>
    <row r="11" spans="1:11" ht="20.100000000000001" customHeight="1" outlineLevel="2">
      <c r="A11" s="970" t="s">
        <v>2051</v>
      </c>
      <c r="B11" s="970" t="s">
        <v>1001</v>
      </c>
      <c r="C11" s="971" t="s">
        <v>1030</v>
      </c>
      <c r="D11" s="972" t="s">
        <v>2456</v>
      </c>
      <c r="E11" s="975" t="s">
        <v>2466</v>
      </c>
      <c r="F11" s="975" t="s">
        <v>2481</v>
      </c>
      <c r="G11" s="970"/>
      <c r="H11" s="973">
        <v>7000</v>
      </c>
      <c r="I11" s="970">
        <v>-2</v>
      </c>
      <c r="J11" s="974">
        <f t="shared" si="0"/>
        <v>-14000</v>
      </c>
      <c r="K11" s="970"/>
    </row>
    <row r="12" spans="1:11" ht="20.100000000000001" customHeight="1" outlineLevel="1">
      <c r="A12" s="964" t="s">
        <v>945</v>
      </c>
      <c r="B12" s="970"/>
      <c r="C12" s="971"/>
      <c r="D12" s="972"/>
      <c r="E12" s="975"/>
      <c r="F12" s="975"/>
      <c r="G12" s="970"/>
      <c r="H12" s="973"/>
      <c r="I12" s="970"/>
      <c r="J12" s="974">
        <f>SUBTOTAL(9,J3:J11)</f>
        <v>-90400</v>
      </c>
      <c r="K12" s="970"/>
    </row>
    <row r="13" spans="1:11" ht="20.100000000000001" customHeight="1" outlineLevel="2">
      <c r="A13" s="1143" t="s">
        <v>1449</v>
      </c>
      <c r="B13" s="1143" t="s">
        <v>994</v>
      </c>
      <c r="C13" s="1144" t="s">
        <v>1046</v>
      </c>
      <c r="D13" s="1145" t="s">
        <v>2456</v>
      </c>
      <c r="E13" s="1144" t="s">
        <v>2466</v>
      </c>
      <c r="F13" s="1144" t="s">
        <v>2969</v>
      </c>
      <c r="G13" s="1143"/>
      <c r="H13" s="1146">
        <v>7500</v>
      </c>
      <c r="I13" s="1143">
        <v>6</v>
      </c>
      <c r="J13" s="1147">
        <f t="shared" si="0"/>
        <v>45000</v>
      </c>
      <c r="K13" s="1148"/>
    </row>
    <row r="14" spans="1:11" ht="20.100000000000001" customHeight="1" outlineLevel="2">
      <c r="A14" s="1143" t="s">
        <v>1449</v>
      </c>
      <c r="B14" s="1143" t="s">
        <v>994</v>
      </c>
      <c r="C14" s="1144" t="s">
        <v>1046</v>
      </c>
      <c r="D14" s="1145" t="s">
        <v>2456</v>
      </c>
      <c r="E14" s="1144" t="s">
        <v>2466</v>
      </c>
      <c r="F14" s="1144" t="s">
        <v>2970</v>
      </c>
      <c r="G14" s="1143"/>
      <c r="H14" s="1146">
        <v>12000</v>
      </c>
      <c r="I14" s="1143">
        <v>6</v>
      </c>
      <c r="J14" s="1147">
        <f t="shared" si="0"/>
        <v>72000</v>
      </c>
      <c r="K14" s="1148"/>
    </row>
    <row r="15" spans="1:11" ht="20.100000000000001" customHeight="1" outlineLevel="1">
      <c r="A15" s="1149" t="s">
        <v>950</v>
      </c>
      <c r="B15" s="1143"/>
      <c r="C15" s="1144"/>
      <c r="D15" s="1145"/>
      <c r="E15" s="1144"/>
      <c r="F15" s="1144"/>
      <c r="G15" s="1143"/>
      <c r="H15" s="1146"/>
      <c r="I15" s="1143"/>
      <c r="J15" s="1147">
        <f>SUBTOTAL(9,J13:J14)</f>
        <v>117000</v>
      </c>
      <c r="K15" s="1148"/>
    </row>
    <row r="16" spans="1:11" ht="20.100000000000001" customHeight="1">
      <c r="A16" s="1149" t="s">
        <v>252</v>
      </c>
      <c r="B16" s="1143"/>
      <c r="C16" s="1144"/>
      <c r="D16" s="1145"/>
      <c r="E16" s="1144"/>
      <c r="F16" s="1144"/>
      <c r="G16" s="1143"/>
      <c r="H16" s="1146"/>
      <c r="I16" s="1143"/>
      <c r="J16" s="1147">
        <f>SUBTOTAL(9,J3:J14)</f>
        <v>26600</v>
      </c>
      <c r="K16" s="1148"/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36" t="s">
        <v>2867</v>
      </c>
      <c r="B1" s="1536"/>
      <c r="C1" s="1536"/>
      <c r="D1" s="1536"/>
      <c r="E1" s="1536"/>
      <c r="F1" s="1536"/>
      <c r="G1" s="1536"/>
      <c r="H1" s="1536"/>
      <c r="I1" s="1536"/>
      <c r="J1" s="1536"/>
      <c r="K1" s="1536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553" t="s">
        <v>2948</v>
      </c>
      <c r="B1" s="1397"/>
      <c r="C1" s="1397"/>
      <c r="D1" s="1397"/>
      <c r="E1" s="1397"/>
      <c r="F1" s="1397"/>
      <c r="G1" s="1554"/>
      <c r="H1" s="1554"/>
      <c r="I1" s="1555"/>
      <c r="J1" s="1554"/>
      <c r="K1" s="1556"/>
      <c r="L1" s="1397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557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558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558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559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537">
        <v>300000</v>
      </c>
      <c r="I42" s="1550">
        <v>1</v>
      </c>
      <c r="J42" s="1537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538"/>
      <c r="I43" s="1551"/>
      <c r="J43" s="1538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539"/>
      <c r="I44" s="1552"/>
      <c r="J44" s="1539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537">
        <v>13100</v>
      </c>
      <c r="I58" s="1550">
        <v>1</v>
      </c>
      <c r="J58" s="1537">
        <f>H58*I58</f>
        <v>13100</v>
      </c>
      <c r="K58" s="1557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538"/>
      <c r="I59" s="1551"/>
      <c r="J59" s="1538"/>
      <c r="K59" s="1558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538"/>
      <c r="I60" s="1551"/>
      <c r="J60" s="1538"/>
      <c r="K60" s="1558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538"/>
      <c r="I61" s="1551"/>
      <c r="J61" s="1538"/>
      <c r="K61" s="1558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539"/>
      <c r="I62" s="1552"/>
      <c r="J62" s="1539"/>
      <c r="K62" s="1559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537">
        <v>13200</v>
      </c>
      <c r="I71" s="1550">
        <v>1</v>
      </c>
      <c r="J71" s="1537">
        <v>13200</v>
      </c>
      <c r="K71" s="1557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538"/>
      <c r="I72" s="1551"/>
      <c r="J72" s="1538"/>
      <c r="K72" s="1558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538"/>
      <c r="I73" s="1551"/>
      <c r="J73" s="1538"/>
      <c r="K73" s="1558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538"/>
      <c r="I74" s="1551"/>
      <c r="J74" s="1538"/>
      <c r="K74" s="1558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538"/>
      <c r="I75" s="1551"/>
      <c r="J75" s="1538"/>
      <c r="K75" s="1558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538"/>
      <c r="I76" s="1551"/>
      <c r="J76" s="1538"/>
      <c r="K76" s="1558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538"/>
      <c r="I77" s="1551"/>
      <c r="J77" s="1538"/>
      <c r="K77" s="1558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544">
        <v>7700</v>
      </c>
      <c r="I80" s="1546">
        <v>1</v>
      </c>
      <c r="J80" s="1544">
        <f>H80</f>
        <v>7700</v>
      </c>
      <c r="K80" s="1548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545"/>
      <c r="I81" s="1547"/>
      <c r="J81" s="1545"/>
      <c r="K81" s="1549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545"/>
      <c r="I82" s="1547"/>
      <c r="J82" s="1545"/>
      <c r="K82" s="1549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545"/>
      <c r="I83" s="1547"/>
      <c r="J83" s="1545"/>
      <c r="K83" s="1549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545"/>
      <c r="I84" s="1547"/>
      <c r="J84" s="1545"/>
      <c r="K84" s="1549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545"/>
      <c r="I85" s="1547"/>
      <c r="J85" s="1545"/>
      <c r="K85" s="1549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545"/>
      <c r="I86" s="1547"/>
      <c r="J86" s="1545"/>
      <c r="K86" s="1549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545"/>
      <c r="I87" s="1547"/>
      <c r="J87" s="1545"/>
      <c r="K87" s="1549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537">
        <v>39600</v>
      </c>
      <c r="I90" s="1550">
        <v>1</v>
      </c>
      <c r="J90" s="1537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538"/>
      <c r="I91" s="1551"/>
      <c r="J91" s="1538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538"/>
      <c r="I92" s="1551"/>
      <c r="J92" s="1538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538"/>
      <c r="I93" s="1551"/>
      <c r="J93" s="1538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538"/>
      <c r="I94" s="1551"/>
      <c r="J94" s="1538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538"/>
      <c r="I95" s="1551"/>
      <c r="J95" s="1538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539"/>
      <c r="I96" s="1552"/>
      <c r="J96" s="1539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537">
        <v>22600</v>
      </c>
      <c r="I99" s="1550">
        <v>1</v>
      </c>
      <c r="J99" s="1537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538"/>
      <c r="I100" s="1551"/>
      <c r="J100" s="1538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538"/>
      <c r="I101" s="1551"/>
      <c r="J101" s="1538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539"/>
      <c r="I102" s="1552"/>
      <c r="J102" s="1539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540" t="s">
        <v>2851</v>
      </c>
      <c r="D168" s="1543"/>
      <c r="E168" s="1105"/>
      <c r="F168" s="1540" t="s">
        <v>2852</v>
      </c>
      <c r="G168" s="1541"/>
      <c r="H168" s="1541"/>
      <c r="I168" s="1542"/>
      <c r="J168" s="1541"/>
      <c r="K168" s="1541"/>
      <c r="L168" s="1543"/>
    </row>
    <row r="169" spans="1:15">
      <c r="A169" s="547"/>
    </row>
  </sheetData>
  <mergeCells count="25"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561" t="s">
        <v>2853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1563"/>
      <c r="O1" s="1563"/>
    </row>
    <row r="2" spans="1:15">
      <c r="A2" s="1564" t="s">
        <v>1330</v>
      </c>
      <c r="B2" s="1564" t="s">
        <v>2494</v>
      </c>
      <c r="C2" s="1566" t="s">
        <v>2495</v>
      </c>
      <c r="D2" s="1566" t="s">
        <v>980</v>
      </c>
      <c r="E2" s="1568" t="s">
        <v>2496</v>
      </c>
      <c r="F2" s="1568"/>
      <c r="G2" s="1568"/>
      <c r="H2" s="1568" t="s">
        <v>2497</v>
      </c>
      <c r="I2" s="1568"/>
      <c r="J2" s="1568"/>
      <c r="K2" s="877" t="s">
        <v>1308</v>
      </c>
      <c r="L2" s="877" t="s">
        <v>2498</v>
      </c>
      <c r="M2" s="1567" t="s">
        <v>2499</v>
      </c>
      <c r="N2" s="878"/>
      <c r="O2" s="1567" t="s">
        <v>2712</v>
      </c>
    </row>
    <row r="3" spans="1:15" ht="24">
      <c r="A3" s="1564"/>
      <c r="B3" s="1565"/>
      <c r="C3" s="1567"/>
      <c r="D3" s="1567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569"/>
      <c r="N3" s="878"/>
      <c r="O3" s="1569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560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560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571" t="s">
        <v>2855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2"/>
    </row>
    <row r="2" spans="1:13" ht="24.95" customHeight="1">
      <c r="A2" s="1573" t="s">
        <v>12</v>
      </c>
      <c r="B2" s="1574" t="s">
        <v>2495</v>
      </c>
      <c r="C2" s="1574" t="s">
        <v>980</v>
      </c>
      <c r="D2" s="1576" t="s">
        <v>2559</v>
      </c>
      <c r="E2" s="1576"/>
      <c r="F2" s="1576"/>
      <c r="G2" s="1576" t="s">
        <v>2560</v>
      </c>
      <c r="H2" s="1576"/>
      <c r="I2" s="1576"/>
      <c r="J2" s="751" t="s">
        <v>1308</v>
      </c>
      <c r="K2" s="751" t="s">
        <v>2561</v>
      </c>
      <c r="L2" s="1577" t="s">
        <v>2499</v>
      </c>
      <c r="M2" s="1578" t="s">
        <v>2712</v>
      </c>
    </row>
    <row r="3" spans="1:13" ht="18" customHeight="1">
      <c r="A3" s="1573"/>
      <c r="B3" s="1575"/>
      <c r="C3" s="1575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577"/>
      <c r="M3" s="1579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570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570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571" t="s">
        <v>2854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63"/>
    </row>
    <row r="2" spans="1:13" ht="24.95" customHeight="1">
      <c r="A2" s="1573" t="s">
        <v>12</v>
      </c>
      <c r="B2" s="1574" t="s">
        <v>2495</v>
      </c>
      <c r="C2" s="1574" t="s">
        <v>980</v>
      </c>
      <c r="D2" s="1576" t="s">
        <v>2559</v>
      </c>
      <c r="E2" s="1576"/>
      <c r="F2" s="1576"/>
      <c r="G2" s="1576" t="s">
        <v>2560</v>
      </c>
      <c r="H2" s="1576"/>
      <c r="I2" s="1576"/>
      <c r="J2" s="751" t="s">
        <v>1308</v>
      </c>
      <c r="K2" s="751" t="s">
        <v>2561</v>
      </c>
      <c r="L2" s="1577" t="s">
        <v>2499</v>
      </c>
      <c r="M2" s="1573" t="s">
        <v>2712</v>
      </c>
    </row>
    <row r="3" spans="1:13" ht="35.1" customHeight="1">
      <c r="A3" s="1573"/>
      <c r="B3" s="1575"/>
      <c r="C3" s="1575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577"/>
      <c r="M3" s="1580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570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570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583" t="s">
        <v>2856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385"/>
      <c r="M1" s="1385"/>
      <c r="N1" s="1385"/>
      <c r="O1" s="1385"/>
    </row>
    <row r="2" spans="1:15" s="814" customFormat="1" ht="23.25" customHeight="1">
      <c r="A2" s="1585" t="s">
        <v>12</v>
      </c>
      <c r="B2" s="1582" t="s">
        <v>2638</v>
      </c>
      <c r="C2" s="1582" t="s">
        <v>1</v>
      </c>
      <c r="D2" s="1585" t="s">
        <v>2639</v>
      </c>
      <c r="E2" s="1585"/>
      <c r="F2" s="1585"/>
      <c r="G2" s="1586" t="s">
        <v>2640</v>
      </c>
      <c r="H2" s="1586"/>
      <c r="I2" s="1586"/>
      <c r="J2" s="257" t="s">
        <v>2641</v>
      </c>
      <c r="K2" s="1586" t="s">
        <v>18</v>
      </c>
      <c r="L2" s="795"/>
      <c r="M2" s="795"/>
      <c r="N2" s="795"/>
      <c r="O2" s="1586" t="s">
        <v>2712</v>
      </c>
    </row>
    <row r="3" spans="1:15" s="818" customFormat="1" ht="23.25" customHeight="1">
      <c r="A3" s="1585"/>
      <c r="B3" s="1582"/>
      <c r="C3" s="1582"/>
      <c r="D3" s="1581" t="s">
        <v>1244</v>
      </c>
      <c r="E3" s="1582" t="s">
        <v>2501</v>
      </c>
      <c r="F3" s="815" t="s">
        <v>2642</v>
      </c>
      <c r="G3" s="1581" t="s">
        <v>1244</v>
      </c>
      <c r="H3" s="1582" t="s">
        <v>2597</v>
      </c>
      <c r="I3" s="870" t="s">
        <v>2642</v>
      </c>
      <c r="J3" s="816" t="s">
        <v>2643</v>
      </c>
      <c r="K3" s="1586"/>
      <c r="L3" s="817"/>
      <c r="M3" s="817"/>
      <c r="N3" s="817"/>
      <c r="O3" s="1586"/>
    </row>
    <row r="4" spans="1:15" s="818" customFormat="1" ht="23.25" customHeight="1">
      <c r="A4" s="1585"/>
      <c r="B4" s="1582"/>
      <c r="C4" s="1582"/>
      <c r="D4" s="1581"/>
      <c r="E4" s="1582"/>
      <c r="F4" s="815" t="s">
        <v>2644</v>
      </c>
      <c r="G4" s="1581"/>
      <c r="H4" s="1582"/>
      <c r="I4" s="870" t="s">
        <v>2645</v>
      </c>
      <c r="J4" s="816" t="s">
        <v>2644</v>
      </c>
      <c r="K4" s="1586"/>
      <c r="L4" s="817"/>
      <c r="M4" s="817"/>
      <c r="N4" s="817"/>
      <c r="O4" s="1586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427" t="s">
        <v>2729</v>
      </c>
      <c r="B1" s="1428"/>
      <c r="C1" s="1428"/>
      <c r="D1" s="1428"/>
      <c r="E1" s="1428"/>
      <c r="F1" s="1428"/>
      <c r="G1" s="1428"/>
      <c r="H1" s="1428"/>
      <c r="I1" s="1428"/>
      <c r="J1" s="1588"/>
    </row>
    <row r="2" spans="1:10" ht="20.100000000000001" customHeight="1">
      <c r="A2" s="1587" t="s">
        <v>12</v>
      </c>
      <c r="B2" s="1587" t="s">
        <v>1303</v>
      </c>
      <c r="C2" s="1587" t="s">
        <v>1305</v>
      </c>
      <c r="D2" s="1587" t="s">
        <v>1306</v>
      </c>
      <c r="E2" s="1589" t="s">
        <v>1307</v>
      </c>
      <c r="F2" s="1587" t="s">
        <v>1</v>
      </c>
      <c r="G2" s="1592" t="s">
        <v>1683</v>
      </c>
      <c r="H2" s="1592"/>
      <c r="I2" s="1593"/>
      <c r="J2" s="1587" t="s">
        <v>2751</v>
      </c>
    </row>
    <row r="3" spans="1:10" ht="20.100000000000001" customHeight="1">
      <c r="A3" s="1587"/>
      <c r="B3" s="1587"/>
      <c r="C3" s="1587"/>
      <c r="D3" s="1587"/>
      <c r="E3" s="1589"/>
      <c r="F3" s="1587"/>
      <c r="G3" s="995" t="s">
        <v>1308</v>
      </c>
      <c r="H3" s="947" t="s">
        <v>1309</v>
      </c>
      <c r="I3" s="996" t="s">
        <v>1310</v>
      </c>
      <c r="J3" s="1587"/>
    </row>
    <row r="4" spans="1:10" s="170" customFormat="1" ht="20.100000000000001" customHeight="1">
      <c r="A4" s="1589">
        <v>1</v>
      </c>
      <c r="B4" s="1589" t="s">
        <v>2730</v>
      </c>
      <c r="C4" s="1590" t="s">
        <v>1312</v>
      </c>
      <c r="D4" s="1591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589"/>
      <c r="B5" s="1589"/>
      <c r="C5" s="1590"/>
      <c r="D5" s="1591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589"/>
      <c r="B6" s="1589"/>
      <c r="C6" s="1590"/>
      <c r="D6" s="1591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589"/>
      <c r="B7" s="1589"/>
      <c r="C7" s="1590"/>
      <c r="D7" s="1591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589"/>
      <c r="B8" s="1589"/>
      <c r="C8" s="1590"/>
      <c r="D8" s="1591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589"/>
      <c r="B9" s="1589"/>
      <c r="C9" s="1590"/>
      <c r="D9" s="1591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589"/>
      <c r="B10" s="1589"/>
      <c r="C10" s="1590"/>
      <c r="D10" s="1591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589"/>
      <c r="B11" s="1589"/>
      <c r="C11" s="1590"/>
      <c r="D11" s="1591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589"/>
      <c r="B12" s="1589"/>
      <c r="C12" s="1590"/>
      <c r="D12" s="1591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589"/>
      <c r="B13" s="1589"/>
      <c r="C13" s="1590"/>
      <c r="D13" s="1591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589"/>
      <c r="B14" s="1589"/>
      <c r="C14" s="1590"/>
      <c r="D14" s="1591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589"/>
      <c r="B15" s="1589"/>
      <c r="C15" s="1590"/>
      <c r="D15" s="1591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589"/>
      <c r="B16" s="1589"/>
      <c r="C16" s="1590"/>
      <c r="D16" s="1591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589"/>
      <c r="B17" s="1589"/>
      <c r="C17" s="1590"/>
      <c r="D17" s="1591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589"/>
      <c r="B18" s="1589"/>
      <c r="C18" s="1590"/>
      <c r="D18" s="1591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589"/>
      <c r="B19" s="1589"/>
      <c r="C19" s="1590"/>
      <c r="D19" s="1591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589"/>
      <c r="B20" s="1589"/>
      <c r="C20" s="1590"/>
      <c r="D20" s="1591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589"/>
      <c r="B21" s="1589"/>
      <c r="C21" s="1590"/>
      <c r="D21" s="1591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589"/>
      <c r="B22" s="1589"/>
      <c r="C22" s="1590"/>
      <c r="D22" s="1591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589"/>
      <c r="B23" s="1589"/>
      <c r="C23" s="1590"/>
      <c r="D23" s="1591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589"/>
      <c r="B24" s="1589"/>
      <c r="C24" s="1590"/>
      <c r="D24" s="1591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589"/>
      <c r="B25" s="1589"/>
      <c r="C25" s="1590"/>
      <c r="D25" s="1591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589"/>
      <c r="B26" s="1589"/>
      <c r="C26" s="1590"/>
      <c r="D26" s="1591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589"/>
      <c r="B27" s="1589"/>
      <c r="C27" s="1590"/>
      <c r="D27" s="1591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589"/>
      <c r="B28" s="1589"/>
      <c r="C28" s="1590"/>
      <c r="D28" s="1591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589"/>
      <c r="B29" s="1589"/>
      <c r="C29" s="1590"/>
      <c r="D29" s="1591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589"/>
      <c r="B30" s="1589"/>
      <c r="C30" s="1590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589"/>
      <c r="B31" s="1589"/>
      <c r="C31" s="1590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589"/>
      <c r="B32" s="1589"/>
      <c r="C32" s="1590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589"/>
      <c r="B33" s="1589"/>
      <c r="C33" s="1590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594" t="s">
        <v>2713</v>
      </c>
      <c r="B1" s="1595"/>
      <c r="C1" s="1595"/>
      <c r="D1" s="1595"/>
      <c r="E1" s="1595"/>
      <c r="F1" s="1595"/>
      <c r="G1" s="1595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596" t="s">
        <v>2720</v>
      </c>
      <c r="B1" s="1596"/>
      <c r="C1" s="1596"/>
      <c r="D1" s="1596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357" t="s">
        <v>829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  <c r="L1" s="1358"/>
      <c r="M1" s="1358"/>
      <c r="N1" s="1358"/>
      <c r="O1" s="1358"/>
      <c r="P1" s="1358"/>
      <c r="Q1" s="1358"/>
      <c r="R1" s="1358"/>
      <c r="S1" s="1358"/>
      <c r="T1" s="1358"/>
      <c r="U1" s="1358"/>
      <c r="V1" s="1358"/>
      <c r="W1" s="1358"/>
      <c r="X1" s="1358"/>
      <c r="Y1" s="1358"/>
    </row>
    <row r="2" spans="1:25" ht="24.9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359" t="s">
        <v>17</v>
      </c>
    </row>
    <row r="3" spans="1:25" ht="24.95" customHeight="1">
      <c r="A3" s="1360"/>
      <c r="B3" s="1360"/>
      <c r="C3" s="1360"/>
      <c r="D3" s="1360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360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A4" sqref="A4:XFD4"/>
    </sheetView>
  </sheetViews>
  <sheetFormatPr defaultColWidth="9" defaultRowHeight="13.5"/>
  <cols>
    <col min="1" max="1" width="17.5" style="1157" customWidth="1"/>
    <col min="2" max="2" width="7.875" style="1157" customWidth="1"/>
    <col min="3" max="3" width="9.5" style="1157" customWidth="1"/>
    <col min="4" max="4" width="13.75" style="1158" customWidth="1"/>
    <col min="5" max="5" width="33.5" style="1158" customWidth="1"/>
    <col min="6" max="6" width="31.25" style="1158" customWidth="1"/>
    <col min="7" max="7" width="6.375" style="1158" customWidth="1"/>
    <col min="8" max="8" width="11.375" style="1158" customWidth="1"/>
    <col min="9" max="9" width="13.5" style="1158" customWidth="1"/>
    <col min="10" max="10" width="12.75" style="1159" bestFit="1" customWidth="1"/>
    <col min="11" max="16384" width="9" style="1156"/>
  </cols>
  <sheetData>
    <row r="1" spans="1:10" s="1150" customFormat="1" ht="39.75" customHeight="1">
      <c r="A1" s="1597" t="s">
        <v>2977</v>
      </c>
      <c r="B1" s="1598"/>
      <c r="C1" s="1597"/>
      <c r="D1" s="1597"/>
      <c r="E1" s="1597"/>
      <c r="F1" s="1597"/>
      <c r="G1" s="1597"/>
      <c r="H1" s="1597"/>
      <c r="I1" s="1597"/>
    </row>
    <row r="2" spans="1:10" s="1153" customFormat="1" ht="39.950000000000003" customHeight="1">
      <c r="A2" s="1151" t="s">
        <v>632</v>
      </c>
      <c r="B2" s="1151" t="s">
        <v>631</v>
      </c>
      <c r="C2" s="1151" t="s">
        <v>2971</v>
      </c>
      <c r="D2" s="1152" t="s">
        <v>13</v>
      </c>
      <c r="E2" s="1152" t="s">
        <v>1242</v>
      </c>
      <c r="F2" s="1152" t="s">
        <v>1243</v>
      </c>
      <c r="G2" s="1151" t="s">
        <v>1244</v>
      </c>
      <c r="H2" s="1151" t="s">
        <v>1245</v>
      </c>
      <c r="I2" s="1151" t="s">
        <v>1246</v>
      </c>
    </row>
    <row r="3" spans="1:10" ht="39.950000000000003" customHeight="1">
      <c r="A3" s="1154" t="s">
        <v>2975</v>
      </c>
      <c r="B3" s="1154" t="s">
        <v>1239</v>
      </c>
      <c r="C3" s="1154" t="s">
        <v>2973</v>
      </c>
      <c r="D3" s="1154" t="s">
        <v>2974</v>
      </c>
      <c r="E3" s="1176" t="s">
        <v>2976</v>
      </c>
      <c r="F3" s="1176" t="s">
        <v>2976</v>
      </c>
      <c r="G3" s="1154">
        <v>1</v>
      </c>
      <c r="H3" s="1154">
        <v>1200000</v>
      </c>
      <c r="I3" s="1155">
        <f>G3*H3</f>
        <v>1200000</v>
      </c>
      <c r="J3" s="1156"/>
    </row>
    <row r="4" spans="1:10" ht="39.950000000000003" customHeight="1">
      <c r="A4" s="1160" t="s">
        <v>267</v>
      </c>
      <c r="B4" s="1160"/>
      <c r="C4" s="1160"/>
      <c r="D4" s="1161"/>
      <c r="E4" s="1161"/>
      <c r="F4" s="1161"/>
      <c r="G4" s="1161"/>
      <c r="H4" s="1161"/>
      <c r="I4" s="1155">
        <f>SUM(I3:I3)</f>
        <v>1200000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AN52"/>
  <sheetViews>
    <sheetView topLeftCell="A34" workbookViewId="0">
      <selection activeCell="I27" sqref="I27"/>
    </sheetView>
  </sheetViews>
  <sheetFormatPr defaultColWidth="9" defaultRowHeight="13.5" outlineLevelRow="2"/>
  <cols>
    <col min="1" max="1" width="32.375" style="1173" customWidth="1"/>
    <col min="2" max="2" width="11.25" style="1175" customWidth="1"/>
    <col min="3" max="3" width="9.5" style="1173" customWidth="1"/>
    <col min="4" max="4" width="9.875" style="1173" customWidth="1"/>
    <col min="5" max="5" width="31.125" style="1174" customWidth="1"/>
    <col min="6" max="6" width="31" style="1174" customWidth="1"/>
    <col min="7" max="7" width="5.25" style="1174" customWidth="1"/>
    <col min="8" max="8" width="11.875" style="1174" customWidth="1"/>
    <col min="9" max="9" width="11.625" style="1174" customWidth="1"/>
    <col min="10" max="10" width="23" style="1174" customWidth="1"/>
    <col min="11" max="16384" width="9" style="1174"/>
  </cols>
  <sheetData>
    <row r="1" spans="1:9" s="1162" customFormat="1" ht="22.5">
      <c r="A1" s="1599" t="s">
        <v>2978</v>
      </c>
      <c r="B1" s="1599"/>
      <c r="C1" s="1599"/>
      <c r="D1" s="1599"/>
      <c r="E1" s="1600"/>
      <c r="F1" s="1600"/>
      <c r="G1" s="1600"/>
      <c r="H1" s="1600"/>
      <c r="I1" s="1600"/>
    </row>
    <row r="2" spans="1:9" s="1165" customFormat="1" ht="38.1" customHeight="1">
      <c r="A2" s="1163" t="s">
        <v>2979</v>
      </c>
      <c r="B2" s="1164" t="s">
        <v>631</v>
      </c>
      <c r="C2" s="1163" t="s">
        <v>982</v>
      </c>
      <c r="D2" s="1163" t="s">
        <v>2980</v>
      </c>
      <c r="E2" s="1164" t="s">
        <v>1242</v>
      </c>
      <c r="F2" s="1164" t="s">
        <v>1243</v>
      </c>
      <c r="G2" s="1164" t="s">
        <v>1244</v>
      </c>
      <c r="H2" s="1164" t="s">
        <v>1245</v>
      </c>
      <c r="I2" s="1164" t="s">
        <v>1246</v>
      </c>
    </row>
    <row r="3" spans="1:9" s="1165" customFormat="1" ht="38.1" customHeight="1">
      <c r="A3" s="1166" t="s">
        <v>223</v>
      </c>
      <c r="B3" s="1167" t="s">
        <v>10</v>
      </c>
      <c r="C3" s="1166" t="s">
        <v>998</v>
      </c>
      <c r="D3" s="1168" t="s">
        <v>2973</v>
      </c>
      <c r="E3" s="1166" t="s">
        <v>2981</v>
      </c>
      <c r="F3" s="1166" t="s">
        <v>2982</v>
      </c>
      <c r="G3" s="1166">
        <v>1</v>
      </c>
      <c r="H3" s="1169">
        <v>185000</v>
      </c>
      <c r="I3" s="1169">
        <v>185000</v>
      </c>
    </row>
    <row r="4" spans="1:9" s="1165" customFormat="1" ht="38.1" customHeight="1">
      <c r="A4" s="1166"/>
      <c r="B4" s="1164" t="s">
        <v>262</v>
      </c>
      <c r="C4" s="1166"/>
      <c r="D4" s="1168"/>
      <c r="E4" s="1166"/>
      <c r="F4" s="1166"/>
      <c r="G4" s="1166"/>
      <c r="H4" s="1169"/>
      <c r="I4" s="1169">
        <f>SUBTOTAL(9,I3:I3)</f>
        <v>185000</v>
      </c>
    </row>
    <row r="5" spans="1:9" s="1165" customFormat="1" ht="38.1" customHeight="1">
      <c r="A5" s="1168" t="s">
        <v>1040</v>
      </c>
      <c r="B5" s="1169" t="s">
        <v>8</v>
      </c>
      <c r="C5" s="1168" t="s">
        <v>2983</v>
      </c>
      <c r="D5" s="1168" t="s">
        <v>2973</v>
      </c>
      <c r="E5" s="1166" t="s">
        <v>2984</v>
      </c>
      <c r="F5" s="1166" t="s">
        <v>2985</v>
      </c>
      <c r="G5" s="1166">
        <v>1</v>
      </c>
      <c r="H5" s="1169">
        <v>100000</v>
      </c>
      <c r="I5" s="1169">
        <v>100000</v>
      </c>
    </row>
    <row r="6" spans="1:9" s="1165" customFormat="1" ht="38.1" customHeight="1">
      <c r="A6" s="1168" t="s">
        <v>1040</v>
      </c>
      <c r="B6" s="1169" t="s">
        <v>8</v>
      </c>
      <c r="C6" s="1168" t="s">
        <v>2983</v>
      </c>
      <c r="D6" s="1168" t="s">
        <v>2973</v>
      </c>
      <c r="E6" s="1166" t="s">
        <v>2986</v>
      </c>
      <c r="F6" s="1166" t="s">
        <v>2987</v>
      </c>
      <c r="G6" s="1166">
        <v>1</v>
      </c>
      <c r="H6" s="1166">
        <v>150000</v>
      </c>
      <c r="I6" s="1169">
        <v>150000</v>
      </c>
    </row>
    <row r="7" spans="1:9" s="1165" customFormat="1" ht="38.1" customHeight="1">
      <c r="A7" s="1168"/>
      <c r="B7" s="1170" t="s">
        <v>260</v>
      </c>
      <c r="C7" s="1168"/>
      <c r="D7" s="1168"/>
      <c r="E7" s="1166"/>
      <c r="F7" s="1166"/>
      <c r="G7" s="1166"/>
      <c r="H7" s="1166"/>
      <c r="I7" s="1169">
        <f>SUBTOTAL(9,I5:I6)</f>
        <v>250000</v>
      </c>
    </row>
    <row r="8" spans="1:9" s="1165" customFormat="1" ht="38.1" customHeight="1">
      <c r="A8" s="1168" t="s">
        <v>1032</v>
      </c>
      <c r="B8" s="1169" t="s">
        <v>7</v>
      </c>
      <c r="C8" s="1168" t="s">
        <v>998</v>
      </c>
      <c r="D8" s="1168" t="s">
        <v>2973</v>
      </c>
      <c r="E8" s="1166" t="s">
        <v>2986</v>
      </c>
      <c r="F8" s="1166" t="s">
        <v>2987</v>
      </c>
      <c r="G8" s="1166">
        <v>1</v>
      </c>
      <c r="H8" s="1166">
        <v>150000</v>
      </c>
      <c r="I8" s="1169">
        <v>150000</v>
      </c>
    </row>
    <row r="9" spans="1:9" s="1165" customFormat="1" ht="38.1" customHeight="1">
      <c r="A9" s="1168" t="s">
        <v>1032</v>
      </c>
      <c r="B9" s="1169" t="s">
        <v>7</v>
      </c>
      <c r="C9" s="1168" t="s">
        <v>998</v>
      </c>
      <c r="D9" s="1168" t="s">
        <v>2973</v>
      </c>
      <c r="E9" s="1168" t="s">
        <v>2988</v>
      </c>
      <c r="F9" s="1168" t="s">
        <v>2982</v>
      </c>
      <c r="G9" s="1166">
        <v>1</v>
      </c>
      <c r="H9" s="1166">
        <v>135000</v>
      </c>
      <c r="I9" s="1169">
        <v>135000</v>
      </c>
    </row>
    <row r="10" spans="1:9" s="1165" customFormat="1" ht="38.1" customHeight="1">
      <c r="A10" s="1168" t="s">
        <v>1030</v>
      </c>
      <c r="B10" s="1169" t="s">
        <v>7</v>
      </c>
      <c r="C10" s="1168" t="s">
        <v>1001</v>
      </c>
      <c r="D10" s="1168" t="s">
        <v>2973</v>
      </c>
      <c r="E10" s="1166" t="s">
        <v>2986</v>
      </c>
      <c r="F10" s="1166" t="s">
        <v>2987</v>
      </c>
      <c r="G10" s="1166">
        <v>1</v>
      </c>
      <c r="H10" s="1166">
        <v>150000</v>
      </c>
      <c r="I10" s="1169">
        <v>150000</v>
      </c>
    </row>
    <row r="11" spans="1:9" s="1165" customFormat="1" ht="38.1" customHeight="1">
      <c r="A11" s="1168"/>
      <c r="B11" s="1170" t="s">
        <v>259</v>
      </c>
      <c r="C11" s="1168"/>
      <c r="D11" s="1168"/>
      <c r="E11" s="1166"/>
      <c r="F11" s="1166"/>
      <c r="G11" s="1166"/>
      <c r="H11" s="1166"/>
      <c r="I11" s="1169">
        <f>SUBTOTAL(9,I8:I10)</f>
        <v>435000</v>
      </c>
    </row>
    <row r="12" spans="1:9" s="1165" customFormat="1" ht="38.1" customHeight="1">
      <c r="A12" s="1168" t="s">
        <v>468</v>
      </c>
      <c r="B12" s="1169" t="s">
        <v>6</v>
      </c>
      <c r="C12" s="1168" t="s">
        <v>998</v>
      </c>
      <c r="D12" s="1168" t="s">
        <v>2973</v>
      </c>
      <c r="E12" s="1166" t="s">
        <v>2986</v>
      </c>
      <c r="F12" s="1166" t="s">
        <v>2987</v>
      </c>
      <c r="G12" s="1166">
        <v>1</v>
      </c>
      <c r="H12" s="1166">
        <v>150000</v>
      </c>
      <c r="I12" s="1169">
        <v>150000</v>
      </c>
    </row>
    <row r="13" spans="1:9" s="1165" customFormat="1" ht="38.1" customHeight="1">
      <c r="A13" s="1168" t="s">
        <v>1020</v>
      </c>
      <c r="B13" s="1169" t="s">
        <v>6</v>
      </c>
      <c r="C13" s="1168" t="s">
        <v>1001</v>
      </c>
      <c r="D13" s="1168" t="s">
        <v>2973</v>
      </c>
      <c r="E13" s="1166" t="s">
        <v>2986</v>
      </c>
      <c r="F13" s="1166" t="s">
        <v>2987</v>
      </c>
      <c r="G13" s="1166">
        <v>1</v>
      </c>
      <c r="H13" s="1166">
        <v>150000</v>
      </c>
      <c r="I13" s="1169">
        <v>150000</v>
      </c>
    </row>
    <row r="14" spans="1:9" s="1165" customFormat="1" ht="38.1" customHeight="1">
      <c r="A14" s="1168"/>
      <c r="B14" s="1170" t="s">
        <v>258</v>
      </c>
      <c r="C14" s="1168"/>
      <c r="D14" s="1168"/>
      <c r="E14" s="1166"/>
      <c r="F14" s="1166"/>
      <c r="G14" s="1166"/>
      <c r="H14" s="1166"/>
      <c r="I14" s="1169">
        <f>SUBTOTAL(9,I12:I13)</f>
        <v>300000</v>
      </c>
    </row>
    <row r="15" spans="1:9" s="1165" customFormat="1" ht="38.1" customHeight="1">
      <c r="A15" s="1166" t="s">
        <v>234</v>
      </c>
      <c r="B15" s="1166" t="s">
        <v>5</v>
      </c>
      <c r="C15" s="1168" t="s">
        <v>998</v>
      </c>
      <c r="D15" s="1168" t="s">
        <v>2973</v>
      </c>
      <c r="E15" s="1166" t="s">
        <v>2989</v>
      </c>
      <c r="F15" s="1166" t="s">
        <v>2990</v>
      </c>
      <c r="G15" s="1166">
        <v>1</v>
      </c>
      <c r="H15" s="1166">
        <v>100000</v>
      </c>
      <c r="I15" s="1169">
        <f>G15*H15</f>
        <v>100000</v>
      </c>
    </row>
    <row r="16" spans="1:9" s="1165" customFormat="1" ht="38.1" customHeight="1">
      <c r="A16" s="1166" t="s">
        <v>234</v>
      </c>
      <c r="B16" s="1166" t="s">
        <v>5</v>
      </c>
      <c r="C16" s="1168" t="s">
        <v>998</v>
      </c>
      <c r="D16" s="1168" t="s">
        <v>2973</v>
      </c>
      <c r="E16" s="1166" t="s">
        <v>2984</v>
      </c>
      <c r="F16" s="1166" t="s">
        <v>2985</v>
      </c>
      <c r="G16" s="1166">
        <v>1</v>
      </c>
      <c r="H16" s="1166">
        <v>100000</v>
      </c>
      <c r="I16" s="1169">
        <f>G16*H16</f>
        <v>100000</v>
      </c>
    </row>
    <row r="17" spans="1:40" s="1165" customFormat="1" ht="38.1" customHeight="1">
      <c r="A17" s="1168" t="s">
        <v>233</v>
      </c>
      <c r="B17" s="1168" t="s">
        <v>5</v>
      </c>
      <c r="C17" s="1168" t="s">
        <v>998</v>
      </c>
      <c r="D17" s="1168" t="s">
        <v>2973</v>
      </c>
      <c r="E17" s="1166" t="s">
        <v>2986</v>
      </c>
      <c r="F17" s="1166" t="s">
        <v>2987</v>
      </c>
      <c r="G17" s="1166">
        <v>1</v>
      </c>
      <c r="H17" s="1166">
        <v>150000</v>
      </c>
      <c r="I17" s="1169">
        <v>150000</v>
      </c>
    </row>
    <row r="18" spans="1:40" s="1165" customFormat="1" ht="38.1" customHeight="1">
      <c r="A18" s="1168" t="s">
        <v>229</v>
      </c>
      <c r="B18" s="1168" t="s">
        <v>5</v>
      </c>
      <c r="C18" s="1168" t="s">
        <v>1001</v>
      </c>
      <c r="D18" s="1168" t="s">
        <v>2973</v>
      </c>
      <c r="E18" s="1166" t="s">
        <v>2984</v>
      </c>
      <c r="F18" s="1166" t="s">
        <v>2985</v>
      </c>
      <c r="G18" s="1166">
        <v>1</v>
      </c>
      <c r="H18" s="1166">
        <v>100000</v>
      </c>
      <c r="I18" s="1169">
        <v>100000</v>
      </c>
    </row>
    <row r="19" spans="1:40" s="1165" customFormat="1" ht="38.1" customHeight="1">
      <c r="A19" s="1168"/>
      <c r="B19" s="1171" t="s">
        <v>257</v>
      </c>
      <c r="C19" s="1168"/>
      <c r="D19" s="1168"/>
      <c r="E19" s="1166"/>
      <c r="F19" s="1166"/>
      <c r="G19" s="1166"/>
      <c r="H19" s="1166"/>
      <c r="I19" s="1169">
        <f>SUBTOTAL(9,I15:I18)</f>
        <v>450000</v>
      </c>
    </row>
    <row r="20" spans="1:40" s="1165" customFormat="1" ht="38.1" customHeight="1">
      <c r="A20" s="1168" t="s">
        <v>237</v>
      </c>
      <c r="B20" s="1168" t="s">
        <v>4</v>
      </c>
      <c r="C20" s="1168" t="s">
        <v>1001</v>
      </c>
      <c r="D20" s="1166" t="s">
        <v>2973</v>
      </c>
      <c r="E20" s="1168" t="s">
        <v>2991</v>
      </c>
      <c r="F20" s="1168" t="s">
        <v>2992</v>
      </c>
      <c r="G20" s="1168">
        <v>1</v>
      </c>
      <c r="H20" s="1168">
        <v>70000</v>
      </c>
      <c r="I20" s="1169">
        <v>70000</v>
      </c>
    </row>
    <row r="21" spans="1:40" s="1165" customFormat="1" ht="38.1" customHeight="1">
      <c r="A21" s="1168" t="s">
        <v>241</v>
      </c>
      <c r="B21" s="1168" t="s">
        <v>4</v>
      </c>
      <c r="C21" s="1168" t="s">
        <v>998</v>
      </c>
      <c r="D21" s="1166" t="s">
        <v>2973</v>
      </c>
      <c r="E21" s="1168" t="s">
        <v>2991</v>
      </c>
      <c r="F21" s="1168" t="s">
        <v>2992</v>
      </c>
      <c r="G21" s="1168">
        <v>1</v>
      </c>
      <c r="H21" s="1168">
        <v>100000</v>
      </c>
      <c r="I21" s="1169">
        <v>100000</v>
      </c>
    </row>
    <row r="22" spans="1:40" s="1165" customFormat="1" ht="38.1" customHeight="1">
      <c r="A22" s="1168" t="s">
        <v>2993</v>
      </c>
      <c r="B22" s="1168" t="s">
        <v>4</v>
      </c>
      <c r="C22" s="1168" t="s">
        <v>1001</v>
      </c>
      <c r="D22" s="1168" t="s">
        <v>2972</v>
      </c>
      <c r="E22" s="1168" t="s">
        <v>2991</v>
      </c>
      <c r="F22" s="1168" t="s">
        <v>2992</v>
      </c>
      <c r="G22" s="1168">
        <v>1</v>
      </c>
      <c r="H22" s="1168">
        <v>90000</v>
      </c>
      <c r="I22" s="1169">
        <v>90000</v>
      </c>
    </row>
    <row r="23" spans="1:40" s="1165" customFormat="1" ht="38.1" customHeight="1">
      <c r="A23" s="1166" t="s">
        <v>2994</v>
      </c>
      <c r="B23" s="1166" t="s">
        <v>4</v>
      </c>
      <c r="C23" s="1166" t="s">
        <v>2995</v>
      </c>
      <c r="D23" s="1166" t="s">
        <v>2972</v>
      </c>
      <c r="E23" s="1166" t="s">
        <v>2996</v>
      </c>
      <c r="F23" s="1166" t="s">
        <v>2997</v>
      </c>
      <c r="G23" s="1166">
        <v>1</v>
      </c>
      <c r="H23" s="1166">
        <v>100000</v>
      </c>
      <c r="I23" s="1169">
        <v>100000</v>
      </c>
    </row>
    <row r="24" spans="1:40" s="1165" customFormat="1" ht="38.1" customHeight="1" outlineLevel="2">
      <c r="A24" s="1166" t="s">
        <v>2994</v>
      </c>
      <c r="B24" s="1166" t="s">
        <v>4</v>
      </c>
      <c r="C24" s="1166" t="s">
        <v>2995</v>
      </c>
      <c r="D24" s="1166" t="s">
        <v>2972</v>
      </c>
      <c r="E24" s="1166" t="s">
        <v>2998</v>
      </c>
      <c r="F24" s="1166" t="s">
        <v>2982</v>
      </c>
      <c r="G24" s="1166">
        <v>1</v>
      </c>
      <c r="H24" s="1166">
        <v>120000</v>
      </c>
      <c r="I24" s="1169">
        <v>120000</v>
      </c>
    </row>
    <row r="25" spans="1:40" s="1172" customFormat="1" ht="38.1" customHeight="1" outlineLevel="2">
      <c r="A25" s="1168" t="s">
        <v>237</v>
      </c>
      <c r="B25" s="1166" t="s">
        <v>4</v>
      </c>
      <c r="C25" s="1168" t="s">
        <v>1001</v>
      </c>
      <c r="D25" s="1168" t="s">
        <v>2973</v>
      </c>
      <c r="E25" s="1166" t="s">
        <v>2984</v>
      </c>
      <c r="F25" s="1166" t="s">
        <v>2985</v>
      </c>
      <c r="G25" s="1166">
        <v>1</v>
      </c>
      <c r="H25" s="1166">
        <v>100000</v>
      </c>
      <c r="I25" s="1169">
        <v>100000</v>
      </c>
      <c r="J25" s="1165"/>
      <c r="K25" s="1165"/>
      <c r="L25" s="1165"/>
      <c r="M25" s="1165"/>
      <c r="N25" s="1165"/>
      <c r="O25" s="1165"/>
      <c r="P25" s="1165"/>
      <c r="Q25" s="1165"/>
      <c r="R25" s="1165"/>
      <c r="S25" s="1165"/>
      <c r="T25" s="1165"/>
      <c r="U25" s="1165"/>
      <c r="V25" s="1165"/>
      <c r="W25" s="1165"/>
      <c r="X25" s="1165"/>
      <c r="Y25" s="1165"/>
      <c r="Z25" s="1165"/>
      <c r="AA25" s="1165"/>
      <c r="AB25" s="1165"/>
      <c r="AC25" s="1165"/>
      <c r="AD25" s="1165"/>
      <c r="AE25" s="1165"/>
      <c r="AF25" s="1165"/>
      <c r="AG25" s="1165"/>
      <c r="AH25" s="1165"/>
      <c r="AI25" s="1165"/>
      <c r="AJ25" s="1165"/>
      <c r="AK25" s="1165"/>
      <c r="AL25" s="1165"/>
      <c r="AM25" s="1165"/>
      <c r="AN25" s="1165"/>
    </row>
    <row r="26" spans="1:40" s="1165" customFormat="1" ht="38.1" customHeight="1">
      <c r="A26" s="1166" t="s">
        <v>2993</v>
      </c>
      <c r="B26" s="1166" t="s">
        <v>4</v>
      </c>
      <c r="C26" s="1166" t="s">
        <v>1001</v>
      </c>
      <c r="D26" s="1166" t="s">
        <v>2972</v>
      </c>
      <c r="E26" s="1166" t="s">
        <v>2981</v>
      </c>
      <c r="F26" s="1166" t="s">
        <v>2982</v>
      </c>
      <c r="G26" s="1166">
        <v>1</v>
      </c>
      <c r="H26" s="1166">
        <v>185000</v>
      </c>
      <c r="I26" s="1169">
        <v>185000</v>
      </c>
    </row>
    <row r="27" spans="1:40" s="1165" customFormat="1" ht="38.1" customHeight="1">
      <c r="A27" s="1166" t="s">
        <v>237</v>
      </c>
      <c r="B27" s="1166" t="s">
        <v>4</v>
      </c>
      <c r="C27" s="1166" t="s">
        <v>1001</v>
      </c>
      <c r="D27" s="1166" t="s">
        <v>2973</v>
      </c>
      <c r="E27" s="1166" t="s">
        <v>2981</v>
      </c>
      <c r="F27" s="1166" t="s">
        <v>2982</v>
      </c>
      <c r="G27" s="1166">
        <v>1</v>
      </c>
      <c r="H27" s="1166">
        <v>180000</v>
      </c>
      <c r="I27" s="1169">
        <v>180000</v>
      </c>
    </row>
    <row r="28" spans="1:40" s="1165" customFormat="1" ht="38.1" customHeight="1">
      <c r="A28" s="1166" t="s">
        <v>241</v>
      </c>
      <c r="B28" s="1166" t="s">
        <v>4</v>
      </c>
      <c r="C28" s="1166" t="s">
        <v>998</v>
      </c>
      <c r="D28" s="1166" t="s">
        <v>2973</v>
      </c>
      <c r="E28" s="1166" t="s">
        <v>2981</v>
      </c>
      <c r="F28" s="1166" t="s">
        <v>2982</v>
      </c>
      <c r="G28" s="1166">
        <v>1</v>
      </c>
      <c r="H28" s="1166">
        <v>365000</v>
      </c>
      <c r="I28" s="1169">
        <v>365000</v>
      </c>
    </row>
    <row r="29" spans="1:40" s="1165" customFormat="1" ht="38.1" customHeight="1">
      <c r="A29" s="1166" t="s">
        <v>241</v>
      </c>
      <c r="B29" s="1166" t="s">
        <v>4</v>
      </c>
      <c r="C29" s="1166" t="s">
        <v>998</v>
      </c>
      <c r="D29" s="1166" t="s">
        <v>2973</v>
      </c>
      <c r="E29" s="1166" t="s">
        <v>2986</v>
      </c>
      <c r="F29" s="1166" t="s">
        <v>2987</v>
      </c>
      <c r="G29" s="1166">
        <v>1</v>
      </c>
      <c r="H29" s="1166">
        <v>150000</v>
      </c>
      <c r="I29" s="1169">
        <v>150000</v>
      </c>
    </row>
    <row r="30" spans="1:40" s="1165" customFormat="1" ht="38.1" customHeight="1">
      <c r="A30" s="1166"/>
      <c r="B30" s="1163" t="s">
        <v>256</v>
      </c>
      <c r="C30" s="1166"/>
      <c r="D30" s="1166"/>
      <c r="E30" s="1166"/>
      <c r="F30" s="1166"/>
      <c r="G30" s="1166"/>
      <c r="H30" s="1166"/>
      <c r="I30" s="1169">
        <f>SUBTOTAL(9,I20:I29)</f>
        <v>1460000</v>
      </c>
    </row>
    <row r="31" spans="1:40" s="1165" customFormat="1" ht="38.1" customHeight="1">
      <c r="A31" s="1168" t="s">
        <v>249</v>
      </c>
      <c r="B31" s="1168" t="s">
        <v>9</v>
      </c>
      <c r="C31" s="1168" t="s">
        <v>998</v>
      </c>
      <c r="D31" s="1168" t="s">
        <v>2973</v>
      </c>
      <c r="E31" s="1168" t="s">
        <v>2991</v>
      </c>
      <c r="F31" s="1168" t="s">
        <v>2992</v>
      </c>
      <c r="G31" s="1168">
        <v>1</v>
      </c>
      <c r="H31" s="1168">
        <v>50000</v>
      </c>
      <c r="I31" s="1169">
        <f t="shared" ref="I31" si="0">G31*H31</f>
        <v>50000</v>
      </c>
    </row>
    <row r="32" spans="1:40" s="1165" customFormat="1" ht="38.1" customHeight="1">
      <c r="A32" s="1168" t="s">
        <v>247</v>
      </c>
      <c r="B32" s="1168" t="s">
        <v>9</v>
      </c>
      <c r="C32" s="1168" t="s">
        <v>1001</v>
      </c>
      <c r="D32" s="1168" t="s">
        <v>2973</v>
      </c>
      <c r="E32" s="1168" t="s">
        <v>2988</v>
      </c>
      <c r="F32" s="1168" t="s">
        <v>2982</v>
      </c>
      <c r="G32" s="1168">
        <v>1</v>
      </c>
      <c r="H32" s="1168">
        <v>150000</v>
      </c>
      <c r="I32" s="1169">
        <v>150000</v>
      </c>
    </row>
    <row r="33" spans="1:9" s="1165" customFormat="1" ht="38.1" customHeight="1">
      <c r="A33" s="1168" t="s">
        <v>725</v>
      </c>
      <c r="B33" s="1168" t="s">
        <v>9</v>
      </c>
      <c r="C33" s="1168" t="s">
        <v>998</v>
      </c>
      <c r="D33" s="1168" t="s">
        <v>2973</v>
      </c>
      <c r="E33" s="1168" t="s">
        <v>2988</v>
      </c>
      <c r="F33" s="1168" t="s">
        <v>2982</v>
      </c>
      <c r="G33" s="1168">
        <v>1</v>
      </c>
      <c r="H33" s="1168">
        <v>135000</v>
      </c>
      <c r="I33" s="1169">
        <v>135000</v>
      </c>
    </row>
    <row r="34" spans="1:9" s="1165" customFormat="1" ht="38.1" customHeight="1">
      <c r="A34" s="1168" t="s">
        <v>248</v>
      </c>
      <c r="B34" s="1168" t="s">
        <v>9</v>
      </c>
      <c r="C34" s="1168" t="s">
        <v>2983</v>
      </c>
      <c r="D34" s="1168" t="s">
        <v>2973</v>
      </c>
      <c r="E34" s="1168" t="s">
        <v>2988</v>
      </c>
      <c r="F34" s="1168" t="s">
        <v>2982</v>
      </c>
      <c r="G34" s="1168">
        <v>1</v>
      </c>
      <c r="H34" s="1168">
        <v>285000</v>
      </c>
      <c r="I34" s="1169">
        <v>285000</v>
      </c>
    </row>
    <row r="35" spans="1:9" s="1165" customFormat="1" ht="38.1" customHeight="1">
      <c r="A35" s="1168" t="s">
        <v>249</v>
      </c>
      <c r="B35" s="1168" t="s">
        <v>9</v>
      </c>
      <c r="C35" s="1168" t="s">
        <v>998</v>
      </c>
      <c r="D35" s="1168" t="s">
        <v>2973</v>
      </c>
      <c r="E35" s="1168" t="s">
        <v>2999</v>
      </c>
      <c r="F35" s="1168" t="s">
        <v>2982</v>
      </c>
      <c r="G35" s="1168">
        <v>1</v>
      </c>
      <c r="H35" s="1168">
        <v>315000</v>
      </c>
      <c r="I35" s="1169">
        <v>315000</v>
      </c>
    </row>
    <row r="36" spans="1:9" s="1165" customFormat="1" ht="38.1" customHeight="1">
      <c r="A36" s="1168" t="s">
        <v>250</v>
      </c>
      <c r="B36" s="1168" t="s">
        <v>9</v>
      </c>
      <c r="C36" s="1168" t="s">
        <v>998</v>
      </c>
      <c r="D36" s="1168" t="s">
        <v>2973</v>
      </c>
      <c r="E36" s="1168" t="s">
        <v>2986</v>
      </c>
      <c r="F36" s="1168" t="s">
        <v>2987</v>
      </c>
      <c r="G36" s="1168">
        <v>1</v>
      </c>
      <c r="H36" s="1168">
        <v>150000</v>
      </c>
      <c r="I36" s="1169">
        <v>150000</v>
      </c>
    </row>
    <row r="37" spans="1:9" s="1165" customFormat="1" ht="38.1" customHeight="1">
      <c r="A37" s="1168" t="s">
        <v>249</v>
      </c>
      <c r="B37" s="1168" t="s">
        <v>9</v>
      </c>
      <c r="C37" s="1168" t="s">
        <v>998</v>
      </c>
      <c r="D37" s="1168" t="s">
        <v>2973</v>
      </c>
      <c r="E37" s="1168" t="s">
        <v>2986</v>
      </c>
      <c r="F37" s="1168" t="s">
        <v>2987</v>
      </c>
      <c r="G37" s="1168">
        <v>1</v>
      </c>
      <c r="H37" s="1168">
        <v>150000</v>
      </c>
      <c r="I37" s="1169">
        <v>150000</v>
      </c>
    </row>
    <row r="38" spans="1:9" s="1165" customFormat="1" ht="38.1" customHeight="1">
      <c r="A38" s="1168"/>
      <c r="B38" s="1171" t="s">
        <v>261</v>
      </c>
      <c r="C38" s="1168"/>
      <c r="D38" s="1168"/>
      <c r="E38" s="1168"/>
      <c r="F38" s="1168"/>
      <c r="G38" s="1168"/>
      <c r="H38" s="1168"/>
      <c r="I38" s="1169">
        <f>SUBTOTAL(9,I31:I37)</f>
        <v>1235000</v>
      </c>
    </row>
    <row r="39" spans="1:9" s="1165" customFormat="1" ht="38.1" customHeight="1">
      <c r="A39" s="1168"/>
      <c r="B39" s="1171" t="s">
        <v>252</v>
      </c>
      <c r="C39" s="1168"/>
      <c r="D39" s="1168"/>
      <c r="E39" s="1168"/>
      <c r="F39" s="1168"/>
      <c r="G39" s="1168"/>
      <c r="H39" s="1168"/>
      <c r="I39" s="1169">
        <f>I38+I30+I19+I14+I11+I7+I4</f>
        <v>4315000</v>
      </c>
    </row>
    <row r="40" spans="1:9">
      <c r="B40" s="1174"/>
    </row>
    <row r="41" spans="1:9">
      <c r="B41" s="1174"/>
    </row>
    <row r="42" spans="1:9">
      <c r="B42" s="1174"/>
    </row>
    <row r="43" spans="1:9">
      <c r="B43" s="1174"/>
    </row>
    <row r="44" spans="1:9">
      <c r="B44" s="1174"/>
    </row>
    <row r="45" spans="1:9">
      <c r="B45" s="1174"/>
    </row>
    <row r="46" spans="1:9">
      <c r="B46" s="1174"/>
    </row>
    <row r="47" spans="1:9">
      <c r="B47" s="1174"/>
    </row>
    <row r="48" spans="1:9">
      <c r="B48" s="1174"/>
    </row>
    <row r="49" spans="2:2">
      <c r="B49" s="1174"/>
    </row>
    <row r="50" spans="2:2">
      <c r="B50" s="1174"/>
    </row>
    <row r="51" spans="2:2">
      <c r="B51" s="1174"/>
    </row>
    <row r="52" spans="2:2">
      <c r="B52" s="1174"/>
    </row>
  </sheetData>
  <autoFilter ref="A2:AN39"/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R80"/>
  <sheetViews>
    <sheetView topLeftCell="B1" workbookViewId="0">
      <pane xSplit="3" ySplit="4" topLeftCell="E5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0" style="21" hidden="1" customWidth="1"/>
    <col min="2" max="2" width="32.375" style="3" customWidth="1"/>
    <col min="3" max="3" width="13.25" style="3" hidden="1" customWidth="1"/>
    <col min="4" max="4" width="0.125" style="1299" hidden="1" customWidth="1"/>
    <col min="5" max="13" width="13.625" style="3" customWidth="1"/>
    <col min="14" max="14" width="15" style="3" customWidth="1"/>
    <col min="15" max="15" width="15.625" style="3" hidden="1" customWidth="1"/>
    <col min="16" max="16" width="15" style="23" customWidth="1"/>
    <col min="17" max="17" width="14.25" style="3" customWidth="1"/>
    <col min="18" max="18" width="17" style="3" customWidth="1"/>
    <col min="19" max="16384" width="9" style="3"/>
  </cols>
  <sheetData>
    <row r="1" spans="1:17" ht="24.95" customHeight="1">
      <c r="A1" s="1362" t="s">
        <v>3077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605"/>
      <c r="Q1" s="1605"/>
    </row>
    <row r="2" spans="1:17" ht="20.100000000000001" customHeight="1">
      <c r="A2" s="1298"/>
      <c r="B2" s="1298"/>
      <c r="C2" s="1298"/>
      <c r="D2" s="1298"/>
      <c r="E2" s="1298"/>
      <c r="F2" s="1298"/>
      <c r="G2" s="1298"/>
      <c r="H2" s="1298"/>
      <c r="I2" s="1298"/>
      <c r="J2" s="1298"/>
      <c r="K2" s="1298"/>
      <c r="L2" s="1298"/>
      <c r="M2" s="1298"/>
      <c r="O2" s="1184" t="s">
        <v>3000</v>
      </c>
      <c r="Q2" s="1257" t="s">
        <v>3000</v>
      </c>
    </row>
    <row r="3" spans="1:17" s="1200" customFormat="1" ht="18" customHeight="1">
      <c r="A3" s="1606" t="s">
        <v>12</v>
      </c>
      <c r="B3" s="1606" t="s">
        <v>13</v>
      </c>
      <c r="C3" s="1606" t="s">
        <v>14</v>
      </c>
      <c r="D3" s="1606" t="s">
        <v>15</v>
      </c>
      <c r="E3" s="1601" t="s">
        <v>2727</v>
      </c>
      <c r="F3" s="1601" t="s">
        <v>2376</v>
      </c>
      <c r="G3" s="1601" t="s">
        <v>2721</v>
      </c>
      <c r="H3" s="1601" t="s">
        <v>2725</v>
      </c>
      <c r="I3" s="1601" t="s">
        <v>1663</v>
      </c>
      <c r="J3" s="1601" t="s">
        <v>1662</v>
      </c>
      <c r="K3" s="1601" t="s">
        <v>1661</v>
      </c>
      <c r="L3" s="1601" t="s">
        <v>1665</v>
      </c>
      <c r="M3" s="1601" t="s">
        <v>2722</v>
      </c>
      <c r="N3" s="1601" t="s">
        <v>17</v>
      </c>
      <c r="O3" s="1601" t="s">
        <v>18</v>
      </c>
      <c r="P3" s="1604" t="s">
        <v>3079</v>
      </c>
      <c r="Q3" s="1604" t="s">
        <v>3080</v>
      </c>
    </row>
    <row r="4" spans="1:17" s="1200" customFormat="1" ht="18" customHeight="1">
      <c r="A4" s="1607"/>
      <c r="B4" s="1607"/>
      <c r="C4" s="1607"/>
      <c r="D4" s="1607"/>
      <c r="E4" s="1603"/>
      <c r="F4" s="1603" t="s">
        <v>460</v>
      </c>
      <c r="G4" s="1603" t="s">
        <v>460</v>
      </c>
      <c r="H4" s="1603" t="s">
        <v>3071</v>
      </c>
      <c r="I4" s="1603" t="s">
        <v>3083</v>
      </c>
      <c r="J4" s="1603"/>
      <c r="K4" s="1603"/>
      <c r="L4" s="1603"/>
      <c r="M4" s="1603"/>
      <c r="N4" s="1602"/>
      <c r="O4" s="1602"/>
      <c r="P4" s="1604"/>
      <c r="Q4" s="1604"/>
    </row>
    <row r="5" spans="1:17" ht="18" customHeight="1">
      <c r="A5" s="66" t="s">
        <v>19</v>
      </c>
      <c r="B5" s="61" t="s">
        <v>20</v>
      </c>
      <c r="C5" s="61"/>
      <c r="D5" s="62" t="s">
        <v>21</v>
      </c>
      <c r="E5" s="1201">
        <f>莘庄基本支出调整!J5</f>
        <v>66233604.25</v>
      </c>
      <c r="F5" s="1201">
        <f>吴泾基本支出调整!J5</f>
        <v>41172941.670000002</v>
      </c>
      <c r="G5" s="1201">
        <f>七宝基本支出调整!Y5</f>
        <v>455124067.59000015</v>
      </c>
      <c r="H5" s="1201">
        <f>浦江基本支出调整!X5</f>
        <v>282675304.35000002</v>
      </c>
      <c r="I5" s="1201">
        <f>梅陇基本支出调整!U5</f>
        <v>236038157.57999998</v>
      </c>
      <c r="J5" s="1201">
        <f>马桥基本支出调整!Q5</f>
        <v>179423093.32999998</v>
      </c>
      <c r="K5" s="1201">
        <f>华漕基本支出调整!N5</f>
        <v>159729533.29999998</v>
      </c>
      <c r="L5" s="1201">
        <f>颛桥基本支出调整!T5</f>
        <v>265486324.84000003</v>
      </c>
      <c r="M5" s="1201">
        <f>虹桥基本支出调整!P5</f>
        <v>144104747.44999999</v>
      </c>
      <c r="N5" s="1201">
        <f>E5+F5+G5+H5+I5+J5+K5+L5+M5</f>
        <v>1829987774.3599999</v>
      </c>
      <c r="O5" s="1202"/>
      <c r="P5" s="1203">
        <v>3094829226.2199998</v>
      </c>
      <c r="Q5" s="1203">
        <f>N5-P5</f>
        <v>-1264841451.8599999</v>
      </c>
    </row>
    <row r="6" spans="1:17" ht="18" customHeight="1">
      <c r="A6" s="66" t="s">
        <v>22</v>
      </c>
      <c r="B6" s="61" t="s">
        <v>0</v>
      </c>
      <c r="C6" s="61"/>
      <c r="D6" s="62" t="s">
        <v>21</v>
      </c>
      <c r="E6" s="1185">
        <f>莘庄基本支出调整!J6</f>
        <v>47522033.140000001</v>
      </c>
      <c r="F6" s="1185">
        <f>吴泾基本支出调整!J6</f>
        <v>28949676.799999997</v>
      </c>
      <c r="G6" s="1185">
        <f>七宝基本支出调整!Y6</f>
        <v>328391312.5200001</v>
      </c>
      <c r="H6" s="1185">
        <f>浦江基本支出调整!X6</f>
        <v>194956451.55000001</v>
      </c>
      <c r="I6" s="1185">
        <f>梅陇基本支出调整!U6</f>
        <v>169162649.49000001</v>
      </c>
      <c r="J6" s="1185">
        <f>马桥基本支出调整!Q6</f>
        <v>129301337.13</v>
      </c>
      <c r="K6" s="1185">
        <f>华漕基本支出调整!N6</f>
        <v>111365377.67999999</v>
      </c>
      <c r="L6" s="1185">
        <f>颛桥基本支出调整!T6</f>
        <v>189908369.37</v>
      </c>
      <c r="M6" s="1185">
        <f>虹桥基本支出调整!P6</f>
        <v>103414650.75</v>
      </c>
      <c r="N6" s="1185">
        <f t="shared" ref="N6:N69" si="0">E6+F6+G6+H6+I6+J6+K6+L6+M6</f>
        <v>1302971858.4300001</v>
      </c>
      <c r="O6" s="62"/>
      <c r="P6" s="1203">
        <v>2579941027.0599999</v>
      </c>
      <c r="Q6" s="1203">
        <f t="shared" ref="Q6:Q69" si="1">N6-P6</f>
        <v>-1276969168.6299999</v>
      </c>
    </row>
    <row r="7" spans="1:17" ht="18" customHeight="1">
      <c r="A7" s="66" t="s">
        <v>23</v>
      </c>
      <c r="B7" s="61" t="s">
        <v>24</v>
      </c>
      <c r="C7" s="61"/>
      <c r="D7" s="62" t="s">
        <v>21</v>
      </c>
      <c r="E7" s="1185">
        <f>莘庄基本支出调整!J7</f>
        <v>15237517</v>
      </c>
      <c r="F7" s="1185">
        <f>吴泾基本支出调整!J7</f>
        <v>9456359.129999999</v>
      </c>
      <c r="G7" s="1185">
        <f>七宝基本支出调整!Y7</f>
        <v>102836563.05</v>
      </c>
      <c r="H7" s="1185">
        <f>浦江基本支出调整!X7</f>
        <v>57492848.259999998</v>
      </c>
      <c r="I7" s="1185">
        <f>梅陇基本支出调整!U7</f>
        <v>52928123.799999997</v>
      </c>
      <c r="J7" s="1185">
        <f>马桥基本支出调整!Q7</f>
        <v>39311268.460000001</v>
      </c>
      <c r="K7" s="1185">
        <f>华漕基本支出调整!N7</f>
        <v>36250360</v>
      </c>
      <c r="L7" s="1185">
        <f>颛桥基本支出调整!T7</f>
        <v>57781802.18</v>
      </c>
      <c r="M7" s="1185">
        <f>虹桥基本支出调整!P7</f>
        <v>32955750</v>
      </c>
      <c r="N7" s="1185">
        <f t="shared" si="0"/>
        <v>404250591.88</v>
      </c>
      <c r="O7" s="62"/>
      <c r="P7" s="1203">
        <v>335795502.43000001</v>
      </c>
      <c r="Q7" s="1203">
        <f t="shared" si="1"/>
        <v>68455089.449999988</v>
      </c>
    </row>
    <row r="8" spans="1:17" ht="18" customHeight="1">
      <c r="A8" s="66" t="s">
        <v>25</v>
      </c>
      <c r="B8" s="61" t="s">
        <v>26</v>
      </c>
      <c r="C8" s="61" t="s">
        <v>27</v>
      </c>
      <c r="D8" s="62" t="s">
        <v>28</v>
      </c>
      <c r="E8" s="1185">
        <f>莘庄基本支出调整!J8</f>
        <v>8355787</v>
      </c>
      <c r="F8" s="1185">
        <f>吴泾基本支出调整!J8</f>
        <v>5234064.24</v>
      </c>
      <c r="G8" s="1185">
        <f>七宝基本支出调整!Y8</f>
        <v>57963060.279999994</v>
      </c>
      <c r="H8" s="1185">
        <f>浦江基本支出调整!X8</f>
        <v>34694155.200000003</v>
      </c>
      <c r="I8" s="1185">
        <f>梅陇基本支出调整!U8</f>
        <v>29179475.199999999</v>
      </c>
      <c r="J8" s="1185">
        <f>马桥基本支出调整!Q8</f>
        <v>22056049.600000001</v>
      </c>
      <c r="K8" s="1185">
        <f>华漕基本支出调整!N8</f>
        <v>19106849</v>
      </c>
      <c r="L8" s="1185">
        <f>颛桥基本支出调整!T8</f>
        <v>32335510.879999999</v>
      </c>
      <c r="M8" s="1185">
        <f>虹桥基本支出调整!P8</f>
        <v>17704035</v>
      </c>
      <c r="N8" s="1185">
        <f t="shared" si="0"/>
        <v>226628986.39999998</v>
      </c>
      <c r="O8" s="1192"/>
      <c r="P8" s="1203">
        <v>192771165.61000001</v>
      </c>
      <c r="Q8" s="1203">
        <f t="shared" si="1"/>
        <v>33857820.789999962</v>
      </c>
    </row>
    <row r="9" spans="1:17" ht="18" customHeight="1">
      <c r="A9" s="66" t="s">
        <v>29</v>
      </c>
      <c r="B9" s="61" t="s">
        <v>30</v>
      </c>
      <c r="C9" s="61" t="s">
        <v>27</v>
      </c>
      <c r="D9" s="62" t="s">
        <v>28</v>
      </c>
      <c r="E9" s="1185">
        <f>莘庄基本支出调整!J9</f>
        <v>6881729.9999999991</v>
      </c>
      <c r="F9" s="1185">
        <f>吴泾基本支出调整!J9</f>
        <v>4222294.8899999997</v>
      </c>
      <c r="G9" s="1185">
        <f>七宝基本支出调整!Y9</f>
        <v>44873502.770000003</v>
      </c>
      <c r="H9" s="1185">
        <f>浦江基本支出调整!X9</f>
        <v>22798693.059999999</v>
      </c>
      <c r="I9" s="1185">
        <f>梅陇基本支出调整!U9</f>
        <v>23748648.600000001</v>
      </c>
      <c r="J9" s="1185">
        <f>马桥基本支出调整!Q9</f>
        <v>17255218.859999999</v>
      </c>
      <c r="K9" s="1185">
        <f>华漕基本支出调整!N9</f>
        <v>17143511</v>
      </c>
      <c r="L9" s="1185">
        <f>颛桥基本支出调整!T9</f>
        <v>25446291.300000001</v>
      </c>
      <c r="M9" s="1185">
        <f>虹桥基本支出调整!P9</f>
        <v>15251715</v>
      </c>
      <c r="N9" s="1185">
        <f t="shared" si="0"/>
        <v>177621605.48000002</v>
      </c>
      <c r="O9" s="62"/>
      <c r="P9" s="1203">
        <v>143024336.81999999</v>
      </c>
      <c r="Q9" s="1203">
        <f t="shared" si="1"/>
        <v>34597268.660000026</v>
      </c>
    </row>
    <row r="10" spans="1:17" ht="18" customHeight="1">
      <c r="A10" s="66" t="s">
        <v>31</v>
      </c>
      <c r="B10" s="61" t="s">
        <v>32</v>
      </c>
      <c r="C10" s="61"/>
      <c r="D10" s="62" t="s">
        <v>21</v>
      </c>
      <c r="E10" s="1185">
        <f>莘庄基本支出调整!J10</f>
        <v>1408256</v>
      </c>
      <c r="F10" s="1185">
        <f>吴泾基本支出调整!J10</f>
        <v>874984</v>
      </c>
      <c r="G10" s="1185">
        <f>七宝基本支出调整!Y10</f>
        <v>9554442</v>
      </c>
      <c r="H10" s="1185">
        <f>浦江基本支出调整!X10</f>
        <v>5865357.4699999997</v>
      </c>
      <c r="I10" s="1185">
        <f>梅陇基本支出调整!U10</f>
        <v>4894740.5999999996</v>
      </c>
      <c r="J10" s="1185">
        <f>马桥基本支出调整!Q10</f>
        <v>3753801</v>
      </c>
      <c r="K10" s="1185">
        <f>华漕基本支出调整!N10</f>
        <v>3166421</v>
      </c>
      <c r="L10" s="1185">
        <f>颛桥基本支出调整!T10</f>
        <v>5464148.4000000004</v>
      </c>
      <c r="M10" s="1185">
        <f>虹桥基本支出调整!P10</f>
        <v>2884113</v>
      </c>
      <c r="N10" s="1185">
        <f t="shared" si="0"/>
        <v>37866263.469999999</v>
      </c>
      <c r="O10" s="62"/>
      <c r="P10" s="1203">
        <v>39034144.200000003</v>
      </c>
      <c r="Q10" s="1203">
        <f t="shared" si="1"/>
        <v>-1167880.7300000042</v>
      </c>
    </row>
    <row r="11" spans="1:17" ht="18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5">
        <f>莘庄基本支出调整!J11</f>
        <v>26656</v>
      </c>
      <c r="F11" s="1185">
        <f>吴泾基本支出调整!J11</f>
        <v>11924</v>
      </c>
      <c r="G11" s="1185">
        <f>七宝基本支出调整!Y11</f>
        <v>121504</v>
      </c>
      <c r="H11" s="1185">
        <f>浦江基本支出调整!X11</f>
        <v>83342.850000000006</v>
      </c>
      <c r="I11" s="1185">
        <f>梅陇基本支出调整!U11</f>
        <v>85100.6</v>
      </c>
      <c r="J11" s="1185">
        <f>马桥基本支出调整!Q11</f>
        <v>50828</v>
      </c>
      <c r="K11" s="1185">
        <f>华漕基本支出调整!N11</f>
        <v>62221</v>
      </c>
      <c r="L11" s="1185">
        <f>颛桥基本支出调整!T11</f>
        <v>75008.399999999994</v>
      </c>
      <c r="M11" s="1185">
        <f>虹桥基本支出调整!P11</f>
        <v>43913</v>
      </c>
      <c r="N11" s="1185">
        <f t="shared" si="0"/>
        <v>560497.85</v>
      </c>
      <c r="O11" s="62"/>
      <c r="P11" s="1203">
        <v>1123744.2</v>
      </c>
      <c r="Q11" s="1203">
        <f t="shared" si="1"/>
        <v>-563246.35</v>
      </c>
    </row>
    <row r="12" spans="1:17" ht="18" customHeight="1">
      <c r="A12" s="66" t="s">
        <v>35</v>
      </c>
      <c r="B12" s="61" t="s">
        <v>36</v>
      </c>
      <c r="C12" s="61"/>
      <c r="D12" s="62" t="s">
        <v>21</v>
      </c>
      <c r="E12" s="1185">
        <f>莘庄基本支出调整!J12</f>
        <v>1381600</v>
      </c>
      <c r="F12" s="1185">
        <f>吴泾基本支出调整!J12</f>
        <v>863060</v>
      </c>
      <c r="G12" s="1185">
        <f>七宝基本支出调整!Y12</f>
        <v>9432938</v>
      </c>
      <c r="H12" s="1185">
        <f>浦江基本支出调整!X12</f>
        <v>5782014.6200000001</v>
      </c>
      <c r="I12" s="1185">
        <f>梅陇基本支出调整!U12</f>
        <v>4809640</v>
      </c>
      <c r="J12" s="1185">
        <f>马桥基本支出调整!Q12</f>
        <v>3702973</v>
      </c>
      <c r="K12" s="1185">
        <f>华漕基本支出调整!N12</f>
        <v>3104200</v>
      </c>
      <c r="L12" s="1185">
        <f>颛桥基本支出调整!T12</f>
        <v>5389140</v>
      </c>
      <c r="M12" s="1185">
        <f>虹桥基本支出调整!P12</f>
        <v>2840200</v>
      </c>
      <c r="N12" s="1185">
        <f t="shared" si="0"/>
        <v>37305765.620000005</v>
      </c>
      <c r="O12" s="62"/>
      <c r="P12" s="1203">
        <v>37910400</v>
      </c>
      <c r="Q12" s="1203">
        <f t="shared" si="1"/>
        <v>-604634.37999999523</v>
      </c>
    </row>
    <row r="13" spans="1:17" ht="18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5">
        <f>莘庄基本支出调整!J13</f>
        <v>1381600</v>
      </c>
      <c r="F13" s="1185">
        <f>吴泾基本支出调整!J13</f>
        <v>863060</v>
      </c>
      <c r="G13" s="1185">
        <f>七宝基本支出调整!Y13</f>
        <v>9432938</v>
      </c>
      <c r="H13" s="1185">
        <f>浦江基本支出调整!X13</f>
        <v>5782014.6200000001</v>
      </c>
      <c r="I13" s="1185">
        <f>梅陇基本支出调整!U13</f>
        <v>4809640</v>
      </c>
      <c r="J13" s="1185">
        <f>马桥基本支出调整!Q13</f>
        <v>3702973</v>
      </c>
      <c r="K13" s="1185">
        <f>华漕基本支出调整!N13</f>
        <v>3104200</v>
      </c>
      <c r="L13" s="1185">
        <f>颛桥基本支出调整!T13</f>
        <v>5389140</v>
      </c>
      <c r="M13" s="1185">
        <f>虹桥基本支出调整!P13</f>
        <v>2840200</v>
      </c>
      <c r="N13" s="1185">
        <f t="shared" si="0"/>
        <v>37305765.620000005</v>
      </c>
      <c r="O13" s="62"/>
      <c r="P13" s="1203">
        <v>37910400</v>
      </c>
      <c r="Q13" s="1203">
        <f t="shared" si="1"/>
        <v>-604634.37999999523</v>
      </c>
    </row>
    <row r="14" spans="1:17" ht="18" customHeight="1">
      <c r="A14" s="66" t="s">
        <v>39</v>
      </c>
      <c r="B14" s="61" t="s">
        <v>40</v>
      </c>
      <c r="C14" s="61"/>
      <c r="D14" s="62" t="s">
        <v>41</v>
      </c>
      <c r="E14" s="1185">
        <f>莘庄基本支出调整!J14</f>
        <v>483403.03</v>
      </c>
      <c r="F14" s="1185">
        <f>吴泾基本支出调整!J14</f>
        <v>314919.84999999998</v>
      </c>
      <c r="G14" s="1185">
        <f>七宝基本支出调整!Y14</f>
        <v>3529525.5300000007</v>
      </c>
      <c r="H14" s="1185">
        <f>浦江基本支出调整!X14</f>
        <v>2012604.2000000004</v>
      </c>
      <c r="I14" s="1185">
        <f>梅陇基本支出调整!U14</f>
        <v>1773036.7600000002</v>
      </c>
      <c r="J14" s="1185">
        <f>马桥基本支出调整!Q14</f>
        <v>1369673.7399999998</v>
      </c>
      <c r="K14" s="1185">
        <f>华漕基本支出调整!N14</f>
        <v>1136261.51</v>
      </c>
      <c r="L14" s="1185">
        <f>颛桥基本支出调整!T14</f>
        <v>1968837.4799999997</v>
      </c>
      <c r="M14" s="1185">
        <f>虹桥基本支出调整!P14</f>
        <v>1114998</v>
      </c>
      <c r="N14" s="1185">
        <f t="shared" si="0"/>
        <v>13703260.100000001</v>
      </c>
      <c r="O14" s="62"/>
      <c r="P14" s="1203">
        <v>17295818.120000001</v>
      </c>
      <c r="Q14" s="1203">
        <f t="shared" si="1"/>
        <v>-3592558.0199999996</v>
      </c>
    </row>
    <row r="15" spans="1:17" ht="18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5">
        <f>莘庄基本支出调整!J15</f>
        <v>163008.27000000002</v>
      </c>
      <c r="F15" s="1185">
        <f>吴泾基本支出调整!J15</f>
        <v>122435.65</v>
      </c>
      <c r="G15" s="1185">
        <f>七宝基本支出调整!Y15</f>
        <v>1355899.71</v>
      </c>
      <c r="H15" s="1185">
        <f>浦江基本支出调整!X15</f>
        <v>688457.2699999999</v>
      </c>
      <c r="I15" s="1185">
        <f>梅陇基本支出调整!U15</f>
        <v>668510.58999999985</v>
      </c>
      <c r="J15" s="1185">
        <f>马桥基本支出调整!Q15</f>
        <v>504679.43</v>
      </c>
      <c r="K15" s="1185">
        <f>华漕基本支出调整!N15</f>
        <v>421940.47000000003</v>
      </c>
      <c r="L15" s="1185">
        <f>颛桥基本支出调整!T15</f>
        <v>716917.42</v>
      </c>
      <c r="M15" s="1185">
        <f>虹桥基本支出调整!P15</f>
        <v>432358</v>
      </c>
      <c r="N15" s="1185">
        <f t="shared" si="0"/>
        <v>5074206.8100000005</v>
      </c>
      <c r="O15" s="62"/>
      <c r="P15" s="1203">
        <v>8647909.0600000005</v>
      </c>
      <c r="Q15" s="1203">
        <f t="shared" si="1"/>
        <v>-3573702.25</v>
      </c>
    </row>
    <row r="16" spans="1:17" ht="18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5">
        <f>莘庄基本支出调整!J16</f>
        <v>320394.76</v>
      </c>
      <c r="F16" s="1185">
        <f>吴泾基本支出调整!J16</f>
        <v>192484.2</v>
      </c>
      <c r="G16" s="1185">
        <f>七宝基本支出调整!Y16</f>
        <v>2173625.8200000003</v>
      </c>
      <c r="H16" s="1185">
        <f>浦江基本支出调整!X16</f>
        <v>1324146.93</v>
      </c>
      <c r="I16" s="1185">
        <f>梅陇基本支出调整!U16</f>
        <v>1104526.17</v>
      </c>
      <c r="J16" s="1185">
        <f>马桥基本支出调整!Q16</f>
        <v>864994.31</v>
      </c>
      <c r="K16" s="1185">
        <f>华漕基本支出调整!N16</f>
        <v>714321.03999999992</v>
      </c>
      <c r="L16" s="1185">
        <f>颛桥基本支出调整!T16</f>
        <v>1251920.0599999998</v>
      </c>
      <c r="M16" s="1185">
        <f>虹桥基本支出调整!P16</f>
        <v>682640</v>
      </c>
      <c r="N16" s="1185">
        <f t="shared" si="0"/>
        <v>8629053.2899999991</v>
      </c>
      <c r="O16" s="62"/>
      <c r="P16" s="1203">
        <v>8647909.0600000005</v>
      </c>
      <c r="Q16" s="1203">
        <f t="shared" si="1"/>
        <v>-18855.770000001416</v>
      </c>
    </row>
    <row r="17" spans="1:17" ht="18" customHeight="1">
      <c r="A17" s="66" t="s">
        <v>46</v>
      </c>
      <c r="B17" s="61" t="s">
        <v>47</v>
      </c>
      <c r="C17" s="61"/>
      <c r="D17" s="62" t="s">
        <v>21</v>
      </c>
      <c r="E17" s="1185">
        <f>莘庄基本支出调整!J17</f>
        <v>4112995</v>
      </c>
      <c r="F17" s="1185">
        <f>吴泾基本支出调整!J17</f>
        <v>2459248.5</v>
      </c>
      <c r="G17" s="1185">
        <f>七宝基本支出调整!Y17</f>
        <v>33505983.5</v>
      </c>
      <c r="H17" s="1185">
        <f>浦江基本支出调整!X17</f>
        <v>21695597.879999999</v>
      </c>
      <c r="I17" s="1185">
        <f>梅陇基本支出调整!U17</f>
        <v>18244749.5</v>
      </c>
      <c r="J17" s="1185">
        <f>马桥基本支出调整!Q17</f>
        <v>13655902.25</v>
      </c>
      <c r="K17" s="1185">
        <f>华漕基本支出调整!N17</f>
        <v>11998007.25</v>
      </c>
      <c r="L17" s="1185">
        <f>颛桥基本支出调整!T17</f>
        <v>20965235.5</v>
      </c>
      <c r="M17" s="1185">
        <f>虹桥基本支出调整!P17</f>
        <v>10927125.75</v>
      </c>
      <c r="N17" s="1185">
        <f t="shared" si="0"/>
        <v>137564845.13</v>
      </c>
      <c r="O17" s="62"/>
      <c r="P17" s="1203">
        <v>1426799564</v>
      </c>
      <c r="Q17" s="1203">
        <f t="shared" si="1"/>
        <v>-1289234718.8699999</v>
      </c>
    </row>
    <row r="18" spans="1:17" ht="18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5">
        <f>莘庄基本支出调整!J18</f>
        <v>0</v>
      </c>
      <c r="F18" s="1185">
        <f>吴泾基本支出调整!J18</f>
        <v>0</v>
      </c>
      <c r="G18" s="1185">
        <f>七宝基本支出调整!Y18</f>
        <v>0</v>
      </c>
      <c r="H18" s="1185">
        <f>浦江基本支出调整!X18</f>
        <v>0</v>
      </c>
      <c r="I18" s="1185">
        <f>梅陇基本支出调整!U18</f>
        <v>0</v>
      </c>
      <c r="J18" s="1185">
        <f>马桥基本支出调整!Q18</f>
        <v>0</v>
      </c>
      <c r="K18" s="1185">
        <f>华漕基本支出调整!N18</f>
        <v>0</v>
      </c>
      <c r="L18" s="1185">
        <f>颛桥基本支出调整!T18</f>
        <v>0</v>
      </c>
      <c r="M18" s="1185">
        <f>虹桥基本支出调整!P18</f>
        <v>0</v>
      </c>
      <c r="N18" s="1185">
        <f t="shared" si="0"/>
        <v>0</v>
      </c>
      <c r="O18" s="62"/>
      <c r="P18" s="1203">
        <v>1302432625</v>
      </c>
      <c r="Q18" s="1203">
        <f t="shared" si="1"/>
        <v>-1302432625</v>
      </c>
    </row>
    <row r="19" spans="1:17" ht="18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5">
        <f>莘庄基本支出调整!J19</f>
        <v>1248335</v>
      </c>
      <c r="F19" s="1185">
        <f>吴泾基本支出调整!J19</f>
        <v>914212</v>
      </c>
      <c r="G19" s="1185">
        <f>七宝基本支出调整!Y19</f>
        <v>6530525</v>
      </c>
      <c r="H19" s="1185">
        <f>浦江基本支出调整!X19</f>
        <v>5030108</v>
      </c>
      <c r="I19" s="1185">
        <f>梅陇基本支出调整!U19</f>
        <v>5006176</v>
      </c>
      <c r="J19" s="1185">
        <f>马桥基本支出调整!Q19</f>
        <v>3409578</v>
      </c>
      <c r="K19" s="1185">
        <f>华漕基本支出调整!N19</f>
        <v>2880596</v>
      </c>
      <c r="L19" s="1185">
        <f>颛桥基本支出调整!T19</f>
        <v>5321781</v>
      </c>
      <c r="M19" s="1185">
        <f>虹桥基本支出调整!P19</f>
        <v>2846043</v>
      </c>
      <c r="N19" s="1185">
        <f t="shared" si="0"/>
        <v>33187354</v>
      </c>
      <c r="O19" s="62"/>
      <c r="P19" s="1203">
        <v>30776939</v>
      </c>
      <c r="Q19" s="1203">
        <f t="shared" si="1"/>
        <v>2410415</v>
      </c>
    </row>
    <row r="20" spans="1:17" ht="18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5">
        <f>莘庄基本支出调整!J20</f>
        <v>1535500</v>
      </c>
      <c r="F20" s="1185">
        <f>吴泾基本支出调整!J20</f>
        <v>990500</v>
      </c>
      <c r="G20" s="1185">
        <f>七宝基本支出调整!Y20</f>
        <v>10830000</v>
      </c>
      <c r="H20" s="1185">
        <f>浦江基本支出调整!X20</f>
        <v>6599816</v>
      </c>
      <c r="I20" s="1185">
        <f>梅陇基本支出调整!U20</f>
        <v>5527000</v>
      </c>
      <c r="J20" s="1185">
        <f>马桥基本支出调整!Q20</f>
        <v>4280956</v>
      </c>
      <c r="K20" s="1185">
        <f>华漕基本支出调整!N20</f>
        <v>3534000</v>
      </c>
      <c r="L20" s="1185">
        <f>颛桥基本支出调整!T20</f>
        <v>6211171</v>
      </c>
      <c r="M20" s="1185">
        <f>虹桥基本支出调整!P20</f>
        <v>3251500</v>
      </c>
      <c r="N20" s="1185">
        <f t="shared" si="0"/>
        <v>42760443</v>
      </c>
      <c r="O20" s="62"/>
      <c r="P20" s="1203">
        <v>43080000</v>
      </c>
      <c r="Q20" s="1203">
        <f t="shared" si="1"/>
        <v>-319557</v>
      </c>
    </row>
    <row r="21" spans="1:17" ht="18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5">
        <f>莘庄基本支出调整!J21</f>
        <v>1329160</v>
      </c>
      <c r="F21" s="1185">
        <f>吴泾基本支出调整!J21</f>
        <v>554536.5</v>
      </c>
      <c r="G21" s="1185">
        <f>七宝基本支出调整!Y21</f>
        <v>16145458.5</v>
      </c>
      <c r="H21" s="1185">
        <f>浦江基本支出调整!X21</f>
        <v>10065673.880000001</v>
      </c>
      <c r="I21" s="1185">
        <f>梅陇基本支出调整!U21</f>
        <v>7711573.5</v>
      </c>
      <c r="J21" s="1185">
        <f>马桥基本支出调整!Q21</f>
        <v>5965368.25</v>
      </c>
      <c r="K21" s="1185">
        <f>华漕基本支出调整!N21</f>
        <v>5583411.25</v>
      </c>
      <c r="L21" s="1185">
        <f>颛桥基本支出调整!T21</f>
        <v>9432283.5</v>
      </c>
      <c r="M21" s="1185">
        <f>虹桥基本支出调整!P21</f>
        <v>4829582.75</v>
      </c>
      <c r="N21" s="1201">
        <f t="shared" si="0"/>
        <v>61617048.130000003</v>
      </c>
      <c r="O21" s="62"/>
      <c r="P21" s="1203">
        <v>50510000</v>
      </c>
      <c r="Q21" s="1203">
        <f t="shared" si="1"/>
        <v>11107048.130000003</v>
      </c>
    </row>
    <row r="22" spans="1:17" ht="18" customHeight="1">
      <c r="A22" s="66" t="s">
        <v>58</v>
      </c>
      <c r="B22" s="61" t="s">
        <v>59</v>
      </c>
      <c r="C22" s="61"/>
      <c r="D22" s="62" t="s">
        <v>21</v>
      </c>
      <c r="E22" s="1185">
        <f>莘庄基本支出调整!J22</f>
        <v>6425090.2599999998</v>
      </c>
      <c r="F22" s="1185">
        <f>吴泾基本支出调整!J22</f>
        <v>3911072.2800000003</v>
      </c>
      <c r="G22" s="1185">
        <f>七宝基本支出调整!Y22</f>
        <v>43414378.119999997</v>
      </c>
      <c r="H22" s="1185">
        <f>浦江基本支出调整!X22</f>
        <v>25997947.100000001</v>
      </c>
      <c r="I22" s="1185">
        <f>梅陇基本支出调整!U22</f>
        <v>22433445.199999999</v>
      </c>
      <c r="J22" s="1185">
        <f>马桥基本支出调整!Q22</f>
        <v>17399259.769999996</v>
      </c>
      <c r="K22" s="1185">
        <f>华漕基本支出调整!N22</f>
        <v>14306105.469999997</v>
      </c>
      <c r="L22" s="1185">
        <f>颛桥基本支出调整!T22</f>
        <v>25309817.470000003</v>
      </c>
      <c r="M22" s="1185">
        <f>虹桥基本支出调整!P22</f>
        <v>13576635</v>
      </c>
      <c r="N22" s="1185">
        <f t="shared" si="0"/>
        <v>172773750.66999999</v>
      </c>
      <c r="O22" s="62"/>
      <c r="P22" s="1203">
        <v>224845635.87</v>
      </c>
      <c r="Q22" s="1203">
        <f t="shared" si="1"/>
        <v>-52071885.200000018</v>
      </c>
    </row>
    <row r="23" spans="1:17" ht="18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5">
        <f>莘庄基本支出调整!J23</f>
        <v>5766431.4900000002</v>
      </c>
      <c r="F23" s="1185">
        <f>吴泾基本支出调整!J23</f>
        <v>3443792.2800000003</v>
      </c>
      <c r="G23" s="1185">
        <f>七宝基本支出调整!Y23</f>
        <v>39135882.600000009</v>
      </c>
      <c r="H23" s="1185">
        <f>浦江基本支出调整!X23</f>
        <v>23664852.100000001</v>
      </c>
      <c r="I23" s="1185">
        <f>梅陇基本支出调整!U23</f>
        <v>19881154.060000002</v>
      </c>
      <c r="J23" s="1185">
        <f>马桥基本支出调整!Q23</f>
        <v>15577622.419999998</v>
      </c>
      <c r="K23" s="1185">
        <f>华漕基本支出调整!N23</f>
        <v>12856798.170000002</v>
      </c>
      <c r="L23" s="1185">
        <f>颛桥基本支出调整!T23</f>
        <v>22782899.199999999</v>
      </c>
      <c r="M23" s="1185">
        <f>虹桥基本支出调整!P23</f>
        <v>12263895</v>
      </c>
      <c r="N23" s="1185">
        <f t="shared" si="0"/>
        <v>155373327.31999999</v>
      </c>
      <c r="O23" s="62"/>
      <c r="P23" s="1203">
        <v>155662363.28999999</v>
      </c>
      <c r="Q23" s="1203">
        <f t="shared" si="1"/>
        <v>-289035.96999999881</v>
      </c>
    </row>
    <row r="24" spans="1:17" ht="18" customHeight="1">
      <c r="A24" s="66" t="s">
        <v>62</v>
      </c>
      <c r="B24" s="61" t="s">
        <v>3073</v>
      </c>
      <c r="C24" s="61"/>
      <c r="D24" s="62" t="s">
        <v>43</v>
      </c>
      <c r="E24" s="1185">
        <f>莘庄基本支出调整!J24</f>
        <v>658658.77</v>
      </c>
      <c r="F24" s="1185">
        <f>吴泾基本支出调整!J24</f>
        <v>467280</v>
      </c>
      <c r="G24" s="1185">
        <f>七宝基本支出调整!Y24</f>
        <v>4278495.5200000005</v>
      </c>
      <c r="H24" s="1185">
        <f>浦江基本支出调整!X24</f>
        <v>2333095</v>
      </c>
      <c r="I24" s="1185">
        <f>梅陇基本支出调整!U24</f>
        <v>2552291.14</v>
      </c>
      <c r="J24" s="1185">
        <f>马桥基本支出调整!Q24</f>
        <v>1821637.35</v>
      </c>
      <c r="K24" s="1185">
        <f>华漕基本支出调整!N24</f>
        <v>1449307.3</v>
      </c>
      <c r="L24" s="1185">
        <f>颛桥基本支出调整!T24</f>
        <v>2526918.27</v>
      </c>
      <c r="M24" s="1185">
        <f>虹桥基本支出调整!P24</f>
        <v>1312740</v>
      </c>
      <c r="N24" s="1185">
        <f t="shared" si="0"/>
        <v>17400423.350000001</v>
      </c>
      <c r="O24" s="62"/>
      <c r="P24" s="1203">
        <v>69183272.580000013</v>
      </c>
      <c r="Q24" s="1203">
        <f t="shared" si="1"/>
        <v>-51782849.230000012</v>
      </c>
    </row>
    <row r="25" spans="1:17" ht="18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5">
        <f>莘庄基本支出调整!J25</f>
        <v>48208.770000000004</v>
      </c>
      <c r="F25" s="1185">
        <f>吴泾基本支出调整!J25</f>
        <v>29500</v>
      </c>
      <c r="G25" s="1185">
        <f>七宝基本支出调整!Y25</f>
        <v>323680.95000000007</v>
      </c>
      <c r="H25" s="1185">
        <f>浦江基本支出调整!X25</f>
        <v>11200</v>
      </c>
      <c r="I25" s="1185">
        <f>梅陇基本支出调整!U25</f>
        <v>299836.14</v>
      </c>
      <c r="J25" s="1185">
        <f>马桥基本支出调整!Q25</f>
        <v>176657.34999999998</v>
      </c>
      <c r="K25" s="1185">
        <f>华漕基本支出调整!N25</f>
        <v>55442.3</v>
      </c>
      <c r="L25" s="1185">
        <f>颛桥基本支出调整!T25</f>
        <v>329153.26999999996</v>
      </c>
      <c r="M25" s="1185">
        <f>虹桥基本支出调整!P25</f>
        <v>5600</v>
      </c>
      <c r="N25" s="1185">
        <f t="shared" si="0"/>
        <v>1279278.78</v>
      </c>
      <c r="O25" s="62"/>
      <c r="P25" s="1203">
        <v>34591636.290000007</v>
      </c>
      <c r="Q25" s="1203">
        <f t="shared" si="1"/>
        <v>-33312357.510000005</v>
      </c>
    </row>
    <row r="26" spans="1:17" ht="18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5">
        <f>莘庄基本支出调整!J26</f>
        <v>610450</v>
      </c>
      <c r="F26" s="1185">
        <f>吴泾基本支出调整!J26</f>
        <v>437780</v>
      </c>
      <c r="G26" s="1185">
        <f>七宝基本支出调整!Y26</f>
        <v>3954814.57</v>
      </c>
      <c r="H26" s="1185">
        <f>浦江基本支出调整!X26</f>
        <v>2321895</v>
      </c>
      <c r="I26" s="1185">
        <f>梅陇基本支出调整!U26</f>
        <v>2252455</v>
      </c>
      <c r="J26" s="1185">
        <f>马桥基本支出调整!Q26</f>
        <v>1644980</v>
      </c>
      <c r="K26" s="1185">
        <f>华漕基本支出调整!N26</f>
        <v>1393865</v>
      </c>
      <c r="L26" s="1185">
        <f>颛桥基本支出调整!T26</f>
        <v>2197765</v>
      </c>
      <c r="M26" s="1185">
        <f>虹桥基本支出调整!P26</f>
        <v>1307140</v>
      </c>
      <c r="N26" s="1185">
        <f t="shared" si="0"/>
        <v>16121144.57</v>
      </c>
      <c r="O26" s="62"/>
      <c r="P26" s="1203">
        <v>34591636.290000007</v>
      </c>
      <c r="Q26" s="1203">
        <f t="shared" si="1"/>
        <v>-18470491.720000006</v>
      </c>
    </row>
    <row r="27" spans="1:17" ht="18" customHeight="1">
      <c r="A27" s="66" t="s">
        <v>66</v>
      </c>
      <c r="B27" s="61" t="s">
        <v>67</v>
      </c>
      <c r="C27" s="61"/>
      <c r="D27" s="62" t="s">
        <v>21</v>
      </c>
      <c r="E27" s="1185">
        <f>莘庄基本支出调整!J27</f>
        <v>10252396.559999999</v>
      </c>
      <c r="F27" s="1185">
        <f>吴泾基本支出调整!J27</f>
        <v>6113245.7599999998</v>
      </c>
      <c r="G27" s="1185">
        <f>七宝基本支出调整!Y27</f>
        <v>69521515.100000009</v>
      </c>
      <c r="H27" s="1185">
        <f>浦江基本支出调整!X27</f>
        <v>42013153.269999996</v>
      </c>
      <c r="I27" s="1185">
        <f>梅陇基本支出调整!U27</f>
        <v>35344210.299999997</v>
      </c>
      <c r="J27" s="1185">
        <f>马桥基本支出调整!Q27</f>
        <v>27679190.260000002</v>
      </c>
      <c r="K27" s="1185">
        <f>华漕基本支出调整!N27</f>
        <v>22863797.859999999</v>
      </c>
      <c r="L27" s="1185">
        <f>颛桥基本支出调整!T27</f>
        <v>40218448.159999996</v>
      </c>
      <c r="M27" s="1185">
        <f>虹桥基本支出调整!P27</f>
        <v>21542300</v>
      </c>
      <c r="N27" s="1185">
        <f t="shared" si="0"/>
        <v>275548257.26999998</v>
      </c>
      <c r="O27" s="62"/>
      <c r="P27" s="118">
        <v>276733090.28999996</v>
      </c>
      <c r="Q27" s="1203">
        <f t="shared" si="1"/>
        <v>-1184833.0199999809</v>
      </c>
    </row>
    <row r="28" spans="1:17" ht="18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5">
        <f>莘庄基本支出调整!J28</f>
        <v>10252396.559999999</v>
      </c>
      <c r="F28" s="1185">
        <f>吴泾基本支出调整!J28</f>
        <v>6113245.7599999998</v>
      </c>
      <c r="G28" s="1185">
        <f>七宝基本支出调整!Y28</f>
        <v>69521515.100000009</v>
      </c>
      <c r="H28" s="1185">
        <f>浦江基本支出调整!X28</f>
        <v>42013153.269999996</v>
      </c>
      <c r="I28" s="1185">
        <f>梅陇基本支出调整!U28</f>
        <v>35344210.299999997</v>
      </c>
      <c r="J28" s="1185">
        <f>马桥基本支出调整!Q28</f>
        <v>27679190.260000002</v>
      </c>
      <c r="K28" s="1185">
        <f>华漕基本支出调整!N28</f>
        <v>22863797.859999999</v>
      </c>
      <c r="L28" s="1185">
        <f>颛桥基本支出调整!T28</f>
        <v>40218448.159999996</v>
      </c>
      <c r="M28" s="1185">
        <f>虹桥基本支出调整!P28</f>
        <v>21542300</v>
      </c>
      <c r="N28" s="1185">
        <f t="shared" si="0"/>
        <v>275548257.26999998</v>
      </c>
      <c r="O28" s="62"/>
      <c r="P28" s="118">
        <v>276733090.28999996</v>
      </c>
      <c r="Q28" s="1203">
        <f t="shared" si="1"/>
        <v>-1184833.0199999809</v>
      </c>
    </row>
    <row r="29" spans="1:17" ht="18" customHeight="1">
      <c r="A29" s="66" t="s">
        <v>71</v>
      </c>
      <c r="B29" s="61" t="s">
        <v>72</v>
      </c>
      <c r="C29" s="61"/>
      <c r="D29" s="62" t="s">
        <v>21</v>
      </c>
      <c r="E29" s="1185">
        <f>莘庄基本支出调整!J29</f>
        <v>5080472.29</v>
      </c>
      <c r="F29" s="1185">
        <f>吴泾基本支出调整!J29</f>
        <v>3064623.28</v>
      </c>
      <c r="G29" s="1185">
        <f>七宝基本支出调整!Y29</f>
        <v>34847887.219999999</v>
      </c>
      <c r="H29" s="1185">
        <f>浦江基本支出调整!X29</f>
        <v>21171533.460000001</v>
      </c>
      <c r="I29" s="1185">
        <f>梅陇基本支出调整!U29</f>
        <v>17792054.329999998</v>
      </c>
      <c r="J29" s="1185">
        <f>马桥基本支出调整!Q29</f>
        <v>13804865.649999999</v>
      </c>
      <c r="K29" s="1185">
        <f>华漕基本支出调整!N29</f>
        <v>11425206.590000002</v>
      </c>
      <c r="L29" s="1185">
        <f>颛桥基本支出调整!T29</f>
        <v>20176107.18</v>
      </c>
      <c r="M29" s="1185">
        <f>虹桥基本支出调整!P29</f>
        <v>10800539</v>
      </c>
      <c r="N29" s="1185">
        <f t="shared" si="0"/>
        <v>138163289</v>
      </c>
      <c r="O29" s="62"/>
      <c r="P29" s="118">
        <v>138366545.15000001</v>
      </c>
      <c r="Q29" s="1203">
        <f t="shared" si="1"/>
        <v>-203256.15000000596</v>
      </c>
    </row>
    <row r="30" spans="1:17" ht="18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5">
        <f>莘庄基本支出调整!J30</f>
        <v>5080472.29</v>
      </c>
      <c r="F30" s="1185">
        <f>吴泾基本支出调整!J30</f>
        <v>3064623.28</v>
      </c>
      <c r="G30" s="1185">
        <f>七宝基本支出调整!Y30</f>
        <v>34847887.219999999</v>
      </c>
      <c r="H30" s="1185">
        <f>浦江基本支出调整!X30</f>
        <v>21171533.460000001</v>
      </c>
      <c r="I30" s="1185">
        <f>梅陇基本支出调整!U30</f>
        <v>17792054.329999998</v>
      </c>
      <c r="J30" s="1185">
        <f>马桥基本支出调整!Q30</f>
        <v>13804865.649999999</v>
      </c>
      <c r="K30" s="1185">
        <f>华漕基本支出调整!N30</f>
        <v>11425206.590000002</v>
      </c>
      <c r="L30" s="1185">
        <f>颛桥基本支出调整!T30</f>
        <v>20176107.18</v>
      </c>
      <c r="M30" s="1185">
        <f>虹桥基本支出调整!P30</f>
        <v>10800539</v>
      </c>
      <c r="N30" s="1185">
        <f t="shared" si="0"/>
        <v>138163289</v>
      </c>
      <c r="O30" s="62"/>
      <c r="P30" s="118">
        <v>138366545.15000001</v>
      </c>
      <c r="Q30" s="1203">
        <f t="shared" si="1"/>
        <v>-203256.15000000596</v>
      </c>
    </row>
    <row r="31" spans="1:17" ht="18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5">
        <f>莘庄基本支出调整!J31</f>
        <v>4428403</v>
      </c>
      <c r="F31" s="1185">
        <f>吴泾基本支出调整!J31</f>
        <v>2698224</v>
      </c>
      <c r="G31" s="1185">
        <f>七宝基本支出调整!Y31</f>
        <v>30510018</v>
      </c>
      <c r="H31" s="1185">
        <f>浦江基本支出调整!X31</f>
        <v>18339909.91</v>
      </c>
      <c r="I31" s="1185">
        <f>梅陇基本支出调整!U31</f>
        <v>15429789</v>
      </c>
      <c r="J31" s="1185">
        <f>马桥基本支出调整!Q31</f>
        <v>12083376</v>
      </c>
      <c r="K31" s="1185">
        <f>华漕基本支出调整!N31</f>
        <v>10014218</v>
      </c>
      <c r="L31" s="1185">
        <f>颛桥基本支出调整!T31</f>
        <v>17635473</v>
      </c>
      <c r="M31" s="1185">
        <f>虹桥基本支出调整!P31</f>
        <v>9409690</v>
      </c>
      <c r="N31" s="1185">
        <f t="shared" si="0"/>
        <v>120549100.91</v>
      </c>
      <c r="O31" s="62"/>
      <c r="P31" s="118">
        <v>121070727</v>
      </c>
      <c r="Q31" s="1203">
        <f t="shared" si="1"/>
        <v>-521626.09000000358</v>
      </c>
    </row>
    <row r="32" spans="1:17" ht="18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5">
        <f>莘庄基本支出调整!J32</f>
        <v>93500</v>
      </c>
      <c r="F32" s="1185">
        <f>吴泾基本支出调整!J32</f>
        <v>57000</v>
      </c>
      <c r="G32" s="1185">
        <f>七宝基本支出调整!Y32</f>
        <v>671000</v>
      </c>
      <c r="H32" s="1185">
        <f>浦江基本支出调整!X32</f>
        <v>367500</v>
      </c>
      <c r="I32" s="1185">
        <f>梅陇基本支出调整!U32</f>
        <v>322500</v>
      </c>
      <c r="J32" s="1185">
        <f>马桥基本支出调整!Q32</f>
        <v>244000</v>
      </c>
      <c r="K32" s="1185">
        <f>华漕基本支出调整!N32</f>
        <v>205000</v>
      </c>
      <c r="L32" s="1185">
        <f>颛桥基本支出调整!T32</f>
        <v>388500</v>
      </c>
      <c r="M32" s="1185">
        <f>虹桥基本支出调整!P32</f>
        <v>203500</v>
      </c>
      <c r="N32" s="1185">
        <f t="shared" si="0"/>
        <v>2552500</v>
      </c>
      <c r="O32" s="62"/>
      <c r="P32" s="118">
        <v>0</v>
      </c>
      <c r="Q32" s="1203">
        <f t="shared" si="1"/>
        <v>2552500</v>
      </c>
    </row>
    <row r="33" spans="1:18" ht="18" customHeight="1">
      <c r="A33" s="66" t="s">
        <v>83</v>
      </c>
      <c r="B33" s="61" t="s">
        <v>84</v>
      </c>
      <c r="C33" s="61"/>
      <c r="D33" s="62" t="s">
        <v>21</v>
      </c>
      <c r="E33" s="1185">
        <f>莘庄基本支出调整!J33</f>
        <v>2120680</v>
      </c>
      <c r="F33" s="1185">
        <f>吴泾基本支出调整!J33</f>
        <v>1609640</v>
      </c>
      <c r="G33" s="1185">
        <f>七宝基本支出调整!Y33</f>
        <v>11121524.039999999</v>
      </c>
      <c r="H33" s="1185">
        <f>浦江基本支出调整!X33</f>
        <v>7651745</v>
      </c>
      <c r="I33" s="1185">
        <f>梅陇基本支出调整!U33</f>
        <v>8021505</v>
      </c>
      <c r="J33" s="1185">
        <f>马桥基本支出调整!Q33</f>
        <v>4398300</v>
      </c>
      <c r="K33" s="1185">
        <f>华漕基本支出调整!N33</f>
        <v>8063905</v>
      </c>
      <c r="L33" s="1185">
        <f>颛桥基本支出调整!T33</f>
        <v>6703035</v>
      </c>
      <c r="M33" s="1185">
        <f>虹桥基本支出调整!P33</f>
        <v>6771055</v>
      </c>
      <c r="N33" s="1185">
        <f t="shared" si="0"/>
        <v>56461389.039999999</v>
      </c>
      <c r="O33" s="62"/>
      <c r="P33" s="1203">
        <v>55185794.200000003</v>
      </c>
      <c r="Q33" s="1203">
        <f t="shared" si="1"/>
        <v>1275594.8399999961</v>
      </c>
    </row>
    <row r="34" spans="1:18" ht="18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莘庄基本支出调整!J34</f>
        <v>2109700</v>
      </c>
      <c r="F34" s="1185">
        <f>吴泾基本支出调整!J34</f>
        <v>1599410</v>
      </c>
      <c r="G34" s="1185">
        <f>七宝基本支出调整!Y34</f>
        <v>11042684.039999999</v>
      </c>
      <c r="H34" s="1185">
        <f>浦江基本支出调整!X34</f>
        <v>7623875</v>
      </c>
      <c r="I34" s="1185">
        <f>梅陇基本支出调整!U34</f>
        <v>7975215</v>
      </c>
      <c r="J34" s="1185">
        <f>马桥基本支出调整!Q34</f>
        <v>4378510</v>
      </c>
      <c r="K34" s="1185">
        <f>华漕基本支出调整!N34</f>
        <v>8044315</v>
      </c>
      <c r="L34" s="1185">
        <f>颛桥基本支出调整!T34</f>
        <v>6664635</v>
      </c>
      <c r="M34" s="1185">
        <f>虹桥基本支出调整!P34</f>
        <v>6750155</v>
      </c>
      <c r="N34" s="1185">
        <f t="shared" si="0"/>
        <v>56188499.039999999</v>
      </c>
      <c r="O34" s="62"/>
      <c r="P34" s="1203">
        <v>54863264.200000003</v>
      </c>
      <c r="Q34" s="1203">
        <f t="shared" si="1"/>
        <v>1325234.8399999961</v>
      </c>
    </row>
    <row r="35" spans="1:18" ht="18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5">
        <f>莘庄基本支出调整!J35</f>
        <v>2109700</v>
      </c>
      <c r="F35" s="1185">
        <f>吴泾基本支出调整!J35</f>
        <v>1599410</v>
      </c>
      <c r="G35" s="1185">
        <f>七宝基本支出调整!Y35</f>
        <v>11042684.039999999</v>
      </c>
      <c r="H35" s="1185">
        <f>浦江基本支出调整!X35</f>
        <v>7623875</v>
      </c>
      <c r="I35" s="1185">
        <f>梅陇基本支出调整!U35</f>
        <v>7975215</v>
      </c>
      <c r="J35" s="1185">
        <f>马桥基本支出调整!Q35</f>
        <v>4378510</v>
      </c>
      <c r="K35" s="1185">
        <f>华漕基本支出调整!N35</f>
        <v>8044315</v>
      </c>
      <c r="L35" s="1185">
        <f>颛桥基本支出调整!T35</f>
        <v>6664635</v>
      </c>
      <c r="M35" s="1185">
        <f>虹桥基本支出调整!P35</f>
        <v>6750155</v>
      </c>
      <c r="N35" s="1185">
        <f t="shared" si="0"/>
        <v>56188499.039999999</v>
      </c>
      <c r="O35" s="62"/>
      <c r="P35" s="1203">
        <v>54863264.200000003</v>
      </c>
      <c r="Q35" s="1203">
        <f t="shared" si="1"/>
        <v>1325234.8399999961</v>
      </c>
    </row>
    <row r="36" spans="1:18" ht="18" customHeight="1">
      <c r="A36" s="66" t="s">
        <v>91</v>
      </c>
      <c r="B36" s="61" t="s">
        <v>92</v>
      </c>
      <c r="C36" s="61"/>
      <c r="D36" s="62" t="s">
        <v>21</v>
      </c>
      <c r="E36" s="1185">
        <f>莘庄基本支出调整!J36</f>
        <v>10980</v>
      </c>
      <c r="F36" s="1185">
        <f>吴泾基本支出调整!J36</f>
        <v>10230</v>
      </c>
      <c r="G36" s="1185">
        <f>七宝基本支出调整!Y36</f>
        <v>78840</v>
      </c>
      <c r="H36" s="1185">
        <f>浦江基本支出调整!X36</f>
        <v>27870</v>
      </c>
      <c r="I36" s="1185">
        <f>梅陇基本支出调整!U36</f>
        <v>46290</v>
      </c>
      <c r="J36" s="1185">
        <f>马桥基本支出调整!Q36</f>
        <v>19790</v>
      </c>
      <c r="K36" s="1185">
        <f>华漕基本支出调整!N36</f>
        <v>19590</v>
      </c>
      <c r="L36" s="1185">
        <f>颛桥基本支出调整!T36</f>
        <v>38400</v>
      </c>
      <c r="M36" s="1185">
        <f>虹桥基本支出调整!P36</f>
        <v>20900</v>
      </c>
      <c r="N36" s="1185">
        <f t="shared" si="0"/>
        <v>272890</v>
      </c>
      <c r="O36" s="62"/>
      <c r="P36" s="1203">
        <v>322530</v>
      </c>
      <c r="Q36" s="1203">
        <f t="shared" si="1"/>
        <v>-49640</v>
      </c>
    </row>
    <row r="37" spans="1:18" ht="18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5">
        <f>莘庄基本支出调整!J37</f>
        <v>10980</v>
      </c>
      <c r="F37" s="1185">
        <f>吴泾基本支出调整!J37</f>
        <v>10230</v>
      </c>
      <c r="G37" s="1185">
        <f>七宝基本支出调整!Y37</f>
        <v>78840</v>
      </c>
      <c r="H37" s="1185">
        <f>浦江基本支出调整!X37</f>
        <v>27870</v>
      </c>
      <c r="I37" s="1185">
        <f>梅陇基本支出调整!U37</f>
        <v>46290</v>
      </c>
      <c r="J37" s="1185">
        <f>马桥基本支出调整!Q37</f>
        <v>19790</v>
      </c>
      <c r="K37" s="1185">
        <f>华漕基本支出调整!N37</f>
        <v>19590</v>
      </c>
      <c r="L37" s="1185">
        <f>颛桥基本支出调整!T37</f>
        <v>38400</v>
      </c>
      <c r="M37" s="1185">
        <f>虹桥基本支出调整!P37</f>
        <v>20900</v>
      </c>
      <c r="N37" s="1185">
        <f t="shared" si="0"/>
        <v>272890</v>
      </c>
      <c r="O37" s="62"/>
      <c r="P37" s="1203">
        <v>322530</v>
      </c>
      <c r="Q37" s="1203">
        <f t="shared" si="1"/>
        <v>-49640</v>
      </c>
    </row>
    <row r="38" spans="1:18" ht="18" customHeight="1">
      <c r="A38" s="66" t="s">
        <v>95</v>
      </c>
      <c r="B38" s="61" t="s">
        <v>3002</v>
      </c>
      <c r="C38" s="61"/>
      <c r="D38" s="62" t="s">
        <v>21</v>
      </c>
      <c r="E38" s="1185">
        <f>莘庄基本支出调整!J38</f>
        <v>0</v>
      </c>
      <c r="F38" s="1185">
        <f>吴泾基本支出调整!J38</f>
        <v>0</v>
      </c>
      <c r="G38" s="1185">
        <f>七宝基本支出调整!Y38</f>
        <v>0</v>
      </c>
      <c r="H38" s="1185">
        <f>浦江基本支出调整!X38</f>
        <v>0</v>
      </c>
      <c r="I38" s="1185">
        <f>梅陇基本支出调整!U38</f>
        <v>0</v>
      </c>
      <c r="J38" s="1185">
        <f>马桥基本支出调整!Q38</f>
        <v>0</v>
      </c>
      <c r="K38" s="1185">
        <f>华漕基本支出调整!N38</f>
        <v>0</v>
      </c>
      <c r="L38" s="1185">
        <f>颛桥基本支出调整!T38</f>
        <v>0</v>
      </c>
      <c r="M38" s="1185">
        <f>虹桥基本支出调整!P38</f>
        <v>0</v>
      </c>
      <c r="N38" s="1185">
        <f t="shared" si="0"/>
        <v>0</v>
      </c>
      <c r="O38" s="62"/>
      <c r="P38" s="1203"/>
      <c r="Q38" s="1203">
        <f t="shared" si="1"/>
        <v>0</v>
      </c>
    </row>
    <row r="39" spans="1:18" ht="18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5">
        <f>莘庄基本支出调整!J39</f>
        <v>0</v>
      </c>
      <c r="F39" s="1185">
        <f>吴泾基本支出调整!J39</f>
        <v>0</v>
      </c>
      <c r="G39" s="1185">
        <f>七宝基本支出调整!Y39</f>
        <v>0</v>
      </c>
      <c r="H39" s="1185">
        <f>浦江基本支出调整!X39</f>
        <v>0</v>
      </c>
      <c r="I39" s="1185">
        <f>梅陇基本支出调整!U39</f>
        <v>0</v>
      </c>
      <c r="J39" s="1185">
        <f>马桥基本支出调整!Q39</f>
        <v>0</v>
      </c>
      <c r="K39" s="1185">
        <f>华漕基本支出调整!N39</f>
        <v>0</v>
      </c>
      <c r="L39" s="1185">
        <f>颛桥基本支出调整!T39</f>
        <v>0</v>
      </c>
      <c r="M39" s="1185">
        <f>虹桥基本支出调整!P39</f>
        <v>0</v>
      </c>
      <c r="N39" s="1185">
        <f t="shared" si="0"/>
        <v>0</v>
      </c>
      <c r="O39" s="62"/>
      <c r="P39" s="1203"/>
      <c r="Q39" s="1203">
        <f t="shared" si="1"/>
        <v>0</v>
      </c>
    </row>
    <row r="40" spans="1:18" ht="18" customHeight="1">
      <c r="A40" s="66" t="s">
        <v>97</v>
      </c>
      <c r="B40" s="61" t="s">
        <v>98</v>
      </c>
      <c r="C40" s="61"/>
      <c r="D40" s="62" t="s">
        <v>21</v>
      </c>
      <c r="E40" s="1185">
        <f>莘庄基本支出调整!J40</f>
        <v>16590891.109999999</v>
      </c>
      <c r="F40" s="1185">
        <f>吴泾基本支出调整!J40</f>
        <v>10613624.870000001</v>
      </c>
      <c r="G40" s="1185">
        <f>七宝基本支出调整!Y40</f>
        <v>115611231.03</v>
      </c>
      <c r="H40" s="1185">
        <f>浦江基本支出调整!X40</f>
        <v>80067107.799999982</v>
      </c>
      <c r="I40" s="1185">
        <f>梅陇基本支出调整!U40</f>
        <v>58854003.089999989</v>
      </c>
      <c r="J40" s="1185">
        <f>马桥基本支出调整!Q40</f>
        <v>45723456.20000001</v>
      </c>
      <c r="K40" s="1185">
        <f>华漕基本支出调整!N40</f>
        <v>40300250.619999997</v>
      </c>
      <c r="L40" s="1185">
        <f>颛桥基本支出调整!T40</f>
        <v>68874920.469999984</v>
      </c>
      <c r="M40" s="1185">
        <f>虹桥基本支出调整!P40</f>
        <v>33919041.700000003</v>
      </c>
      <c r="N40" s="1185">
        <f t="shared" si="0"/>
        <v>470554526.88999993</v>
      </c>
      <c r="O40" s="62"/>
      <c r="P40" s="1203">
        <v>459702404.95999992</v>
      </c>
      <c r="Q40" s="1203">
        <f t="shared" si="1"/>
        <v>10852121.930000007</v>
      </c>
    </row>
    <row r="41" spans="1:18" ht="18" customHeight="1">
      <c r="A41" s="66" t="s">
        <v>99</v>
      </c>
      <c r="B41" s="61" t="s">
        <v>100</v>
      </c>
      <c r="C41" s="61"/>
      <c r="D41" s="62" t="s">
        <v>101</v>
      </c>
      <c r="E41" s="1185">
        <f>莘庄基本支出调整!J41</f>
        <v>12190650</v>
      </c>
      <c r="F41" s="1185">
        <f>吴泾基本支出调整!J41</f>
        <v>7892520</v>
      </c>
      <c r="G41" s="1185">
        <f>七宝基本支出调整!Y41</f>
        <v>90091585</v>
      </c>
      <c r="H41" s="1185">
        <f>浦江基本支出调整!X41</f>
        <v>61230120</v>
      </c>
      <c r="I41" s="1185">
        <f>梅陇基本支出调整!U41</f>
        <v>44171135</v>
      </c>
      <c r="J41" s="1185">
        <f>马桥基本支出调整!Q41</f>
        <v>34619640</v>
      </c>
      <c r="K41" s="1185">
        <f>华漕基本支出调整!N41</f>
        <v>30576945</v>
      </c>
      <c r="L41" s="1185">
        <f>颛桥基本支出调整!T41</f>
        <v>52551630</v>
      </c>
      <c r="M41" s="1185">
        <f>虹桥基本支出调整!P41</f>
        <v>24804920</v>
      </c>
      <c r="N41" s="1185">
        <f t="shared" si="0"/>
        <v>358129145</v>
      </c>
      <c r="O41" s="62"/>
      <c r="P41" s="1203">
        <v>346105720</v>
      </c>
      <c r="Q41" s="1203">
        <f t="shared" si="1"/>
        <v>12023425</v>
      </c>
      <c r="R41" s="3" t="s">
        <v>3356</v>
      </c>
    </row>
    <row r="42" spans="1:18" ht="18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5">
        <f>莘庄基本支出调整!J42</f>
        <v>516572.5</v>
      </c>
      <c r="F42" s="1185">
        <f>吴泾基本支出调整!J42</f>
        <v>373755.5</v>
      </c>
      <c r="G42" s="1185">
        <f>七宝基本支出调整!Y42</f>
        <v>4382528.75</v>
      </c>
      <c r="H42" s="1185">
        <f>浦江基本支出调整!X42</f>
        <v>3006093.5</v>
      </c>
      <c r="I42" s="1185">
        <f>梅陇基本支出调整!U42</f>
        <v>2019833.5</v>
      </c>
      <c r="J42" s="1185">
        <f>马桥基本支出调整!Q42</f>
        <v>1694588.5</v>
      </c>
      <c r="K42" s="1185">
        <f>华漕基本支出调整!N42</f>
        <v>1444834.75</v>
      </c>
      <c r="L42" s="1185">
        <f>颛桥基本支出调整!T42</f>
        <v>2538564</v>
      </c>
      <c r="M42" s="1185">
        <f>虹桥基本支出调整!P42</f>
        <v>1101833</v>
      </c>
      <c r="N42" s="1185">
        <f t="shared" si="0"/>
        <v>17078604</v>
      </c>
      <c r="O42" s="62"/>
      <c r="P42" s="1203">
        <v>16572055.5</v>
      </c>
      <c r="Q42" s="1203">
        <f t="shared" si="1"/>
        <v>506548.5</v>
      </c>
      <c r="R42" s="3" t="s">
        <v>3357</v>
      </c>
    </row>
    <row r="43" spans="1:18" ht="18" customHeight="1">
      <c r="A43" s="66" t="s">
        <v>106</v>
      </c>
      <c r="B43" s="61" t="s">
        <v>107</v>
      </c>
      <c r="C43" s="61"/>
      <c r="D43" s="62"/>
      <c r="E43" s="1185">
        <f>莘庄基本支出调整!J43</f>
        <v>108400</v>
      </c>
      <c r="F43" s="1185">
        <f>吴泾基本支出调整!J43</f>
        <v>67200</v>
      </c>
      <c r="G43" s="1185">
        <f>七宝基本支出调整!Y43</f>
        <v>722066.32999999984</v>
      </c>
      <c r="H43" s="1185">
        <f>浦江基本支出调整!X43</f>
        <v>444030</v>
      </c>
      <c r="I43" s="1185">
        <f>梅陇基本支出调整!U43</f>
        <v>371200</v>
      </c>
      <c r="J43" s="1185">
        <f>马桥基本支出调整!Q43</f>
        <v>184800</v>
      </c>
      <c r="K43" s="1185">
        <f>华漕基本支出调整!N43</f>
        <v>236560</v>
      </c>
      <c r="L43" s="1185">
        <f>颛桥基本支出调整!T43</f>
        <v>417200</v>
      </c>
      <c r="M43" s="1185">
        <f>虹桥基本支出调整!P43</f>
        <v>103120</v>
      </c>
      <c r="N43" s="1185">
        <f t="shared" si="0"/>
        <v>2654576.33</v>
      </c>
      <c r="O43" s="62"/>
      <c r="P43" s="1203">
        <v>2872000</v>
      </c>
      <c r="Q43" s="1203">
        <f t="shared" si="1"/>
        <v>-217423.66999999993</v>
      </c>
    </row>
    <row r="44" spans="1:18" ht="18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5">
        <f>莘庄基本支出调整!J44</f>
        <v>108400</v>
      </c>
      <c r="F44" s="1185">
        <f>吴泾基本支出调整!J44</f>
        <v>67200</v>
      </c>
      <c r="G44" s="1185">
        <f>七宝基本支出调整!Y44</f>
        <v>722066.32999999984</v>
      </c>
      <c r="H44" s="1185">
        <f>浦江基本支出调整!X44</f>
        <v>444030</v>
      </c>
      <c r="I44" s="1185">
        <f>梅陇基本支出调整!U44</f>
        <v>371200</v>
      </c>
      <c r="J44" s="1185">
        <f>马桥基本支出调整!Q44</f>
        <v>184800</v>
      </c>
      <c r="K44" s="1185">
        <f>华漕基本支出调整!N44</f>
        <v>236560</v>
      </c>
      <c r="L44" s="1185">
        <f>颛桥基本支出调整!T44</f>
        <v>417200</v>
      </c>
      <c r="M44" s="1185">
        <f>虹桥基本支出调整!P44</f>
        <v>103120</v>
      </c>
      <c r="N44" s="1185">
        <f t="shared" si="0"/>
        <v>2654576.33</v>
      </c>
      <c r="O44" s="62"/>
      <c r="P44" s="1203">
        <v>2872000</v>
      </c>
      <c r="Q44" s="1203">
        <f t="shared" si="1"/>
        <v>-217423.66999999993</v>
      </c>
    </row>
    <row r="45" spans="1:18" ht="18" customHeight="1">
      <c r="A45" s="66" t="s">
        <v>111</v>
      </c>
      <c r="B45" s="61" t="s">
        <v>112</v>
      </c>
      <c r="C45" s="61"/>
      <c r="D45" s="62" t="s">
        <v>21</v>
      </c>
      <c r="E45" s="1185">
        <f>莘庄基本支出调整!J45</f>
        <v>939108.89999999991</v>
      </c>
      <c r="F45" s="1185">
        <f>吴泾基本支出调整!J45</f>
        <v>515843.7</v>
      </c>
      <c r="G45" s="1185">
        <f>七宝基本支出调整!Y45</f>
        <v>3763958.6999999997</v>
      </c>
      <c r="H45" s="1185">
        <f>浦江基本支出调整!X45</f>
        <v>4323328.5</v>
      </c>
      <c r="I45" s="1185">
        <f>梅陇基本支出调整!U45</f>
        <v>2795699.85</v>
      </c>
      <c r="J45" s="1185">
        <f>马桥基本支出调整!Q45</f>
        <v>2190618.9</v>
      </c>
      <c r="K45" s="1185">
        <f>华漕基本支出调整!N45</f>
        <v>1303461.6999999997</v>
      </c>
      <c r="L45" s="1185">
        <f>颛桥基本支出调整!T45</f>
        <v>3178825.5</v>
      </c>
      <c r="M45" s="1185">
        <f>虹桥基本支出调整!P45</f>
        <v>1602590.3000000003</v>
      </c>
      <c r="N45" s="1185">
        <f t="shared" si="0"/>
        <v>20613436.050000001</v>
      </c>
      <c r="O45" s="62"/>
      <c r="P45" s="1203">
        <v>20807685.149999999</v>
      </c>
      <c r="Q45" s="1203">
        <f t="shared" si="1"/>
        <v>-194249.09999999776</v>
      </c>
    </row>
    <row r="46" spans="1:18" ht="18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5">
        <f>莘庄基本支出调整!J46</f>
        <v>939108.89999999991</v>
      </c>
      <c r="F46" s="1185">
        <f>吴泾基本支出调整!J46</f>
        <v>515843.7</v>
      </c>
      <c r="G46" s="1185">
        <f>七宝基本支出调整!Y46</f>
        <v>3763958.6999999997</v>
      </c>
      <c r="H46" s="1185">
        <f>浦江基本支出调整!X46</f>
        <v>4323328.5</v>
      </c>
      <c r="I46" s="1185">
        <f>梅陇基本支出调整!U46</f>
        <v>2795699.85</v>
      </c>
      <c r="J46" s="1185">
        <f>马桥基本支出调整!Q46</f>
        <v>2190618.9</v>
      </c>
      <c r="K46" s="1185">
        <f>华漕基本支出调整!N46</f>
        <v>1303461.6999999997</v>
      </c>
      <c r="L46" s="1185">
        <f>颛桥基本支出调整!T46</f>
        <v>3178825.5</v>
      </c>
      <c r="M46" s="1185">
        <f>虹桥基本支出调整!P46</f>
        <v>1602590.3000000003</v>
      </c>
      <c r="N46" s="1185">
        <f t="shared" si="0"/>
        <v>20613436.050000001</v>
      </c>
      <c r="O46" s="62"/>
      <c r="P46" s="1203">
        <v>20807685.149999999</v>
      </c>
      <c r="Q46" s="1203">
        <f t="shared" si="1"/>
        <v>-194249.09999999776</v>
      </c>
    </row>
    <row r="47" spans="1:18" ht="18" customHeight="1">
      <c r="A47" s="66" t="s">
        <v>116</v>
      </c>
      <c r="B47" s="61" t="s">
        <v>117</v>
      </c>
      <c r="C47" s="61"/>
      <c r="D47" s="62" t="s">
        <v>21</v>
      </c>
      <c r="E47" s="1185">
        <f>莘庄基本支出调整!J47</f>
        <v>246346.23999999999</v>
      </c>
      <c r="F47" s="1185">
        <f>吴泾基本支出调整!J47</f>
        <v>136040</v>
      </c>
      <c r="G47" s="1185">
        <f>七宝基本支出调整!Y47</f>
        <v>943045.20000000007</v>
      </c>
      <c r="H47" s="1185">
        <f>浦江基本支出调整!X47</f>
        <v>1330764.7200000002</v>
      </c>
      <c r="I47" s="1185">
        <f>梅陇基本支出调整!U47</f>
        <v>727845.6</v>
      </c>
      <c r="J47" s="1185">
        <f>马桥基本支出调整!Q47</f>
        <v>634052.4</v>
      </c>
      <c r="K47" s="1185">
        <f>华漕基本支出调整!N47</f>
        <v>541983.80000000005</v>
      </c>
      <c r="L47" s="1185">
        <f>颛桥基本支出调整!T47</f>
        <v>1018414.4</v>
      </c>
      <c r="M47" s="1185">
        <f>虹桥基本支出调整!P47</f>
        <v>363458.4</v>
      </c>
      <c r="N47" s="1185">
        <f t="shared" si="0"/>
        <v>5941950.7600000007</v>
      </c>
      <c r="O47" s="62"/>
      <c r="P47" s="1203">
        <v>5987783.5200000014</v>
      </c>
      <c r="Q47" s="1203">
        <f t="shared" si="1"/>
        <v>-45832.760000000708</v>
      </c>
    </row>
    <row r="48" spans="1:18" ht="18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5">
        <f>莘庄基本支出调整!J48</f>
        <v>246346.23999999999</v>
      </c>
      <c r="F48" s="1185">
        <f>吴泾基本支出调整!J48</f>
        <v>136040</v>
      </c>
      <c r="G48" s="1185">
        <f>七宝基本支出调整!Y48</f>
        <v>943045.20000000007</v>
      </c>
      <c r="H48" s="1185">
        <f>浦江基本支出调整!X48</f>
        <v>1330764.7200000002</v>
      </c>
      <c r="I48" s="1185">
        <f>梅陇基本支出调整!U48</f>
        <v>727845.6</v>
      </c>
      <c r="J48" s="1185">
        <f>马桥基本支出调整!Q48</f>
        <v>634052.4</v>
      </c>
      <c r="K48" s="1185">
        <f>华漕基本支出调整!N48</f>
        <v>541983.80000000005</v>
      </c>
      <c r="L48" s="1185">
        <f>颛桥基本支出调整!T48</f>
        <v>1018414.4</v>
      </c>
      <c r="M48" s="1185">
        <f>虹桥基本支出调整!P48</f>
        <v>363458.4</v>
      </c>
      <c r="N48" s="1185">
        <f t="shared" si="0"/>
        <v>5941950.7600000007</v>
      </c>
      <c r="O48" s="62"/>
      <c r="P48" s="1203">
        <v>5987783.5200000014</v>
      </c>
      <c r="Q48" s="1203">
        <f t="shared" si="1"/>
        <v>-45832.760000000708</v>
      </c>
    </row>
    <row r="49" spans="1:17" ht="18" customHeight="1">
      <c r="A49" s="66" t="s">
        <v>121</v>
      </c>
      <c r="B49" s="61" t="s">
        <v>210</v>
      </c>
      <c r="C49" s="61"/>
      <c r="D49" s="62" t="s">
        <v>21</v>
      </c>
      <c r="E49" s="1185">
        <f>莘庄基本支出调整!J49</f>
        <v>1655520</v>
      </c>
      <c r="F49" s="1185">
        <f>吴泾基本支出调整!J49</f>
        <v>1088640</v>
      </c>
      <c r="G49" s="1185">
        <f>七宝基本支出调整!Y49</f>
        <v>10511640</v>
      </c>
      <c r="H49" s="1185">
        <f>浦江基本支出调整!X49</f>
        <v>6565320</v>
      </c>
      <c r="I49" s="1185">
        <f>梅陇基本支出调整!U49</f>
        <v>5825520</v>
      </c>
      <c r="J49" s="1185">
        <f>马桥基本支出调整!Q49</f>
        <v>4140720</v>
      </c>
      <c r="K49" s="1185">
        <f>华漕基本支出调整!N49</f>
        <v>4352040</v>
      </c>
      <c r="L49" s="1185">
        <f>颛桥基本支出调整!T49</f>
        <v>6064200</v>
      </c>
      <c r="M49" s="1185">
        <f>虹桥基本支出调整!P49</f>
        <v>3952800</v>
      </c>
      <c r="N49" s="1185">
        <f t="shared" si="0"/>
        <v>44156400</v>
      </c>
      <c r="O49" s="62"/>
      <c r="P49" s="1203">
        <v>43973280</v>
      </c>
      <c r="Q49" s="1203">
        <f t="shared" si="1"/>
        <v>183120</v>
      </c>
    </row>
    <row r="50" spans="1:17" ht="18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5">
        <f>莘庄基本支出调整!J50</f>
        <v>1144440</v>
      </c>
      <c r="F50" s="1185">
        <f>吴泾基本支出调整!J50</f>
        <v>716040</v>
      </c>
      <c r="G50" s="1185">
        <f>七宝基本支出调整!Y50</f>
        <v>7798320</v>
      </c>
      <c r="H50" s="1185">
        <f>浦江基本支出调整!X50</f>
        <v>4753080</v>
      </c>
      <c r="I50" s="1185">
        <f>梅陇基本支出调整!U50</f>
        <v>3988080</v>
      </c>
      <c r="J50" s="1185">
        <f>马桥基本支出调整!Q50</f>
        <v>3082320</v>
      </c>
      <c r="K50" s="1185">
        <f>华漕基本支出调整!N50</f>
        <v>2551680</v>
      </c>
      <c r="L50" s="1185">
        <f>颛桥基本支出调整!T50</f>
        <v>4472280</v>
      </c>
      <c r="M50" s="1185">
        <f>虹桥基本支出调整!P50</f>
        <v>2316600</v>
      </c>
      <c r="N50" s="1185">
        <f t="shared" si="0"/>
        <v>30822840</v>
      </c>
      <c r="O50" s="62"/>
      <c r="P50" s="1203">
        <v>31017600</v>
      </c>
      <c r="Q50" s="1203">
        <f t="shared" si="1"/>
        <v>-194760</v>
      </c>
    </row>
    <row r="51" spans="1:17" ht="18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5">
        <f>莘庄基本支出调整!J51</f>
        <v>511080</v>
      </c>
      <c r="F51" s="1185">
        <f>吴泾基本支出调整!J51</f>
        <v>372600</v>
      </c>
      <c r="G51" s="1185">
        <f>七宝基本支出调整!Y51</f>
        <v>2713320</v>
      </c>
      <c r="H51" s="1185">
        <f>浦江基本支出调整!X51</f>
        <v>1812240</v>
      </c>
      <c r="I51" s="1185">
        <f>梅陇基本支出调整!U51</f>
        <v>1837440</v>
      </c>
      <c r="J51" s="1185">
        <f>马桥基本支出调整!Q51</f>
        <v>1058400</v>
      </c>
      <c r="K51" s="1185">
        <f>华漕基本支出调整!N51</f>
        <v>1800360</v>
      </c>
      <c r="L51" s="1185">
        <f>颛桥基本支出调整!T51</f>
        <v>1591920</v>
      </c>
      <c r="M51" s="1185">
        <f>虹桥基本支出调整!P51</f>
        <v>1636200</v>
      </c>
      <c r="N51" s="1185">
        <f t="shared" si="0"/>
        <v>13333560</v>
      </c>
      <c r="O51" s="62"/>
      <c r="P51" s="1203">
        <v>12955680</v>
      </c>
      <c r="Q51" s="1203">
        <f t="shared" si="1"/>
        <v>377880</v>
      </c>
    </row>
    <row r="52" spans="1:17" ht="18" customHeight="1">
      <c r="A52" s="66" t="s">
        <v>126</v>
      </c>
      <c r="B52" s="61" t="s">
        <v>214</v>
      </c>
      <c r="C52" s="61"/>
      <c r="D52" s="62" t="s">
        <v>21</v>
      </c>
      <c r="E52" s="1185">
        <f>莘庄基本支出调整!J52</f>
        <v>1267995.98</v>
      </c>
      <c r="F52" s="1185">
        <f>吴泾基本支出调整!J52</f>
        <v>787596.57</v>
      </c>
      <c r="G52" s="1185">
        <f>七宝基本支出调整!Y52</f>
        <v>8714205.1600000039</v>
      </c>
      <c r="H52" s="1185">
        <f>浦江基本支出调整!X52</f>
        <v>5316528.58</v>
      </c>
      <c r="I52" s="1185">
        <f>梅陇基本支出调整!U52</f>
        <v>4445528.3099999996</v>
      </c>
      <c r="J52" s="1185">
        <f>马桥基本支出调整!Q52</f>
        <v>3449469.9000000004</v>
      </c>
      <c r="K52" s="1185">
        <f>华漕基本支出调整!N52</f>
        <v>2865482.1500000004</v>
      </c>
      <c r="L52" s="1185">
        <f>颛桥基本支出调整!T52</f>
        <v>5038706.5699999994</v>
      </c>
      <c r="M52" s="1185">
        <f>虹桥基本支出调整!P52</f>
        <v>2731203</v>
      </c>
      <c r="N52" s="1185">
        <f t="shared" si="0"/>
        <v>34616716.220000006</v>
      </c>
      <c r="O52" s="62"/>
      <c r="P52" s="1203">
        <v>34591636.290000007</v>
      </c>
      <c r="Q52" s="1203">
        <f t="shared" si="1"/>
        <v>25079.929999999702</v>
      </c>
    </row>
    <row r="53" spans="1:17" ht="18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5">
        <f>莘庄基本支出调整!J53</f>
        <v>1267995.98</v>
      </c>
      <c r="F53" s="1185">
        <f>吴泾基本支出调整!J53</f>
        <v>787596.57</v>
      </c>
      <c r="G53" s="1185">
        <f>七宝基本支出调整!Y53</f>
        <v>8714205.1600000039</v>
      </c>
      <c r="H53" s="1185">
        <f>浦江基本支出调整!X53</f>
        <v>5316528.58</v>
      </c>
      <c r="I53" s="1185">
        <f>梅陇基本支出调整!U53</f>
        <v>4445528.3099999996</v>
      </c>
      <c r="J53" s="1185">
        <f>马桥基本支出调整!Q53</f>
        <v>3449469.9000000004</v>
      </c>
      <c r="K53" s="1185">
        <f>华漕基本支出调整!N53</f>
        <v>2865482.1500000004</v>
      </c>
      <c r="L53" s="1185">
        <f>颛桥基本支出调整!T53</f>
        <v>5038706.5699999994</v>
      </c>
      <c r="M53" s="1185">
        <f>虹桥基本支出调整!P53</f>
        <v>2731203</v>
      </c>
      <c r="N53" s="1185">
        <f t="shared" si="0"/>
        <v>34616716.220000006</v>
      </c>
      <c r="O53" s="62"/>
      <c r="P53" s="1203">
        <v>34591636.290000007</v>
      </c>
      <c r="Q53" s="1203">
        <f t="shared" si="1"/>
        <v>25079.929999999702</v>
      </c>
    </row>
    <row r="54" spans="1:17" ht="18" customHeight="1">
      <c r="A54" s="66" t="s">
        <v>130</v>
      </c>
      <c r="B54" s="61" t="s">
        <v>215</v>
      </c>
      <c r="C54" s="61"/>
      <c r="D54" s="62" t="s">
        <v>21</v>
      </c>
      <c r="E54" s="1185">
        <f>莘庄基本支出调整!J54</f>
        <v>48580.490000000005</v>
      </c>
      <c r="F54" s="1185">
        <f>吴泾基本支出调整!J54</f>
        <v>30000</v>
      </c>
      <c r="G54" s="1185">
        <f>七宝基本支出调整!Y54</f>
        <v>181996.31</v>
      </c>
      <c r="H54" s="1185">
        <f>浦江基本支出调整!X54</f>
        <v>239000</v>
      </c>
      <c r="I54" s="1185">
        <f>梅陇基本支出调整!U54</f>
        <v>132924.32999999999</v>
      </c>
      <c r="J54" s="1185">
        <f>马桥基本支出调整!Q54</f>
        <v>85000</v>
      </c>
      <c r="K54" s="1185">
        <f>华漕基本支出调整!N54</f>
        <v>61157.97</v>
      </c>
      <c r="L54" s="1185">
        <f>颛桥基本支出调整!T54</f>
        <v>220174</v>
      </c>
      <c r="M54" s="1185">
        <f>虹桥基本支出调整!P54</f>
        <v>122550</v>
      </c>
      <c r="N54" s="1185">
        <f t="shared" si="0"/>
        <v>1121383.1000000001</v>
      </c>
      <c r="O54" s="62"/>
      <c r="P54" s="1203">
        <v>1626000</v>
      </c>
      <c r="Q54" s="1203">
        <f t="shared" si="1"/>
        <v>-504616.89999999991</v>
      </c>
    </row>
    <row r="55" spans="1:17" ht="18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5">
        <f>莘庄基本支出调整!J55</f>
        <v>48580.490000000005</v>
      </c>
      <c r="F55" s="1185">
        <f>吴泾基本支出调整!J55</f>
        <v>30000</v>
      </c>
      <c r="G55" s="1185">
        <f>七宝基本支出调整!Y55</f>
        <v>181996.31</v>
      </c>
      <c r="H55" s="1185">
        <f>浦江基本支出调整!X55</f>
        <v>239000</v>
      </c>
      <c r="I55" s="1185">
        <f>梅陇基本支出调整!U55</f>
        <v>132924.32999999999</v>
      </c>
      <c r="J55" s="1185">
        <f>马桥基本支出调整!Q55</f>
        <v>85000</v>
      </c>
      <c r="K55" s="1185">
        <f>华漕基本支出调整!N55</f>
        <v>61157.97</v>
      </c>
      <c r="L55" s="1185">
        <f>颛桥基本支出调整!T55</f>
        <v>220174</v>
      </c>
      <c r="M55" s="1185">
        <f>虹桥基本支出调整!P55</f>
        <v>122550</v>
      </c>
      <c r="N55" s="1185">
        <f t="shared" si="0"/>
        <v>1121383.1000000001</v>
      </c>
      <c r="O55" s="62"/>
      <c r="P55" s="1203">
        <v>1626000</v>
      </c>
      <c r="Q55" s="1203">
        <f t="shared" si="1"/>
        <v>-504616.89999999991</v>
      </c>
    </row>
    <row r="56" spans="1:17" ht="18" customHeight="1">
      <c r="A56" s="66" t="s">
        <v>134</v>
      </c>
      <c r="B56" s="61" t="s">
        <v>3006</v>
      </c>
      <c r="C56" s="61"/>
      <c r="D56" s="62" t="s">
        <v>21</v>
      </c>
      <c r="E56" s="1185">
        <f>莘庄基本支出调整!J56</f>
        <v>56289.5</v>
      </c>
      <c r="F56" s="1185">
        <f>吴泾基本支出调整!J56</f>
        <v>45350</v>
      </c>
      <c r="G56" s="1185">
        <f>七宝基本支出调整!Y56</f>
        <v>326734.33</v>
      </c>
      <c r="H56" s="1185">
        <f>浦江基本支出调整!X56</f>
        <v>270016</v>
      </c>
      <c r="I56" s="1185">
        <f>梅陇基本支出调整!U56</f>
        <v>225550</v>
      </c>
      <c r="J56" s="1185">
        <f>马桥基本支出调整!Q56</f>
        <v>143155</v>
      </c>
      <c r="K56" s="1185">
        <f>华漕基本支出调整!N56</f>
        <v>184020</v>
      </c>
      <c r="L56" s="1185">
        <f>颛桥基本支出调整!T56</f>
        <v>200570</v>
      </c>
      <c r="M56" s="1185">
        <f>虹桥基本支出调整!P56</f>
        <v>175400</v>
      </c>
      <c r="N56" s="1185">
        <f t="shared" si="0"/>
        <v>1627084.83</v>
      </c>
      <c r="O56" s="62"/>
      <c r="P56" s="1203">
        <f>P57+P59</f>
        <v>1641300</v>
      </c>
      <c r="Q56" s="1203">
        <f t="shared" si="1"/>
        <v>-14215.169999999925</v>
      </c>
    </row>
    <row r="57" spans="1:17" ht="18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莘庄基本支出调整!J57</f>
        <v>47220</v>
      </c>
      <c r="F57" s="1185">
        <f>吴泾基本支出调整!J57</f>
        <v>34800</v>
      </c>
      <c r="G57" s="1185">
        <f>七宝基本支出调整!Y57</f>
        <v>251234.33</v>
      </c>
      <c r="H57" s="1185">
        <f>浦江基本支出调整!X57</f>
        <v>168166</v>
      </c>
      <c r="I57" s="1185">
        <f>梅陇基本支出调整!U57</f>
        <v>171600</v>
      </c>
      <c r="J57" s="1185">
        <f>马桥基本支出调整!Q57</f>
        <v>98680</v>
      </c>
      <c r="K57" s="1185">
        <f>华漕基本支出调整!N57</f>
        <v>167000</v>
      </c>
      <c r="L57" s="1185">
        <f>颛桥基本支出调整!T57</f>
        <v>149600</v>
      </c>
      <c r="M57" s="1185">
        <f>虹桥基本支出调整!P57</f>
        <v>149600</v>
      </c>
      <c r="N57" s="1185">
        <f t="shared" si="0"/>
        <v>1237900.33</v>
      </c>
      <c r="O57" s="62"/>
      <c r="P57" s="1203">
        <v>1199600</v>
      </c>
      <c r="Q57" s="1203">
        <f t="shared" si="1"/>
        <v>38300.330000000075</v>
      </c>
    </row>
    <row r="58" spans="1:17" ht="18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5">
        <f>莘庄基本支出调整!J58</f>
        <v>47220</v>
      </c>
      <c r="F58" s="1185">
        <f>吴泾基本支出调整!J58</f>
        <v>34800</v>
      </c>
      <c r="G58" s="1185">
        <f>七宝基本支出调整!Y58</f>
        <v>251234.33</v>
      </c>
      <c r="H58" s="1185">
        <f>浦江基本支出调整!X58</f>
        <v>168166</v>
      </c>
      <c r="I58" s="1185">
        <f>梅陇基本支出调整!U58</f>
        <v>171600</v>
      </c>
      <c r="J58" s="1185">
        <f>马桥基本支出调整!Q58</f>
        <v>98680</v>
      </c>
      <c r="K58" s="1185">
        <f>华漕基本支出调整!N58</f>
        <v>167000</v>
      </c>
      <c r="L58" s="1185">
        <f>颛桥基本支出调整!T58</f>
        <v>149600</v>
      </c>
      <c r="M58" s="1185">
        <f>虹桥基本支出调整!P58</f>
        <v>149600</v>
      </c>
      <c r="N58" s="1185">
        <f t="shared" si="0"/>
        <v>1237900.33</v>
      </c>
      <c r="O58" s="62"/>
      <c r="P58" s="1203">
        <v>1199600</v>
      </c>
      <c r="Q58" s="1203">
        <f t="shared" si="1"/>
        <v>38300.330000000075</v>
      </c>
    </row>
    <row r="59" spans="1:17" ht="18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5">
        <f>莘庄基本支出调整!J59</f>
        <v>9069.5</v>
      </c>
      <c r="F59" s="1185">
        <f>吴泾基本支出调整!J59</f>
        <v>10550</v>
      </c>
      <c r="G59" s="1185">
        <f>七宝基本支出调整!Y59</f>
        <v>75500</v>
      </c>
      <c r="H59" s="1185">
        <f>浦江基本支出调整!X59</f>
        <v>101850</v>
      </c>
      <c r="I59" s="1185">
        <f>梅陇基本支出调整!U59</f>
        <v>53950</v>
      </c>
      <c r="J59" s="1185">
        <f>马桥基本支出调整!Q59</f>
        <v>44475</v>
      </c>
      <c r="K59" s="1185">
        <f>华漕基本支出调整!N59</f>
        <v>17020</v>
      </c>
      <c r="L59" s="1185">
        <f>颛桥基本支出调整!T59</f>
        <v>50970</v>
      </c>
      <c r="M59" s="1185">
        <f>虹桥基本支出调整!P59</f>
        <v>25800</v>
      </c>
      <c r="N59" s="1185">
        <f t="shared" si="0"/>
        <v>389184.5</v>
      </c>
      <c r="O59" s="62"/>
      <c r="P59" s="1203">
        <v>441700</v>
      </c>
      <c r="Q59" s="1203">
        <f t="shared" si="1"/>
        <v>-52515.5</v>
      </c>
    </row>
    <row r="60" spans="1:17" ht="18" customHeight="1">
      <c r="A60" s="66" t="s">
        <v>141</v>
      </c>
      <c r="B60" s="61" t="s">
        <v>3009</v>
      </c>
      <c r="C60" s="61"/>
      <c r="D60" s="62" t="s">
        <v>21</v>
      </c>
      <c r="E60" s="1185">
        <f>莘庄基本支出调整!J60</f>
        <v>78000</v>
      </c>
      <c r="F60" s="1185">
        <f>吴泾基本支出调整!J60</f>
        <v>50434.6</v>
      </c>
      <c r="G60" s="1185">
        <f>七宝基本支出调整!Y60</f>
        <v>356000</v>
      </c>
      <c r="H60" s="1185">
        <f>浦江基本支出调整!X60</f>
        <v>348000</v>
      </c>
      <c r="I60" s="1185">
        <f>梅陇基本支出调整!U60</f>
        <v>158600</v>
      </c>
      <c r="J60" s="1185">
        <f>马桥基本支出调整!Q60</f>
        <v>276000</v>
      </c>
      <c r="K60" s="1185">
        <f>华漕基本支出调整!N60</f>
        <v>178600</v>
      </c>
      <c r="L60" s="1185">
        <f>颛桥基本支出调整!T60</f>
        <v>185200</v>
      </c>
      <c r="M60" s="1185">
        <f>虹桥基本支出调整!P60</f>
        <v>63000</v>
      </c>
      <c r="N60" s="1185">
        <f t="shared" si="0"/>
        <v>1693834.6</v>
      </c>
      <c r="O60" s="62"/>
      <c r="P60" s="1203">
        <v>2097000</v>
      </c>
      <c r="Q60" s="1203">
        <f t="shared" si="1"/>
        <v>-403165.39999999991</v>
      </c>
    </row>
    <row r="61" spans="1:17" ht="18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5">
        <f>莘庄基本支出调整!J61</f>
        <v>78000</v>
      </c>
      <c r="F61" s="1185">
        <f>吴泾基本支出调整!J61</f>
        <v>50434.6</v>
      </c>
      <c r="G61" s="1185">
        <f>七宝基本支出调整!Y61</f>
        <v>356000</v>
      </c>
      <c r="H61" s="1185">
        <f>浦江基本支出调整!X61</f>
        <v>348000</v>
      </c>
      <c r="I61" s="1185">
        <f>梅陇基本支出调整!U61</f>
        <v>158600</v>
      </c>
      <c r="J61" s="1185">
        <f>马桥基本支出调整!Q61</f>
        <v>276000</v>
      </c>
      <c r="K61" s="1185">
        <f>华漕基本支出调整!N61</f>
        <v>178600</v>
      </c>
      <c r="L61" s="1185">
        <f>颛桥基本支出调整!T61</f>
        <v>185200</v>
      </c>
      <c r="M61" s="1185">
        <f>虹桥基本支出调整!P61</f>
        <v>63000</v>
      </c>
      <c r="N61" s="1185">
        <f t="shared" si="0"/>
        <v>1693834.6</v>
      </c>
      <c r="O61" s="1187"/>
      <c r="P61" s="1203">
        <v>2097000</v>
      </c>
      <c r="Q61" s="1203">
        <f t="shared" si="1"/>
        <v>-403165.39999999991</v>
      </c>
    </row>
    <row r="62" spans="1:17" ht="18" customHeight="1" thickTop="1">
      <c r="A62" s="66" t="s">
        <v>144</v>
      </c>
      <c r="B62" s="1197" t="s">
        <v>145</v>
      </c>
      <c r="C62" s="1197"/>
      <c r="D62" s="19"/>
      <c r="E62" s="1185">
        <f>莘庄基本支出调整!J62</f>
        <v>0</v>
      </c>
      <c r="F62" s="1185">
        <f>吴泾基本支出调整!J62</f>
        <v>0</v>
      </c>
      <c r="G62" s="1185">
        <f>七宝基本支出调整!Y62</f>
        <v>0</v>
      </c>
      <c r="H62" s="1185">
        <f>浦江基本支出调整!X62</f>
        <v>0</v>
      </c>
      <c r="I62" s="1185">
        <f>梅陇基本支出调整!U62</f>
        <v>0</v>
      </c>
      <c r="J62" s="1185">
        <f>马桥基本支出调整!Q62</f>
        <v>0</v>
      </c>
      <c r="K62" s="1185">
        <f>华漕基本支出调整!N62</f>
        <v>0</v>
      </c>
      <c r="L62" s="1185">
        <f>颛桥基本支出调整!T62</f>
        <v>0</v>
      </c>
      <c r="M62" s="1185">
        <f>虹桥基本支出调整!P62</f>
        <v>0</v>
      </c>
      <c r="N62" s="1185">
        <f t="shared" si="0"/>
        <v>0</v>
      </c>
      <c r="O62" s="1189"/>
      <c r="P62" s="1203"/>
      <c r="Q62" s="1203">
        <f t="shared" si="1"/>
        <v>0</v>
      </c>
    </row>
    <row r="63" spans="1:17" ht="18" customHeight="1">
      <c r="A63" s="66" t="s">
        <v>146</v>
      </c>
      <c r="B63" s="61" t="s">
        <v>147</v>
      </c>
      <c r="C63" s="61"/>
      <c r="D63" s="62" t="s">
        <v>3010</v>
      </c>
      <c r="E63" s="1185">
        <f>莘庄基本支出调整!J63</f>
        <v>268</v>
      </c>
      <c r="F63" s="1185">
        <f>吴泾基本支出调整!J63</f>
        <v>166</v>
      </c>
      <c r="G63" s="1185">
        <f>七宝基本支出调整!Y63</f>
        <v>1805</v>
      </c>
      <c r="H63" s="1185">
        <f>浦江基本支出调整!X63</f>
        <v>1120</v>
      </c>
      <c r="I63" s="1185">
        <f>梅陇基本支出调整!U63</f>
        <v>924</v>
      </c>
      <c r="J63" s="1185">
        <f>马桥基本支出调整!Q63</f>
        <v>721</v>
      </c>
      <c r="K63" s="1185">
        <f>华漕基本支出调整!N63</f>
        <v>600</v>
      </c>
      <c r="L63" s="1185">
        <f>颛桥基本支出调整!T63</f>
        <v>1043</v>
      </c>
      <c r="M63" s="1185">
        <f>虹桥基本支出调整!P63</f>
        <v>532</v>
      </c>
      <c r="N63" s="1204">
        <f t="shared" si="0"/>
        <v>7179</v>
      </c>
      <c r="O63" s="1205"/>
      <c r="P63" s="1203">
        <v>7180</v>
      </c>
      <c r="Q63" s="1203">
        <f t="shared" si="1"/>
        <v>-1</v>
      </c>
    </row>
    <row r="64" spans="1:17" ht="18" customHeight="1">
      <c r="A64" s="66" t="s">
        <v>148</v>
      </c>
      <c r="B64" s="1199" t="s">
        <v>149</v>
      </c>
      <c r="C64" s="1199"/>
      <c r="D64" s="62"/>
      <c r="E64" s="1185">
        <f>莘庄基本支出调整!J64</f>
        <v>61</v>
      </c>
      <c r="F64" s="1185">
        <f>吴泾基本支出调整!J64</f>
        <v>0</v>
      </c>
      <c r="G64" s="1185">
        <f>七宝基本支出调整!Y64</f>
        <v>641</v>
      </c>
      <c r="H64" s="1185">
        <f>浦江基本支出调整!X64</f>
        <v>355</v>
      </c>
      <c r="I64" s="1185">
        <f>梅陇基本支出调整!U64</f>
        <v>292</v>
      </c>
      <c r="J64" s="1185">
        <f>马桥基本支出调整!Q64</f>
        <v>206</v>
      </c>
      <c r="K64" s="1185">
        <f>华漕基本支出调整!N64</f>
        <v>190</v>
      </c>
      <c r="L64" s="1185">
        <f>颛桥基本支出调整!T64</f>
        <v>332</v>
      </c>
      <c r="M64" s="1185">
        <f>虹桥基本支出调整!P64</f>
        <v>164</v>
      </c>
      <c r="N64" s="1204">
        <f t="shared" si="0"/>
        <v>2241</v>
      </c>
      <c r="O64" s="1205"/>
      <c r="P64" s="1203">
        <v>2199</v>
      </c>
      <c r="Q64" s="1203">
        <f t="shared" si="1"/>
        <v>42</v>
      </c>
    </row>
    <row r="65" spans="1:17" ht="18" customHeight="1">
      <c r="A65" s="66" t="s">
        <v>150</v>
      </c>
      <c r="B65" s="1199" t="s">
        <v>151</v>
      </c>
      <c r="C65" s="1199"/>
      <c r="D65" s="62"/>
      <c r="E65" s="1185">
        <f>莘庄基本支出调整!J65</f>
        <v>62</v>
      </c>
      <c r="F65" s="1185">
        <f>吴泾基本支出调整!J65</f>
        <v>65</v>
      </c>
      <c r="G65" s="1185">
        <f>七宝基本支出调整!Y65</f>
        <v>766</v>
      </c>
      <c r="H65" s="1185">
        <f>浦江基本支出调整!X65</f>
        <v>429</v>
      </c>
      <c r="I65" s="1185">
        <f>梅陇基本支出调整!U65</f>
        <v>304</v>
      </c>
      <c r="J65" s="1185">
        <f>马桥基本支出调整!Q65</f>
        <v>307</v>
      </c>
      <c r="K65" s="1185">
        <f>华漕基本支出调整!N65</f>
        <v>216</v>
      </c>
      <c r="L65" s="1185">
        <f>颛桥基本支出调整!T65</f>
        <v>467</v>
      </c>
      <c r="M65" s="1185">
        <f>虹桥基本支出调整!P65</f>
        <v>192</v>
      </c>
      <c r="N65" s="1204">
        <f t="shared" si="0"/>
        <v>2808</v>
      </c>
      <c r="O65" s="1205"/>
      <c r="P65" s="1203">
        <v>2852</v>
      </c>
      <c r="Q65" s="1203">
        <f t="shared" si="1"/>
        <v>-44</v>
      </c>
    </row>
    <row r="66" spans="1:17" ht="18" customHeight="1">
      <c r="A66" s="66" t="s">
        <v>152</v>
      </c>
      <c r="B66" s="1199" t="s">
        <v>153</v>
      </c>
      <c r="C66" s="1199"/>
      <c r="D66" s="62"/>
      <c r="E66" s="1185">
        <f>莘庄基本支出调整!J66</f>
        <v>139</v>
      </c>
      <c r="F66" s="1185">
        <f>吴泾基本支出调整!J66</f>
        <v>98</v>
      </c>
      <c r="G66" s="1185">
        <f>七宝基本支出调整!Y66</f>
        <v>391</v>
      </c>
      <c r="H66" s="1185">
        <f>浦江基本支出调整!X66</f>
        <v>330</v>
      </c>
      <c r="I66" s="1185">
        <f>梅陇基本支出调整!U66</f>
        <v>324</v>
      </c>
      <c r="J66" s="1185">
        <f>马桥基本支出调整!Q66</f>
        <v>198</v>
      </c>
      <c r="K66" s="1185">
        <f>华漕基本支出调整!N66</f>
        <v>187</v>
      </c>
      <c r="L66" s="1185">
        <f>颛桥基本支出调整!T66</f>
        <v>239</v>
      </c>
      <c r="M66" s="1185">
        <f>虹桥基本支出调整!P66</f>
        <v>172</v>
      </c>
      <c r="N66" s="1204">
        <f t="shared" si="0"/>
        <v>2078</v>
      </c>
      <c r="O66" s="1205"/>
      <c r="P66" s="1203">
        <v>2079</v>
      </c>
      <c r="Q66" s="1203">
        <f t="shared" si="1"/>
        <v>-1</v>
      </c>
    </row>
    <row r="67" spans="1:17" ht="18" customHeight="1">
      <c r="A67" s="66" t="s">
        <v>154</v>
      </c>
      <c r="B67" s="1199" t="s">
        <v>155</v>
      </c>
      <c r="C67" s="1199"/>
      <c r="D67" s="62"/>
      <c r="E67" s="1185">
        <f>莘庄基本支出调整!J67</f>
        <v>6</v>
      </c>
      <c r="F67" s="1185">
        <f>吴泾基本支出调整!J67</f>
        <v>3</v>
      </c>
      <c r="G67" s="1185">
        <f>七宝基本支出调整!Y67</f>
        <v>7</v>
      </c>
      <c r="H67" s="1185">
        <f>浦江基本支出调整!X67</f>
        <v>6</v>
      </c>
      <c r="I67" s="1185">
        <f>梅陇基本支出调整!U67</f>
        <v>4</v>
      </c>
      <c r="J67" s="1185">
        <f>马桥基本支出调整!Q67</f>
        <v>10</v>
      </c>
      <c r="K67" s="1185">
        <f>华漕基本支出调整!N67</f>
        <v>7</v>
      </c>
      <c r="L67" s="1185">
        <f>颛桥基本支出调整!T67</f>
        <v>5</v>
      </c>
      <c r="M67" s="1185">
        <f>虹桥基本支出调整!P67</f>
        <v>4</v>
      </c>
      <c r="N67" s="1204">
        <f t="shared" si="0"/>
        <v>52</v>
      </c>
      <c r="O67" s="1205"/>
      <c r="P67" s="1203">
        <v>50</v>
      </c>
      <c r="Q67" s="1203">
        <f t="shared" si="1"/>
        <v>2</v>
      </c>
    </row>
    <row r="68" spans="1:17" ht="18" customHeight="1">
      <c r="A68" s="66" t="s">
        <v>156</v>
      </c>
      <c r="B68" s="61" t="s">
        <v>157</v>
      </c>
      <c r="C68" s="61"/>
      <c r="D68" s="62" t="s">
        <v>3051</v>
      </c>
      <c r="E68" s="1185">
        <f>莘庄基本支出调整!J68</f>
        <v>3159</v>
      </c>
      <c r="F68" s="1185">
        <f>吴泾基本支出调整!J68</f>
        <v>2553</v>
      </c>
      <c r="G68" s="1185">
        <f>七宝基本支出调整!Y68</f>
        <v>25772</v>
      </c>
      <c r="H68" s="1185">
        <f>浦江基本支出调整!X68</f>
        <v>18508</v>
      </c>
      <c r="I68" s="1185">
        <f>梅陇基本支出调整!U68</f>
        <v>12169</v>
      </c>
      <c r="J68" s="1185">
        <f>马桥基本支出调整!Q68</f>
        <v>10282</v>
      </c>
      <c r="K68" s="1185">
        <f>华漕基本支出调整!N68</f>
        <v>8859</v>
      </c>
      <c r="L68" s="1185">
        <f>颛桥基本支出调整!T68</f>
        <v>15321</v>
      </c>
      <c r="M68" s="1185">
        <f>虹桥基本支出调整!P68</f>
        <v>6467</v>
      </c>
      <c r="N68" s="1204">
        <f t="shared" si="0"/>
        <v>103090</v>
      </c>
      <c r="O68" s="1205"/>
      <c r="P68" s="1203">
        <v>99160</v>
      </c>
      <c r="Q68" s="1203">
        <f t="shared" si="1"/>
        <v>3930</v>
      </c>
    </row>
    <row r="69" spans="1:17" ht="18" customHeight="1">
      <c r="A69" s="66" t="s">
        <v>158</v>
      </c>
      <c r="B69" s="1199" t="s">
        <v>149</v>
      </c>
      <c r="C69" s="1199"/>
      <c r="D69" s="62"/>
      <c r="E69" s="1185">
        <f>莘庄基本支出调整!J69</f>
        <v>986</v>
      </c>
      <c r="F69" s="1185">
        <f>吴泾基本支出调整!J69</f>
        <v>0</v>
      </c>
      <c r="G69" s="1185">
        <f>七宝基本支出调整!Y69</f>
        <v>9597</v>
      </c>
      <c r="H69" s="1185">
        <f>浦江基本支出调整!X69</f>
        <v>5581</v>
      </c>
      <c r="I69" s="1185">
        <f>梅陇基本支出调整!U69</f>
        <v>4349</v>
      </c>
      <c r="J69" s="1185">
        <f>马桥基本支出调整!Q69</f>
        <v>3165</v>
      </c>
      <c r="K69" s="1185">
        <f>华漕基本支出调整!N69</f>
        <v>2902</v>
      </c>
      <c r="L69" s="1185">
        <f>颛桥基本支出调整!T69</f>
        <v>5194</v>
      </c>
      <c r="M69" s="1185">
        <f>虹桥基本支出调整!P69</f>
        <v>2229</v>
      </c>
      <c r="N69" s="1204">
        <f t="shared" si="0"/>
        <v>34003</v>
      </c>
      <c r="O69" s="1205"/>
      <c r="P69" s="1203">
        <v>30739</v>
      </c>
      <c r="Q69" s="1203">
        <f t="shared" si="1"/>
        <v>3264</v>
      </c>
    </row>
    <row r="70" spans="1:17" ht="18" customHeight="1">
      <c r="A70" s="66" t="s">
        <v>159</v>
      </c>
      <c r="B70" s="1199" t="s">
        <v>151</v>
      </c>
      <c r="C70" s="1199"/>
      <c r="D70" s="62"/>
      <c r="E70" s="1185">
        <f>莘庄基本支出调整!J70</f>
        <v>770</v>
      </c>
      <c r="F70" s="1185">
        <f>吴泾基本支出调整!J70</f>
        <v>1195</v>
      </c>
      <c r="G70" s="1185">
        <f>七宝基本支出调整!Y70</f>
        <v>12408</v>
      </c>
      <c r="H70" s="1185">
        <f>浦江基本支出调整!X70</f>
        <v>8299</v>
      </c>
      <c r="I70" s="1185">
        <f>梅陇基本支出调整!U70</f>
        <v>4387</v>
      </c>
      <c r="J70" s="1185">
        <f>马桥基本支出调整!Q70</f>
        <v>4730</v>
      </c>
      <c r="K70" s="1185">
        <f>华漕基本支出调整!N70</f>
        <v>3818</v>
      </c>
      <c r="L70" s="1185">
        <f>颛桥基本支出调整!T70</f>
        <v>7402</v>
      </c>
      <c r="M70" s="1185">
        <f>虹桥基本支出调整!P70</f>
        <v>2813</v>
      </c>
      <c r="N70" s="1204">
        <f t="shared" ref="N70:N75" si="2">E70+F70+G70+H70+I70+J70+K70+L70+M70</f>
        <v>45822</v>
      </c>
      <c r="O70" s="1205"/>
      <c r="P70" s="1203">
        <v>44652</v>
      </c>
      <c r="Q70" s="1203">
        <f t="shared" ref="Q70:Q75" si="3">N70-P70</f>
        <v>1170</v>
      </c>
    </row>
    <row r="71" spans="1:17" ht="18" customHeight="1">
      <c r="A71" s="66" t="s">
        <v>160</v>
      </c>
      <c r="B71" s="1199" t="s">
        <v>153</v>
      </c>
      <c r="C71" s="1199"/>
      <c r="D71" s="62"/>
      <c r="E71" s="1185">
        <f>莘庄基本支出调整!J71</f>
        <v>1403</v>
      </c>
      <c r="F71" s="1185">
        <f>吴泾基本支出调整!J71</f>
        <v>1358</v>
      </c>
      <c r="G71" s="1185">
        <f>七宝基本支出调整!Y71</f>
        <v>3767</v>
      </c>
      <c r="H71" s="1185">
        <f>浦江基本支出调整!X71</f>
        <v>4628</v>
      </c>
      <c r="I71" s="1185">
        <f>梅陇基本支出调整!U71</f>
        <v>3433</v>
      </c>
      <c r="J71" s="1185">
        <f>马桥基本支出调整!Q71</f>
        <v>2387</v>
      </c>
      <c r="K71" s="1185">
        <f>华漕基本支出调整!N71</f>
        <v>2139</v>
      </c>
      <c r="L71" s="1185">
        <f>颛桥基本支出调整!T71</f>
        <v>2725</v>
      </c>
      <c r="M71" s="1185">
        <f>虹桥基本支出调整!P71</f>
        <v>1425</v>
      </c>
      <c r="N71" s="1204">
        <f t="shared" si="2"/>
        <v>23265</v>
      </c>
      <c r="O71" s="1205"/>
      <c r="P71" s="1203">
        <v>23769</v>
      </c>
      <c r="Q71" s="1203">
        <f t="shared" si="3"/>
        <v>-504</v>
      </c>
    </row>
    <row r="72" spans="1:17" ht="18" customHeight="1">
      <c r="A72" s="66" t="s">
        <v>161</v>
      </c>
      <c r="B72" s="1199" t="s">
        <v>155</v>
      </c>
      <c r="C72" s="1199"/>
      <c r="D72" s="62"/>
      <c r="E72" s="1185">
        <f>莘庄基本支出调整!J72</f>
        <v>0</v>
      </c>
      <c r="F72" s="1185">
        <f>吴泾基本支出调整!J72</f>
        <v>0</v>
      </c>
      <c r="G72" s="1185">
        <f>七宝基本支出调整!Y72</f>
        <v>0</v>
      </c>
      <c r="H72" s="1185">
        <f>浦江基本支出调整!X72</f>
        <v>0</v>
      </c>
      <c r="I72" s="1185">
        <f>梅陇基本支出调整!U72</f>
        <v>0</v>
      </c>
      <c r="J72" s="1185">
        <f>马桥基本支出调整!Q72</f>
        <v>0</v>
      </c>
      <c r="K72" s="1185">
        <f>华漕基本支出调整!N72</f>
        <v>0</v>
      </c>
      <c r="L72" s="1185">
        <f>颛桥基本支出调整!T72</f>
        <v>0</v>
      </c>
      <c r="M72" s="1185">
        <f>虹桥基本支出调整!P72</f>
        <v>0</v>
      </c>
      <c r="N72" s="1204">
        <f t="shared" si="2"/>
        <v>0</v>
      </c>
      <c r="O72" s="1205"/>
      <c r="P72" s="1203">
        <v>0</v>
      </c>
      <c r="Q72" s="1203">
        <f t="shared" si="3"/>
        <v>0</v>
      </c>
    </row>
    <row r="73" spans="1:17" ht="18" customHeight="1">
      <c r="A73" s="66" t="s">
        <v>162</v>
      </c>
      <c r="B73" s="61" t="s">
        <v>218</v>
      </c>
      <c r="C73" s="61"/>
      <c r="D73" s="62"/>
      <c r="E73" s="1185">
        <f>莘庄基本支出调整!J73</f>
        <v>120</v>
      </c>
      <c r="F73" s="1185">
        <f>吴泾基本支出调整!J73</f>
        <v>87</v>
      </c>
      <c r="G73" s="1185">
        <f>七宝基本支出调整!Y73</f>
        <v>647</v>
      </c>
      <c r="H73" s="1185">
        <f>浦江基本支出调整!X73</f>
        <v>420</v>
      </c>
      <c r="I73" s="1185">
        <f>梅陇基本支出调整!U73</f>
        <v>428</v>
      </c>
      <c r="J73" s="1185">
        <f>马桥基本支出调整!Q73</f>
        <v>248</v>
      </c>
      <c r="K73" s="1185">
        <f>华漕基本支出调整!N73</f>
        <v>422</v>
      </c>
      <c r="L73" s="1185">
        <f>颛桥基本支出调整!T73</f>
        <v>372</v>
      </c>
      <c r="M73" s="1185">
        <f>虹桥基本支出调整!P73</f>
        <v>377</v>
      </c>
      <c r="N73" s="1204">
        <f t="shared" si="2"/>
        <v>3121</v>
      </c>
      <c r="O73" s="1205"/>
      <c r="P73" s="1203">
        <v>2999</v>
      </c>
      <c r="Q73" s="1203">
        <f t="shared" si="3"/>
        <v>122</v>
      </c>
    </row>
    <row r="74" spans="1:17" ht="18" customHeight="1">
      <c r="A74" s="66" t="s">
        <v>3011</v>
      </c>
      <c r="B74" s="1199" t="s">
        <v>219</v>
      </c>
      <c r="C74" s="1199"/>
      <c r="D74" s="67"/>
      <c r="E74" s="1185">
        <f>莘庄基本支出调整!J74</f>
        <v>62607.26</v>
      </c>
      <c r="F74" s="1185">
        <f>吴泾基本支出调整!J74</f>
        <v>34389.58</v>
      </c>
      <c r="G74" s="1185">
        <f>七宝基本支出调整!Y74</f>
        <v>250930.58000000002</v>
      </c>
      <c r="H74" s="1185">
        <f>浦江基本支出调整!X74</f>
        <v>288221.89999999997</v>
      </c>
      <c r="I74" s="1185">
        <f>梅陇基本支出调整!U74</f>
        <v>186379.99</v>
      </c>
      <c r="J74" s="1185">
        <f>马桥基本支出调整!Q74</f>
        <v>146041.25999999998</v>
      </c>
      <c r="K74" s="1185">
        <f>华漕基本支出调整!N74</f>
        <v>99214.64</v>
      </c>
      <c r="L74" s="1185">
        <f>颛桥基本支出调整!T74</f>
        <v>211921.69999999998</v>
      </c>
      <c r="M74" s="1185">
        <f>虹桥基本支出调整!P74</f>
        <v>115756.08</v>
      </c>
      <c r="N74" s="1185">
        <f t="shared" si="2"/>
        <v>1395462.99</v>
      </c>
      <c r="O74" s="62"/>
      <c r="P74" s="1203">
        <v>1387179.0099999998</v>
      </c>
      <c r="Q74" s="1203">
        <f t="shared" si="3"/>
        <v>8283.9800000002142</v>
      </c>
    </row>
    <row r="75" spans="1:17" ht="18" customHeight="1">
      <c r="A75" s="66" t="s">
        <v>3012</v>
      </c>
      <c r="B75" s="1199" t="s">
        <v>220</v>
      </c>
      <c r="C75" s="1199"/>
      <c r="D75" s="67"/>
      <c r="E75" s="1185">
        <f>莘庄基本支出调整!J75</f>
        <v>30803</v>
      </c>
      <c r="F75" s="1185">
        <f>吴泾基本支出调整!J75</f>
        <v>20436</v>
      </c>
      <c r="G75" s="1185">
        <f>七宝基本支出调整!Y75</f>
        <v>117880.65000000001</v>
      </c>
      <c r="H75" s="1185">
        <f>浦江基本支出调整!X75</f>
        <v>166345.59000000003</v>
      </c>
      <c r="I75" s="1185">
        <f>梅陇基本支出调整!U75</f>
        <v>90980.7</v>
      </c>
      <c r="J75" s="1185">
        <f>马桥基本支出调整!Q75</f>
        <v>79296.3</v>
      </c>
      <c r="K75" s="1185">
        <f>华漕基本支出调整!N75</f>
        <v>70407.600000000006</v>
      </c>
      <c r="L75" s="1185">
        <f>颛桥基本支出调整!T75</f>
        <v>127301.8</v>
      </c>
      <c r="M75" s="1185">
        <f>虹桥基本支出调整!P75</f>
        <v>45483.759999999995</v>
      </c>
      <c r="N75" s="1185">
        <f t="shared" si="2"/>
        <v>748935.40000000014</v>
      </c>
      <c r="O75" s="62"/>
      <c r="P75" s="1203">
        <v>748472.94000000018</v>
      </c>
      <c r="Q75" s="1203">
        <f t="shared" si="3"/>
        <v>462.45999999996275</v>
      </c>
    </row>
    <row r="80" spans="1:17">
      <c r="E80" s="24">
        <f>E22+E27+E29+E31+E34</f>
        <v>28296062.109999999</v>
      </c>
      <c r="F80" s="24">
        <f t="shared" ref="F80:N80" si="4">F22+F27+F29+F31+F34</f>
        <v>17386575.32</v>
      </c>
      <c r="G80" s="24">
        <f t="shared" si="4"/>
        <v>189336482.47999999</v>
      </c>
      <c r="H80" s="24">
        <f t="shared" si="4"/>
        <v>115146418.74000001</v>
      </c>
      <c r="I80" s="24">
        <f t="shared" si="4"/>
        <v>98974713.829999998</v>
      </c>
      <c r="J80" s="24">
        <f t="shared" si="4"/>
        <v>75345201.680000007</v>
      </c>
      <c r="K80" s="24">
        <f t="shared" si="4"/>
        <v>66653642.920000002</v>
      </c>
      <c r="L80" s="24">
        <f t="shared" si="4"/>
        <v>110004480.81</v>
      </c>
      <c r="M80" s="24">
        <f t="shared" si="4"/>
        <v>62079319</v>
      </c>
      <c r="N80" s="24">
        <f t="shared" si="4"/>
        <v>763222896.88999987</v>
      </c>
    </row>
  </sheetData>
  <protectedRanges>
    <protectedRange password="E9C1" sqref="D31 C32 A6:D7 B8:D30 B33:D75 A8:A75 A3:O5 E6:O75" name="区域1_1"/>
    <protectedRange password="E9C1" sqref="B31:C31 B32" name="区域1_1_1"/>
    <protectedRange password="E9C1" sqref="D32" name="区域1_2"/>
    <protectedRange password="E9C1" sqref="P27:P32" name="区域1_1_2"/>
  </protectedRanges>
  <mergeCells count="18">
    <mergeCell ref="Q3:Q4"/>
    <mergeCell ref="A1:Q1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N3:N4"/>
    <mergeCell ref="O3:O4"/>
    <mergeCell ref="E3:E4"/>
    <mergeCell ref="F3:F4"/>
    <mergeCell ref="G3:G4"/>
    <mergeCell ref="P3:P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第 &amp;P 页，共 &amp;N 页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O76"/>
  <sheetViews>
    <sheetView topLeftCell="B1" workbookViewId="0">
      <selection activeCell="B1" sqref="A1:XFD1048576"/>
    </sheetView>
  </sheetViews>
  <sheetFormatPr defaultRowHeight="11.25"/>
  <cols>
    <col min="1" max="1" width="0" style="21" hidden="1" customWidth="1"/>
    <col min="2" max="2" width="41.5" style="3" customWidth="1"/>
    <col min="3" max="3" width="11.5" style="3" hidden="1" customWidth="1"/>
    <col min="4" max="4" width="15.625" style="1178" hidden="1" customWidth="1"/>
    <col min="5" max="5" width="21.5" style="3" customWidth="1"/>
    <col min="6" max="6" width="20.125" style="3" customWidth="1"/>
    <col min="7" max="7" width="19.625" style="3" customWidth="1"/>
    <col min="8" max="8" width="18.875" style="3" customWidth="1"/>
    <col min="9" max="9" width="19.75" style="3" customWidth="1"/>
    <col min="10" max="10" width="17.875" style="3" customWidth="1"/>
    <col min="11" max="11" width="15.625" style="3" hidden="1" customWidth="1"/>
    <col min="12" max="16384" width="9" style="3"/>
  </cols>
  <sheetData>
    <row r="1" spans="1:13" ht="24.95" customHeight="1">
      <c r="A1" s="1362" t="s">
        <v>3013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57" t="s">
        <v>3247</v>
      </c>
      <c r="K2" s="1184" t="s">
        <v>3000</v>
      </c>
    </row>
    <row r="3" spans="1:13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271</v>
      </c>
      <c r="F3" s="1191" t="s">
        <v>264</v>
      </c>
      <c r="G3" s="1191" t="s">
        <v>272</v>
      </c>
      <c r="H3" s="1191" t="s">
        <v>273</v>
      </c>
      <c r="I3" s="1191" t="s">
        <v>274</v>
      </c>
      <c r="J3" s="1611" t="s">
        <v>17</v>
      </c>
      <c r="K3" s="1611" t="s">
        <v>18</v>
      </c>
    </row>
    <row r="4" spans="1:13" ht="24.95" customHeight="1">
      <c r="A4" s="1610"/>
      <c r="B4" s="1610"/>
      <c r="C4" s="1610"/>
      <c r="D4" s="1610"/>
      <c r="E4" s="1191" t="s">
        <v>460</v>
      </c>
      <c r="F4" s="1191" t="s">
        <v>460</v>
      </c>
      <c r="G4" s="1191" t="s">
        <v>460</v>
      </c>
      <c r="H4" s="1191" t="s">
        <v>3071</v>
      </c>
      <c r="I4" s="1191" t="s">
        <v>2371</v>
      </c>
      <c r="J4" s="1612"/>
      <c r="K4" s="1612"/>
    </row>
    <row r="5" spans="1:13" ht="15" customHeight="1">
      <c r="A5" s="66" t="s">
        <v>19</v>
      </c>
      <c r="B5" s="61" t="s">
        <v>20</v>
      </c>
      <c r="C5" s="61"/>
      <c r="D5" s="62" t="s">
        <v>21</v>
      </c>
      <c r="E5" s="1185">
        <f>E6+E33+E40</f>
        <v>9723685.5700000003</v>
      </c>
      <c r="F5" s="1185">
        <f>F6+F33+F40</f>
        <v>6539448.8900000006</v>
      </c>
      <c r="G5" s="1185">
        <f>G6+G33+G40</f>
        <v>13783707.98</v>
      </c>
      <c r="H5" s="1185">
        <f>H6+H33+H40</f>
        <v>1466698.5099999998</v>
      </c>
      <c r="I5" s="1185">
        <f>I6+I33+I40</f>
        <v>34720063.299999997</v>
      </c>
      <c r="J5" s="1185">
        <f t="shared" ref="J5:J68" si="0">SUM(E5:I5)</f>
        <v>66233604.25</v>
      </c>
      <c r="K5" s="62"/>
    </row>
    <row r="6" spans="1:13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7218533.1500000004</v>
      </c>
      <c r="F6" s="1185">
        <f>F7+F10+F14+F17+F22+F27+F29+F31+F32</f>
        <v>4255833.04</v>
      </c>
      <c r="G6" s="1185">
        <f>G7+G10+G14+G17+G22+G27+G29+G31+G32</f>
        <v>10449864.52</v>
      </c>
      <c r="H6" s="1185">
        <f>H7+H10+H14+H17+H22+H27+H29+H31+H32</f>
        <v>1124804.43</v>
      </c>
      <c r="I6" s="1185">
        <f>I7+I10+I14+I17+I22+I27+I29+I31+I32</f>
        <v>24472998</v>
      </c>
      <c r="J6" s="1185">
        <f t="shared" si="0"/>
        <v>47522033.140000001</v>
      </c>
      <c r="K6" s="62"/>
      <c r="L6" s="1608"/>
    </row>
    <row r="7" spans="1:13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2308437</v>
      </c>
      <c r="F7" s="1185">
        <f>F8+F9</f>
        <v>1440096</v>
      </c>
      <c r="G7" s="1185">
        <f>G8+G9</f>
        <v>3493766</v>
      </c>
      <c r="H7" s="1185">
        <f>H8+H9</f>
        <v>395772</v>
      </c>
      <c r="I7" s="1185">
        <f>I8+I9</f>
        <v>7599445.9999999991</v>
      </c>
      <c r="J7" s="1185">
        <f t="shared" si="0"/>
        <v>15237517</v>
      </c>
      <c r="K7" s="62"/>
      <c r="L7" s="1608"/>
    </row>
    <row r="8" spans="1:13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1374750</v>
      </c>
      <c r="F8" s="1180">
        <v>874073</v>
      </c>
      <c r="G8" s="1180">
        <v>1983038</v>
      </c>
      <c r="H8" s="1180">
        <v>191628</v>
      </c>
      <c r="I8" s="1180">
        <v>3932298</v>
      </c>
      <c r="J8" s="1185">
        <f t="shared" si="0"/>
        <v>8355787</v>
      </c>
      <c r="K8" s="1192"/>
      <c r="L8" s="1608"/>
    </row>
    <row r="9" spans="1:13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933687</v>
      </c>
      <c r="F9" s="1180">
        <v>566023</v>
      </c>
      <c r="G9" s="1180">
        <v>1510728</v>
      </c>
      <c r="H9" s="1180">
        <v>204144</v>
      </c>
      <c r="I9" s="1180">
        <v>3667147.9999999991</v>
      </c>
      <c r="J9" s="1185">
        <f t="shared" si="0"/>
        <v>6881729.9999999991</v>
      </c>
      <c r="K9" s="62"/>
      <c r="L9" s="1608"/>
    </row>
    <row r="10" spans="1:13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237141</v>
      </c>
      <c r="F10" s="1185">
        <f>F11+F12</f>
        <v>152652</v>
      </c>
      <c r="G10" s="1185">
        <f>G11+G12</f>
        <v>332924</v>
      </c>
      <c r="H10" s="1185">
        <f>H11+H12</f>
        <v>32196</v>
      </c>
      <c r="I10" s="1185">
        <f>I11+I12</f>
        <v>653343</v>
      </c>
      <c r="J10" s="1185">
        <f t="shared" si="0"/>
        <v>1408256</v>
      </c>
      <c r="K10" s="62"/>
      <c r="L10" s="1608"/>
    </row>
    <row r="11" spans="1:13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2621</v>
      </c>
      <c r="F11" s="1180">
        <v>1732</v>
      </c>
      <c r="G11" s="1180">
        <v>4684</v>
      </c>
      <c r="H11" s="1180">
        <v>516</v>
      </c>
      <c r="I11" s="1180">
        <v>17103</v>
      </c>
      <c r="J11" s="1185">
        <f t="shared" si="0"/>
        <v>26656</v>
      </c>
      <c r="K11" s="62"/>
      <c r="L11" s="1608"/>
    </row>
    <row r="12" spans="1:13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234520</v>
      </c>
      <c r="F12" s="1185">
        <f>F13</f>
        <v>150920</v>
      </c>
      <c r="G12" s="1185">
        <f>G13</f>
        <v>328240</v>
      </c>
      <c r="H12" s="1185">
        <f>H13</f>
        <v>31680</v>
      </c>
      <c r="I12" s="1185">
        <f>I13</f>
        <v>636240</v>
      </c>
      <c r="J12" s="1185">
        <f t="shared" si="0"/>
        <v>1381600</v>
      </c>
      <c r="K12" s="62"/>
      <c r="L12" s="1608"/>
    </row>
    <row r="13" spans="1:13" ht="1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234520</v>
      </c>
      <c r="F13" s="1180">
        <v>150920</v>
      </c>
      <c r="G13" s="1180">
        <v>328240</v>
      </c>
      <c r="H13" s="1180">
        <v>31680</v>
      </c>
      <c r="I13" s="1180">
        <v>636240</v>
      </c>
      <c r="J13" s="1185">
        <f t="shared" si="0"/>
        <v>1381600</v>
      </c>
      <c r="K13" s="62"/>
      <c r="L13" s="1608"/>
    </row>
    <row r="14" spans="1:13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80516.67</v>
      </c>
      <c r="F14" s="1185">
        <f>F15+F16</f>
        <v>48388.880000000005</v>
      </c>
      <c r="G14" s="1185">
        <f>G15+G16</f>
        <v>113581.61</v>
      </c>
      <c r="H14" s="1185">
        <f>H15+H16</f>
        <v>12877.869999999999</v>
      </c>
      <c r="I14" s="1185">
        <f>I15+I16</f>
        <v>228038</v>
      </c>
      <c r="J14" s="1185">
        <f t="shared" si="0"/>
        <v>483403.03</v>
      </c>
      <c r="K14" s="62"/>
      <c r="L14" s="1608"/>
    </row>
    <row r="15" spans="1:13" ht="1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31094.76</v>
      </c>
      <c r="F15" s="1180">
        <v>18701.88</v>
      </c>
      <c r="G15" s="1180">
        <v>43865.919999999998</v>
      </c>
      <c r="H15" s="1180">
        <v>4974.71</v>
      </c>
      <c r="I15" s="1180">
        <v>64371</v>
      </c>
      <c r="J15" s="1185">
        <f t="shared" si="0"/>
        <v>163008.27000000002</v>
      </c>
      <c r="K15" s="62"/>
      <c r="L15" s="1608"/>
      <c r="M15" s="24"/>
    </row>
    <row r="16" spans="1:13" ht="1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49421.91</v>
      </c>
      <c r="F16" s="1180">
        <v>29687</v>
      </c>
      <c r="G16" s="1180">
        <v>69715.69</v>
      </c>
      <c r="H16" s="1180">
        <v>7903.16</v>
      </c>
      <c r="I16" s="1180">
        <v>163667</v>
      </c>
      <c r="J16" s="1185">
        <f t="shared" si="0"/>
        <v>320394.76</v>
      </c>
      <c r="K16" s="62"/>
      <c r="L16" s="1608"/>
      <c r="M16" s="24"/>
    </row>
    <row r="17" spans="1:15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528124</v>
      </c>
      <c r="F17" s="1185">
        <f>F18+F19+F20+F21</f>
        <v>171500</v>
      </c>
      <c r="G17" s="1185">
        <f>G18+G19+G20+G21</f>
        <v>765157</v>
      </c>
      <c r="H17" s="1185">
        <f>H18+H19+H20+H21</f>
        <v>36000</v>
      </c>
      <c r="I17" s="1185">
        <f>I18+I19+I20+I21</f>
        <v>2612214</v>
      </c>
      <c r="J17" s="1185">
        <f t="shared" si="0"/>
        <v>4112995</v>
      </c>
      <c r="K17" s="62"/>
      <c r="L17" s="1608"/>
    </row>
    <row r="18" spans="1:15" ht="1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5">
        <f t="shared" si="0"/>
        <v>0</v>
      </c>
      <c r="K18" s="62"/>
      <c r="L18" s="1608"/>
    </row>
    <row r="19" spans="1:15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247624</v>
      </c>
      <c r="F19" s="1180"/>
      <c r="G19" s="1180">
        <v>385157</v>
      </c>
      <c r="H19" s="1180"/>
      <c r="I19" s="1180">
        <v>615554</v>
      </c>
      <c r="J19" s="1185">
        <f t="shared" si="0"/>
        <v>1248335</v>
      </c>
      <c r="K19" s="62"/>
      <c r="L19" s="1608"/>
    </row>
    <row r="20" spans="1:15" ht="1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280500</v>
      </c>
      <c r="F20" s="1180">
        <v>171500</v>
      </c>
      <c r="G20" s="1180">
        <v>380000</v>
      </c>
      <c r="H20" s="1180">
        <v>36000</v>
      </c>
      <c r="I20" s="1180">
        <v>667500</v>
      </c>
      <c r="J20" s="1185">
        <f t="shared" si="0"/>
        <v>1535500</v>
      </c>
      <c r="K20" s="62"/>
      <c r="L20" s="1608"/>
    </row>
    <row r="21" spans="1:15" ht="1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/>
      <c r="F21" s="1180"/>
      <c r="G21" s="1180"/>
      <c r="H21" s="1180"/>
      <c r="I21" s="1180">
        <v>1329160</v>
      </c>
      <c r="J21" s="1185">
        <f t="shared" si="0"/>
        <v>1329160</v>
      </c>
      <c r="K21" s="62"/>
      <c r="L21" s="1608"/>
    </row>
    <row r="22" spans="1:15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984268.75</v>
      </c>
      <c r="F22" s="1185">
        <f>F23+F24</f>
        <v>588756.04</v>
      </c>
      <c r="G22" s="1185">
        <f>G23+G24</f>
        <v>1397223.59</v>
      </c>
      <c r="H22" s="1185">
        <f>H23+H24</f>
        <v>156172.88</v>
      </c>
      <c r="I22" s="1185">
        <f>I23+I24</f>
        <v>3298669</v>
      </c>
      <c r="J22" s="1185">
        <f t="shared" si="0"/>
        <v>6425090.2599999998</v>
      </c>
      <c r="K22" s="62"/>
      <c r="L22" s="1608"/>
    </row>
    <row r="23" spans="1:15" ht="1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889588.75</v>
      </c>
      <c r="F23" s="1180">
        <v>534351.04</v>
      </c>
      <c r="G23" s="1180">
        <v>1254854.82</v>
      </c>
      <c r="H23" s="1180">
        <v>142252.88</v>
      </c>
      <c r="I23" s="1180">
        <v>2945384</v>
      </c>
      <c r="J23" s="1185">
        <f t="shared" si="0"/>
        <v>5766431.4900000002</v>
      </c>
      <c r="K23" s="62"/>
      <c r="L23" s="1608"/>
      <c r="M23" s="24"/>
    </row>
    <row r="24" spans="1:15" ht="1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94680</v>
      </c>
      <c r="F24" s="1185">
        <f>F25+F26</f>
        <v>54405</v>
      </c>
      <c r="G24" s="1185">
        <f>G25+G26</f>
        <v>142368.76999999999</v>
      </c>
      <c r="H24" s="1185">
        <f>H25+H26</f>
        <v>13920</v>
      </c>
      <c r="I24" s="1185">
        <f>I25+I26</f>
        <v>353285</v>
      </c>
      <c r="J24" s="1185">
        <f t="shared" si="0"/>
        <v>658658.77</v>
      </c>
      <c r="K24" s="62"/>
      <c r="L24" s="1608"/>
    </row>
    <row r="25" spans="1:15" ht="1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1660</v>
      </c>
      <c r="F25" s="1180"/>
      <c r="G25" s="1180">
        <v>5548.77</v>
      </c>
      <c r="H25" s="1180"/>
      <c r="I25" s="1180">
        <v>41000</v>
      </c>
      <c r="J25" s="1185">
        <f t="shared" si="0"/>
        <v>48208.770000000004</v>
      </c>
      <c r="K25" s="62"/>
      <c r="L25" s="1608"/>
    </row>
    <row r="26" spans="1:15" ht="1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93020</v>
      </c>
      <c r="F26" s="1180">
        <v>54405</v>
      </c>
      <c r="G26" s="1180">
        <v>136820</v>
      </c>
      <c r="H26" s="1180">
        <v>13920</v>
      </c>
      <c r="I26" s="1180">
        <v>312285</v>
      </c>
      <c r="J26" s="1185">
        <f t="shared" si="0"/>
        <v>610450</v>
      </c>
      <c r="K26" s="62"/>
      <c r="L26" s="1608"/>
    </row>
    <row r="27" spans="1:15" ht="15" customHeight="1">
      <c r="A27" s="66" t="s">
        <v>66</v>
      </c>
      <c r="B27" s="61" t="s">
        <v>67</v>
      </c>
      <c r="C27" s="61"/>
      <c r="D27" s="62" t="s">
        <v>21</v>
      </c>
      <c r="E27" s="1185">
        <f>E28</f>
        <v>1581490.48</v>
      </c>
      <c r="F27" s="1185">
        <f>F28</f>
        <v>949954.08</v>
      </c>
      <c r="G27" s="1185">
        <f>G28</f>
        <v>2230846.88</v>
      </c>
      <c r="H27" s="1185">
        <f>H28</f>
        <v>252893.12</v>
      </c>
      <c r="I27" s="1185">
        <f>I28</f>
        <v>5237212</v>
      </c>
      <c r="J27" s="1185">
        <f t="shared" si="0"/>
        <v>10252396.559999999</v>
      </c>
      <c r="K27" s="62"/>
      <c r="L27" s="1608"/>
    </row>
    <row r="28" spans="1:15" ht="1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1581490.48</v>
      </c>
      <c r="F28" s="1180">
        <v>949954.08</v>
      </c>
      <c r="G28" s="1180">
        <v>2230846.88</v>
      </c>
      <c r="H28" s="1180">
        <v>252893.12</v>
      </c>
      <c r="I28" s="1180">
        <v>5237212</v>
      </c>
      <c r="J28" s="1185">
        <f t="shared" si="0"/>
        <v>10252396.559999999</v>
      </c>
      <c r="K28" s="62"/>
      <c r="L28" s="1608"/>
      <c r="M28" s="24"/>
      <c r="O28" s="1193"/>
    </row>
    <row r="29" spans="1:15" ht="15" customHeight="1">
      <c r="A29" s="66" t="s">
        <v>71</v>
      </c>
      <c r="B29" s="61" t="s">
        <v>72</v>
      </c>
      <c r="C29" s="61"/>
      <c r="D29" s="62" t="s">
        <v>21</v>
      </c>
      <c r="E29" s="1185">
        <f>E30</f>
        <v>790745.25</v>
      </c>
      <c r="F29" s="1185">
        <f>F30</f>
        <v>474977.04</v>
      </c>
      <c r="G29" s="1185">
        <f>G30</f>
        <v>1115423.44</v>
      </c>
      <c r="H29" s="1185">
        <f>H30</f>
        <v>126446.56</v>
      </c>
      <c r="I29" s="1185">
        <f>I30</f>
        <v>2572880</v>
      </c>
      <c r="J29" s="1185">
        <f t="shared" si="0"/>
        <v>5080472.29</v>
      </c>
      <c r="K29" s="62"/>
      <c r="L29" s="1608"/>
    </row>
    <row r="30" spans="1:15" ht="1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790745.25</v>
      </c>
      <c r="F30" s="1180">
        <v>474977.04</v>
      </c>
      <c r="G30" s="1180">
        <f>1378983.29-263559.85</f>
        <v>1115423.44</v>
      </c>
      <c r="H30" s="1180">
        <v>126446.56</v>
      </c>
      <c r="I30" s="1180">
        <v>2572880</v>
      </c>
      <c r="J30" s="1185">
        <f t="shared" si="0"/>
        <v>5080472.29</v>
      </c>
      <c r="K30" s="62"/>
      <c r="L30" s="1608"/>
      <c r="M30" s="24"/>
    </row>
    <row r="31" spans="1:15" ht="1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690810</v>
      </c>
      <c r="F31" s="1180">
        <v>422009</v>
      </c>
      <c r="G31" s="1180">
        <v>974942</v>
      </c>
      <c r="H31" s="1180">
        <v>110946</v>
      </c>
      <c r="I31" s="1180">
        <v>2229696</v>
      </c>
      <c r="J31" s="1185">
        <f t="shared" si="0"/>
        <v>4428403</v>
      </c>
      <c r="K31" s="62"/>
      <c r="L31" s="1608"/>
      <c r="M31" s="24"/>
    </row>
    <row r="32" spans="1:15" ht="1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17000</v>
      </c>
      <c r="F32" s="1180">
        <v>7500</v>
      </c>
      <c r="G32" s="1180">
        <v>26000</v>
      </c>
      <c r="H32" s="1180">
        <v>1500</v>
      </c>
      <c r="I32" s="1180">
        <v>41500</v>
      </c>
      <c r="J32" s="1185">
        <f t="shared" si="0"/>
        <v>93500</v>
      </c>
      <c r="K32" s="62"/>
      <c r="L32" s="1608"/>
    </row>
    <row r="33" spans="1:11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26390</v>
      </c>
      <c r="F33" s="1185">
        <f>F34+F36+F38</f>
        <v>1890</v>
      </c>
      <c r="G33" s="1185">
        <f>G34+G36+G38</f>
        <v>237090</v>
      </c>
      <c r="H33" s="1185">
        <f>H34+H36+H38</f>
        <v>55620</v>
      </c>
      <c r="I33" s="1185">
        <f>I34+I36+I38</f>
        <v>1799690</v>
      </c>
      <c r="J33" s="1185">
        <f t="shared" si="0"/>
        <v>2120680</v>
      </c>
      <c r="K33" s="62"/>
    </row>
    <row r="34" spans="1:11" ht="1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23870</v>
      </c>
      <c r="F34" s="1185">
        <f>F35</f>
        <v>0</v>
      </c>
      <c r="G34" s="1185">
        <f>G35</f>
        <v>233280</v>
      </c>
      <c r="H34" s="1185">
        <f>H35</f>
        <v>55620</v>
      </c>
      <c r="I34" s="1185">
        <f>I35</f>
        <v>1796930</v>
      </c>
      <c r="J34" s="1185">
        <f t="shared" si="0"/>
        <v>2109700</v>
      </c>
      <c r="K34" s="62"/>
    </row>
    <row r="35" spans="1:11" ht="1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23870</v>
      </c>
      <c r="F35" s="1180"/>
      <c r="G35" s="1180">
        <v>233280</v>
      </c>
      <c r="H35" s="1180">
        <v>55620</v>
      </c>
      <c r="I35" s="1180">
        <v>1796930</v>
      </c>
      <c r="J35" s="1185">
        <f t="shared" si="0"/>
        <v>2109700</v>
      </c>
      <c r="K35" s="62"/>
    </row>
    <row r="36" spans="1:11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2520</v>
      </c>
      <c r="F36" s="1185">
        <f>F37</f>
        <v>1890</v>
      </c>
      <c r="G36" s="1185">
        <f>G37</f>
        <v>3810</v>
      </c>
      <c r="H36" s="1185">
        <f>H37</f>
        <v>0</v>
      </c>
      <c r="I36" s="1185">
        <f>I37</f>
        <v>2760</v>
      </c>
      <c r="J36" s="1185">
        <f t="shared" si="0"/>
        <v>10980</v>
      </c>
      <c r="K36" s="62"/>
    </row>
    <row r="37" spans="1:11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2520</v>
      </c>
      <c r="F37" s="1180">
        <v>1890</v>
      </c>
      <c r="G37" s="1180">
        <v>3810</v>
      </c>
      <c r="H37" s="1180"/>
      <c r="I37" s="1180">
        <v>2760</v>
      </c>
      <c r="J37" s="1185">
        <f t="shared" si="0"/>
        <v>10980</v>
      </c>
      <c r="K37" s="62"/>
    </row>
    <row r="38" spans="1:11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>F39</f>
        <v>0</v>
      </c>
      <c r="G38" s="1185">
        <f>G39</f>
        <v>0</v>
      </c>
      <c r="H38" s="1185">
        <f>H39</f>
        <v>0</v>
      </c>
      <c r="I38" s="1185">
        <f>I39</f>
        <v>0</v>
      </c>
      <c r="J38" s="1185">
        <f t="shared" si="0"/>
        <v>0</v>
      </c>
      <c r="K38" s="62"/>
    </row>
    <row r="39" spans="1:11" ht="1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>
        <v>0</v>
      </c>
      <c r="F39" s="1180"/>
      <c r="G39" s="1180"/>
      <c r="H39" s="1180"/>
      <c r="I39" s="1180"/>
      <c r="J39" s="1185">
        <f t="shared" si="0"/>
        <v>0</v>
      </c>
      <c r="K39" s="62"/>
    </row>
    <row r="40" spans="1:11" ht="15" customHeight="1">
      <c r="A40" s="66" t="s">
        <v>97</v>
      </c>
      <c r="B40" s="61" t="s">
        <v>98</v>
      </c>
      <c r="C40" s="61"/>
      <c r="D40" s="62" t="s">
        <v>21</v>
      </c>
      <c r="E40" s="1185">
        <f>E41+E43+E45+E47+E49+E52+E54+E56+E60</f>
        <v>2478762.42</v>
      </c>
      <c r="F40" s="1185">
        <f>F41+F43+F45+F47+F49+F52+F54+F56+F60</f>
        <v>2281725.85</v>
      </c>
      <c r="G40" s="1185">
        <f>G41+G43+G45+G47+G49+G52+G54+G56+G60</f>
        <v>3096753.46</v>
      </c>
      <c r="H40" s="1185">
        <f>H41+H43+H45+H47+H49+H52+H54+H56+H60</f>
        <v>286274.07999999996</v>
      </c>
      <c r="I40" s="1185">
        <f>I41+I43+I45+I47+I49+I52+I54+I56+I60</f>
        <v>8447375.3000000007</v>
      </c>
      <c r="J40" s="1185">
        <f t="shared" si="0"/>
        <v>16590891.109999999</v>
      </c>
      <c r="K40" s="62"/>
    </row>
    <row r="41" spans="1:11" ht="15" customHeight="1">
      <c r="A41" s="66" t="s">
        <v>99</v>
      </c>
      <c r="B41" s="61" t="s">
        <v>100</v>
      </c>
      <c r="C41" s="61"/>
      <c r="D41" s="62" t="s">
        <v>101</v>
      </c>
      <c r="E41" s="1180">
        <v>1884690</v>
      </c>
      <c r="F41" s="1180">
        <v>1716000</v>
      </c>
      <c r="G41" s="1180">
        <v>2261940</v>
      </c>
      <c r="H41" s="1180">
        <f>134400</f>
        <v>134400</v>
      </c>
      <c r="I41" s="1180">
        <v>6193620</v>
      </c>
      <c r="J41" s="1185">
        <f t="shared" si="0"/>
        <v>12190650</v>
      </c>
      <c r="K41" s="62"/>
    </row>
    <row r="42" spans="1:11" ht="1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v>67565</v>
      </c>
      <c r="F42" s="1180">
        <v>45974.5</v>
      </c>
      <c r="G42" s="1180">
        <v>86632</v>
      </c>
      <c r="H42" s="1180">
        <v>6720</v>
      </c>
      <c r="I42" s="1180">
        <v>309681</v>
      </c>
      <c r="J42" s="1185">
        <f t="shared" si="0"/>
        <v>516572.5</v>
      </c>
      <c r="K42" s="62"/>
    </row>
    <row r="43" spans="1:11" ht="15" customHeight="1">
      <c r="A43" s="66" t="s">
        <v>106</v>
      </c>
      <c r="B43" s="61" t="s">
        <v>107</v>
      </c>
      <c r="C43" s="61"/>
      <c r="D43" s="62"/>
      <c r="E43" s="1185">
        <f>E44</f>
        <v>18400</v>
      </c>
      <c r="F43" s="1185">
        <f>F44</f>
        <v>12400</v>
      </c>
      <c r="G43" s="1185">
        <f>G44</f>
        <v>26000</v>
      </c>
      <c r="H43" s="1185">
        <f>H44</f>
        <v>2400</v>
      </c>
      <c r="I43" s="1185">
        <f>I44</f>
        <v>49200</v>
      </c>
      <c r="J43" s="1185">
        <f t="shared" si="0"/>
        <v>108400</v>
      </c>
      <c r="K43" s="62"/>
    </row>
    <row r="44" spans="1:11" ht="1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v>18400</v>
      </c>
      <c r="F44" s="1180">
        <v>12400</v>
      </c>
      <c r="G44" s="1180">
        <v>26000</v>
      </c>
      <c r="H44" s="1180">
        <v>2400</v>
      </c>
      <c r="I44" s="1180">
        <v>49200</v>
      </c>
      <c r="J44" s="1185">
        <f t="shared" si="0"/>
        <v>108400</v>
      </c>
      <c r="K44" s="62"/>
    </row>
    <row r="45" spans="1:11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102155.85</v>
      </c>
      <c r="F45" s="1185">
        <f>F46</f>
        <v>223595.85</v>
      </c>
      <c r="G45" s="1185">
        <f>G46</f>
        <v>133698.9</v>
      </c>
      <c r="H45" s="1185">
        <f>H46</f>
        <v>54900</v>
      </c>
      <c r="I45" s="1185">
        <f>I46</f>
        <v>424758.3</v>
      </c>
      <c r="J45" s="1185">
        <f t="shared" si="0"/>
        <v>939108.89999999991</v>
      </c>
      <c r="K45" s="62"/>
    </row>
    <row r="46" spans="1:11" ht="1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94">
        <f>E74*15</f>
        <v>102155.85</v>
      </c>
      <c r="F46" s="1194">
        <v>223595.85</v>
      </c>
      <c r="G46" s="1194">
        <v>133698.9</v>
      </c>
      <c r="H46" s="1194">
        <v>54900</v>
      </c>
      <c r="I46" s="1194">
        <v>424758.3</v>
      </c>
      <c r="J46" s="1195">
        <f t="shared" si="0"/>
        <v>939108.89999999991</v>
      </c>
      <c r="K46" s="62"/>
    </row>
    <row r="47" spans="1:11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26976</v>
      </c>
      <c r="F47" s="1185">
        <f>F48</f>
        <v>52576</v>
      </c>
      <c r="G47" s="1185">
        <f>G48</f>
        <v>26120</v>
      </c>
      <c r="H47" s="1185">
        <f>H48</f>
        <v>21522.240000000002</v>
      </c>
      <c r="I47" s="1185">
        <f>I48</f>
        <v>119152</v>
      </c>
      <c r="J47" s="1185">
        <f t="shared" si="0"/>
        <v>246346.23999999999</v>
      </c>
      <c r="K47" s="62"/>
    </row>
    <row r="48" spans="1:11" ht="1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E75*8</f>
        <v>26976</v>
      </c>
      <c r="F48" s="1180">
        <v>52576</v>
      </c>
      <c r="G48" s="1180">
        <v>26120</v>
      </c>
      <c r="H48" s="1180">
        <v>21522.240000000002</v>
      </c>
      <c r="I48" s="1180">
        <v>119152</v>
      </c>
      <c r="J48" s="1185">
        <f t="shared" si="0"/>
        <v>246346.23999999999</v>
      </c>
      <c r="K48" s="62"/>
    </row>
    <row r="49" spans="1:11" ht="1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209880</v>
      </c>
      <c r="F49" s="1185">
        <f>F50+F51</f>
        <v>123480</v>
      </c>
      <c r="G49" s="1185">
        <f>G50+G51</f>
        <v>334080</v>
      </c>
      <c r="H49" s="1185">
        <f>H50+H51</f>
        <v>33720</v>
      </c>
      <c r="I49" s="1185">
        <f>I50+I51</f>
        <v>954360</v>
      </c>
      <c r="J49" s="1185">
        <f t="shared" si="0"/>
        <v>1655520</v>
      </c>
      <c r="K49" s="62"/>
    </row>
    <row r="50" spans="1:11" ht="1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v>201960</v>
      </c>
      <c r="F50" s="1180">
        <v>123480</v>
      </c>
      <c r="G50" s="1180">
        <v>273600</v>
      </c>
      <c r="H50" s="1180">
        <v>25920</v>
      </c>
      <c r="I50" s="1180">
        <v>519480</v>
      </c>
      <c r="J50" s="1185">
        <f t="shared" si="0"/>
        <v>1144440</v>
      </c>
      <c r="K50" s="62"/>
    </row>
    <row r="51" spans="1:11" ht="1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v>7920</v>
      </c>
      <c r="F51" s="1180"/>
      <c r="G51" s="1180">
        <v>60480</v>
      </c>
      <c r="H51" s="1180">
        <v>7800</v>
      </c>
      <c r="I51" s="1180">
        <v>434880</v>
      </c>
      <c r="J51" s="1185">
        <f t="shared" si="0"/>
        <v>511080</v>
      </c>
      <c r="K51" s="62"/>
    </row>
    <row r="52" spans="1:11" ht="1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200660.57</v>
      </c>
      <c r="F52" s="1185">
        <f>F53</f>
        <v>120574</v>
      </c>
      <c r="G52" s="1185">
        <f>G53</f>
        <v>281564.57</v>
      </c>
      <c r="H52" s="1185">
        <f>H53</f>
        <v>34911.839999999997</v>
      </c>
      <c r="I52" s="1185">
        <f>I53</f>
        <v>630285</v>
      </c>
      <c r="J52" s="1185">
        <f t="shared" si="0"/>
        <v>1267995.98</v>
      </c>
      <c r="K52" s="62"/>
    </row>
    <row r="53" spans="1:11" ht="1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0">
        <v>200660.57</v>
      </c>
      <c r="F53" s="1180">
        <v>120574</v>
      </c>
      <c r="G53" s="1180">
        <v>281564.57</v>
      </c>
      <c r="H53" s="1180">
        <v>34911.839999999997</v>
      </c>
      <c r="I53" s="1180">
        <v>630285</v>
      </c>
      <c r="J53" s="1185">
        <f t="shared" si="0"/>
        <v>1267995.98</v>
      </c>
      <c r="K53" s="62"/>
    </row>
    <row r="54" spans="1:11" ht="1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0</v>
      </c>
      <c r="F54" s="1185">
        <f>F55</f>
        <v>0</v>
      </c>
      <c r="G54" s="1185">
        <f>G55</f>
        <v>16580.490000000002</v>
      </c>
      <c r="H54" s="1185">
        <f>H55</f>
        <v>0</v>
      </c>
      <c r="I54" s="1185">
        <f>I55</f>
        <v>32000</v>
      </c>
      <c r="J54" s="1185">
        <f t="shared" si="0"/>
        <v>48580.490000000005</v>
      </c>
      <c r="K54" s="62"/>
    </row>
    <row r="55" spans="1:11" ht="1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/>
      <c r="F55" s="1180"/>
      <c r="G55" s="1180">
        <v>16580.490000000002</v>
      </c>
      <c r="H55" s="1180"/>
      <c r="I55" s="1180">
        <v>32000</v>
      </c>
      <c r="J55" s="1185">
        <f t="shared" si="0"/>
        <v>48580.490000000005</v>
      </c>
      <c r="K55" s="62"/>
    </row>
    <row r="56" spans="1:11" ht="1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4000</v>
      </c>
      <c r="F56" s="1185">
        <f>F57+F59</f>
        <v>1100</v>
      </c>
      <c r="G56" s="1185">
        <f>G57+G59</f>
        <v>6769.5</v>
      </c>
      <c r="H56" s="1185">
        <f>H57+H59</f>
        <v>420</v>
      </c>
      <c r="I56" s="1185">
        <f>I57+I59</f>
        <v>44000</v>
      </c>
      <c r="J56" s="1185">
        <f t="shared" si="0"/>
        <v>56289.5</v>
      </c>
      <c r="K56" s="62"/>
    </row>
    <row r="57" spans="1:11" ht="1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800</v>
      </c>
      <c r="F57" s="1185">
        <f>F58</f>
        <v>0</v>
      </c>
      <c r="G57" s="1185">
        <f>G58</f>
        <v>5600</v>
      </c>
      <c r="H57" s="1185">
        <f>H58</f>
        <v>420</v>
      </c>
      <c r="I57" s="1185">
        <f>I58</f>
        <v>40400</v>
      </c>
      <c r="J57" s="1185">
        <f t="shared" si="0"/>
        <v>47220</v>
      </c>
      <c r="K57" s="62"/>
    </row>
    <row r="58" spans="1:11" ht="1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800</v>
      </c>
      <c r="F58" s="1180"/>
      <c r="G58" s="1180">
        <v>5600</v>
      </c>
      <c r="H58" s="1180">
        <v>420</v>
      </c>
      <c r="I58" s="1180">
        <v>40400</v>
      </c>
      <c r="J58" s="1185">
        <f t="shared" si="0"/>
        <v>47220</v>
      </c>
      <c r="K58" s="62"/>
    </row>
    <row r="59" spans="1:11" ht="1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3200</v>
      </c>
      <c r="F59" s="1186">
        <v>1100</v>
      </c>
      <c r="G59" s="1186">
        <v>1169.5</v>
      </c>
      <c r="H59" s="1186"/>
      <c r="I59" s="1186">
        <v>3600</v>
      </c>
      <c r="J59" s="1185">
        <f t="shared" si="0"/>
        <v>9069.5</v>
      </c>
      <c r="K59" s="62"/>
    </row>
    <row r="60" spans="1:11" ht="1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32000</v>
      </c>
      <c r="F60" s="1185">
        <f>F61</f>
        <v>32000</v>
      </c>
      <c r="G60" s="1185">
        <f>G61</f>
        <v>10000</v>
      </c>
      <c r="H60" s="1185">
        <f>H61</f>
        <v>4000</v>
      </c>
      <c r="I60" s="1185">
        <f>I61</f>
        <v>0</v>
      </c>
      <c r="J60" s="1185">
        <f t="shared" si="0"/>
        <v>78000</v>
      </c>
      <c r="K60" s="62"/>
    </row>
    <row r="61" spans="1:11" ht="1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>
        <v>32000</v>
      </c>
      <c r="F61" s="1179">
        <v>32000</v>
      </c>
      <c r="G61" s="1179">
        <v>10000</v>
      </c>
      <c r="H61" s="1179">
        <v>4000</v>
      </c>
      <c r="I61" s="1179"/>
      <c r="J61" s="1185">
        <f t="shared" si="0"/>
        <v>78000</v>
      </c>
      <c r="K61" s="1187"/>
    </row>
    <row r="62" spans="1:11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5">
        <f t="shared" si="0"/>
        <v>0</v>
      </c>
      <c r="K62" s="1189"/>
    </row>
    <row r="63" spans="1:11" ht="1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46</v>
      </c>
      <c r="F63" s="1198">
        <f>F64+F65+F66+F67</f>
        <v>31</v>
      </c>
      <c r="G63" s="1198">
        <f>G64+G65+G66+G67</f>
        <v>62</v>
      </c>
      <c r="H63" s="1198">
        <f>H64+H65+H66+H67</f>
        <v>6</v>
      </c>
      <c r="I63" s="1198">
        <f>I64+I65+I66+I67</f>
        <v>123</v>
      </c>
      <c r="J63" s="1198">
        <f t="shared" si="0"/>
        <v>268</v>
      </c>
      <c r="K63" s="62"/>
    </row>
    <row r="64" spans="1:11" ht="15" customHeight="1">
      <c r="A64" s="66" t="s">
        <v>148</v>
      </c>
      <c r="B64" s="1199" t="s">
        <v>149</v>
      </c>
      <c r="C64" s="1199"/>
      <c r="D64" s="62"/>
      <c r="E64" s="1190"/>
      <c r="F64" s="1190"/>
      <c r="G64" s="1190"/>
      <c r="H64" s="1190"/>
      <c r="I64" s="1190">
        <v>61</v>
      </c>
      <c r="J64" s="1198">
        <f t="shared" si="0"/>
        <v>61</v>
      </c>
      <c r="K64" s="62"/>
    </row>
    <row r="65" spans="1:11" ht="1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62</v>
      </c>
      <c r="J65" s="1198">
        <f t="shared" si="0"/>
        <v>62</v>
      </c>
      <c r="K65" s="62"/>
    </row>
    <row r="66" spans="1:11" ht="15" customHeight="1">
      <c r="A66" s="66" t="s">
        <v>152</v>
      </c>
      <c r="B66" s="1199" t="s">
        <v>153</v>
      </c>
      <c r="C66" s="1199"/>
      <c r="D66" s="62"/>
      <c r="E66" s="1190">
        <v>46</v>
      </c>
      <c r="F66" s="1190">
        <v>31</v>
      </c>
      <c r="G66" s="1190">
        <v>62</v>
      </c>
      <c r="H66" s="1190"/>
      <c r="I66" s="1190"/>
      <c r="J66" s="1198">
        <f t="shared" si="0"/>
        <v>139</v>
      </c>
      <c r="K66" s="62"/>
    </row>
    <row r="67" spans="1:11" ht="1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>
        <v>6</v>
      </c>
      <c r="I67" s="1190"/>
      <c r="J67" s="1198">
        <f t="shared" si="0"/>
        <v>6</v>
      </c>
      <c r="K67" s="62"/>
    </row>
    <row r="68" spans="1:11" ht="1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434</v>
      </c>
      <c r="F68" s="1198">
        <f>F69+F70+F71+F72</f>
        <v>397</v>
      </c>
      <c r="G68" s="1198">
        <f>G69+G70+G71+G72</f>
        <v>572</v>
      </c>
      <c r="H68" s="1198">
        <f>H69+H70+H71+H72</f>
        <v>0</v>
      </c>
      <c r="I68" s="1198">
        <f>I69+I70+I71+I72</f>
        <v>1756</v>
      </c>
      <c r="J68" s="1198">
        <f t="shared" si="0"/>
        <v>3159</v>
      </c>
      <c r="K68" s="62"/>
    </row>
    <row r="69" spans="1:11" ht="15" customHeight="1">
      <c r="A69" s="66" t="s">
        <v>158</v>
      </c>
      <c r="B69" s="1199" t="s">
        <v>149</v>
      </c>
      <c r="C69" s="1199"/>
      <c r="D69" s="62"/>
      <c r="E69" s="1190"/>
      <c r="F69" s="1190"/>
      <c r="G69" s="1190"/>
      <c r="H69" s="1190"/>
      <c r="I69" s="1190">
        <v>986</v>
      </c>
      <c r="J69" s="1198">
        <f t="shared" ref="J69:J75" si="1">SUM(E69:I69)</f>
        <v>986</v>
      </c>
      <c r="K69" s="62"/>
    </row>
    <row r="70" spans="1:11" ht="1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770</v>
      </c>
      <c r="J70" s="1198">
        <f t="shared" si="1"/>
        <v>770</v>
      </c>
      <c r="K70" s="62"/>
    </row>
    <row r="71" spans="1:11" ht="15" customHeight="1">
      <c r="A71" s="66" t="s">
        <v>160</v>
      </c>
      <c r="B71" s="1199" t="s">
        <v>153</v>
      </c>
      <c r="C71" s="1199"/>
      <c r="D71" s="62"/>
      <c r="E71" s="1190">
        <v>434</v>
      </c>
      <c r="F71" s="1190">
        <v>397</v>
      </c>
      <c r="G71" s="1190">
        <v>572</v>
      </c>
      <c r="H71" s="1190"/>
      <c r="I71" s="1190"/>
      <c r="J71" s="1198">
        <f t="shared" si="1"/>
        <v>1403</v>
      </c>
      <c r="K71" s="62"/>
    </row>
    <row r="72" spans="1:11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8">
        <f t="shared" si="1"/>
        <v>0</v>
      </c>
      <c r="K72" s="62"/>
    </row>
    <row r="73" spans="1:11" ht="15" customHeight="1">
      <c r="A73" s="66" t="s">
        <v>162</v>
      </c>
      <c r="B73" s="61" t="s">
        <v>218</v>
      </c>
      <c r="C73" s="61"/>
      <c r="D73" s="62"/>
      <c r="E73" s="1190">
        <v>2</v>
      </c>
      <c r="F73" s="1190"/>
      <c r="G73" s="1190">
        <v>14</v>
      </c>
      <c r="H73" s="1190">
        <v>3</v>
      </c>
      <c r="I73" s="1190">
        <v>101</v>
      </c>
      <c r="J73" s="1198">
        <f t="shared" si="1"/>
        <v>120</v>
      </c>
      <c r="K73" s="62"/>
    </row>
    <row r="74" spans="1:11" ht="15" customHeight="1">
      <c r="A74" s="66" t="s">
        <v>3011</v>
      </c>
      <c r="B74" s="1199" t="s">
        <v>219</v>
      </c>
      <c r="C74" s="1199"/>
      <c r="D74" s="67"/>
      <c r="E74" s="1180">
        <v>6810.39</v>
      </c>
      <c r="F74" s="1180">
        <v>14906.39</v>
      </c>
      <c r="G74" s="1180">
        <v>8913.26</v>
      </c>
      <c r="H74" s="1180">
        <v>3660</v>
      </c>
      <c r="I74" s="1180">
        <v>28317.22</v>
      </c>
      <c r="J74" s="1185">
        <f t="shared" si="1"/>
        <v>62607.26</v>
      </c>
      <c r="K74" s="62"/>
    </row>
    <row r="75" spans="1:11" ht="15" customHeight="1">
      <c r="A75" s="66" t="s">
        <v>3012</v>
      </c>
      <c r="B75" s="1199" t="s">
        <v>220</v>
      </c>
      <c r="C75" s="1199"/>
      <c r="D75" s="67"/>
      <c r="E75" s="1180">
        <v>3372</v>
      </c>
      <c r="F75" s="1180">
        <v>6572</v>
      </c>
      <c r="G75" s="1180">
        <v>3265</v>
      </c>
      <c r="H75" s="1180">
        <v>2700</v>
      </c>
      <c r="I75" s="1180">
        <v>14894</v>
      </c>
      <c r="J75" s="1185">
        <f t="shared" si="1"/>
        <v>30803</v>
      </c>
      <c r="K75" s="62"/>
    </row>
    <row r="76" spans="1:11">
      <c r="E76" s="24"/>
      <c r="F76" s="24"/>
      <c r="G76" s="24"/>
      <c r="H76" s="24"/>
      <c r="I76" s="24"/>
      <c r="J76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8">
    <mergeCell ref="L6:L32"/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79"/>
  <sheetViews>
    <sheetView topLeftCell="B1" workbookViewId="0">
      <selection activeCell="B54" sqref="A1:XFD1048576"/>
    </sheetView>
  </sheetViews>
  <sheetFormatPr defaultRowHeight="11.25"/>
  <cols>
    <col min="1" max="1" width="6.125" style="21" hidden="1" customWidth="1"/>
    <col min="2" max="2" width="34.625" style="3" customWidth="1"/>
    <col min="3" max="3" width="0" style="3" hidden="1" customWidth="1"/>
    <col min="4" max="4" width="0" style="1178" hidden="1" customWidth="1"/>
    <col min="5" max="5" width="17.375" style="3" customWidth="1"/>
    <col min="6" max="6" width="18.125" style="3" customWidth="1"/>
    <col min="7" max="7" width="16.625" style="3" customWidth="1"/>
    <col min="8" max="8" width="15.875" style="3" customWidth="1"/>
    <col min="9" max="9" width="16.375" style="3" customWidth="1"/>
    <col min="10" max="10" width="15.625" style="3" customWidth="1"/>
    <col min="11" max="11" width="15.625" style="3" hidden="1" customWidth="1"/>
    <col min="12" max="16384" width="9" style="3"/>
  </cols>
  <sheetData>
    <row r="1" spans="1:13" ht="24.95" customHeight="1">
      <c r="A1" s="1362" t="s">
        <v>3014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57" t="s">
        <v>3247</v>
      </c>
      <c r="K2" s="1184" t="s">
        <v>3000</v>
      </c>
    </row>
    <row r="3" spans="1:13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3015</v>
      </c>
      <c r="F3" s="1191" t="s">
        <v>3016</v>
      </c>
      <c r="G3" s="1191" t="s">
        <v>3017</v>
      </c>
      <c r="H3" s="1191" t="s">
        <v>3018</v>
      </c>
      <c r="I3" s="1191" t="s">
        <v>3019</v>
      </c>
      <c r="J3" s="1611" t="s">
        <v>17</v>
      </c>
      <c r="K3" s="1611" t="s">
        <v>18</v>
      </c>
    </row>
    <row r="4" spans="1:13" ht="24.95" customHeight="1">
      <c r="A4" s="1610"/>
      <c r="B4" s="1610"/>
      <c r="C4" s="1610"/>
      <c r="D4" s="1610"/>
      <c r="E4" s="1191" t="s">
        <v>463</v>
      </c>
      <c r="F4" s="1191" t="s">
        <v>460</v>
      </c>
      <c r="G4" s="1191" t="s">
        <v>460</v>
      </c>
      <c r="H4" s="1191" t="s">
        <v>460</v>
      </c>
      <c r="I4" s="1191" t="s">
        <v>3071</v>
      </c>
      <c r="J4" s="1612"/>
      <c r="K4" s="1612"/>
    </row>
    <row r="5" spans="1:13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I5" si="0">E6+E33+E40</f>
        <v>18536821.890000001</v>
      </c>
      <c r="F5" s="1185">
        <f t="shared" si="0"/>
        <v>1858427.27</v>
      </c>
      <c r="G5" s="1185">
        <f t="shared" si="0"/>
        <v>8637040.5700000003</v>
      </c>
      <c r="H5" s="1185">
        <f t="shared" si="0"/>
        <v>11344625.199999999</v>
      </c>
      <c r="I5" s="1185">
        <f t="shared" si="0"/>
        <v>796026.74</v>
      </c>
      <c r="J5" s="1201">
        <f t="shared" ref="J5:J36" si="1">SUM(E5:I5)</f>
        <v>41172941.670000002</v>
      </c>
      <c r="K5" s="62"/>
    </row>
    <row r="6" spans="1:13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12413314.029999999</v>
      </c>
      <c r="F6" s="1185">
        <f t="shared" ref="F6:I6" si="2">F7+F10+F14+F17+F22+F27+F29+F31+F32</f>
        <v>1261374.77</v>
      </c>
      <c r="G6" s="1185">
        <f t="shared" si="2"/>
        <v>6461508</v>
      </c>
      <c r="H6" s="1185">
        <f t="shared" si="2"/>
        <v>8175985</v>
      </c>
      <c r="I6" s="1185">
        <f t="shared" si="2"/>
        <v>637495</v>
      </c>
      <c r="J6" s="1201">
        <f t="shared" si="1"/>
        <v>28949676.799999997</v>
      </c>
      <c r="K6" s="62"/>
    </row>
    <row r="7" spans="1:13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4066264.13</v>
      </c>
      <c r="F7" s="1185">
        <f t="shared" ref="F7:I7" si="3">F8+F9</f>
        <v>491940</v>
      </c>
      <c r="G7" s="1185">
        <f t="shared" si="3"/>
        <v>2130000</v>
      </c>
      <c r="H7" s="1185">
        <f t="shared" si="3"/>
        <v>2550000</v>
      </c>
      <c r="I7" s="1185">
        <f t="shared" si="3"/>
        <v>218155</v>
      </c>
      <c r="J7" s="1201">
        <f t="shared" si="1"/>
        <v>9456359.129999999</v>
      </c>
      <c r="K7" s="62"/>
    </row>
    <row r="8" spans="1:13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2127451.2400000002</v>
      </c>
      <c r="F8" s="1180">
        <v>247866</v>
      </c>
      <c r="G8" s="1180">
        <v>1215000</v>
      </c>
      <c r="H8" s="1180">
        <f>1300000+250000</f>
        <v>1550000</v>
      </c>
      <c r="I8" s="1180">
        <v>93747</v>
      </c>
      <c r="J8" s="1201">
        <f t="shared" si="1"/>
        <v>5234064.24</v>
      </c>
      <c r="K8" s="1192"/>
    </row>
    <row r="9" spans="1:13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1938812.89</v>
      </c>
      <c r="F9" s="1180">
        <v>244074</v>
      </c>
      <c r="G9" s="1180">
        <v>915000</v>
      </c>
      <c r="H9" s="1180">
        <f>750000+250000</f>
        <v>1000000</v>
      </c>
      <c r="I9" s="1180">
        <v>124408</v>
      </c>
      <c r="J9" s="1201">
        <f t="shared" si="1"/>
        <v>4222294.8899999997</v>
      </c>
      <c r="K9" s="62"/>
    </row>
    <row r="10" spans="1:13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344132</v>
      </c>
      <c r="F10" s="1185">
        <f t="shared" ref="F10:I10" si="4">F11+F12</f>
        <v>40112</v>
      </c>
      <c r="G10" s="1185">
        <f t="shared" si="4"/>
        <v>201980</v>
      </c>
      <c r="H10" s="1185">
        <f t="shared" si="4"/>
        <v>272560</v>
      </c>
      <c r="I10" s="1185">
        <f t="shared" si="4"/>
        <v>16200</v>
      </c>
      <c r="J10" s="1201">
        <f t="shared" si="1"/>
        <v>874984</v>
      </c>
      <c r="K10" s="62"/>
    </row>
    <row r="11" spans="1:13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5332</v>
      </c>
      <c r="F11" s="1180">
        <f>732</f>
        <v>732</v>
      </c>
      <c r="G11" s="1180">
        <v>3100</v>
      </c>
      <c r="H11" s="1180">
        <f>2200+200</f>
        <v>2400</v>
      </c>
      <c r="I11" s="1180">
        <v>360</v>
      </c>
      <c r="J11" s="1201">
        <f t="shared" si="1"/>
        <v>11924</v>
      </c>
      <c r="K11" s="62"/>
    </row>
    <row r="12" spans="1:13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338800</v>
      </c>
      <c r="F12" s="1185">
        <f t="shared" ref="F12:I12" si="5">F13</f>
        <v>39380</v>
      </c>
      <c r="G12" s="1185">
        <f t="shared" si="5"/>
        <v>198880</v>
      </c>
      <c r="H12" s="1185">
        <f t="shared" si="5"/>
        <v>270160</v>
      </c>
      <c r="I12" s="1185">
        <f t="shared" si="5"/>
        <v>15840</v>
      </c>
      <c r="J12" s="1201">
        <f t="shared" si="1"/>
        <v>863060</v>
      </c>
      <c r="K12" s="62"/>
    </row>
    <row r="13" spans="1:13" ht="15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338800</v>
      </c>
      <c r="F13" s="1180">
        <v>39380</v>
      </c>
      <c r="G13" s="1180">
        <v>198880</v>
      </c>
      <c r="H13" s="1180">
        <f>269280+880</f>
        <v>270160</v>
      </c>
      <c r="I13" s="1180">
        <v>15840</v>
      </c>
      <c r="J13" s="1201">
        <f t="shared" si="1"/>
        <v>863060</v>
      </c>
      <c r="K13" s="62"/>
    </row>
    <row r="14" spans="1:13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127511</v>
      </c>
      <c r="F14" s="1185">
        <f t="shared" ref="F14:I14" si="6">F15+F16</f>
        <v>11008.85</v>
      </c>
      <c r="G14" s="1185">
        <f t="shared" si="6"/>
        <v>70500</v>
      </c>
      <c r="H14" s="1185">
        <f t="shared" si="6"/>
        <v>99000</v>
      </c>
      <c r="I14" s="1185">
        <f t="shared" si="6"/>
        <v>6900</v>
      </c>
      <c r="J14" s="1201">
        <f t="shared" si="1"/>
        <v>314919.84999999998</v>
      </c>
      <c r="K14" s="62"/>
    </row>
    <row r="15" spans="1:13" ht="15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49266</v>
      </c>
      <c r="F15" s="1180">
        <v>3069.65</v>
      </c>
      <c r="G15" s="1180">
        <v>27100</v>
      </c>
      <c r="H15" s="1180">
        <v>41000</v>
      </c>
      <c r="I15" s="1180">
        <v>2000</v>
      </c>
      <c r="J15" s="1201">
        <f t="shared" si="1"/>
        <v>122435.65</v>
      </c>
      <c r="K15" s="62"/>
      <c r="M15" s="23"/>
    </row>
    <row r="16" spans="1:13" ht="15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78245</v>
      </c>
      <c r="F16" s="1180">
        <v>7939.2</v>
      </c>
      <c r="G16" s="1180">
        <v>43400</v>
      </c>
      <c r="H16" s="1180">
        <v>58000</v>
      </c>
      <c r="I16" s="1180">
        <v>4900</v>
      </c>
      <c r="J16" s="1201">
        <f t="shared" si="1"/>
        <v>192484.2</v>
      </c>
      <c r="K16" s="62"/>
      <c r="M16" s="23"/>
    </row>
    <row r="17" spans="1:13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1315767.5</v>
      </c>
      <c r="F17" s="1185">
        <f t="shared" ref="F17:I17" si="7">F18+F19+F20+F21</f>
        <v>45000</v>
      </c>
      <c r="G17" s="1185">
        <f t="shared" si="7"/>
        <v>513716</v>
      </c>
      <c r="H17" s="1185">
        <f t="shared" si="7"/>
        <v>566765</v>
      </c>
      <c r="I17" s="1185">
        <f t="shared" si="7"/>
        <v>18000</v>
      </c>
      <c r="J17" s="1201">
        <f t="shared" si="1"/>
        <v>2459248.5</v>
      </c>
      <c r="K17" s="62"/>
    </row>
    <row r="18" spans="1:13" ht="15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201">
        <f t="shared" si="1"/>
        <v>0</v>
      </c>
      <c r="K18" s="62"/>
    </row>
    <row r="19" spans="1:13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374231</v>
      </c>
      <c r="F19" s="1180"/>
      <c r="G19" s="1180">
        <v>284216</v>
      </c>
      <c r="H19" s="1180">
        <v>255765</v>
      </c>
      <c r="I19" s="1180"/>
      <c r="J19" s="1201">
        <f t="shared" si="1"/>
        <v>914212</v>
      </c>
      <c r="K19" s="62"/>
    </row>
    <row r="20" spans="1:13" ht="15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387000</v>
      </c>
      <c r="F20" s="1180">
        <v>45000</v>
      </c>
      <c r="G20" s="1180">
        <v>229500</v>
      </c>
      <c r="H20" s="1180">
        <v>311000</v>
      </c>
      <c r="I20" s="1180">
        <v>18000</v>
      </c>
      <c r="J20" s="1201">
        <f t="shared" si="1"/>
        <v>990500</v>
      </c>
      <c r="K20" s="62"/>
    </row>
    <row r="21" spans="1:13" ht="15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554536.5</v>
      </c>
      <c r="F21" s="1180"/>
      <c r="G21" s="1180"/>
      <c r="H21" s="1180"/>
      <c r="I21" s="1180"/>
      <c r="J21" s="1201">
        <f t="shared" si="1"/>
        <v>554536.5</v>
      </c>
      <c r="K21" s="62"/>
    </row>
    <row r="22" spans="1:13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1676191</v>
      </c>
      <c r="F22" s="1185">
        <f t="shared" ref="F22:I22" si="8">F23+F24</f>
        <v>176601.28</v>
      </c>
      <c r="G22" s="1185">
        <f t="shared" si="8"/>
        <v>844480</v>
      </c>
      <c r="H22" s="1185">
        <f t="shared" si="8"/>
        <v>1125660</v>
      </c>
      <c r="I22" s="1185">
        <f t="shared" si="8"/>
        <v>88140</v>
      </c>
      <c r="J22" s="1201">
        <f t="shared" si="1"/>
        <v>3911072.2800000003</v>
      </c>
      <c r="K22" s="62"/>
    </row>
    <row r="23" spans="1:13" ht="15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1408391</v>
      </c>
      <c r="F23" s="1180">
        <f>23816.88*6</f>
        <v>142901.28</v>
      </c>
      <c r="G23" s="1180">
        <v>788300</v>
      </c>
      <c r="H23" s="1180">
        <v>1022000</v>
      </c>
      <c r="I23" s="1180">
        <v>82200</v>
      </c>
      <c r="J23" s="1201">
        <f t="shared" si="1"/>
        <v>3443792.2800000003</v>
      </c>
      <c r="K23" s="62"/>
      <c r="M23" s="23"/>
    </row>
    <row r="24" spans="1:13" ht="15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267800</v>
      </c>
      <c r="F24" s="1185">
        <f t="shared" ref="F24:H24" si="9">F25+F26</f>
        <v>33700</v>
      </c>
      <c r="G24" s="1185">
        <f t="shared" si="9"/>
        <v>56180</v>
      </c>
      <c r="H24" s="1185">
        <f t="shared" si="9"/>
        <v>103660</v>
      </c>
      <c r="I24" s="1185">
        <v>5940</v>
      </c>
      <c r="J24" s="1201">
        <f t="shared" si="1"/>
        <v>467280</v>
      </c>
      <c r="K24" s="62"/>
    </row>
    <row r="25" spans="1:13" ht="15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25000</v>
      </c>
      <c r="F25" s="1180">
        <v>700</v>
      </c>
      <c r="G25" s="1180">
        <v>1000</v>
      </c>
      <c r="H25" s="1180">
        <v>2800</v>
      </c>
      <c r="I25" s="1180"/>
      <c r="J25" s="1201">
        <f t="shared" si="1"/>
        <v>29500</v>
      </c>
      <c r="K25" s="62"/>
    </row>
    <row r="26" spans="1:13" ht="15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242800</v>
      </c>
      <c r="F26" s="1180">
        <f>3600+2700+26700</f>
        <v>33000</v>
      </c>
      <c r="G26" s="1180">
        <v>55180</v>
      </c>
      <c r="H26" s="1180">
        <v>100860</v>
      </c>
      <c r="I26" s="1180">
        <v>5940</v>
      </c>
      <c r="J26" s="1201">
        <f t="shared" si="1"/>
        <v>437780</v>
      </c>
      <c r="K26" s="62"/>
    </row>
    <row r="27" spans="1:13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I27" si="10">E28</f>
        <v>2503800</v>
      </c>
      <c r="F27" s="1185">
        <f t="shared" si="10"/>
        <v>254045.76</v>
      </c>
      <c r="G27" s="1185">
        <f t="shared" si="10"/>
        <v>1388400</v>
      </c>
      <c r="H27" s="1185">
        <f t="shared" si="10"/>
        <v>1820000</v>
      </c>
      <c r="I27" s="1185">
        <f t="shared" si="10"/>
        <v>147000</v>
      </c>
      <c r="J27" s="1201">
        <f t="shared" si="1"/>
        <v>6113245.7599999998</v>
      </c>
      <c r="K27" s="62"/>
    </row>
    <row r="28" spans="1:13" ht="15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2503800</v>
      </c>
      <c r="F28" s="1180">
        <v>254045.76</v>
      </c>
      <c r="G28" s="1180">
        <v>1388400</v>
      </c>
      <c r="H28" s="1180">
        <v>1820000</v>
      </c>
      <c r="I28" s="1180">
        <v>147000</v>
      </c>
      <c r="J28" s="1201">
        <f t="shared" si="1"/>
        <v>6113245.7599999998</v>
      </c>
      <c r="K28" s="62"/>
      <c r="M28" s="23"/>
    </row>
    <row r="29" spans="1:13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I29" si="11">E30</f>
        <v>1254812.3999999999</v>
      </c>
      <c r="F29" s="1185">
        <f t="shared" si="11"/>
        <v>127022.88</v>
      </c>
      <c r="G29" s="1185">
        <f t="shared" si="11"/>
        <v>694188</v>
      </c>
      <c r="H29" s="1185">
        <f t="shared" si="11"/>
        <v>910000</v>
      </c>
      <c r="I29" s="1185">
        <f t="shared" si="11"/>
        <v>78600</v>
      </c>
      <c r="J29" s="1201">
        <f t="shared" si="1"/>
        <v>3064623.28</v>
      </c>
      <c r="K29" s="62"/>
    </row>
    <row r="30" spans="1:13" ht="15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1254812.3999999999</v>
      </c>
      <c r="F30" s="1180">
        <v>127022.88</v>
      </c>
      <c r="G30" s="1180">
        <f>726600-32412</f>
        <v>694188</v>
      </c>
      <c r="H30" s="1180">
        <v>910000</v>
      </c>
      <c r="I30" s="1180">
        <v>78600</v>
      </c>
      <c r="J30" s="1201">
        <f t="shared" si="1"/>
        <v>3064623.28</v>
      </c>
      <c r="K30" s="62"/>
      <c r="M30" s="23"/>
    </row>
    <row r="31" spans="1:13" ht="15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1103336</v>
      </c>
      <c r="F31" s="1180">
        <v>111144</v>
      </c>
      <c r="G31" s="1180">
        <v>605744</v>
      </c>
      <c r="H31" s="1180">
        <v>815000</v>
      </c>
      <c r="I31" s="1180">
        <v>63000</v>
      </c>
      <c r="J31" s="1201">
        <f t="shared" si="1"/>
        <v>2698224</v>
      </c>
      <c r="K31" s="62"/>
      <c r="M31" s="23"/>
    </row>
    <row r="32" spans="1:13" ht="15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21500</v>
      </c>
      <c r="F32" s="1180">
        <v>4500</v>
      </c>
      <c r="G32" s="1180">
        <v>12500</v>
      </c>
      <c r="H32" s="1180">
        <v>17000</v>
      </c>
      <c r="I32" s="1180">
        <v>1500</v>
      </c>
      <c r="J32" s="1201">
        <f t="shared" si="1"/>
        <v>57000</v>
      </c>
      <c r="K32" s="62"/>
    </row>
    <row r="33" spans="1:11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1373790</v>
      </c>
      <c r="F33" s="1185">
        <f t="shared" ref="F33:I33" si="12">F34+F36+F38</f>
        <v>67710</v>
      </c>
      <c r="G33" s="1185">
        <f t="shared" si="12"/>
        <v>132040</v>
      </c>
      <c r="H33" s="1185">
        <f t="shared" si="12"/>
        <v>30600</v>
      </c>
      <c r="I33" s="1185">
        <f t="shared" si="12"/>
        <v>5500</v>
      </c>
      <c r="J33" s="1201">
        <f t="shared" si="1"/>
        <v>1609640</v>
      </c>
      <c r="K33" s="62"/>
    </row>
    <row r="34" spans="1:11" ht="15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1369440</v>
      </c>
      <c r="F34" s="1185">
        <f t="shared" ref="F34:I34" si="13">F35</f>
        <v>67170</v>
      </c>
      <c r="G34" s="1185">
        <f t="shared" si="13"/>
        <v>128500</v>
      </c>
      <c r="H34" s="1185">
        <f t="shared" si="13"/>
        <v>28800</v>
      </c>
      <c r="I34" s="1185">
        <f t="shared" si="13"/>
        <v>5500</v>
      </c>
      <c r="J34" s="1201">
        <f t="shared" si="1"/>
        <v>1599410</v>
      </c>
      <c r="K34" s="62"/>
    </row>
    <row r="35" spans="1:11" ht="15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1369440</v>
      </c>
      <c r="F35" s="1180">
        <v>67170</v>
      </c>
      <c r="G35" s="1180">
        <v>128500</v>
      </c>
      <c r="H35" s="1180">
        <f>2400*12</f>
        <v>28800</v>
      </c>
      <c r="I35" s="1180">
        <v>5500</v>
      </c>
      <c r="J35" s="1201">
        <f t="shared" si="1"/>
        <v>1599410</v>
      </c>
      <c r="K35" s="62"/>
    </row>
    <row r="36" spans="1:11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4350</v>
      </c>
      <c r="F36" s="1185">
        <f t="shared" ref="F36:I36" si="14">F37</f>
        <v>540</v>
      </c>
      <c r="G36" s="1185">
        <f t="shared" si="14"/>
        <v>3540</v>
      </c>
      <c r="H36" s="1185">
        <f t="shared" si="14"/>
        <v>1800</v>
      </c>
      <c r="I36" s="1185">
        <f t="shared" si="14"/>
        <v>0</v>
      </c>
      <c r="J36" s="1201">
        <f t="shared" si="1"/>
        <v>10230</v>
      </c>
      <c r="K36" s="62"/>
    </row>
    <row r="37" spans="1:11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4350</v>
      </c>
      <c r="F37" s="1180">
        <v>540</v>
      </c>
      <c r="G37" s="1180">
        <v>3540</v>
      </c>
      <c r="H37" s="1180">
        <v>1800</v>
      </c>
      <c r="I37" s="1180"/>
      <c r="J37" s="1201">
        <f t="shared" ref="J37:J68" si="15">SUM(E37:I37)</f>
        <v>10230</v>
      </c>
      <c r="K37" s="62"/>
    </row>
    <row r="38" spans="1:11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I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201">
        <f t="shared" si="15"/>
        <v>0</v>
      </c>
      <c r="K38" s="62"/>
    </row>
    <row r="39" spans="1:11" ht="15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201">
        <f t="shared" si="15"/>
        <v>0</v>
      </c>
      <c r="K39" s="62"/>
    </row>
    <row r="40" spans="1:11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I40" si="17">E41+E43+E45+E47+E49+E52+E54+E56+E60</f>
        <v>4749717.8600000003</v>
      </c>
      <c r="F40" s="1185">
        <f t="shared" si="17"/>
        <v>529342.5</v>
      </c>
      <c r="G40" s="1185">
        <f t="shared" si="17"/>
        <v>2043492.57</v>
      </c>
      <c r="H40" s="1185">
        <f t="shared" si="17"/>
        <v>3138040.2</v>
      </c>
      <c r="I40" s="1185">
        <f t="shared" si="17"/>
        <v>153031.74000000002</v>
      </c>
      <c r="J40" s="1201">
        <f t="shared" si="15"/>
        <v>10613624.870000001</v>
      </c>
      <c r="K40" s="62"/>
    </row>
    <row r="41" spans="1:11" ht="15.95" customHeight="1">
      <c r="A41" s="66" t="s">
        <v>99</v>
      </c>
      <c r="B41" s="61" t="s">
        <v>100</v>
      </c>
      <c r="C41" s="61"/>
      <c r="D41" s="62" t="s">
        <v>101</v>
      </c>
      <c r="E41" s="1180">
        <f>3210*1115</f>
        <v>3579150</v>
      </c>
      <c r="F41" s="1180">
        <f>2860*300/2</f>
        <v>429000</v>
      </c>
      <c r="G41" s="1180">
        <v>1507760</v>
      </c>
      <c r="H41" s="1180">
        <f>((394+422)/2+(357+422)/2)*2860+28560</f>
        <v>2309410</v>
      </c>
      <c r="I41" s="1180">
        <v>67200</v>
      </c>
      <c r="J41" s="1201">
        <f t="shared" si="15"/>
        <v>7892520</v>
      </c>
      <c r="K41" s="62"/>
    </row>
    <row r="42" spans="1:11" ht="15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E41*0.05</f>
        <v>178957.5</v>
      </c>
      <c r="F42" s="1180">
        <f>125/2*2860*0.05</f>
        <v>8937.5</v>
      </c>
      <c r="G42" s="1180">
        <v>70240</v>
      </c>
      <c r="H42" s="1180">
        <f>H41*5%</f>
        <v>115470.5</v>
      </c>
      <c r="I42" s="1180">
        <v>150</v>
      </c>
      <c r="J42" s="1201">
        <f t="shared" si="15"/>
        <v>373755.5</v>
      </c>
      <c r="K42" s="62"/>
    </row>
    <row r="43" spans="1:11" ht="15.95" customHeight="1">
      <c r="A43" s="66" t="s">
        <v>106</v>
      </c>
      <c r="B43" s="61" t="s">
        <v>107</v>
      </c>
      <c r="C43" s="61"/>
      <c r="D43" s="62"/>
      <c r="E43" s="1185">
        <f>E44</f>
        <v>26000</v>
      </c>
      <c r="F43" s="1185">
        <f t="shared" ref="F43:I43" si="18">F44</f>
        <v>3000</v>
      </c>
      <c r="G43" s="1185">
        <f t="shared" si="18"/>
        <v>15800</v>
      </c>
      <c r="H43" s="1185">
        <f t="shared" si="18"/>
        <v>21200</v>
      </c>
      <c r="I43" s="1185">
        <f t="shared" si="18"/>
        <v>1200</v>
      </c>
      <c r="J43" s="1201">
        <f t="shared" si="15"/>
        <v>67200</v>
      </c>
      <c r="K43" s="62"/>
    </row>
    <row r="44" spans="1:11" ht="15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65*400</f>
        <v>26000</v>
      </c>
      <c r="F44" s="1180">
        <f>15*400/2</f>
        <v>3000</v>
      </c>
      <c r="G44" s="1180">
        <v>15800</v>
      </c>
      <c r="H44" s="1180">
        <f>53*400</f>
        <v>21200</v>
      </c>
      <c r="I44" s="1180">
        <v>1200</v>
      </c>
      <c r="J44" s="1201">
        <f t="shared" si="15"/>
        <v>67200</v>
      </c>
      <c r="K44" s="62"/>
    </row>
    <row r="45" spans="1:11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136689</v>
      </c>
      <c r="F45" s="1185">
        <f t="shared" ref="F45:I45" si="19">F46</f>
        <v>11362.5</v>
      </c>
      <c r="G45" s="1185">
        <f t="shared" si="19"/>
        <v>98202</v>
      </c>
      <c r="H45" s="1185">
        <f t="shared" si="19"/>
        <v>224590.2</v>
      </c>
      <c r="I45" s="1185">
        <f t="shared" si="19"/>
        <v>45000</v>
      </c>
      <c r="J45" s="1201">
        <f t="shared" si="15"/>
        <v>515843.7</v>
      </c>
      <c r="K45" s="62"/>
    </row>
    <row r="46" spans="1:11" ht="15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E74*15</f>
        <v>136689</v>
      </c>
      <c r="F46" s="1180">
        <f>15*1515/2</f>
        <v>11362.5</v>
      </c>
      <c r="G46" s="1180">
        <v>98202</v>
      </c>
      <c r="H46" s="1180">
        <f>H74*15</f>
        <v>224590.2</v>
      </c>
      <c r="I46" s="1180">
        <v>45000</v>
      </c>
      <c r="J46" s="1201">
        <f t="shared" si="15"/>
        <v>515843.7</v>
      </c>
      <c r="K46" s="62"/>
    </row>
    <row r="47" spans="1:11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40000</v>
      </c>
      <c r="F47" s="1185">
        <f t="shared" ref="F47:I47" si="20">F48</f>
        <v>800</v>
      </c>
      <c r="G47" s="1185">
        <f t="shared" si="20"/>
        <v>28800</v>
      </c>
      <c r="H47" s="1185">
        <f t="shared" si="20"/>
        <v>66440</v>
      </c>
      <c r="I47" s="1185">
        <f t="shared" si="20"/>
        <v>0</v>
      </c>
      <c r="J47" s="1201">
        <f t="shared" si="15"/>
        <v>136040</v>
      </c>
      <c r="K47" s="62"/>
    </row>
    <row r="48" spans="1:11" ht="15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v>40000</v>
      </c>
      <c r="F48" s="1180">
        <f>200*8/2</f>
        <v>800</v>
      </c>
      <c r="G48" s="1180">
        <v>28800</v>
      </c>
      <c r="H48" s="1180">
        <f>H75*8</f>
        <v>66440</v>
      </c>
      <c r="I48" s="1180"/>
      <c r="J48" s="1201">
        <f t="shared" si="15"/>
        <v>136040</v>
      </c>
      <c r="K48" s="62"/>
    </row>
    <row r="49" spans="1:11" ht="15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591840</v>
      </c>
      <c r="F49" s="1185">
        <f t="shared" ref="F49:I49" si="21">F50+F51</f>
        <v>49680</v>
      </c>
      <c r="G49" s="1185">
        <f t="shared" si="21"/>
        <v>199080</v>
      </c>
      <c r="H49" s="1185">
        <f t="shared" si="21"/>
        <v>237600</v>
      </c>
      <c r="I49" s="1185">
        <f t="shared" si="21"/>
        <v>10440</v>
      </c>
      <c r="J49" s="1201">
        <f t="shared" si="15"/>
        <v>1088640</v>
      </c>
      <c r="K49" s="62"/>
    </row>
    <row r="50" spans="1:11" ht="15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65*4320</f>
        <v>280800</v>
      </c>
      <c r="F50" s="1180">
        <f>15*4320/2</f>
        <v>32400</v>
      </c>
      <c r="G50" s="1180">
        <v>165240</v>
      </c>
      <c r="H50" s="1180">
        <f>53*4320</f>
        <v>228960</v>
      </c>
      <c r="I50" s="1180">
        <v>8640</v>
      </c>
      <c r="J50" s="1201">
        <f t="shared" si="15"/>
        <v>716040</v>
      </c>
      <c r="K50" s="62"/>
    </row>
    <row r="51" spans="1:11" ht="15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72*4320</f>
        <v>311040</v>
      </c>
      <c r="F51" s="1180">
        <f>4320*8/2</f>
        <v>17280</v>
      </c>
      <c r="G51" s="1180">
        <v>33840</v>
      </c>
      <c r="H51" s="1180">
        <f>2*4320</f>
        <v>8640</v>
      </c>
      <c r="I51" s="1180">
        <v>1800</v>
      </c>
      <c r="J51" s="1201">
        <f t="shared" si="15"/>
        <v>372600</v>
      </c>
      <c r="K51" s="62"/>
    </row>
    <row r="52" spans="1:11" ht="15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315238.86</v>
      </c>
      <c r="F52" s="1185">
        <f t="shared" ref="F52:I52" si="22">F53</f>
        <v>33000</v>
      </c>
      <c r="G52" s="1185">
        <f t="shared" si="22"/>
        <v>178100.57</v>
      </c>
      <c r="H52" s="1185">
        <f t="shared" si="22"/>
        <v>240000</v>
      </c>
      <c r="I52" s="1185">
        <f t="shared" si="22"/>
        <v>21257.14</v>
      </c>
      <c r="J52" s="1201">
        <f t="shared" si="15"/>
        <v>787596.57</v>
      </c>
      <c r="K52" s="62"/>
    </row>
    <row r="53" spans="1:11" ht="15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06">
        <v>315238.86</v>
      </c>
      <c r="F53" s="1206">
        <f>66000/2</f>
        <v>33000</v>
      </c>
      <c r="G53" s="1206">
        <v>178100.57</v>
      </c>
      <c r="H53" s="1206">
        <v>240000</v>
      </c>
      <c r="I53" s="1206">
        <v>21257.14</v>
      </c>
      <c r="J53" s="1201">
        <f t="shared" si="15"/>
        <v>787596.57</v>
      </c>
      <c r="K53" s="62"/>
    </row>
    <row r="54" spans="1:11" ht="15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30000</v>
      </c>
      <c r="F54" s="1185">
        <f t="shared" ref="F54:I54" si="23">F55</f>
        <v>0</v>
      </c>
      <c r="G54" s="1185">
        <f t="shared" si="23"/>
        <v>0</v>
      </c>
      <c r="H54" s="1185">
        <f t="shared" si="23"/>
        <v>0</v>
      </c>
      <c r="I54" s="1185">
        <f t="shared" si="23"/>
        <v>0</v>
      </c>
      <c r="J54" s="1201">
        <f t="shared" si="15"/>
        <v>30000</v>
      </c>
      <c r="K54" s="62"/>
    </row>
    <row r="55" spans="1:11" ht="15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>
        <v>30000</v>
      </c>
      <c r="F55" s="1180"/>
      <c r="G55" s="1180"/>
      <c r="H55" s="1180"/>
      <c r="I55" s="1180"/>
      <c r="J55" s="1201">
        <f t="shared" si="15"/>
        <v>30000</v>
      </c>
      <c r="K55" s="62"/>
    </row>
    <row r="56" spans="1:11" ht="15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30800</v>
      </c>
      <c r="F56" s="1185">
        <f t="shared" ref="F56:I56" si="24">F57+F59</f>
        <v>1600</v>
      </c>
      <c r="G56" s="1185">
        <f t="shared" si="24"/>
        <v>5750</v>
      </c>
      <c r="H56" s="1185">
        <f t="shared" si="24"/>
        <v>6800</v>
      </c>
      <c r="I56" s="1185">
        <f t="shared" si="24"/>
        <v>400</v>
      </c>
      <c r="J56" s="1201">
        <f t="shared" si="15"/>
        <v>45350</v>
      </c>
      <c r="K56" s="62"/>
    </row>
    <row r="57" spans="1:11" ht="15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28800</v>
      </c>
      <c r="F57" s="1185">
        <f t="shared" ref="F57:I57" si="25">F58</f>
        <v>1600</v>
      </c>
      <c r="G57" s="1185">
        <f t="shared" si="25"/>
        <v>3200</v>
      </c>
      <c r="H57" s="1185">
        <f t="shared" si="25"/>
        <v>800</v>
      </c>
      <c r="I57" s="1185">
        <f t="shared" si="25"/>
        <v>400</v>
      </c>
      <c r="J57" s="1201">
        <f t="shared" si="15"/>
        <v>34800</v>
      </c>
      <c r="K57" s="62"/>
    </row>
    <row r="58" spans="1:11" ht="15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28800</v>
      </c>
      <c r="F58" s="1180">
        <f>400*8/2</f>
        <v>1600</v>
      </c>
      <c r="G58" s="1180">
        <v>3200</v>
      </c>
      <c r="H58" s="1180">
        <v>800</v>
      </c>
      <c r="I58" s="1180">
        <v>400</v>
      </c>
      <c r="J58" s="1201">
        <f t="shared" si="15"/>
        <v>34800</v>
      </c>
      <c r="K58" s="62"/>
    </row>
    <row r="59" spans="1:11" ht="15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2000</v>
      </c>
      <c r="F59" s="1186"/>
      <c r="G59" s="1186">
        <v>2550</v>
      </c>
      <c r="H59" s="1186">
        <v>6000</v>
      </c>
      <c r="I59" s="1186"/>
      <c r="J59" s="1201">
        <f t="shared" si="15"/>
        <v>10550</v>
      </c>
      <c r="K59" s="62"/>
    </row>
    <row r="60" spans="1:11" ht="15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I60" si="26">F61</f>
        <v>900</v>
      </c>
      <c r="G60" s="1185">
        <f t="shared" si="26"/>
        <v>10000</v>
      </c>
      <c r="H60" s="1185">
        <f t="shared" si="26"/>
        <v>32000</v>
      </c>
      <c r="I60" s="1185">
        <f t="shared" si="26"/>
        <v>7534.6</v>
      </c>
      <c r="J60" s="1201">
        <f t="shared" si="15"/>
        <v>50434.6</v>
      </c>
      <c r="K60" s="62"/>
    </row>
    <row r="61" spans="1:11" ht="15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>
        <v>900</v>
      </c>
      <c r="G61" s="1179">
        <v>10000</v>
      </c>
      <c r="H61" s="1179">
        <v>32000</v>
      </c>
      <c r="I61" s="1179">
        <v>7534.6</v>
      </c>
      <c r="J61" s="1201">
        <f t="shared" si="15"/>
        <v>50434.6</v>
      </c>
      <c r="K61" s="1187"/>
    </row>
    <row r="62" spans="1:11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201">
        <f t="shared" si="15"/>
        <v>0</v>
      </c>
      <c r="K62" s="1189"/>
    </row>
    <row r="63" spans="1:11" ht="15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65</v>
      </c>
      <c r="F63" s="1204">
        <f t="shared" ref="F63:H63" si="27">F64+F65+F66+F67</f>
        <v>0</v>
      </c>
      <c r="G63" s="1204">
        <f t="shared" si="27"/>
        <v>45</v>
      </c>
      <c r="H63" s="1204">
        <f t="shared" si="27"/>
        <v>53</v>
      </c>
      <c r="I63" s="1204">
        <v>3</v>
      </c>
      <c r="J63" s="1204">
        <f t="shared" si="15"/>
        <v>166</v>
      </c>
      <c r="K63" s="62"/>
    </row>
    <row r="64" spans="1:11" ht="15.95" customHeight="1">
      <c r="A64" s="66" t="s">
        <v>148</v>
      </c>
      <c r="B64" s="1199" t="s">
        <v>149</v>
      </c>
      <c r="C64" s="1199"/>
      <c r="D64" s="62"/>
      <c r="E64" s="1181"/>
      <c r="F64" s="1181"/>
      <c r="G64" s="1181"/>
      <c r="H64" s="1181"/>
      <c r="I64" s="1181"/>
      <c r="J64" s="1204">
        <f t="shared" si="15"/>
        <v>0</v>
      </c>
      <c r="K64" s="62"/>
    </row>
    <row r="65" spans="1:11" ht="15.95" customHeight="1">
      <c r="A65" s="66" t="s">
        <v>150</v>
      </c>
      <c r="B65" s="1199" t="s">
        <v>151</v>
      </c>
      <c r="C65" s="1199"/>
      <c r="D65" s="62"/>
      <c r="E65" s="1181">
        <v>65</v>
      </c>
      <c r="F65" s="1181"/>
      <c r="G65" s="1181"/>
      <c r="H65" s="1181"/>
      <c r="I65" s="1181"/>
      <c r="J65" s="1204">
        <f t="shared" si="15"/>
        <v>65</v>
      </c>
      <c r="K65" s="62"/>
    </row>
    <row r="66" spans="1:11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>
        <v>45</v>
      </c>
      <c r="H66" s="1181">
        <v>53</v>
      </c>
      <c r="I66" s="1181"/>
      <c r="J66" s="1204">
        <f t="shared" si="15"/>
        <v>98</v>
      </c>
      <c r="K66" s="62"/>
    </row>
    <row r="67" spans="1:11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>
        <v>3</v>
      </c>
      <c r="J67" s="1204">
        <f t="shared" si="15"/>
        <v>3</v>
      </c>
      <c r="K67" s="62"/>
    </row>
    <row r="68" spans="1:11" ht="15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1195</v>
      </c>
      <c r="F68" s="1204">
        <f t="shared" ref="F68:I68" si="28">F69+F70+F71+F72</f>
        <v>0</v>
      </c>
      <c r="G68" s="1204">
        <f t="shared" si="28"/>
        <v>514</v>
      </c>
      <c r="H68" s="1204">
        <f t="shared" si="28"/>
        <v>844</v>
      </c>
      <c r="I68" s="1204">
        <f t="shared" si="28"/>
        <v>0</v>
      </c>
      <c r="J68" s="1204">
        <f t="shared" si="15"/>
        <v>2553</v>
      </c>
      <c r="K68" s="62"/>
    </row>
    <row r="69" spans="1:11" ht="15.95" customHeight="1">
      <c r="A69" s="66" t="s">
        <v>158</v>
      </c>
      <c r="B69" s="1199" t="s">
        <v>149</v>
      </c>
      <c r="C69" s="1199"/>
      <c r="D69" s="62"/>
      <c r="E69" s="1181"/>
      <c r="F69" s="1181"/>
      <c r="G69" s="1181"/>
      <c r="H69" s="1181"/>
      <c r="I69" s="1181"/>
      <c r="J69" s="1204">
        <f t="shared" ref="J69:J75" si="29">SUM(E69:I69)</f>
        <v>0</v>
      </c>
      <c r="K69" s="62"/>
    </row>
    <row r="70" spans="1:11" ht="15.95" customHeight="1">
      <c r="A70" s="66" t="s">
        <v>159</v>
      </c>
      <c r="B70" s="1199" t="s">
        <v>151</v>
      </c>
      <c r="C70" s="1199"/>
      <c r="D70" s="62"/>
      <c r="E70" s="1181">
        <v>1195</v>
      </c>
      <c r="F70" s="1181"/>
      <c r="G70" s="1181"/>
      <c r="H70" s="1181"/>
      <c r="I70" s="1181"/>
      <c r="J70" s="1204">
        <f t="shared" si="29"/>
        <v>1195</v>
      </c>
      <c r="K70" s="62"/>
    </row>
    <row r="71" spans="1:11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>
        <v>514</v>
      </c>
      <c r="H71" s="1181">
        <v>844</v>
      </c>
      <c r="I71" s="1181"/>
      <c r="J71" s="1204">
        <f t="shared" si="29"/>
        <v>1358</v>
      </c>
      <c r="K71" s="62"/>
    </row>
    <row r="72" spans="1:11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204">
        <f t="shared" si="29"/>
        <v>0</v>
      </c>
      <c r="K72" s="62"/>
    </row>
    <row r="73" spans="1:11" ht="15.95" customHeight="1">
      <c r="A73" s="66" t="s">
        <v>162</v>
      </c>
      <c r="B73" s="61" t="s">
        <v>218</v>
      </c>
      <c r="C73" s="61"/>
      <c r="D73" s="62"/>
      <c r="E73" s="1181">
        <v>72</v>
      </c>
      <c r="F73" s="1181"/>
      <c r="G73" s="1181">
        <v>12</v>
      </c>
      <c r="H73" s="1181">
        <v>2</v>
      </c>
      <c r="I73" s="1181">
        <v>1</v>
      </c>
      <c r="J73" s="1204">
        <f t="shared" si="29"/>
        <v>87</v>
      </c>
      <c r="K73" s="62"/>
    </row>
    <row r="74" spans="1:11" ht="15.95" customHeight="1">
      <c r="A74" s="66" t="s">
        <v>3011</v>
      </c>
      <c r="B74" s="1199" t="s">
        <v>219</v>
      </c>
      <c r="C74" s="1199"/>
      <c r="D74" s="67"/>
      <c r="E74" s="1180">
        <f>6698.1+4829/2</f>
        <v>9112.6</v>
      </c>
      <c r="F74" s="1180"/>
      <c r="G74" s="1180">
        <v>7304.3</v>
      </c>
      <c r="H74" s="1180">
        <v>14972.68</v>
      </c>
      <c r="I74" s="1180">
        <v>3000</v>
      </c>
      <c r="J74" s="1201">
        <f t="shared" si="29"/>
        <v>34389.58</v>
      </c>
      <c r="K74" s="62"/>
    </row>
    <row r="75" spans="1:11" ht="15.95" customHeight="1">
      <c r="A75" s="66" t="s">
        <v>3012</v>
      </c>
      <c r="B75" s="1199" t="s">
        <v>220</v>
      </c>
      <c r="C75" s="1199"/>
      <c r="D75" s="67"/>
      <c r="E75" s="1180">
        <f>5066+730/2</f>
        <v>5431</v>
      </c>
      <c r="F75" s="1180"/>
      <c r="G75" s="1180">
        <v>3700</v>
      </c>
      <c r="H75" s="1180">
        <v>8305</v>
      </c>
      <c r="I75" s="1180">
        <v>3000</v>
      </c>
      <c r="J75" s="1201">
        <f t="shared" si="29"/>
        <v>20436</v>
      </c>
      <c r="K75" s="62"/>
    </row>
    <row r="79" spans="1:11">
      <c r="E79" s="24"/>
      <c r="F79" s="24"/>
      <c r="G79" s="24"/>
      <c r="H79" s="24"/>
      <c r="I79" s="24"/>
      <c r="J79" s="24"/>
      <c r="K79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7"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AB82"/>
  <sheetViews>
    <sheetView topLeftCell="B1" workbookViewId="0">
      <pane xSplit="3" ySplit="4" topLeftCell="I50" activePane="bottomRight" state="frozen"/>
      <selection activeCell="B1" sqref="B1"/>
      <selection pane="topRight" activeCell="E1" sqref="E1"/>
      <selection pane="bottomLeft" activeCell="B5" sqref="B5"/>
      <selection pane="bottomRight" activeCell="N2" sqref="N1:N1048576"/>
    </sheetView>
  </sheetViews>
  <sheetFormatPr defaultRowHeight="11.25"/>
  <cols>
    <col min="1" max="1" width="5.375" style="21" hidden="1" customWidth="1"/>
    <col min="2" max="2" width="14.75" style="3" customWidth="1"/>
    <col min="3" max="3" width="0" style="3" hidden="1" customWidth="1"/>
    <col min="4" max="4" width="0" style="1178" hidden="1" customWidth="1"/>
    <col min="5" max="5" width="11.875" style="3" customWidth="1"/>
    <col min="6" max="6" width="12" style="3" customWidth="1"/>
    <col min="7" max="7" width="11.875" style="3" customWidth="1"/>
    <col min="8" max="8" width="12.125" style="3" customWidth="1"/>
    <col min="9" max="9" width="11.75" style="3" customWidth="1"/>
    <col min="10" max="10" width="11.875" style="3" customWidth="1"/>
    <col min="11" max="11" width="12.25" style="3" customWidth="1"/>
    <col min="12" max="12" width="11.625" style="3" customWidth="1"/>
    <col min="13" max="13" width="12.25" style="3" customWidth="1"/>
    <col min="14" max="14" width="11.375" style="3" customWidth="1"/>
    <col min="15" max="15" width="12.375" style="3" customWidth="1"/>
    <col min="16" max="16" width="13.125" style="3" customWidth="1"/>
    <col min="17" max="17" width="11.125" style="3" customWidth="1"/>
    <col min="18" max="18" width="11.5" style="3" customWidth="1"/>
    <col min="19" max="19" width="11.125" style="3" customWidth="1"/>
    <col min="20" max="20" width="11.75" style="3" customWidth="1"/>
    <col min="21" max="21" width="12.625" style="3" customWidth="1"/>
    <col min="22" max="22" width="11.25" style="3" customWidth="1"/>
    <col min="23" max="23" width="12.125" style="3" customWidth="1"/>
    <col min="24" max="24" width="11.25" style="3" customWidth="1"/>
    <col min="25" max="25" width="12.875" style="3" customWidth="1"/>
    <col min="26" max="26" width="10.625" style="3" hidden="1" customWidth="1"/>
    <col min="27" max="27" width="9" style="3"/>
    <col min="28" max="28" width="9.75" style="3" bestFit="1" customWidth="1"/>
    <col min="29" max="16384" width="9" style="3"/>
  </cols>
  <sheetData>
    <row r="1" spans="1:28" ht="24.95" customHeight="1">
      <c r="A1" s="1362" t="s">
        <v>3052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  <c r="U1" s="1362"/>
      <c r="V1" s="1362"/>
      <c r="W1" s="1362"/>
      <c r="X1" s="1362"/>
      <c r="Y1" s="1362"/>
      <c r="Z1" s="1362"/>
    </row>
    <row r="2" spans="1:28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257" t="s">
        <v>3247</v>
      </c>
      <c r="Z2" s="1177"/>
    </row>
    <row r="3" spans="1:28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3020</v>
      </c>
      <c r="F3" s="1191" t="s">
        <v>3021</v>
      </c>
      <c r="G3" s="1191" t="s">
        <v>1848</v>
      </c>
      <c r="H3" s="1191" t="s">
        <v>3022</v>
      </c>
      <c r="I3" s="1191" t="s">
        <v>3023</v>
      </c>
      <c r="J3" s="1191" t="s">
        <v>3024</v>
      </c>
      <c r="K3" s="1191" t="s">
        <v>3025</v>
      </c>
      <c r="L3" s="1191" t="s">
        <v>3026</v>
      </c>
      <c r="M3" s="1191" t="s">
        <v>3027</v>
      </c>
      <c r="N3" s="1191" t="s">
        <v>3028</v>
      </c>
      <c r="O3" s="1191" t="s">
        <v>3029</v>
      </c>
      <c r="P3" s="1191" t="s">
        <v>3030</v>
      </c>
      <c r="Q3" s="1191" t="s">
        <v>3031</v>
      </c>
      <c r="R3" s="1191" t="s">
        <v>3032</v>
      </c>
      <c r="S3" s="1191" t="s">
        <v>3033</v>
      </c>
      <c r="T3" s="1191" t="s">
        <v>3034</v>
      </c>
      <c r="U3" s="1191" t="s">
        <v>3035</v>
      </c>
      <c r="V3" s="1191" t="s">
        <v>3036</v>
      </c>
      <c r="W3" s="1191" t="s">
        <v>3037</v>
      </c>
      <c r="X3" s="1191" t="s">
        <v>3038</v>
      </c>
      <c r="Y3" s="1611" t="s">
        <v>17</v>
      </c>
      <c r="Z3" s="1611" t="s">
        <v>18</v>
      </c>
    </row>
    <row r="4" spans="1:28" ht="24.95" customHeight="1">
      <c r="A4" s="1613"/>
      <c r="B4" s="1613"/>
      <c r="C4" s="1613"/>
      <c r="D4" s="1613"/>
      <c r="E4" s="1191" t="s">
        <v>3084</v>
      </c>
      <c r="F4" s="1191" t="s">
        <v>3084</v>
      </c>
      <c r="G4" s="1191" t="s">
        <v>3084</v>
      </c>
      <c r="H4" s="1191" t="s">
        <v>3084</v>
      </c>
      <c r="I4" s="1191" t="s">
        <v>3085</v>
      </c>
      <c r="J4" s="1191" t="s">
        <v>3085</v>
      </c>
      <c r="K4" s="1191" t="s">
        <v>3085</v>
      </c>
      <c r="L4" s="1191" t="s">
        <v>3085</v>
      </c>
      <c r="M4" s="1191" t="s">
        <v>3085</v>
      </c>
      <c r="N4" s="1191" t="s">
        <v>3086</v>
      </c>
      <c r="O4" s="1191" t="s">
        <v>3086</v>
      </c>
      <c r="P4" s="1191" t="s">
        <v>3086</v>
      </c>
      <c r="Q4" s="1191" t="s">
        <v>3086</v>
      </c>
      <c r="R4" s="1191" t="s">
        <v>3086</v>
      </c>
      <c r="S4" s="1191" t="s">
        <v>3087</v>
      </c>
      <c r="T4" s="1191" t="s">
        <v>3086</v>
      </c>
      <c r="U4" s="1191" t="s">
        <v>3088</v>
      </c>
      <c r="V4" s="1191" t="s">
        <v>3086</v>
      </c>
      <c r="W4" s="1191" t="s">
        <v>3086</v>
      </c>
      <c r="X4" s="1191" t="s">
        <v>3086</v>
      </c>
      <c r="Y4" s="1612"/>
      <c r="Z4" s="1612"/>
    </row>
    <row r="5" spans="1:28" ht="21.95" customHeight="1">
      <c r="A5" s="66" t="s">
        <v>19</v>
      </c>
      <c r="B5" s="61" t="s">
        <v>20</v>
      </c>
      <c r="C5" s="61"/>
      <c r="D5" s="62" t="s">
        <v>21</v>
      </c>
      <c r="E5" s="1201">
        <f t="shared" ref="E5:X5" si="0">E6+E33+E40</f>
        <v>73841517.590000004</v>
      </c>
      <c r="F5" s="1201">
        <f t="shared" si="0"/>
        <v>25587150.079999998</v>
      </c>
      <c r="G5" s="1201">
        <f t="shared" si="0"/>
        <v>22986963.129999999</v>
      </c>
      <c r="H5" s="1201">
        <f t="shared" si="0"/>
        <v>28372261.07</v>
      </c>
      <c r="I5" s="1201">
        <f t="shared" si="0"/>
        <v>88540871.690000013</v>
      </c>
      <c r="J5" s="1201">
        <f t="shared" si="0"/>
        <v>14823228.369999999</v>
      </c>
      <c r="K5" s="1201">
        <f t="shared" si="0"/>
        <v>34402545.030000001</v>
      </c>
      <c r="L5" s="1201">
        <f t="shared" si="0"/>
        <v>14015099.5</v>
      </c>
      <c r="M5" s="1201">
        <f t="shared" si="0"/>
        <v>30843741.349999998</v>
      </c>
      <c r="N5" s="1201">
        <f t="shared" si="0"/>
        <v>9757850</v>
      </c>
      <c r="O5" s="1201">
        <f t="shared" si="0"/>
        <v>9726923.0099999998</v>
      </c>
      <c r="P5" s="1201">
        <f t="shared" si="0"/>
        <v>10125830.140000001</v>
      </c>
      <c r="Q5" s="1201">
        <f t="shared" si="0"/>
        <v>6113715.5500000007</v>
      </c>
      <c r="R5" s="1201">
        <f t="shared" si="0"/>
        <v>9259801.7899999991</v>
      </c>
      <c r="S5" s="1201">
        <f t="shared" si="0"/>
        <v>1782394.17</v>
      </c>
      <c r="T5" s="1201">
        <f t="shared" si="0"/>
        <v>9223492.910000002</v>
      </c>
      <c r="U5" s="1201">
        <f t="shared" si="0"/>
        <v>32768381.77</v>
      </c>
      <c r="V5" s="1201">
        <f t="shared" si="0"/>
        <v>4447063.04</v>
      </c>
      <c r="W5" s="1201">
        <f t="shared" si="0"/>
        <v>24061597.599999998</v>
      </c>
      <c r="X5" s="1201">
        <f t="shared" si="0"/>
        <v>4443639.8</v>
      </c>
      <c r="Y5" s="1201">
        <f t="shared" ref="Y5:Y68" si="1">SUM(E5:X5)</f>
        <v>455124067.59000015</v>
      </c>
      <c r="Z5" s="62"/>
    </row>
    <row r="6" spans="1:28" ht="21.95" customHeight="1">
      <c r="A6" s="66" t="s">
        <v>22</v>
      </c>
      <c r="B6" s="61" t="s">
        <v>0</v>
      </c>
      <c r="C6" s="61"/>
      <c r="D6" s="62" t="s">
        <v>21</v>
      </c>
      <c r="E6" s="1201">
        <f>E7+E10+E14+E17+E22+E27+E29+E31+E32</f>
        <v>53028811.399999999</v>
      </c>
      <c r="F6" s="1201">
        <f t="shared" ref="F6:X6" si="2">F7+F10+F14+F17+F22+F27+F29+F31+F32</f>
        <v>17628649.719999999</v>
      </c>
      <c r="G6" s="1201">
        <f t="shared" si="2"/>
        <v>15957848.309999999</v>
      </c>
      <c r="H6" s="1201">
        <f t="shared" si="2"/>
        <v>20246249.02</v>
      </c>
      <c r="I6" s="1201">
        <f t="shared" si="2"/>
        <v>63715764.460000008</v>
      </c>
      <c r="J6" s="1201">
        <f t="shared" si="2"/>
        <v>10786894.629999999</v>
      </c>
      <c r="K6" s="1201">
        <f t="shared" si="2"/>
        <v>24621703.300000001</v>
      </c>
      <c r="L6" s="1201">
        <f t="shared" si="2"/>
        <v>10259572.050000001</v>
      </c>
      <c r="M6" s="1201">
        <f t="shared" si="2"/>
        <v>22663052.059999999</v>
      </c>
      <c r="N6" s="1201">
        <f t="shared" si="2"/>
        <v>8293570</v>
      </c>
      <c r="O6" s="1201">
        <f t="shared" si="2"/>
        <v>6922698.8600000003</v>
      </c>
      <c r="P6" s="1201">
        <f t="shared" si="2"/>
        <v>7539696</v>
      </c>
      <c r="Q6" s="1201">
        <f t="shared" si="2"/>
        <v>4832600.4600000009</v>
      </c>
      <c r="R6" s="1201">
        <f t="shared" si="2"/>
        <v>6810237.5999999996</v>
      </c>
      <c r="S6" s="1201">
        <f t="shared" si="2"/>
        <v>1287707.31</v>
      </c>
      <c r="T6" s="1201">
        <f t="shared" si="2"/>
        <v>7375586.1100000013</v>
      </c>
      <c r="U6" s="1201">
        <f t="shared" si="2"/>
        <v>22682548.25</v>
      </c>
      <c r="V6" s="1201">
        <f t="shared" si="2"/>
        <v>3240145.05</v>
      </c>
      <c r="W6" s="1201">
        <f t="shared" si="2"/>
        <v>17813643.549999997</v>
      </c>
      <c r="X6" s="1201">
        <f t="shared" si="2"/>
        <v>2684334.38</v>
      </c>
      <c r="Y6" s="1201">
        <f t="shared" si="1"/>
        <v>328391312.5200001</v>
      </c>
      <c r="Z6" s="62"/>
    </row>
    <row r="7" spans="1:28" ht="21.95" customHeight="1">
      <c r="A7" s="66" t="s">
        <v>23</v>
      </c>
      <c r="B7" s="61" t="s">
        <v>24</v>
      </c>
      <c r="C7" s="61"/>
      <c r="D7" s="62" t="s">
        <v>21</v>
      </c>
      <c r="E7" s="1201">
        <f>E8+E9</f>
        <v>15999229</v>
      </c>
      <c r="F7" s="1201">
        <f t="shared" ref="F7:X7" si="3">F8+F9</f>
        <v>5499087</v>
      </c>
      <c r="G7" s="1201">
        <f t="shared" si="3"/>
        <v>4857449.7799999993</v>
      </c>
      <c r="H7" s="1201">
        <f t="shared" si="3"/>
        <v>5962377.5099999998</v>
      </c>
      <c r="I7" s="1201">
        <f t="shared" si="3"/>
        <v>20273020.490000002</v>
      </c>
      <c r="J7" s="1201">
        <f t="shared" si="3"/>
        <v>3530732.2</v>
      </c>
      <c r="K7" s="1201">
        <f t="shared" si="3"/>
        <v>7035083.1299999999</v>
      </c>
      <c r="L7" s="1201">
        <f t="shared" si="3"/>
        <v>3370762</v>
      </c>
      <c r="M7" s="1201">
        <f t="shared" si="3"/>
        <v>6883631.3700000001</v>
      </c>
      <c r="N7" s="1201">
        <f t="shared" si="3"/>
        <v>2942752</v>
      </c>
      <c r="O7" s="1201">
        <f t="shared" si="3"/>
        <v>2471701</v>
      </c>
      <c r="P7" s="1201">
        <f t="shared" si="3"/>
        <v>2481620.7999999998</v>
      </c>
      <c r="Q7" s="1201">
        <f t="shared" si="3"/>
        <v>1574974.55</v>
      </c>
      <c r="R7" s="1201">
        <f t="shared" si="3"/>
        <v>2382529</v>
      </c>
      <c r="S7" s="1201">
        <f t="shared" si="3"/>
        <v>446778</v>
      </c>
      <c r="T7" s="1201">
        <f t="shared" si="3"/>
        <v>2533530.7999999998</v>
      </c>
      <c r="U7" s="1201">
        <f t="shared" si="3"/>
        <v>6472781.6200000001</v>
      </c>
      <c r="V7" s="1201">
        <f t="shared" si="3"/>
        <v>998013.2</v>
      </c>
      <c r="W7" s="1201">
        <f t="shared" si="3"/>
        <v>6269344.5999999996</v>
      </c>
      <c r="X7" s="1201">
        <f t="shared" si="3"/>
        <v>851165</v>
      </c>
      <c r="Y7" s="1201">
        <f t="shared" si="1"/>
        <v>102836563.05</v>
      </c>
      <c r="Z7" s="62"/>
    </row>
    <row r="8" spans="1:28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3">
        <f>8642510+50000</f>
        <v>8692510</v>
      </c>
      <c r="F8" s="1183">
        <v>3299601</v>
      </c>
      <c r="G8" s="1183">
        <v>2554721.38</v>
      </c>
      <c r="H8" s="1183">
        <v>3707770</v>
      </c>
      <c r="I8" s="1183">
        <f>11309429+50000</f>
        <v>11359429</v>
      </c>
      <c r="J8" s="1183">
        <v>1791003.4</v>
      </c>
      <c r="K8" s="1183">
        <v>4099333.13</v>
      </c>
      <c r="L8" s="1183">
        <v>1694872</v>
      </c>
      <c r="M8" s="1183">
        <v>4041225</v>
      </c>
      <c r="N8" s="1183">
        <v>1544637</v>
      </c>
      <c r="O8" s="1183">
        <v>1254446</v>
      </c>
      <c r="P8" s="1183">
        <v>1501850.8</v>
      </c>
      <c r="Q8" s="1183">
        <v>933480.55</v>
      </c>
      <c r="R8" s="1183">
        <v>1349539</v>
      </c>
      <c r="S8" s="1183">
        <v>219480</v>
      </c>
      <c r="T8" s="1183">
        <v>1442301.6</v>
      </c>
      <c r="U8" s="1183">
        <f>4053092.02+30000</f>
        <v>4083092.02</v>
      </c>
      <c r="V8" s="1183">
        <v>581686.4</v>
      </c>
      <c r="W8" s="1183">
        <f>4835386-1544637</f>
        <v>3290749</v>
      </c>
      <c r="X8" s="1183">
        <v>521333</v>
      </c>
      <c r="Y8" s="1201">
        <f t="shared" si="1"/>
        <v>57963060.279999994</v>
      </c>
      <c r="Z8" s="1192"/>
    </row>
    <row r="9" spans="1:28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3">
        <f>7256719+50000</f>
        <v>7306719</v>
      </c>
      <c r="F9" s="1183">
        <v>2199486</v>
      </c>
      <c r="G9" s="1183">
        <v>2302728.4</v>
      </c>
      <c r="H9" s="1183">
        <v>2254607.5099999998</v>
      </c>
      <c r="I9" s="1183">
        <f>8863591.49+50000</f>
        <v>8913591.4900000002</v>
      </c>
      <c r="J9" s="1183">
        <v>1739728.8</v>
      </c>
      <c r="K9" s="1183">
        <v>2935750</v>
      </c>
      <c r="L9" s="1183">
        <v>1675890</v>
      </c>
      <c r="M9" s="1183">
        <v>2842406.37</v>
      </c>
      <c r="N9" s="1183">
        <v>1398115</v>
      </c>
      <c r="O9" s="1183">
        <v>1217255</v>
      </c>
      <c r="P9" s="1183">
        <v>979770</v>
      </c>
      <c r="Q9" s="1183">
        <v>641494</v>
      </c>
      <c r="R9" s="1183">
        <v>1032990</v>
      </c>
      <c r="S9" s="1183">
        <v>227298</v>
      </c>
      <c r="T9" s="1183">
        <v>1091229.2</v>
      </c>
      <c r="U9" s="1183">
        <f>2359689.6+30000</f>
        <v>2389689.6</v>
      </c>
      <c r="V9" s="1183">
        <v>416326.8</v>
      </c>
      <c r="W9" s="1183">
        <f>4376710.6-1398115</f>
        <v>2978595.5999999996</v>
      </c>
      <c r="X9" s="1183">
        <v>329832</v>
      </c>
      <c r="Y9" s="1201">
        <f t="shared" si="1"/>
        <v>44873502.770000003</v>
      </c>
      <c r="Z9" s="62"/>
    </row>
    <row r="10" spans="1:28" ht="21.95" customHeight="1">
      <c r="A10" s="66" t="s">
        <v>31</v>
      </c>
      <c r="B10" s="61" t="s">
        <v>32</v>
      </c>
      <c r="C10" s="61"/>
      <c r="D10" s="62" t="s">
        <v>21</v>
      </c>
      <c r="E10" s="1201">
        <f>E11+E12</f>
        <v>1425025</v>
      </c>
      <c r="F10" s="1201">
        <f t="shared" ref="F10:X10" si="4">F11+F12</f>
        <v>497866</v>
      </c>
      <c r="G10" s="1201">
        <f t="shared" si="4"/>
        <v>424622</v>
      </c>
      <c r="H10" s="1201">
        <f t="shared" si="4"/>
        <v>583234</v>
      </c>
      <c r="I10" s="1201">
        <f t="shared" si="4"/>
        <v>1882447</v>
      </c>
      <c r="J10" s="1201">
        <f t="shared" si="4"/>
        <v>307716</v>
      </c>
      <c r="K10" s="1201">
        <f t="shared" si="4"/>
        <v>689496</v>
      </c>
      <c r="L10" s="1201">
        <f t="shared" si="4"/>
        <v>273036</v>
      </c>
      <c r="M10" s="1201">
        <f t="shared" si="4"/>
        <v>677124</v>
      </c>
      <c r="N10" s="1201">
        <f t="shared" si="4"/>
        <v>265015</v>
      </c>
      <c r="O10" s="1201">
        <f t="shared" si="4"/>
        <v>210014</v>
      </c>
      <c r="P10" s="1201">
        <f t="shared" si="4"/>
        <v>253164</v>
      </c>
      <c r="Q10" s="1201">
        <f t="shared" si="4"/>
        <v>155157</v>
      </c>
      <c r="R10" s="1201">
        <f t="shared" si="4"/>
        <v>219898</v>
      </c>
      <c r="S10" s="1201">
        <f t="shared" si="4"/>
        <v>37524</v>
      </c>
      <c r="T10" s="1201">
        <f t="shared" si="4"/>
        <v>237038</v>
      </c>
      <c r="U10" s="1201">
        <f t="shared" si="4"/>
        <v>660006</v>
      </c>
      <c r="V10" s="1201">
        <f t="shared" si="4"/>
        <v>98823</v>
      </c>
      <c r="W10" s="1201">
        <f t="shared" si="4"/>
        <v>564597</v>
      </c>
      <c r="X10" s="1201">
        <f t="shared" si="4"/>
        <v>92640</v>
      </c>
      <c r="Y10" s="1201">
        <f t="shared" si="1"/>
        <v>9554442</v>
      </c>
      <c r="Z10" s="62"/>
    </row>
    <row r="11" spans="1:28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3">
        <v>18785</v>
      </c>
      <c r="F11" s="1183">
        <v>6386</v>
      </c>
      <c r="G11" s="1183">
        <v>6182</v>
      </c>
      <c r="H11" s="1183">
        <v>5514</v>
      </c>
      <c r="I11" s="1183">
        <v>23007</v>
      </c>
      <c r="J11" s="1183">
        <v>4996</v>
      </c>
      <c r="K11" s="1183">
        <v>6616</v>
      </c>
      <c r="L11" s="1183">
        <v>4636</v>
      </c>
      <c r="M11" s="1183">
        <v>7884</v>
      </c>
      <c r="N11" s="1183">
        <v>4565</v>
      </c>
      <c r="O11" s="1183">
        <v>3654</v>
      </c>
      <c r="P11" s="1183">
        <v>3244</v>
      </c>
      <c r="Q11" s="1183">
        <v>2037</v>
      </c>
      <c r="R11" s="1183">
        <v>3420</v>
      </c>
      <c r="S11" s="1183">
        <v>564</v>
      </c>
      <c r="T11" s="1183">
        <v>3178</v>
      </c>
      <c r="U11" s="1183">
        <v>4846</v>
      </c>
      <c r="V11" s="1183">
        <v>1143</v>
      </c>
      <c r="W11" s="1183">
        <f>14292-4565</f>
        <v>9727</v>
      </c>
      <c r="X11" s="1183">
        <v>1120</v>
      </c>
      <c r="Y11" s="1201">
        <f t="shared" si="1"/>
        <v>121504</v>
      </c>
      <c r="Z11" s="62"/>
    </row>
    <row r="12" spans="1:28" ht="21.95" customHeight="1">
      <c r="A12" s="66" t="s">
        <v>35</v>
      </c>
      <c r="B12" s="61" t="s">
        <v>36</v>
      </c>
      <c r="C12" s="61"/>
      <c r="D12" s="62" t="s">
        <v>21</v>
      </c>
      <c r="E12" s="1201">
        <f>E13</f>
        <v>1406240</v>
      </c>
      <c r="F12" s="1201">
        <f t="shared" ref="F12:X12" si="5">F13</f>
        <v>491480</v>
      </c>
      <c r="G12" s="1201">
        <f t="shared" si="5"/>
        <v>418440</v>
      </c>
      <c r="H12" s="1201">
        <f t="shared" si="5"/>
        <v>577720</v>
      </c>
      <c r="I12" s="1201">
        <f t="shared" si="5"/>
        <v>1859440</v>
      </c>
      <c r="J12" s="1201">
        <f t="shared" si="5"/>
        <v>302720</v>
      </c>
      <c r="K12" s="1201">
        <f t="shared" si="5"/>
        <v>682880</v>
      </c>
      <c r="L12" s="1201">
        <f t="shared" si="5"/>
        <v>268400</v>
      </c>
      <c r="M12" s="1201">
        <f t="shared" si="5"/>
        <v>669240</v>
      </c>
      <c r="N12" s="1201">
        <f t="shared" si="5"/>
        <v>260450</v>
      </c>
      <c r="O12" s="1201">
        <f t="shared" si="5"/>
        <v>206360</v>
      </c>
      <c r="P12" s="1201">
        <f t="shared" si="5"/>
        <v>249920</v>
      </c>
      <c r="Q12" s="1201">
        <f t="shared" si="5"/>
        <v>153120</v>
      </c>
      <c r="R12" s="1201">
        <f t="shared" si="5"/>
        <v>216478</v>
      </c>
      <c r="S12" s="1201">
        <f t="shared" si="5"/>
        <v>36960</v>
      </c>
      <c r="T12" s="1201">
        <f t="shared" si="5"/>
        <v>233860</v>
      </c>
      <c r="U12" s="1201">
        <f t="shared" si="5"/>
        <v>655160</v>
      </c>
      <c r="V12" s="1201">
        <f t="shared" si="5"/>
        <v>97680</v>
      </c>
      <c r="W12" s="1201">
        <f t="shared" si="5"/>
        <v>554870</v>
      </c>
      <c r="X12" s="1201">
        <f t="shared" si="5"/>
        <v>91520</v>
      </c>
      <c r="Y12" s="1201">
        <f t="shared" si="1"/>
        <v>9432938</v>
      </c>
      <c r="Z12" s="62"/>
    </row>
    <row r="13" spans="1:28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3">
        <v>1406240</v>
      </c>
      <c r="F13" s="1183">
        <v>491480</v>
      </c>
      <c r="G13" s="1183">
        <v>418440</v>
      </c>
      <c r="H13" s="1183">
        <v>577720</v>
      </c>
      <c r="I13" s="1183">
        <v>1859440</v>
      </c>
      <c r="J13" s="1183">
        <v>302720</v>
      </c>
      <c r="K13" s="1183">
        <v>682880</v>
      </c>
      <c r="L13" s="1183">
        <v>268400</v>
      </c>
      <c r="M13" s="1183">
        <v>669240</v>
      </c>
      <c r="N13" s="1183">
        <v>260450</v>
      </c>
      <c r="O13" s="1183">
        <v>206360</v>
      </c>
      <c r="P13" s="1183">
        <v>249920</v>
      </c>
      <c r="Q13" s="1183">
        <v>153120</v>
      </c>
      <c r="R13" s="1183">
        <v>216478</v>
      </c>
      <c r="S13" s="1183">
        <v>36960</v>
      </c>
      <c r="T13" s="1183">
        <v>233860</v>
      </c>
      <c r="U13" s="1183">
        <v>655160</v>
      </c>
      <c r="V13" s="1183">
        <v>97680</v>
      </c>
      <c r="W13" s="1183">
        <f>815320-260450</f>
        <v>554870</v>
      </c>
      <c r="X13" s="1183">
        <v>91520</v>
      </c>
      <c r="Y13" s="1201">
        <f t="shared" si="1"/>
        <v>9432938</v>
      </c>
      <c r="Z13" s="62"/>
    </row>
    <row r="14" spans="1:28" ht="21.95" customHeight="1">
      <c r="A14" s="66" t="s">
        <v>39</v>
      </c>
      <c r="B14" s="61" t="s">
        <v>40</v>
      </c>
      <c r="C14" s="61"/>
      <c r="D14" s="62" t="s">
        <v>41</v>
      </c>
      <c r="E14" s="1201">
        <f>E15+E16</f>
        <v>566698.73</v>
      </c>
      <c r="F14" s="1201">
        <f t="shared" ref="F14:X14" si="6">F15+F16</f>
        <v>188696.65000000002</v>
      </c>
      <c r="G14" s="1201">
        <f t="shared" si="6"/>
        <v>160599.33000000002</v>
      </c>
      <c r="H14" s="1201">
        <f t="shared" si="6"/>
        <v>208265.24</v>
      </c>
      <c r="I14" s="1201">
        <f t="shared" si="6"/>
        <v>693839.47</v>
      </c>
      <c r="J14" s="1201">
        <f t="shared" si="6"/>
        <v>136609.80000000002</v>
      </c>
      <c r="K14" s="1201">
        <f t="shared" si="6"/>
        <v>239009.55</v>
      </c>
      <c r="L14" s="1201">
        <f t="shared" si="6"/>
        <v>108203.14</v>
      </c>
      <c r="M14" s="1201">
        <f t="shared" si="6"/>
        <v>255793.57</v>
      </c>
      <c r="N14" s="1201">
        <f t="shared" si="6"/>
        <v>91581</v>
      </c>
      <c r="O14" s="1201">
        <f t="shared" si="6"/>
        <v>72637.429999999993</v>
      </c>
      <c r="P14" s="1201">
        <f t="shared" si="6"/>
        <v>82881.459999999992</v>
      </c>
      <c r="Q14" s="1201">
        <f t="shared" si="6"/>
        <v>44614.35</v>
      </c>
      <c r="R14" s="1201">
        <f t="shared" si="6"/>
        <v>75396.91</v>
      </c>
      <c r="S14" s="1201">
        <f t="shared" si="6"/>
        <v>12555.269999999999</v>
      </c>
      <c r="T14" s="1201">
        <f t="shared" si="6"/>
        <v>94209.97</v>
      </c>
      <c r="U14" s="1201">
        <f t="shared" si="6"/>
        <v>239305.92</v>
      </c>
      <c r="V14" s="1201">
        <f t="shared" si="6"/>
        <v>34893.47</v>
      </c>
      <c r="W14" s="1201">
        <f t="shared" si="6"/>
        <v>195111.43</v>
      </c>
      <c r="X14" s="1201">
        <f t="shared" si="6"/>
        <v>28622.839999999997</v>
      </c>
      <c r="Y14" s="1201">
        <f t="shared" si="1"/>
        <v>3529525.5300000007</v>
      </c>
      <c r="Z14" s="62"/>
    </row>
    <row r="15" spans="1:28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3">
        <v>218778.87</v>
      </c>
      <c r="F15" s="1183">
        <v>72883.710000000006</v>
      </c>
      <c r="G15" s="1183">
        <v>62042.48</v>
      </c>
      <c r="H15" s="1183">
        <v>74775.91</v>
      </c>
      <c r="I15" s="1183">
        <v>267972.46999999997</v>
      </c>
      <c r="J15" s="1183">
        <v>66513.420000000013</v>
      </c>
      <c r="K15" s="1183">
        <v>70844.27</v>
      </c>
      <c r="L15" s="1183">
        <v>41821.72</v>
      </c>
      <c r="M15" s="1183">
        <v>98779.23</v>
      </c>
      <c r="N15" s="1183">
        <v>35455</v>
      </c>
      <c r="O15" s="1183">
        <v>28059.21</v>
      </c>
      <c r="P15" s="1183">
        <v>32014.11</v>
      </c>
      <c r="Q15" s="1183">
        <v>12589.78</v>
      </c>
      <c r="R15" s="1183">
        <v>31463</v>
      </c>
      <c r="S15" s="1183">
        <v>3544.0599999999995</v>
      </c>
      <c r="T15" s="1183">
        <v>45774.8</v>
      </c>
      <c r="U15" s="1183">
        <v>92427.32</v>
      </c>
      <c r="V15" s="1183">
        <v>13435.89</v>
      </c>
      <c r="W15" s="1183">
        <f>110990.74-35455</f>
        <v>75535.740000000005</v>
      </c>
      <c r="X15" s="1183">
        <v>11188.72</v>
      </c>
      <c r="Y15" s="1201">
        <f t="shared" si="1"/>
        <v>1355899.71</v>
      </c>
      <c r="Z15" s="62"/>
      <c r="AB15" s="23"/>
    </row>
    <row r="16" spans="1:28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3">
        <v>347919.86</v>
      </c>
      <c r="F16" s="1183">
        <v>115812.94</v>
      </c>
      <c r="G16" s="1183">
        <v>98556.85</v>
      </c>
      <c r="H16" s="1183">
        <v>133489.32999999999</v>
      </c>
      <c r="I16" s="1183">
        <v>425867</v>
      </c>
      <c r="J16" s="1183">
        <v>70096.38</v>
      </c>
      <c r="K16" s="1183">
        <v>168165.28</v>
      </c>
      <c r="L16" s="1183">
        <v>66381.42</v>
      </c>
      <c r="M16" s="1183">
        <v>157014.34</v>
      </c>
      <c r="N16" s="1183">
        <v>56126</v>
      </c>
      <c r="O16" s="1183">
        <v>44578.22</v>
      </c>
      <c r="P16" s="1183">
        <v>50867.35</v>
      </c>
      <c r="Q16" s="1183">
        <v>32024.57</v>
      </c>
      <c r="R16" s="1183">
        <v>43933.91</v>
      </c>
      <c r="S16" s="1183">
        <v>9011.2099999999991</v>
      </c>
      <c r="T16" s="1183">
        <v>48435.17</v>
      </c>
      <c r="U16" s="1183">
        <v>146878.6</v>
      </c>
      <c r="V16" s="1183">
        <v>21457.58</v>
      </c>
      <c r="W16" s="1183">
        <f>175701.69-56126</f>
        <v>119575.69</v>
      </c>
      <c r="X16" s="1183">
        <v>17434.12</v>
      </c>
      <c r="Y16" s="1201">
        <f t="shared" si="1"/>
        <v>2173625.8200000003</v>
      </c>
      <c r="Z16" s="62"/>
      <c r="AB16" s="23"/>
    </row>
    <row r="17" spans="1:28" ht="21.95" customHeight="1">
      <c r="A17" s="66" t="s">
        <v>46</v>
      </c>
      <c r="B17" s="61" t="s">
        <v>47</v>
      </c>
      <c r="C17" s="61"/>
      <c r="D17" s="62" t="s">
        <v>21</v>
      </c>
      <c r="E17" s="1201">
        <f>E18+E19+E20+E21</f>
        <v>6531086.25</v>
      </c>
      <c r="F17" s="1201">
        <f t="shared" ref="F17:X17" si="7">F18+F19+F20+F21</f>
        <v>1901821.75</v>
      </c>
      <c r="G17" s="1201">
        <f t="shared" si="7"/>
        <v>2268513</v>
      </c>
      <c r="H17" s="1201">
        <f t="shared" si="7"/>
        <v>2549689.5</v>
      </c>
      <c r="I17" s="1201">
        <f t="shared" si="7"/>
        <v>5788093</v>
      </c>
      <c r="J17" s="1201">
        <f t="shared" si="7"/>
        <v>1030595.75</v>
      </c>
      <c r="K17" s="1201">
        <f t="shared" si="7"/>
        <v>2821026</v>
      </c>
      <c r="L17" s="1201">
        <f t="shared" si="7"/>
        <v>1036964.75</v>
      </c>
      <c r="M17" s="1201">
        <f t="shared" si="7"/>
        <v>1973351</v>
      </c>
      <c r="N17" s="1201">
        <f t="shared" si="7"/>
        <v>498216</v>
      </c>
      <c r="O17" s="1201">
        <f t="shared" si="7"/>
        <v>484744</v>
      </c>
      <c r="P17" s="1201">
        <f t="shared" si="7"/>
        <v>532024</v>
      </c>
      <c r="Q17" s="1201">
        <f t="shared" si="7"/>
        <v>427356</v>
      </c>
      <c r="R17" s="1201">
        <f t="shared" si="7"/>
        <v>486904</v>
      </c>
      <c r="S17" s="1201">
        <f t="shared" si="7"/>
        <v>42000</v>
      </c>
      <c r="T17" s="1201">
        <f t="shared" si="7"/>
        <v>528656</v>
      </c>
      <c r="U17" s="1201">
        <f t="shared" si="7"/>
        <v>3208566.5</v>
      </c>
      <c r="V17" s="1201">
        <f t="shared" si="7"/>
        <v>347916</v>
      </c>
      <c r="W17" s="1201">
        <f t="shared" si="7"/>
        <v>778556</v>
      </c>
      <c r="X17" s="1201">
        <f t="shared" si="7"/>
        <v>269904</v>
      </c>
      <c r="Y17" s="1201">
        <f t="shared" si="1"/>
        <v>33505983.5</v>
      </c>
      <c r="Z17" s="62"/>
    </row>
    <row r="18" spans="1:28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183"/>
      <c r="Y18" s="1201">
        <f t="shared" si="1"/>
        <v>0</v>
      </c>
      <c r="Z18" s="62"/>
    </row>
    <row r="19" spans="1:28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3">
        <v>691456</v>
      </c>
      <c r="F19" s="1183">
        <v>254469</v>
      </c>
      <c r="G19" s="1183">
        <v>532804</v>
      </c>
      <c r="H19" s="1183">
        <v>343172</v>
      </c>
      <c r="I19" s="1183">
        <v>757304</v>
      </c>
      <c r="J19" s="1183">
        <v>250992</v>
      </c>
      <c r="K19" s="1183">
        <f>661472</f>
        <v>661472</v>
      </c>
      <c r="L19" s="1183">
        <v>236872</v>
      </c>
      <c r="M19" s="1183">
        <v>292628</v>
      </c>
      <c r="N19" s="1183">
        <f>194238+4498</f>
        <v>198736</v>
      </c>
      <c r="O19" s="1183">
        <v>240244</v>
      </c>
      <c r="P19" s="1183">
        <v>244024</v>
      </c>
      <c r="Q19" s="1183">
        <v>253356</v>
      </c>
      <c r="R19" s="1183">
        <f>240889+15</f>
        <v>240904</v>
      </c>
      <c r="S19" s="1183">
        <v>0</v>
      </c>
      <c r="T19" s="1183">
        <f>262006+150</f>
        <v>262156</v>
      </c>
      <c r="U19" s="1183">
        <f>534560+20</f>
        <v>534580</v>
      </c>
      <c r="V19" s="1183">
        <v>228916</v>
      </c>
      <c r="W19" s="1183">
        <f>334774-194238</f>
        <v>140536</v>
      </c>
      <c r="X19" s="1183">
        <v>165904</v>
      </c>
      <c r="Y19" s="1201">
        <f t="shared" si="1"/>
        <v>6530525</v>
      </c>
      <c r="Z19" s="62"/>
    </row>
    <row r="20" spans="1:28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3">
        <v>1598000</v>
      </c>
      <c r="F20" s="1183">
        <v>559000</v>
      </c>
      <c r="G20" s="1183">
        <v>475500</v>
      </c>
      <c r="H20" s="1183">
        <v>656500</v>
      </c>
      <c r="I20" s="1183">
        <v>2113000</v>
      </c>
      <c r="J20" s="1183">
        <v>344000</v>
      </c>
      <c r="K20" s="1183">
        <v>802500</v>
      </c>
      <c r="L20" s="1183">
        <v>329000</v>
      </c>
      <c r="M20" s="1183">
        <v>768500</v>
      </c>
      <c r="N20" s="1183">
        <v>299480</v>
      </c>
      <c r="O20" s="1183">
        <v>244500</v>
      </c>
      <c r="P20" s="1183">
        <v>288000</v>
      </c>
      <c r="Q20" s="1183">
        <v>174000</v>
      </c>
      <c r="R20" s="1183">
        <v>246000</v>
      </c>
      <c r="S20" s="1183">
        <v>42000</v>
      </c>
      <c r="T20" s="1183">
        <v>266500</v>
      </c>
      <c r="U20" s="1183">
        <v>762500</v>
      </c>
      <c r="V20" s="1183">
        <v>119000</v>
      </c>
      <c r="W20" s="1183">
        <f>937500-299480</f>
        <v>638020</v>
      </c>
      <c r="X20" s="1183">
        <v>104000</v>
      </c>
      <c r="Y20" s="1201">
        <f t="shared" si="1"/>
        <v>10830000</v>
      </c>
      <c r="Z20" s="62"/>
    </row>
    <row r="21" spans="1:28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3">
        <v>4241630.25</v>
      </c>
      <c r="F21" s="1183">
        <v>1088352.75</v>
      </c>
      <c r="G21" s="1183">
        <v>1260209</v>
      </c>
      <c r="H21" s="1183">
        <v>1550017.5</v>
      </c>
      <c r="I21" s="1183">
        <v>2917789</v>
      </c>
      <c r="J21" s="1183">
        <v>435603.75</v>
      </c>
      <c r="K21" s="1183">
        <v>1357054</v>
      </c>
      <c r="L21" s="1183">
        <v>471092.75</v>
      </c>
      <c r="M21" s="1183">
        <v>912223</v>
      </c>
      <c r="N21" s="1183"/>
      <c r="O21" s="1183"/>
      <c r="P21" s="1183">
        <v>0</v>
      </c>
      <c r="Q21" s="1183"/>
      <c r="R21" s="1183"/>
      <c r="S21" s="1183">
        <v>0</v>
      </c>
      <c r="T21" s="1183">
        <v>0</v>
      </c>
      <c r="U21" s="1183">
        <v>1911486.5</v>
      </c>
      <c r="V21" s="1183"/>
      <c r="W21" s="1183"/>
      <c r="X21" s="1183"/>
      <c r="Y21" s="1201">
        <f t="shared" si="1"/>
        <v>16145458.5</v>
      </c>
      <c r="Z21" s="62"/>
    </row>
    <row r="22" spans="1:28" ht="21.95" customHeight="1">
      <c r="A22" s="66" t="s">
        <v>58</v>
      </c>
      <c r="B22" s="61" t="s">
        <v>59</v>
      </c>
      <c r="C22" s="61"/>
      <c r="D22" s="62" t="s">
        <v>21</v>
      </c>
      <c r="E22" s="1201">
        <f>E23+E24</f>
        <v>6904849.3799999999</v>
      </c>
      <c r="F22" s="1201">
        <f t="shared" ref="F22:X22" si="8">F23+F24</f>
        <v>2320258.04</v>
      </c>
      <c r="G22" s="1201">
        <f t="shared" si="8"/>
        <v>2018342.1999999997</v>
      </c>
      <c r="H22" s="1201">
        <f t="shared" si="8"/>
        <v>2621144.1800000002</v>
      </c>
      <c r="I22" s="1201">
        <f t="shared" si="8"/>
        <v>8542600.7000000011</v>
      </c>
      <c r="J22" s="1201">
        <f t="shared" si="8"/>
        <v>1415372.14</v>
      </c>
      <c r="K22" s="1201">
        <f t="shared" si="8"/>
        <v>3351080.33</v>
      </c>
      <c r="L22" s="1201">
        <f t="shared" si="8"/>
        <v>1343949.52</v>
      </c>
      <c r="M22" s="1201">
        <f t="shared" si="8"/>
        <v>3096291.04</v>
      </c>
      <c r="N22" s="1201">
        <f t="shared" si="8"/>
        <v>1010271</v>
      </c>
      <c r="O22" s="1201">
        <f t="shared" si="8"/>
        <v>908255.03</v>
      </c>
      <c r="P22" s="1201">
        <f t="shared" si="8"/>
        <v>1018710.46</v>
      </c>
      <c r="Q22" s="1201">
        <f t="shared" si="8"/>
        <v>636865.36</v>
      </c>
      <c r="R22" s="1201">
        <f t="shared" si="8"/>
        <v>906010.76</v>
      </c>
      <c r="S22" s="1201">
        <f t="shared" si="8"/>
        <v>183874.13999999998</v>
      </c>
      <c r="T22" s="1201">
        <f t="shared" si="8"/>
        <v>958070.42</v>
      </c>
      <c r="U22" s="1201">
        <f t="shared" si="8"/>
        <v>2875219.47</v>
      </c>
      <c r="V22" s="1201">
        <f t="shared" si="8"/>
        <v>422623.21</v>
      </c>
      <c r="W22" s="1201">
        <f t="shared" si="8"/>
        <v>2511897.67</v>
      </c>
      <c r="X22" s="1201">
        <f t="shared" si="8"/>
        <v>368693.07</v>
      </c>
      <c r="Y22" s="1201">
        <f t="shared" si="1"/>
        <v>43414378.119999997</v>
      </c>
      <c r="Z22" s="62"/>
    </row>
    <row r="23" spans="1:28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3">
        <v>6247468.3899999997</v>
      </c>
      <c r="F23" s="1183">
        <v>2084596.65</v>
      </c>
      <c r="G23" s="1183">
        <v>1773960.7999999998</v>
      </c>
      <c r="H23" s="1183">
        <v>2401914.1800000002</v>
      </c>
      <c r="I23" s="1183">
        <v>7664895.9000000004</v>
      </c>
      <c r="J23" s="1183">
        <v>1261555.46</v>
      </c>
      <c r="K23" s="1183">
        <v>3026932.19</v>
      </c>
      <c r="L23" s="1183">
        <v>1194014.76</v>
      </c>
      <c r="M23" s="1183">
        <v>2826196.04</v>
      </c>
      <c r="N23" s="1183">
        <v>1010271</v>
      </c>
      <c r="O23" s="1183">
        <v>804810.03</v>
      </c>
      <c r="P23" s="1183">
        <v>915600.46</v>
      </c>
      <c r="Q23" s="1183">
        <v>576110.36</v>
      </c>
      <c r="R23" s="1183">
        <v>790808.76</v>
      </c>
      <c r="S23" s="1183">
        <v>162203.34999999998</v>
      </c>
      <c r="T23" s="1183">
        <v>871830.42</v>
      </c>
      <c r="U23" s="1183">
        <v>2643759.4700000002</v>
      </c>
      <c r="V23" s="1183">
        <v>385383.21</v>
      </c>
      <c r="W23" s="1183">
        <f>3162589.1-1010271</f>
        <v>2152318.1</v>
      </c>
      <c r="X23" s="1183">
        <v>341253.07</v>
      </c>
      <c r="Y23" s="1201">
        <f t="shared" si="1"/>
        <v>39135882.600000009</v>
      </c>
      <c r="Z23" s="62"/>
      <c r="AB23" s="23"/>
    </row>
    <row r="24" spans="1:28" ht="21.95" customHeight="1">
      <c r="A24" s="66" t="s">
        <v>62</v>
      </c>
      <c r="B24" s="61" t="s">
        <v>3073</v>
      </c>
      <c r="C24" s="61"/>
      <c r="D24" s="62" t="s">
        <v>43</v>
      </c>
      <c r="E24" s="1201">
        <f>E25+E26</f>
        <v>657380.99</v>
      </c>
      <c r="F24" s="1201">
        <f t="shared" ref="F24:X24" si="9">F25+F26</f>
        <v>235661.39</v>
      </c>
      <c r="G24" s="1201">
        <f t="shared" si="9"/>
        <v>244381.40000000002</v>
      </c>
      <c r="H24" s="1201">
        <f t="shared" si="9"/>
        <v>219230</v>
      </c>
      <c r="I24" s="1201">
        <f t="shared" si="9"/>
        <v>877704.8</v>
      </c>
      <c r="J24" s="1201">
        <f t="shared" si="9"/>
        <v>153816.67999999996</v>
      </c>
      <c r="K24" s="1201">
        <f t="shared" si="9"/>
        <v>324148.14</v>
      </c>
      <c r="L24" s="1201">
        <f t="shared" si="9"/>
        <v>149934.76</v>
      </c>
      <c r="M24" s="1201">
        <f t="shared" si="9"/>
        <v>270095</v>
      </c>
      <c r="N24" s="1201">
        <f t="shared" si="9"/>
        <v>0</v>
      </c>
      <c r="O24" s="1201">
        <f t="shared" si="9"/>
        <v>103445</v>
      </c>
      <c r="P24" s="1201">
        <f t="shared" si="9"/>
        <v>103110</v>
      </c>
      <c r="Q24" s="1201">
        <f t="shared" si="9"/>
        <v>60755</v>
      </c>
      <c r="R24" s="1201">
        <f t="shared" si="9"/>
        <v>115202</v>
      </c>
      <c r="S24" s="1201">
        <f t="shared" si="9"/>
        <v>21670.79</v>
      </c>
      <c r="T24" s="1201">
        <f t="shared" si="9"/>
        <v>86240</v>
      </c>
      <c r="U24" s="1201">
        <f t="shared" si="9"/>
        <v>231460</v>
      </c>
      <c r="V24" s="1201">
        <f t="shared" si="9"/>
        <v>37240</v>
      </c>
      <c r="W24" s="1201">
        <f t="shared" si="9"/>
        <v>359579.57</v>
      </c>
      <c r="X24" s="1201">
        <f t="shared" si="9"/>
        <v>27440</v>
      </c>
      <c r="Y24" s="1201">
        <f t="shared" si="1"/>
        <v>4278495.5200000005</v>
      </c>
      <c r="Z24" s="62"/>
    </row>
    <row r="25" spans="1:28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3">
        <v>43235.99</v>
      </c>
      <c r="F25" s="1183">
        <v>29231.390000000014</v>
      </c>
      <c r="G25" s="1183">
        <v>52171.400000000023</v>
      </c>
      <c r="H25" s="1183"/>
      <c r="I25" s="1183">
        <v>92364.800000000047</v>
      </c>
      <c r="J25" s="1183">
        <v>5286.679999999993</v>
      </c>
      <c r="K25" s="1183">
        <v>26453.140000000014</v>
      </c>
      <c r="L25" s="1183">
        <v>22559.759999999998</v>
      </c>
      <c r="M25" s="1183"/>
      <c r="N25" s="1183"/>
      <c r="O25" s="1183"/>
      <c r="P25" s="1183">
        <v>2100</v>
      </c>
      <c r="Q25" s="1183">
        <v>0</v>
      </c>
      <c r="R25" s="1183">
        <v>23302</v>
      </c>
      <c r="S25" s="1183">
        <v>2425.7900000000009</v>
      </c>
      <c r="T25" s="1183">
        <v>0</v>
      </c>
      <c r="U25" s="1183"/>
      <c r="V25" s="1183"/>
      <c r="W25" s="1183">
        <v>24550</v>
      </c>
      <c r="X25" s="1183"/>
      <c r="Y25" s="1201">
        <f t="shared" si="1"/>
        <v>323680.95000000007</v>
      </c>
      <c r="Z25" s="62"/>
    </row>
    <row r="26" spans="1:28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3">
        <v>614145</v>
      </c>
      <c r="F26" s="1183">
        <v>206430</v>
      </c>
      <c r="G26" s="1183">
        <v>192210</v>
      </c>
      <c r="H26" s="1183">
        <v>219230</v>
      </c>
      <c r="I26" s="1183">
        <v>785340</v>
      </c>
      <c r="J26" s="1183">
        <v>148529.99999999997</v>
      </c>
      <c r="K26" s="1183">
        <v>297695</v>
      </c>
      <c r="L26" s="1183">
        <v>127375</v>
      </c>
      <c r="M26" s="1183">
        <v>270095</v>
      </c>
      <c r="N26" s="1183"/>
      <c r="O26" s="1183">
        <v>103445</v>
      </c>
      <c r="P26" s="1183">
        <v>101010</v>
      </c>
      <c r="Q26" s="1183">
        <v>60755</v>
      </c>
      <c r="R26" s="1183">
        <v>91900</v>
      </c>
      <c r="S26" s="1183">
        <v>19245</v>
      </c>
      <c r="T26" s="1183">
        <v>86240</v>
      </c>
      <c r="U26" s="1183">
        <v>231460</v>
      </c>
      <c r="V26" s="1183">
        <v>37240</v>
      </c>
      <c r="W26" s="1183">
        <v>335029.57</v>
      </c>
      <c r="X26" s="1183">
        <v>27440</v>
      </c>
      <c r="Y26" s="1201">
        <f t="shared" si="1"/>
        <v>3954814.57</v>
      </c>
      <c r="Z26" s="62"/>
    </row>
    <row r="27" spans="1:28" ht="21.95" customHeight="1">
      <c r="A27" s="66" t="s">
        <v>66</v>
      </c>
      <c r="B27" s="61" t="s">
        <v>67</v>
      </c>
      <c r="C27" s="61"/>
      <c r="D27" s="62" t="s">
        <v>21</v>
      </c>
      <c r="E27" s="1201">
        <f t="shared" ref="E27:X27" si="10">E28</f>
        <v>11106257.359999999</v>
      </c>
      <c r="F27" s="1201">
        <f t="shared" si="10"/>
        <v>3705941.52</v>
      </c>
      <c r="G27" s="1201">
        <f t="shared" si="10"/>
        <v>3153723.9</v>
      </c>
      <c r="H27" s="1201">
        <f t="shared" si="10"/>
        <v>4270021.0599999996</v>
      </c>
      <c r="I27" s="1201">
        <f t="shared" si="10"/>
        <v>13626450.800000001</v>
      </c>
      <c r="J27" s="1201">
        <f t="shared" si="10"/>
        <v>2243026.2999999998</v>
      </c>
      <c r="K27" s="1201">
        <f t="shared" si="10"/>
        <v>5381203.4199999999</v>
      </c>
      <c r="L27" s="1201">
        <f t="shared" si="10"/>
        <v>2122654.42</v>
      </c>
      <c r="M27" s="1201">
        <f t="shared" si="10"/>
        <v>5024334.72</v>
      </c>
      <c r="N27" s="1201">
        <f t="shared" si="10"/>
        <v>1796035</v>
      </c>
      <c r="O27" s="1201">
        <f t="shared" si="10"/>
        <v>1426461.6</v>
      </c>
      <c r="P27" s="1201">
        <f t="shared" si="10"/>
        <v>1627731.52</v>
      </c>
      <c r="Q27" s="1201">
        <f t="shared" si="10"/>
        <v>1024192.8</v>
      </c>
      <c r="R27" s="1201">
        <f t="shared" si="10"/>
        <v>1405881.34</v>
      </c>
      <c r="S27" s="1201">
        <f t="shared" si="10"/>
        <v>288361.25</v>
      </c>
      <c r="T27" s="1201">
        <f t="shared" si="10"/>
        <v>1549919.94</v>
      </c>
      <c r="U27" s="1201">
        <f t="shared" si="10"/>
        <v>4700004.47</v>
      </c>
      <c r="V27" s="1201">
        <f t="shared" si="10"/>
        <v>685086.11</v>
      </c>
      <c r="W27" s="1201">
        <f t="shared" si="10"/>
        <v>3826337.92</v>
      </c>
      <c r="X27" s="1201">
        <f t="shared" si="10"/>
        <v>557889.65</v>
      </c>
      <c r="Y27" s="1201">
        <f t="shared" si="1"/>
        <v>69521515.100000009</v>
      </c>
      <c r="Z27" s="62"/>
    </row>
    <row r="28" spans="1:28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3">
        <v>11106257.359999999</v>
      </c>
      <c r="F28" s="1183">
        <v>3705941.52</v>
      </c>
      <c r="G28" s="1183">
        <v>3153723.9</v>
      </c>
      <c r="H28" s="1183">
        <v>4270021.0599999996</v>
      </c>
      <c r="I28" s="1183">
        <v>13626450.800000001</v>
      </c>
      <c r="J28" s="1183">
        <v>2243026.2999999998</v>
      </c>
      <c r="K28" s="1183">
        <v>5381203.4199999999</v>
      </c>
      <c r="L28" s="1183">
        <v>2122654.42</v>
      </c>
      <c r="M28" s="1183">
        <v>5024334.72</v>
      </c>
      <c r="N28" s="1183">
        <v>1796035</v>
      </c>
      <c r="O28" s="1183">
        <v>1426461.6</v>
      </c>
      <c r="P28" s="1183">
        <v>1627731.52</v>
      </c>
      <c r="Q28" s="1183">
        <v>1024192.8</v>
      </c>
      <c r="R28" s="1183">
        <v>1405881.34</v>
      </c>
      <c r="S28" s="1183">
        <v>288361.25</v>
      </c>
      <c r="T28" s="1183">
        <v>1549919.94</v>
      </c>
      <c r="U28" s="1183">
        <v>4700004.47</v>
      </c>
      <c r="V28" s="1183">
        <v>685086.11</v>
      </c>
      <c r="W28" s="1183">
        <f>5622372.92-1796035</f>
        <v>3826337.92</v>
      </c>
      <c r="X28" s="1183">
        <v>557889.65</v>
      </c>
      <c r="Y28" s="1201">
        <f t="shared" si="1"/>
        <v>69521515.100000009</v>
      </c>
      <c r="Z28" s="62"/>
      <c r="AB28" s="23"/>
    </row>
    <row r="29" spans="1:28" ht="21.95" customHeight="1">
      <c r="A29" s="66" t="s">
        <v>71</v>
      </c>
      <c r="B29" s="61" t="s">
        <v>72</v>
      </c>
      <c r="C29" s="61"/>
      <c r="D29" s="62" t="s">
        <v>21</v>
      </c>
      <c r="E29" s="1201">
        <f t="shared" ref="E29:X29" si="11">E30</f>
        <v>5553128.6799999997</v>
      </c>
      <c r="F29" s="1201">
        <f t="shared" si="11"/>
        <v>1852970.76</v>
      </c>
      <c r="G29" s="1201">
        <f t="shared" si="11"/>
        <v>1664342.1</v>
      </c>
      <c r="H29" s="1201">
        <f t="shared" si="11"/>
        <v>2134985.5299999998</v>
      </c>
      <c r="I29" s="1201">
        <f t="shared" si="11"/>
        <v>6812946</v>
      </c>
      <c r="J29" s="1201">
        <f t="shared" si="11"/>
        <v>1121518.44</v>
      </c>
      <c r="K29" s="1201">
        <f t="shared" si="11"/>
        <v>2690601.87</v>
      </c>
      <c r="L29" s="1201">
        <f t="shared" si="11"/>
        <v>1061302.22</v>
      </c>
      <c r="M29" s="1201">
        <f t="shared" si="11"/>
        <v>2512167.36</v>
      </c>
      <c r="N29" s="1201">
        <f t="shared" si="11"/>
        <v>898017</v>
      </c>
      <c r="O29" s="1201">
        <f t="shared" si="11"/>
        <v>713230.8</v>
      </c>
      <c r="P29" s="1201">
        <f t="shared" si="11"/>
        <v>813865.76</v>
      </c>
      <c r="Q29" s="1201">
        <f t="shared" si="11"/>
        <v>512096.4</v>
      </c>
      <c r="R29" s="1201">
        <f t="shared" si="11"/>
        <v>702940.59</v>
      </c>
      <c r="S29" s="1201">
        <f t="shared" si="11"/>
        <v>144180.65</v>
      </c>
      <c r="T29" s="1201">
        <f t="shared" si="11"/>
        <v>774959.98</v>
      </c>
      <c r="U29" s="1201">
        <f t="shared" si="11"/>
        <v>2350002.27</v>
      </c>
      <c r="V29" s="1201">
        <f t="shared" si="11"/>
        <v>342518.06</v>
      </c>
      <c r="W29" s="1201">
        <f t="shared" si="11"/>
        <v>1913167.9300000002</v>
      </c>
      <c r="X29" s="1201">
        <f t="shared" si="11"/>
        <v>278944.82</v>
      </c>
      <c r="Y29" s="1201">
        <f t="shared" si="1"/>
        <v>34847887.219999999</v>
      </c>
      <c r="Z29" s="62"/>
    </row>
    <row r="30" spans="1:28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3">
        <v>5553128.6799999997</v>
      </c>
      <c r="F30" s="1183">
        <v>1852970.76</v>
      </c>
      <c r="G30" s="1183">
        <v>1664342.1</v>
      </c>
      <c r="H30" s="1183">
        <v>2134985.5299999998</v>
      </c>
      <c r="I30" s="1183">
        <v>6812946</v>
      </c>
      <c r="J30" s="1183">
        <v>1121518.44</v>
      </c>
      <c r="K30" s="1183">
        <v>2690601.87</v>
      </c>
      <c r="L30" s="1183">
        <v>1061302.22</v>
      </c>
      <c r="M30" s="1183">
        <v>2512167.36</v>
      </c>
      <c r="N30" s="1183">
        <v>898017</v>
      </c>
      <c r="O30" s="1183">
        <v>713230.8</v>
      </c>
      <c r="P30" s="1183">
        <v>813865.76</v>
      </c>
      <c r="Q30" s="1183">
        <v>512096.4</v>
      </c>
      <c r="R30" s="1183">
        <v>702940.59</v>
      </c>
      <c r="S30" s="1183">
        <v>144180.65</v>
      </c>
      <c r="T30" s="1183">
        <v>774959.98</v>
      </c>
      <c r="U30" s="1183">
        <v>2350002.27</v>
      </c>
      <c r="V30" s="1183">
        <v>342518.06</v>
      </c>
      <c r="W30" s="1183">
        <f>2811184.93-898017</f>
        <v>1913167.9300000002</v>
      </c>
      <c r="X30" s="1183">
        <v>278944.82</v>
      </c>
      <c r="Y30" s="1201">
        <f t="shared" si="1"/>
        <v>34847887.219999999</v>
      </c>
      <c r="Z30" s="62"/>
      <c r="AB30" s="23"/>
    </row>
    <row r="31" spans="1:28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3">
        <v>4850037</v>
      </c>
      <c r="F31" s="1183">
        <v>1626508</v>
      </c>
      <c r="G31" s="1183">
        <v>1385756</v>
      </c>
      <c r="H31" s="1183">
        <v>1871532</v>
      </c>
      <c r="I31" s="1183">
        <v>5959367</v>
      </c>
      <c r="J31" s="1183">
        <v>981324</v>
      </c>
      <c r="K31" s="1183">
        <v>2360203</v>
      </c>
      <c r="L31" s="1183">
        <v>922700</v>
      </c>
      <c r="M31" s="1183">
        <v>2189359</v>
      </c>
      <c r="N31" s="1183">
        <v>791683</v>
      </c>
      <c r="O31" s="1183">
        <v>620155</v>
      </c>
      <c r="P31" s="1183">
        <v>712698</v>
      </c>
      <c r="Q31" s="1183">
        <v>448344</v>
      </c>
      <c r="R31" s="1183">
        <v>615177</v>
      </c>
      <c r="S31" s="1183">
        <v>125934</v>
      </c>
      <c r="T31" s="1183">
        <v>683701</v>
      </c>
      <c r="U31" s="1183">
        <v>2141162</v>
      </c>
      <c r="V31" s="1183">
        <v>304272</v>
      </c>
      <c r="W31" s="1183">
        <f>2478314-791683</f>
        <v>1686631</v>
      </c>
      <c r="X31" s="1183">
        <v>233475</v>
      </c>
      <c r="Y31" s="1201">
        <f t="shared" si="1"/>
        <v>30510018</v>
      </c>
      <c r="Z31" s="62"/>
      <c r="AB31" s="23"/>
    </row>
    <row r="32" spans="1:28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3">
        <v>92500</v>
      </c>
      <c r="F32" s="1183">
        <v>35500</v>
      </c>
      <c r="G32" s="1183">
        <v>24500</v>
      </c>
      <c r="H32" s="1183">
        <v>45000</v>
      </c>
      <c r="I32" s="1183">
        <v>137000</v>
      </c>
      <c r="J32" s="1183">
        <v>20000</v>
      </c>
      <c r="K32" s="1183">
        <v>54000</v>
      </c>
      <c r="L32" s="1183">
        <v>20000</v>
      </c>
      <c r="M32" s="1183">
        <v>51000</v>
      </c>
      <c r="N32" s="1183"/>
      <c r="O32" s="1183">
        <v>15500</v>
      </c>
      <c r="P32" s="1183">
        <v>17000</v>
      </c>
      <c r="Q32" s="1183">
        <v>9000</v>
      </c>
      <c r="R32" s="1183">
        <v>15500</v>
      </c>
      <c r="S32" s="1183">
        <v>6500</v>
      </c>
      <c r="T32" s="1183">
        <v>15500</v>
      </c>
      <c r="U32" s="1183">
        <v>35500</v>
      </c>
      <c r="V32" s="1183">
        <v>6000</v>
      </c>
      <c r="W32" s="1183">
        <v>68000</v>
      </c>
      <c r="X32" s="1183">
        <v>3000</v>
      </c>
      <c r="Y32" s="1201">
        <f t="shared" si="1"/>
        <v>671000</v>
      </c>
      <c r="Z32" s="62"/>
    </row>
    <row r="33" spans="1:26" ht="21.95" customHeight="1">
      <c r="A33" s="66" t="s">
        <v>83</v>
      </c>
      <c r="B33" s="61" t="s">
        <v>84</v>
      </c>
      <c r="C33" s="61"/>
      <c r="D33" s="62" t="s">
        <v>21</v>
      </c>
      <c r="E33" s="1201">
        <f>E34+E36+E38</f>
        <v>2523676.04</v>
      </c>
      <c r="F33" s="1201">
        <f t="shared" ref="F33:X33" si="12">F34+F36+F38</f>
        <v>1013030</v>
      </c>
      <c r="G33" s="1201">
        <f t="shared" si="12"/>
        <v>1165355</v>
      </c>
      <c r="H33" s="1201">
        <f t="shared" si="12"/>
        <v>51395</v>
      </c>
      <c r="I33" s="1201">
        <f t="shared" si="12"/>
        <v>1989823</v>
      </c>
      <c r="J33" s="1201">
        <f t="shared" si="12"/>
        <v>643410</v>
      </c>
      <c r="K33" s="1201">
        <f t="shared" si="12"/>
        <v>637120</v>
      </c>
      <c r="L33" s="1201">
        <f t="shared" si="12"/>
        <v>436690</v>
      </c>
      <c r="M33" s="1201">
        <f t="shared" si="12"/>
        <v>72180</v>
      </c>
      <c r="N33" s="1201">
        <f t="shared" si="12"/>
        <v>0</v>
      </c>
      <c r="O33" s="1201">
        <f t="shared" si="12"/>
        <v>686100</v>
      </c>
      <c r="P33" s="1201">
        <f t="shared" si="12"/>
        <v>29100</v>
      </c>
      <c r="Q33" s="1201">
        <f t="shared" si="12"/>
        <v>1800</v>
      </c>
      <c r="R33" s="1201">
        <f t="shared" si="12"/>
        <v>489500</v>
      </c>
      <c r="S33" s="1201">
        <f t="shared" si="12"/>
        <v>156720</v>
      </c>
      <c r="T33" s="1201">
        <f t="shared" si="12"/>
        <v>3240</v>
      </c>
      <c r="U33" s="1201">
        <f t="shared" si="12"/>
        <v>322170</v>
      </c>
      <c r="V33" s="1201">
        <f t="shared" si="12"/>
        <v>360</v>
      </c>
      <c r="W33" s="1201">
        <f t="shared" si="12"/>
        <v>899015</v>
      </c>
      <c r="X33" s="1201">
        <f t="shared" si="12"/>
        <v>840</v>
      </c>
      <c r="Y33" s="1201">
        <f t="shared" si="1"/>
        <v>11121524.039999999</v>
      </c>
      <c r="Z33" s="62"/>
    </row>
    <row r="34" spans="1:26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201">
        <f>E35</f>
        <v>2510716.04</v>
      </c>
      <c r="F34" s="1201">
        <f t="shared" ref="F34:X34" si="13">F35</f>
        <v>1006550</v>
      </c>
      <c r="G34" s="1201">
        <f t="shared" si="13"/>
        <v>1156715</v>
      </c>
      <c r="H34" s="1201">
        <f t="shared" si="13"/>
        <v>47255</v>
      </c>
      <c r="I34" s="1201">
        <f t="shared" si="13"/>
        <v>1977433</v>
      </c>
      <c r="J34" s="1201">
        <f t="shared" si="13"/>
        <v>640800</v>
      </c>
      <c r="K34" s="1201">
        <f t="shared" si="13"/>
        <v>634930</v>
      </c>
      <c r="L34" s="1201">
        <f t="shared" si="13"/>
        <v>435250</v>
      </c>
      <c r="M34" s="1201">
        <f t="shared" si="13"/>
        <v>70380</v>
      </c>
      <c r="N34" s="1201">
        <f t="shared" si="13"/>
        <v>0</v>
      </c>
      <c r="O34" s="1201">
        <f t="shared" si="13"/>
        <v>683580</v>
      </c>
      <c r="P34" s="1201">
        <f t="shared" si="13"/>
        <v>25860</v>
      </c>
      <c r="Q34" s="1201">
        <f t="shared" si="13"/>
        <v>0</v>
      </c>
      <c r="R34" s="1201">
        <f t="shared" si="13"/>
        <v>488870</v>
      </c>
      <c r="S34" s="1201">
        <f t="shared" si="13"/>
        <v>156360</v>
      </c>
      <c r="T34" s="1201">
        <f t="shared" si="13"/>
        <v>0</v>
      </c>
      <c r="U34" s="1201">
        <f t="shared" si="13"/>
        <v>319260</v>
      </c>
      <c r="V34" s="1201">
        <f t="shared" si="13"/>
        <v>0</v>
      </c>
      <c r="W34" s="1201">
        <f t="shared" si="13"/>
        <v>888725</v>
      </c>
      <c r="X34" s="1201">
        <f t="shared" si="13"/>
        <v>0</v>
      </c>
      <c r="Y34" s="1201">
        <f t="shared" si="1"/>
        <v>11042684.039999999</v>
      </c>
      <c r="Z34" s="62"/>
    </row>
    <row r="35" spans="1:26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3">
        <v>2510716.04</v>
      </c>
      <c r="F35" s="1183">
        <v>1006550</v>
      </c>
      <c r="G35" s="1183">
        <v>1156715</v>
      </c>
      <c r="H35" s="1183">
        <v>47255</v>
      </c>
      <c r="I35" s="1183">
        <v>1977433</v>
      </c>
      <c r="J35" s="1183">
        <v>640800</v>
      </c>
      <c r="K35" s="1183">
        <v>634930</v>
      </c>
      <c r="L35" s="1183">
        <v>435250</v>
      </c>
      <c r="M35" s="1183">
        <v>70380</v>
      </c>
      <c r="N35" s="1183"/>
      <c r="O35" s="1183">
        <v>683580</v>
      </c>
      <c r="P35" s="1183">
        <v>25860</v>
      </c>
      <c r="Q35" s="1183"/>
      <c r="R35" s="1183">
        <v>488870</v>
      </c>
      <c r="S35" s="1183">
        <v>156360</v>
      </c>
      <c r="T35" s="1183">
        <v>0</v>
      </c>
      <c r="U35" s="1183">
        <v>319260</v>
      </c>
      <c r="V35" s="1183"/>
      <c r="W35" s="1183">
        <v>888725</v>
      </c>
      <c r="X35" s="1183"/>
      <c r="Y35" s="1201">
        <f t="shared" si="1"/>
        <v>11042684.039999999</v>
      </c>
      <c r="Z35" s="62"/>
    </row>
    <row r="36" spans="1:26" ht="21.95" customHeight="1">
      <c r="A36" s="66" t="s">
        <v>91</v>
      </c>
      <c r="B36" s="61" t="s">
        <v>92</v>
      </c>
      <c r="C36" s="61"/>
      <c r="D36" s="62" t="s">
        <v>21</v>
      </c>
      <c r="E36" s="1201">
        <f>E37</f>
        <v>12960</v>
      </c>
      <c r="F36" s="1201">
        <f t="shared" ref="F36:X36" si="14">F37</f>
        <v>6480</v>
      </c>
      <c r="G36" s="1201">
        <f t="shared" si="14"/>
        <v>8640</v>
      </c>
      <c r="H36" s="1201">
        <f t="shared" si="14"/>
        <v>4140</v>
      </c>
      <c r="I36" s="1201">
        <f t="shared" si="14"/>
        <v>12390</v>
      </c>
      <c r="J36" s="1201">
        <f t="shared" si="14"/>
        <v>2610</v>
      </c>
      <c r="K36" s="1201">
        <f t="shared" si="14"/>
        <v>2190</v>
      </c>
      <c r="L36" s="1201">
        <f t="shared" si="14"/>
        <v>1440</v>
      </c>
      <c r="M36" s="1201">
        <f t="shared" si="14"/>
        <v>1800</v>
      </c>
      <c r="N36" s="1201">
        <f t="shared" si="14"/>
        <v>0</v>
      </c>
      <c r="O36" s="1201">
        <f t="shared" si="14"/>
        <v>2520</v>
      </c>
      <c r="P36" s="1201">
        <f t="shared" si="14"/>
        <v>3240</v>
      </c>
      <c r="Q36" s="1201">
        <f t="shared" si="14"/>
        <v>1800</v>
      </c>
      <c r="R36" s="1201">
        <f t="shared" si="14"/>
        <v>630</v>
      </c>
      <c r="S36" s="1201">
        <f t="shared" si="14"/>
        <v>360</v>
      </c>
      <c r="T36" s="1201">
        <f t="shared" si="14"/>
        <v>3240</v>
      </c>
      <c r="U36" s="1201">
        <f t="shared" si="14"/>
        <v>2910</v>
      </c>
      <c r="V36" s="1201">
        <f t="shared" si="14"/>
        <v>360</v>
      </c>
      <c r="W36" s="1201">
        <f t="shared" si="14"/>
        <v>10290</v>
      </c>
      <c r="X36" s="1201">
        <f t="shared" si="14"/>
        <v>840</v>
      </c>
      <c r="Y36" s="1201">
        <f t="shared" si="1"/>
        <v>78840</v>
      </c>
      <c r="Z36" s="62"/>
    </row>
    <row r="37" spans="1:26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3">
        <v>12960</v>
      </c>
      <c r="F37" s="1183">
        <v>6480</v>
      </c>
      <c r="G37" s="1183">
        <v>8640</v>
      </c>
      <c r="H37" s="1183">
        <v>4140</v>
      </c>
      <c r="I37" s="1183">
        <v>12390</v>
      </c>
      <c r="J37" s="1183">
        <v>2610</v>
      </c>
      <c r="K37" s="1183">
        <v>2190</v>
      </c>
      <c r="L37" s="1183">
        <v>1440</v>
      </c>
      <c r="M37" s="1183">
        <v>1800</v>
      </c>
      <c r="N37" s="1183"/>
      <c r="O37" s="1183">
        <v>2520</v>
      </c>
      <c r="P37" s="1183">
        <v>3240</v>
      </c>
      <c r="Q37" s="1183">
        <v>1800</v>
      </c>
      <c r="R37" s="1183">
        <v>630</v>
      </c>
      <c r="S37" s="1183">
        <v>360</v>
      </c>
      <c r="T37" s="1183">
        <v>3240</v>
      </c>
      <c r="U37" s="1183">
        <v>2910</v>
      </c>
      <c r="V37" s="1183">
        <v>360</v>
      </c>
      <c r="W37" s="1183">
        <v>10290</v>
      </c>
      <c r="X37" s="1183">
        <v>840</v>
      </c>
      <c r="Y37" s="1201">
        <f t="shared" si="1"/>
        <v>78840</v>
      </c>
      <c r="Z37" s="62"/>
    </row>
    <row r="38" spans="1:26" ht="21.95" customHeight="1">
      <c r="A38" s="66" t="s">
        <v>95</v>
      </c>
      <c r="B38" s="61" t="s">
        <v>3002</v>
      </c>
      <c r="C38" s="61"/>
      <c r="D38" s="62" t="s">
        <v>21</v>
      </c>
      <c r="E38" s="1201">
        <f>E39</f>
        <v>0</v>
      </c>
      <c r="F38" s="1201">
        <f t="shared" ref="F38:X38" si="15">F39</f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1">
        <f t="shared" si="15"/>
        <v>0</v>
      </c>
      <c r="Y38" s="1201">
        <f t="shared" si="1"/>
        <v>0</v>
      </c>
      <c r="Z38" s="62"/>
    </row>
    <row r="39" spans="1:26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3"/>
      <c r="F39" s="1183"/>
      <c r="G39" s="1183"/>
      <c r="H39" s="1183"/>
      <c r="I39" s="1183"/>
      <c r="J39" s="1183"/>
      <c r="K39" s="1183"/>
      <c r="L39" s="1183"/>
      <c r="M39" s="1183">
        <v>0</v>
      </c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183"/>
      <c r="Y39" s="1201">
        <f t="shared" si="1"/>
        <v>0</v>
      </c>
      <c r="Z39" s="62"/>
    </row>
    <row r="40" spans="1:26" ht="21.95" customHeight="1">
      <c r="A40" s="66" t="s">
        <v>97</v>
      </c>
      <c r="B40" s="61" t="s">
        <v>98</v>
      </c>
      <c r="C40" s="61"/>
      <c r="D40" s="62" t="s">
        <v>21</v>
      </c>
      <c r="E40" s="1201">
        <f t="shared" ref="E40:X40" si="16">E41+E43+E45+E47+E49+E52+E54+E56+E60</f>
        <v>18289030.149999999</v>
      </c>
      <c r="F40" s="1201">
        <f t="shared" si="16"/>
        <v>6945470.3600000003</v>
      </c>
      <c r="G40" s="1201">
        <f t="shared" si="16"/>
        <v>5863759.8200000003</v>
      </c>
      <c r="H40" s="1201">
        <f t="shared" si="16"/>
        <v>8074617.0499999998</v>
      </c>
      <c r="I40" s="1201">
        <f t="shared" si="16"/>
        <v>22835284.230000004</v>
      </c>
      <c r="J40" s="1201">
        <f t="shared" si="16"/>
        <v>3392923.74</v>
      </c>
      <c r="K40" s="1201">
        <f t="shared" si="16"/>
        <v>9143721.7300000004</v>
      </c>
      <c r="L40" s="1201">
        <f t="shared" si="16"/>
        <v>3318837.4499999997</v>
      </c>
      <c r="M40" s="1201">
        <f t="shared" si="16"/>
        <v>8108509.29</v>
      </c>
      <c r="N40" s="1201">
        <f t="shared" si="16"/>
        <v>1464280</v>
      </c>
      <c r="O40" s="1201">
        <f t="shared" si="16"/>
        <v>2118124.15</v>
      </c>
      <c r="P40" s="1201">
        <f t="shared" si="16"/>
        <v>2557034.14</v>
      </c>
      <c r="Q40" s="1201">
        <f t="shared" si="16"/>
        <v>1279315.0900000001</v>
      </c>
      <c r="R40" s="1201">
        <f t="shared" si="16"/>
        <v>1960064.19</v>
      </c>
      <c r="S40" s="1201">
        <f t="shared" si="16"/>
        <v>337966.86</v>
      </c>
      <c r="T40" s="1201">
        <f t="shared" si="16"/>
        <v>1844666.8</v>
      </c>
      <c r="U40" s="1201">
        <f t="shared" si="16"/>
        <v>9763663.5199999996</v>
      </c>
      <c r="V40" s="1201">
        <f t="shared" si="16"/>
        <v>1206557.99</v>
      </c>
      <c r="W40" s="1201">
        <f t="shared" si="16"/>
        <v>5348939.05</v>
      </c>
      <c r="X40" s="1201">
        <f t="shared" si="16"/>
        <v>1758465.4200000002</v>
      </c>
      <c r="Y40" s="1201">
        <f t="shared" si="1"/>
        <v>115611231.03</v>
      </c>
      <c r="Z40" s="62"/>
    </row>
    <row r="41" spans="1:26" ht="21.95" customHeight="1">
      <c r="A41" s="66" t="s">
        <v>99</v>
      </c>
      <c r="B41" s="61" t="s">
        <v>100</v>
      </c>
      <c r="C41" s="61"/>
      <c r="D41" s="62" t="s">
        <v>101</v>
      </c>
      <c r="E41" s="1183">
        <v>14341525</v>
      </c>
      <c r="F41" s="1183">
        <v>5513100</v>
      </c>
      <c r="G41" s="1183">
        <v>4598350</v>
      </c>
      <c r="H41" s="1183">
        <v>6782800</v>
      </c>
      <c r="I41" s="1183">
        <v>18237610</v>
      </c>
      <c r="J41" s="1183">
        <v>2523060</v>
      </c>
      <c r="K41" s="1183">
        <v>7383245</v>
      </c>
      <c r="L41" s="1183">
        <v>2477255</v>
      </c>
      <c r="M41" s="1183">
        <v>6537165</v>
      </c>
      <c r="N41" s="1183">
        <v>1444280</v>
      </c>
      <c r="O41" s="1183">
        <v>1444280</v>
      </c>
      <c r="P41" s="1183">
        <v>1837540</v>
      </c>
      <c r="Q41" s="1183">
        <v>920920</v>
      </c>
      <c r="R41" s="1183">
        <v>1334150</v>
      </c>
      <c r="S41" s="1183">
        <v>156800</v>
      </c>
      <c r="T41" s="1183">
        <v>1288680</v>
      </c>
      <c r="U41" s="1183">
        <v>7787805</v>
      </c>
      <c r="V41" s="1183">
        <v>858000</v>
      </c>
      <c r="W41" s="1183">
        <f>4639300-1444280</f>
        <v>3195020</v>
      </c>
      <c r="X41" s="1183">
        <v>1430000</v>
      </c>
      <c r="Y41" s="1201">
        <f t="shared" si="1"/>
        <v>90091585</v>
      </c>
      <c r="Z41" s="62"/>
    </row>
    <row r="42" spans="1:26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3">
        <v>717076.25</v>
      </c>
      <c r="F42" s="1183">
        <v>275655</v>
      </c>
      <c r="G42" s="1183">
        <v>229917.5</v>
      </c>
      <c r="H42" s="1183">
        <v>339140</v>
      </c>
      <c r="I42" s="1183">
        <v>911880.5</v>
      </c>
      <c r="J42" s="1183">
        <v>126153</v>
      </c>
      <c r="K42" s="1183">
        <v>369162.25</v>
      </c>
      <c r="L42" s="1183">
        <v>123862.75</v>
      </c>
      <c r="M42" s="1183">
        <v>326858.25</v>
      </c>
      <c r="N42" s="1183">
        <v>62418.5</v>
      </c>
      <c r="O42" s="1183">
        <v>49906</v>
      </c>
      <c r="P42" s="1183">
        <v>81152</v>
      </c>
      <c r="Q42" s="1183">
        <v>46046</v>
      </c>
      <c r="R42" s="1183">
        <v>54481</v>
      </c>
      <c r="S42" s="1183">
        <v>7840</v>
      </c>
      <c r="T42" s="1183">
        <v>59071.5</v>
      </c>
      <c r="U42" s="1183">
        <v>389390.25</v>
      </c>
      <c r="V42" s="1183">
        <v>32961.5</v>
      </c>
      <c r="W42" s="1183">
        <f>205152.5-62418.5</f>
        <v>142734</v>
      </c>
      <c r="X42" s="1183">
        <v>36822.5</v>
      </c>
      <c r="Y42" s="1201">
        <f t="shared" si="1"/>
        <v>4382528.75</v>
      </c>
      <c r="Z42" s="62"/>
    </row>
    <row r="43" spans="1:26" ht="21.95" customHeight="1">
      <c r="A43" s="66" t="s">
        <v>106</v>
      </c>
      <c r="B43" s="61" t="s">
        <v>107</v>
      </c>
      <c r="C43" s="61"/>
      <c r="D43" s="62"/>
      <c r="E43" s="1201">
        <f>E44</f>
        <v>106533.33</v>
      </c>
      <c r="F43" s="1201">
        <f t="shared" ref="F43:X43" si="17">F44</f>
        <v>37266.67</v>
      </c>
      <c r="G43" s="1201">
        <f t="shared" si="17"/>
        <v>31700</v>
      </c>
      <c r="H43" s="1201">
        <f t="shared" si="17"/>
        <v>43766.67</v>
      </c>
      <c r="I43" s="1201">
        <f t="shared" si="17"/>
        <v>140866.67000000001</v>
      </c>
      <c r="J43" s="1201">
        <f t="shared" si="17"/>
        <v>23000</v>
      </c>
      <c r="K43" s="1201">
        <f t="shared" si="17"/>
        <v>53500</v>
      </c>
      <c r="L43" s="1201">
        <f t="shared" si="17"/>
        <v>21933.33</v>
      </c>
      <c r="M43" s="1201">
        <f t="shared" si="17"/>
        <v>51233</v>
      </c>
      <c r="N43" s="1201">
        <f t="shared" si="17"/>
        <v>0</v>
      </c>
      <c r="O43" s="1201">
        <f t="shared" si="17"/>
        <v>16300</v>
      </c>
      <c r="P43" s="1201">
        <f t="shared" si="17"/>
        <v>19200</v>
      </c>
      <c r="Q43" s="1201">
        <f t="shared" si="17"/>
        <v>11600</v>
      </c>
      <c r="R43" s="1201">
        <f t="shared" si="17"/>
        <v>16400</v>
      </c>
      <c r="S43" s="1201">
        <f t="shared" si="17"/>
        <v>2800</v>
      </c>
      <c r="T43" s="1201">
        <f t="shared" si="17"/>
        <v>17767</v>
      </c>
      <c r="U43" s="1201">
        <f t="shared" si="17"/>
        <v>50833</v>
      </c>
      <c r="V43" s="1201">
        <f t="shared" si="17"/>
        <v>7933.33</v>
      </c>
      <c r="W43" s="1201">
        <f t="shared" si="17"/>
        <v>62500</v>
      </c>
      <c r="X43" s="1201">
        <f t="shared" si="17"/>
        <v>6933.33</v>
      </c>
      <c r="Y43" s="1201">
        <f t="shared" si="1"/>
        <v>722066.32999999984</v>
      </c>
      <c r="Z43" s="62"/>
    </row>
    <row r="44" spans="1:26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3">
        <v>106533.33</v>
      </c>
      <c r="F44" s="1183">
        <v>37266.67</v>
      </c>
      <c r="G44" s="1183">
        <v>31700</v>
      </c>
      <c r="H44" s="1183">
        <v>43766.67</v>
      </c>
      <c r="I44" s="1183">
        <v>140866.67000000001</v>
      </c>
      <c r="J44" s="1183">
        <v>23000</v>
      </c>
      <c r="K44" s="1183">
        <v>53500</v>
      </c>
      <c r="L44" s="1183">
        <v>21933.33</v>
      </c>
      <c r="M44" s="1183">
        <v>51233</v>
      </c>
      <c r="N44" s="1183"/>
      <c r="O44" s="1183">
        <v>16300</v>
      </c>
      <c r="P44" s="1183">
        <v>19200</v>
      </c>
      <c r="Q44" s="1183">
        <v>11600</v>
      </c>
      <c r="R44" s="1183">
        <v>16400</v>
      </c>
      <c r="S44" s="1183">
        <v>2800</v>
      </c>
      <c r="T44" s="1183">
        <v>17767</v>
      </c>
      <c r="U44" s="1183">
        <v>50833</v>
      </c>
      <c r="V44" s="1183">
        <v>7933.33</v>
      </c>
      <c r="W44" s="1183">
        <v>62500</v>
      </c>
      <c r="X44" s="1183">
        <v>6933.33</v>
      </c>
      <c r="Y44" s="1201">
        <f t="shared" si="1"/>
        <v>722066.32999999984</v>
      </c>
      <c r="Z44" s="62"/>
    </row>
    <row r="45" spans="1:26" ht="21.95" customHeight="1">
      <c r="A45" s="66" t="s">
        <v>111</v>
      </c>
      <c r="B45" s="61" t="s">
        <v>112</v>
      </c>
      <c r="C45" s="61"/>
      <c r="D45" s="62" t="s">
        <v>21</v>
      </c>
      <c r="E45" s="1201">
        <f>E46</f>
        <v>487354.65</v>
      </c>
      <c r="F45" s="1201">
        <f t="shared" ref="F45:X45" si="18">F46</f>
        <v>197400</v>
      </c>
      <c r="G45" s="1201">
        <f t="shared" si="18"/>
        <v>134278.19999999998</v>
      </c>
      <c r="H45" s="1201">
        <f t="shared" si="18"/>
        <v>170335.95</v>
      </c>
      <c r="I45" s="1201">
        <f t="shared" si="18"/>
        <v>570432.6</v>
      </c>
      <c r="J45" s="1201">
        <f t="shared" si="18"/>
        <v>69477.45</v>
      </c>
      <c r="K45" s="1201">
        <f t="shared" si="18"/>
        <v>191346.3</v>
      </c>
      <c r="L45" s="1201">
        <f t="shared" si="18"/>
        <v>139283.54999999999</v>
      </c>
      <c r="M45" s="1201">
        <f t="shared" si="18"/>
        <v>215373.15</v>
      </c>
      <c r="N45" s="1201">
        <f t="shared" si="18"/>
        <v>0</v>
      </c>
      <c r="O45" s="1201">
        <f t="shared" si="18"/>
        <v>64290</v>
      </c>
      <c r="P45" s="1201">
        <f t="shared" si="18"/>
        <v>200240.1</v>
      </c>
      <c r="Q45" s="1201">
        <f t="shared" si="18"/>
        <v>55978.8</v>
      </c>
      <c r="R45" s="1201">
        <f t="shared" si="18"/>
        <v>69180</v>
      </c>
      <c r="S45" s="1201">
        <f t="shared" si="18"/>
        <v>42000</v>
      </c>
      <c r="T45" s="1201">
        <f t="shared" si="18"/>
        <v>97500</v>
      </c>
      <c r="U45" s="1201">
        <f t="shared" si="18"/>
        <v>485033.55</v>
      </c>
      <c r="V45" s="1201">
        <f t="shared" si="18"/>
        <v>104925</v>
      </c>
      <c r="W45" s="1201">
        <f t="shared" si="18"/>
        <v>345436.05</v>
      </c>
      <c r="X45" s="1201">
        <f t="shared" si="18"/>
        <v>124093.35</v>
      </c>
      <c r="Y45" s="1201">
        <f t="shared" si="1"/>
        <v>3763958.6999999997</v>
      </c>
      <c r="Z45" s="62"/>
    </row>
    <row r="46" spans="1:26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3">
        <v>487354.65</v>
      </c>
      <c r="F46" s="1183">
        <v>197400</v>
      </c>
      <c r="G46" s="1183">
        <v>134278.19999999998</v>
      </c>
      <c r="H46" s="1183">
        <v>170335.95</v>
      </c>
      <c r="I46" s="1183">
        <v>570432.6</v>
      </c>
      <c r="J46" s="1183">
        <v>69477.45</v>
      </c>
      <c r="K46" s="1183">
        <v>191346.3</v>
      </c>
      <c r="L46" s="1183">
        <v>139283.54999999999</v>
      </c>
      <c r="M46" s="1183">
        <v>215373.15</v>
      </c>
      <c r="N46" s="1183"/>
      <c r="O46" s="1183">
        <v>64290</v>
      </c>
      <c r="P46" s="1183">
        <v>200240.1</v>
      </c>
      <c r="Q46" s="1183">
        <v>55978.8</v>
      </c>
      <c r="R46" s="1183">
        <v>69180</v>
      </c>
      <c r="S46" s="1183">
        <v>42000</v>
      </c>
      <c r="T46" s="1183">
        <v>97500</v>
      </c>
      <c r="U46" s="1183">
        <v>485033.55</v>
      </c>
      <c r="V46" s="1183">
        <v>104925</v>
      </c>
      <c r="W46" s="1183">
        <v>345436.05</v>
      </c>
      <c r="X46" s="1183">
        <v>124093.35</v>
      </c>
      <c r="Y46" s="1201">
        <f t="shared" si="1"/>
        <v>3763958.6999999997</v>
      </c>
      <c r="Z46" s="62"/>
    </row>
    <row r="47" spans="1:26" ht="21.95" customHeight="1">
      <c r="A47" s="66" t="s">
        <v>116</v>
      </c>
      <c r="B47" s="61" t="s">
        <v>117</v>
      </c>
      <c r="C47" s="61"/>
      <c r="D47" s="62" t="s">
        <v>21</v>
      </c>
      <c r="E47" s="1201">
        <f>E48</f>
        <v>139576</v>
      </c>
      <c r="F47" s="1201">
        <f t="shared" ref="F47:X47" si="19">F48</f>
        <v>69528</v>
      </c>
      <c r="G47" s="1201">
        <f t="shared" si="19"/>
        <v>51968</v>
      </c>
      <c r="H47" s="1201">
        <f t="shared" si="19"/>
        <v>32584</v>
      </c>
      <c r="I47" s="1201">
        <f t="shared" si="19"/>
        <v>98712</v>
      </c>
      <c r="J47" s="1201">
        <f t="shared" si="19"/>
        <v>25808</v>
      </c>
      <c r="K47" s="1201">
        <f t="shared" si="19"/>
        <v>52960</v>
      </c>
      <c r="L47" s="1201">
        <f t="shared" si="19"/>
        <v>28680</v>
      </c>
      <c r="M47" s="1201">
        <f t="shared" si="19"/>
        <v>63040</v>
      </c>
      <c r="N47" s="1201">
        <f t="shared" si="19"/>
        <v>0</v>
      </c>
      <c r="O47" s="1201">
        <f t="shared" si="19"/>
        <v>18800</v>
      </c>
      <c r="P47" s="1201">
        <f t="shared" si="19"/>
        <v>48357.599999999999</v>
      </c>
      <c r="Q47" s="1201">
        <f t="shared" si="19"/>
        <v>14288</v>
      </c>
      <c r="R47" s="1201">
        <f t="shared" si="19"/>
        <v>13736</v>
      </c>
      <c r="S47" s="1201">
        <f t="shared" si="19"/>
        <v>0</v>
      </c>
      <c r="T47" s="1201">
        <f t="shared" si="19"/>
        <v>18496.8</v>
      </c>
      <c r="U47" s="1201">
        <f t="shared" si="19"/>
        <v>137634.4</v>
      </c>
      <c r="V47" s="1201">
        <f t="shared" si="19"/>
        <v>29584.799999999999</v>
      </c>
      <c r="W47" s="1201">
        <f t="shared" si="19"/>
        <v>75440</v>
      </c>
      <c r="X47" s="1201">
        <f t="shared" si="19"/>
        <v>23851.599999999999</v>
      </c>
      <c r="Y47" s="1201">
        <f t="shared" si="1"/>
        <v>943045.20000000007</v>
      </c>
      <c r="Z47" s="62"/>
    </row>
    <row r="48" spans="1:26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3">
        <v>139576</v>
      </c>
      <c r="F48" s="1183">
        <v>69528</v>
      </c>
      <c r="G48" s="1183">
        <v>51968</v>
      </c>
      <c r="H48" s="1183">
        <v>32584</v>
      </c>
      <c r="I48" s="1183">
        <v>98712</v>
      </c>
      <c r="J48" s="1183">
        <v>25808</v>
      </c>
      <c r="K48" s="1183">
        <v>52960</v>
      </c>
      <c r="L48" s="1183">
        <v>28680</v>
      </c>
      <c r="M48" s="1183">
        <v>63040</v>
      </c>
      <c r="N48" s="1183"/>
      <c r="O48" s="1183">
        <v>18800</v>
      </c>
      <c r="P48" s="1183">
        <v>48357.599999999999</v>
      </c>
      <c r="Q48" s="1183">
        <v>14288</v>
      </c>
      <c r="R48" s="1183">
        <v>13736</v>
      </c>
      <c r="S48" s="1183"/>
      <c r="T48" s="1183">
        <v>18496.8</v>
      </c>
      <c r="U48" s="1183">
        <v>137634.4</v>
      </c>
      <c r="V48" s="1183">
        <v>29584.799999999999</v>
      </c>
      <c r="W48" s="1183">
        <v>75440</v>
      </c>
      <c r="X48" s="1183">
        <v>23851.599999999999</v>
      </c>
      <c r="Y48" s="1201">
        <f t="shared" si="1"/>
        <v>943045.20000000007</v>
      </c>
      <c r="Z48" s="62"/>
    </row>
    <row r="49" spans="1:26" ht="21.95" customHeight="1">
      <c r="A49" s="66" t="s">
        <v>121</v>
      </c>
      <c r="B49" s="61" t="s">
        <v>210</v>
      </c>
      <c r="C49" s="61"/>
      <c r="D49" s="62" t="s">
        <v>21</v>
      </c>
      <c r="E49" s="1201">
        <f>E50+E51</f>
        <v>1735920</v>
      </c>
      <c r="F49" s="1201">
        <f t="shared" ref="F49:X49" si="20">F50+F51</f>
        <v>631800</v>
      </c>
      <c r="G49" s="1201">
        <f t="shared" si="20"/>
        <v>619200</v>
      </c>
      <c r="H49" s="1201">
        <f t="shared" si="20"/>
        <v>487440</v>
      </c>
      <c r="I49" s="1201">
        <f t="shared" si="20"/>
        <v>1995120</v>
      </c>
      <c r="J49" s="1201">
        <f t="shared" si="20"/>
        <v>421200</v>
      </c>
      <c r="K49" s="1201">
        <f t="shared" si="20"/>
        <v>738720</v>
      </c>
      <c r="L49" s="1201">
        <f t="shared" si="20"/>
        <v>354240</v>
      </c>
      <c r="M49" s="1201">
        <f t="shared" si="20"/>
        <v>572400</v>
      </c>
      <c r="N49" s="1201">
        <f t="shared" si="20"/>
        <v>0</v>
      </c>
      <c r="O49" s="1201">
        <f t="shared" si="20"/>
        <v>347400</v>
      </c>
      <c r="P49" s="1201">
        <f t="shared" si="20"/>
        <v>211680</v>
      </c>
      <c r="Q49" s="1201">
        <f t="shared" si="20"/>
        <v>125280</v>
      </c>
      <c r="R49" s="1201">
        <f t="shared" si="20"/>
        <v>306000</v>
      </c>
      <c r="S49" s="1201">
        <f t="shared" si="20"/>
        <v>64800</v>
      </c>
      <c r="T49" s="1201">
        <f t="shared" si="20"/>
        <v>191880</v>
      </c>
      <c r="U49" s="1201">
        <f t="shared" si="20"/>
        <v>643680</v>
      </c>
      <c r="V49" s="1201">
        <f t="shared" si="20"/>
        <v>85680</v>
      </c>
      <c r="W49" s="1201">
        <f t="shared" si="20"/>
        <v>904320</v>
      </c>
      <c r="X49" s="1201">
        <f t="shared" si="20"/>
        <v>74880</v>
      </c>
      <c r="Y49" s="1201">
        <f t="shared" si="1"/>
        <v>10511640</v>
      </c>
      <c r="Z49" s="62"/>
    </row>
    <row r="50" spans="1:26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3">
        <v>1150560</v>
      </c>
      <c r="F50" s="1183">
        <v>402480</v>
      </c>
      <c r="G50" s="1183">
        <v>342360</v>
      </c>
      <c r="H50" s="1183">
        <v>472680</v>
      </c>
      <c r="I50" s="1183">
        <v>1521360</v>
      </c>
      <c r="J50" s="1183">
        <v>248400</v>
      </c>
      <c r="K50" s="1183">
        <v>577800</v>
      </c>
      <c r="L50" s="1183">
        <v>236880</v>
      </c>
      <c r="M50" s="1183">
        <v>553320</v>
      </c>
      <c r="N50" s="1183"/>
      <c r="O50" s="1183">
        <v>176040</v>
      </c>
      <c r="P50" s="1183">
        <v>207360</v>
      </c>
      <c r="Q50" s="1183">
        <v>125280</v>
      </c>
      <c r="R50" s="1183">
        <v>177120</v>
      </c>
      <c r="S50" s="1183">
        <v>30240</v>
      </c>
      <c r="T50" s="1183">
        <v>191880</v>
      </c>
      <c r="U50" s="1183">
        <v>549000</v>
      </c>
      <c r="V50" s="1183">
        <v>85680</v>
      </c>
      <c r="W50" s="1183">
        <v>675000</v>
      </c>
      <c r="X50" s="1183">
        <v>74880</v>
      </c>
      <c r="Y50" s="1201">
        <f t="shared" si="1"/>
        <v>7798320</v>
      </c>
      <c r="Z50" s="62"/>
    </row>
    <row r="51" spans="1:26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3">
        <v>585360</v>
      </c>
      <c r="F51" s="1183">
        <v>229320</v>
      </c>
      <c r="G51" s="1183">
        <v>276840</v>
      </c>
      <c r="H51" s="1183">
        <v>14760</v>
      </c>
      <c r="I51" s="1183">
        <v>473760</v>
      </c>
      <c r="J51" s="1183">
        <v>172800</v>
      </c>
      <c r="K51" s="1183">
        <v>160920</v>
      </c>
      <c r="L51" s="1183">
        <v>117360</v>
      </c>
      <c r="M51" s="1183">
        <v>19080</v>
      </c>
      <c r="N51" s="1183"/>
      <c r="O51" s="1183">
        <v>171360</v>
      </c>
      <c r="P51" s="1183">
        <v>4320</v>
      </c>
      <c r="Q51" s="1183"/>
      <c r="R51" s="1183">
        <v>128880</v>
      </c>
      <c r="S51" s="1183">
        <v>34560</v>
      </c>
      <c r="T51" s="1183">
        <v>0</v>
      </c>
      <c r="U51" s="1183">
        <v>94680</v>
      </c>
      <c r="V51" s="1183"/>
      <c r="W51" s="1183">
        <v>229320</v>
      </c>
      <c r="X51" s="1183"/>
      <c r="Y51" s="1201">
        <f t="shared" si="1"/>
        <v>2713320</v>
      </c>
      <c r="Z51" s="62"/>
    </row>
    <row r="52" spans="1:26" ht="21.95" customHeight="1">
      <c r="A52" s="66" t="s">
        <v>126</v>
      </c>
      <c r="B52" s="61" t="s">
        <v>214</v>
      </c>
      <c r="C52" s="61"/>
      <c r="D52" s="62" t="s">
        <v>21</v>
      </c>
      <c r="E52" s="1201">
        <f>E53</f>
        <v>1385724.86</v>
      </c>
      <c r="F52" s="1201">
        <f t="shared" ref="F52:X52" si="21">F53</f>
        <v>463242.69</v>
      </c>
      <c r="G52" s="1201">
        <f t="shared" si="21"/>
        <v>395930.29</v>
      </c>
      <c r="H52" s="1201">
        <f t="shared" si="21"/>
        <v>534723.43000000005</v>
      </c>
      <c r="I52" s="1201">
        <f t="shared" si="21"/>
        <v>1702676.29</v>
      </c>
      <c r="J52" s="1201">
        <f t="shared" si="21"/>
        <v>280378.28999999998</v>
      </c>
      <c r="K52" s="1201">
        <f t="shared" si="21"/>
        <v>672650.43</v>
      </c>
      <c r="L52" s="1201">
        <f t="shared" si="21"/>
        <v>263628.57</v>
      </c>
      <c r="M52" s="1201">
        <f t="shared" si="21"/>
        <v>625531.14</v>
      </c>
      <c r="N52" s="1201">
        <f t="shared" si="21"/>
        <v>0</v>
      </c>
      <c r="O52" s="1201">
        <f t="shared" si="21"/>
        <v>177187.15</v>
      </c>
      <c r="P52" s="1201">
        <f t="shared" si="21"/>
        <v>203466.44</v>
      </c>
      <c r="Q52" s="1201">
        <f t="shared" si="21"/>
        <v>128098.29</v>
      </c>
      <c r="R52" s="1201">
        <f t="shared" si="21"/>
        <v>175764.86</v>
      </c>
      <c r="S52" s="1201">
        <f t="shared" si="21"/>
        <v>36366.86</v>
      </c>
      <c r="T52" s="1201">
        <f t="shared" si="21"/>
        <v>195343</v>
      </c>
      <c r="U52" s="1201">
        <f t="shared" si="21"/>
        <v>611760.56999999995</v>
      </c>
      <c r="V52" s="1201">
        <f t="shared" si="21"/>
        <v>86934.86</v>
      </c>
      <c r="W52" s="1201">
        <f t="shared" si="21"/>
        <v>708090</v>
      </c>
      <c r="X52" s="1201">
        <f t="shared" si="21"/>
        <v>66707.14</v>
      </c>
      <c r="Y52" s="1201">
        <f t="shared" si="1"/>
        <v>8714205.1600000039</v>
      </c>
      <c r="Z52" s="62"/>
    </row>
    <row r="53" spans="1:26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3">
        <v>1385724.86</v>
      </c>
      <c r="F53" s="1183">
        <v>463242.69</v>
      </c>
      <c r="G53" s="1183">
        <v>395930.29</v>
      </c>
      <c r="H53" s="1183">
        <v>534723.43000000005</v>
      </c>
      <c r="I53" s="1183">
        <v>1702676.29</v>
      </c>
      <c r="J53" s="1183">
        <v>280378.28999999998</v>
      </c>
      <c r="K53" s="1183">
        <v>672650.43</v>
      </c>
      <c r="L53" s="1183">
        <v>263628.57</v>
      </c>
      <c r="M53" s="1183">
        <v>625531.14</v>
      </c>
      <c r="N53" s="1183"/>
      <c r="O53" s="1183">
        <v>177187.15</v>
      </c>
      <c r="P53" s="1183">
        <v>203466.44</v>
      </c>
      <c r="Q53" s="1183">
        <v>128098.29</v>
      </c>
      <c r="R53" s="1183">
        <v>175764.86</v>
      </c>
      <c r="S53" s="1183">
        <v>36366.86</v>
      </c>
      <c r="T53" s="1183">
        <v>195343</v>
      </c>
      <c r="U53" s="1183">
        <v>611760.56999999995</v>
      </c>
      <c r="V53" s="1183">
        <v>86934.86</v>
      </c>
      <c r="W53" s="1183">
        <v>708090</v>
      </c>
      <c r="X53" s="1183">
        <v>66707.14</v>
      </c>
      <c r="Y53" s="1201">
        <f t="shared" si="1"/>
        <v>8714205.1600000039</v>
      </c>
      <c r="Z53" s="62"/>
    </row>
    <row r="54" spans="1:26" ht="21.95" customHeight="1">
      <c r="A54" s="66" t="s">
        <v>130</v>
      </c>
      <c r="B54" s="61" t="s">
        <v>215</v>
      </c>
      <c r="C54" s="61"/>
      <c r="D54" s="62" t="s">
        <v>21</v>
      </c>
      <c r="E54" s="1201">
        <f>E55</f>
        <v>22496.31</v>
      </c>
      <c r="F54" s="1201">
        <f t="shared" ref="F54:X54" si="22">F55</f>
        <v>7000</v>
      </c>
      <c r="G54" s="1201">
        <f t="shared" si="22"/>
        <v>5500</v>
      </c>
      <c r="H54" s="1201">
        <f t="shared" si="22"/>
        <v>18000</v>
      </c>
      <c r="I54" s="1201">
        <f t="shared" si="22"/>
        <v>10000</v>
      </c>
      <c r="J54" s="1201">
        <f t="shared" si="22"/>
        <v>32000</v>
      </c>
      <c r="K54" s="1201">
        <f t="shared" si="22"/>
        <v>0</v>
      </c>
      <c r="L54" s="1201">
        <f t="shared" si="22"/>
        <v>21000</v>
      </c>
      <c r="M54" s="1201">
        <f t="shared" si="22"/>
        <v>32000</v>
      </c>
      <c r="N54" s="1201">
        <f t="shared" si="22"/>
        <v>14000</v>
      </c>
      <c r="O54" s="1201">
        <f t="shared" si="22"/>
        <v>0</v>
      </c>
      <c r="P54" s="1201">
        <f t="shared" si="22"/>
        <v>0</v>
      </c>
      <c r="Q54" s="1201">
        <f t="shared" si="22"/>
        <v>20000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0</v>
      </c>
      <c r="X54" s="1201">
        <f t="shared" si="22"/>
        <v>0</v>
      </c>
      <c r="Y54" s="1201">
        <f t="shared" si="1"/>
        <v>181996.31</v>
      </c>
      <c r="Z54" s="62"/>
    </row>
    <row r="55" spans="1:26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3">
        <v>22496.31</v>
      </c>
      <c r="F55" s="1183">
        <v>7000</v>
      </c>
      <c r="G55" s="1183">
        <v>5500</v>
      </c>
      <c r="H55" s="1183">
        <v>18000</v>
      </c>
      <c r="I55" s="1183">
        <v>10000</v>
      </c>
      <c r="J55" s="1183">
        <v>32000</v>
      </c>
      <c r="K55" s="1183"/>
      <c r="L55" s="1183">
        <v>21000</v>
      </c>
      <c r="M55" s="1183">
        <v>32000</v>
      </c>
      <c r="N55" s="1183">
        <v>14000</v>
      </c>
      <c r="O55" s="1183"/>
      <c r="P55" s="1183"/>
      <c r="Q55" s="1183">
        <v>20000</v>
      </c>
      <c r="R55" s="1183"/>
      <c r="S55" s="1183"/>
      <c r="T55" s="1183"/>
      <c r="U55" s="1183"/>
      <c r="V55" s="1183"/>
      <c r="W55" s="1183"/>
      <c r="X55" s="1183"/>
      <c r="Y55" s="1201">
        <f t="shared" si="1"/>
        <v>181996.31</v>
      </c>
      <c r="Z55" s="62"/>
    </row>
    <row r="56" spans="1:26" ht="21.95" customHeight="1">
      <c r="A56" s="66" t="s">
        <v>134</v>
      </c>
      <c r="B56" s="61" t="s">
        <v>3006</v>
      </c>
      <c r="C56" s="61"/>
      <c r="D56" s="62" t="s">
        <v>21</v>
      </c>
      <c r="E56" s="1201">
        <f>E57+E59</f>
        <v>59900</v>
      </c>
      <c r="F56" s="1201">
        <f t="shared" ref="F56:X56" si="23">F57+F59</f>
        <v>26133</v>
      </c>
      <c r="G56" s="1201">
        <f t="shared" si="23"/>
        <v>26833.33</v>
      </c>
      <c r="H56" s="1201">
        <f t="shared" si="23"/>
        <v>4967</v>
      </c>
      <c r="I56" s="1201">
        <f t="shared" si="23"/>
        <v>59866.67</v>
      </c>
      <c r="J56" s="1201">
        <f t="shared" si="23"/>
        <v>18000</v>
      </c>
      <c r="K56" s="1201">
        <f t="shared" si="23"/>
        <v>19300</v>
      </c>
      <c r="L56" s="1201">
        <f t="shared" si="23"/>
        <v>12817</v>
      </c>
      <c r="M56" s="1201">
        <f t="shared" si="23"/>
        <v>11767</v>
      </c>
      <c r="N56" s="1201">
        <f t="shared" si="23"/>
        <v>0</v>
      </c>
      <c r="O56" s="1201">
        <f t="shared" si="23"/>
        <v>17867</v>
      </c>
      <c r="P56" s="1201">
        <f t="shared" si="23"/>
        <v>4550</v>
      </c>
      <c r="Q56" s="1201">
        <f t="shared" si="23"/>
        <v>3150</v>
      </c>
      <c r="R56" s="1201">
        <f t="shared" si="23"/>
        <v>12833.33</v>
      </c>
      <c r="S56" s="1201">
        <f t="shared" si="23"/>
        <v>3200</v>
      </c>
      <c r="T56" s="1201">
        <f t="shared" si="23"/>
        <v>3000</v>
      </c>
      <c r="U56" s="1201">
        <f t="shared" si="23"/>
        <v>14917</v>
      </c>
      <c r="V56" s="1201">
        <f t="shared" si="23"/>
        <v>1500</v>
      </c>
      <c r="W56" s="1201">
        <f t="shared" si="23"/>
        <v>26133</v>
      </c>
      <c r="X56" s="1201">
        <f t="shared" si="23"/>
        <v>0</v>
      </c>
      <c r="Y56" s="1201">
        <f t="shared" si="1"/>
        <v>326734.33</v>
      </c>
      <c r="Z56" s="62"/>
    </row>
    <row r="57" spans="1:26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201">
        <f>E58</f>
        <v>54200</v>
      </c>
      <c r="F57" s="1201">
        <f t="shared" ref="F57:X57" si="24">F58</f>
        <v>21233</v>
      </c>
      <c r="G57" s="1201">
        <f t="shared" si="24"/>
        <v>25633.33</v>
      </c>
      <c r="H57" s="1201">
        <f t="shared" si="24"/>
        <v>1367</v>
      </c>
      <c r="I57" s="1201">
        <f t="shared" si="24"/>
        <v>43866.67</v>
      </c>
      <c r="J57" s="1201">
        <f t="shared" si="24"/>
        <v>16000</v>
      </c>
      <c r="K57" s="1201">
        <f t="shared" si="24"/>
        <v>14900</v>
      </c>
      <c r="L57" s="1201">
        <f t="shared" si="24"/>
        <v>10867</v>
      </c>
      <c r="M57" s="1201">
        <f t="shared" si="24"/>
        <v>1767</v>
      </c>
      <c r="N57" s="1201">
        <f t="shared" si="24"/>
        <v>0</v>
      </c>
      <c r="O57" s="1201">
        <f t="shared" si="24"/>
        <v>15867</v>
      </c>
      <c r="P57" s="1201">
        <f t="shared" si="24"/>
        <v>400</v>
      </c>
      <c r="Q57" s="1201">
        <f t="shared" si="24"/>
        <v>0</v>
      </c>
      <c r="R57" s="1201">
        <f t="shared" si="24"/>
        <v>11933.33</v>
      </c>
      <c r="S57" s="1201">
        <f t="shared" si="24"/>
        <v>3200</v>
      </c>
      <c r="T57" s="1201">
        <f t="shared" si="24"/>
        <v>0</v>
      </c>
      <c r="U57" s="1201">
        <f t="shared" si="24"/>
        <v>8767</v>
      </c>
      <c r="V57" s="1201">
        <f t="shared" si="24"/>
        <v>0</v>
      </c>
      <c r="W57" s="1201">
        <f t="shared" si="24"/>
        <v>21233</v>
      </c>
      <c r="X57" s="1201">
        <f t="shared" si="24"/>
        <v>0</v>
      </c>
      <c r="Y57" s="1201">
        <f t="shared" si="1"/>
        <v>251234.33</v>
      </c>
      <c r="Z57" s="62"/>
    </row>
    <row r="58" spans="1:26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3">
        <v>54200</v>
      </c>
      <c r="F58" s="1183">
        <v>21233</v>
      </c>
      <c r="G58" s="1183">
        <v>25633.33</v>
      </c>
      <c r="H58" s="1183">
        <v>1367</v>
      </c>
      <c r="I58" s="1183">
        <v>43866.67</v>
      </c>
      <c r="J58" s="1183">
        <v>16000</v>
      </c>
      <c r="K58" s="1183">
        <v>14900</v>
      </c>
      <c r="L58" s="1183">
        <v>10867</v>
      </c>
      <c r="M58" s="1183">
        <v>1767</v>
      </c>
      <c r="N58" s="1183"/>
      <c r="O58" s="1183">
        <v>15867</v>
      </c>
      <c r="P58" s="1183">
        <v>400</v>
      </c>
      <c r="Q58" s="1183"/>
      <c r="R58" s="1183">
        <v>11933.33</v>
      </c>
      <c r="S58" s="1183">
        <v>3200</v>
      </c>
      <c r="T58" s="1183"/>
      <c r="U58" s="1183">
        <v>8767</v>
      </c>
      <c r="V58" s="1183"/>
      <c r="W58" s="1183">
        <v>21233</v>
      </c>
      <c r="X58" s="1183"/>
      <c r="Y58" s="1201">
        <f t="shared" si="1"/>
        <v>251234.33</v>
      </c>
      <c r="Z58" s="62"/>
    </row>
    <row r="59" spans="1:26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3">
        <v>5700</v>
      </c>
      <c r="F59" s="1183">
        <v>4900</v>
      </c>
      <c r="G59" s="1183">
        <v>1200</v>
      </c>
      <c r="H59" s="1183">
        <v>3600</v>
      </c>
      <c r="I59" s="1183">
        <v>16000</v>
      </c>
      <c r="J59" s="1183">
        <v>2000</v>
      </c>
      <c r="K59" s="1183">
        <v>4400</v>
      </c>
      <c r="L59" s="1183">
        <v>1950</v>
      </c>
      <c r="M59" s="1183">
        <v>10000</v>
      </c>
      <c r="N59" s="1183"/>
      <c r="O59" s="1183">
        <v>2000</v>
      </c>
      <c r="P59" s="1183">
        <v>4150</v>
      </c>
      <c r="Q59" s="1183">
        <v>3150</v>
      </c>
      <c r="R59" s="1183">
        <v>900</v>
      </c>
      <c r="S59" s="1183"/>
      <c r="T59" s="1183">
        <v>3000</v>
      </c>
      <c r="U59" s="1183">
        <v>6150</v>
      </c>
      <c r="V59" s="1183">
        <v>1500</v>
      </c>
      <c r="W59" s="1183">
        <v>4900</v>
      </c>
      <c r="X59" s="1183"/>
      <c r="Y59" s="1201">
        <f t="shared" si="1"/>
        <v>75500</v>
      </c>
      <c r="Z59" s="62"/>
    </row>
    <row r="60" spans="1:26" ht="21.95" customHeight="1">
      <c r="A60" s="66" t="s">
        <v>141</v>
      </c>
      <c r="B60" s="61" t="s">
        <v>3009</v>
      </c>
      <c r="C60" s="61"/>
      <c r="D60" s="62" t="s">
        <v>21</v>
      </c>
      <c r="E60" s="1201">
        <f>E61</f>
        <v>10000</v>
      </c>
      <c r="F60" s="1201">
        <f t="shared" ref="F60:X60" si="25">F61</f>
        <v>0</v>
      </c>
      <c r="G60" s="1201">
        <f t="shared" si="25"/>
        <v>0</v>
      </c>
      <c r="H60" s="1201">
        <f t="shared" si="25"/>
        <v>0</v>
      </c>
      <c r="I60" s="1201">
        <f t="shared" si="25"/>
        <v>20000</v>
      </c>
      <c r="J60" s="1201">
        <f t="shared" si="25"/>
        <v>0</v>
      </c>
      <c r="K60" s="1201">
        <f t="shared" si="25"/>
        <v>32000</v>
      </c>
      <c r="L60" s="1201">
        <f t="shared" si="25"/>
        <v>0</v>
      </c>
      <c r="M60" s="1201">
        <f t="shared" si="25"/>
        <v>0</v>
      </c>
      <c r="N60" s="1201">
        <f t="shared" si="25"/>
        <v>6000</v>
      </c>
      <c r="O60" s="1201">
        <f t="shared" si="25"/>
        <v>32000</v>
      </c>
      <c r="P60" s="1201">
        <f t="shared" si="25"/>
        <v>32000</v>
      </c>
      <c r="Q60" s="1201">
        <f t="shared" si="25"/>
        <v>0</v>
      </c>
      <c r="R60" s="1201">
        <f t="shared" si="25"/>
        <v>32000</v>
      </c>
      <c r="S60" s="1201">
        <f t="shared" si="25"/>
        <v>32000</v>
      </c>
      <c r="T60" s="1201">
        <f t="shared" si="25"/>
        <v>32000</v>
      </c>
      <c r="U60" s="1201">
        <f t="shared" si="25"/>
        <v>32000</v>
      </c>
      <c r="V60" s="1201">
        <f t="shared" si="25"/>
        <v>32000</v>
      </c>
      <c r="W60" s="1201">
        <f t="shared" si="25"/>
        <v>32000</v>
      </c>
      <c r="X60" s="1201">
        <f t="shared" si="25"/>
        <v>32000</v>
      </c>
      <c r="Y60" s="1201">
        <f t="shared" si="1"/>
        <v>356000</v>
      </c>
      <c r="Z60" s="62"/>
    </row>
    <row r="61" spans="1:26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2">
        <v>10000</v>
      </c>
      <c r="F61" s="1182"/>
      <c r="G61" s="1182"/>
      <c r="H61" s="1182"/>
      <c r="I61" s="1182">
        <v>20000</v>
      </c>
      <c r="J61" s="1182"/>
      <c r="K61" s="1182">
        <v>32000</v>
      </c>
      <c r="L61" s="1182"/>
      <c r="M61" s="1182"/>
      <c r="N61" s="1182">
        <v>6000</v>
      </c>
      <c r="O61" s="1182">
        <v>32000</v>
      </c>
      <c r="P61" s="1182">
        <v>32000</v>
      </c>
      <c r="Q61" s="1182"/>
      <c r="R61" s="1182">
        <v>32000</v>
      </c>
      <c r="S61" s="1182">
        <v>32000</v>
      </c>
      <c r="T61" s="1182">
        <v>32000</v>
      </c>
      <c r="U61" s="1182">
        <v>32000</v>
      </c>
      <c r="V61" s="1182">
        <v>32000</v>
      </c>
      <c r="W61" s="1182">
        <v>32000</v>
      </c>
      <c r="X61" s="1182">
        <v>32000</v>
      </c>
      <c r="Y61" s="1201">
        <f t="shared" si="1"/>
        <v>356000</v>
      </c>
      <c r="Z61" s="1187"/>
    </row>
    <row r="62" spans="1:26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188"/>
      <c r="Y62" s="1185">
        <f t="shared" si="1"/>
        <v>0</v>
      </c>
      <c r="Z62" s="1189"/>
    </row>
    <row r="63" spans="1:26" ht="21.9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265</v>
      </c>
      <c r="F63" s="1198">
        <f t="shared" ref="F63:X63" si="26">F64+F65+F66+F67</f>
        <v>97</v>
      </c>
      <c r="G63" s="1198">
        <f t="shared" si="26"/>
        <v>80</v>
      </c>
      <c r="H63" s="1198">
        <f t="shared" si="26"/>
        <v>114</v>
      </c>
      <c r="I63" s="1198">
        <f t="shared" si="26"/>
        <v>347</v>
      </c>
      <c r="J63" s="1198">
        <f t="shared" si="26"/>
        <v>56</v>
      </c>
      <c r="K63" s="1198">
        <f t="shared" si="26"/>
        <v>132</v>
      </c>
      <c r="L63" s="1198">
        <f t="shared" si="26"/>
        <v>54</v>
      </c>
      <c r="M63" s="1198">
        <f t="shared" si="26"/>
        <v>125</v>
      </c>
      <c r="N63" s="1198">
        <f t="shared" si="26"/>
        <v>0</v>
      </c>
      <c r="O63" s="1198">
        <f t="shared" si="26"/>
        <v>40</v>
      </c>
      <c r="P63" s="1198">
        <f t="shared" si="26"/>
        <v>48</v>
      </c>
      <c r="Q63" s="1198">
        <f t="shared" si="26"/>
        <v>29</v>
      </c>
      <c r="R63" s="1198">
        <f t="shared" si="26"/>
        <v>42</v>
      </c>
      <c r="S63" s="1198">
        <f t="shared" si="26"/>
        <v>7</v>
      </c>
      <c r="T63" s="1198">
        <f t="shared" si="26"/>
        <v>45</v>
      </c>
      <c r="U63" s="1198">
        <f t="shared" si="26"/>
        <v>137</v>
      </c>
      <c r="V63" s="1198">
        <f t="shared" si="26"/>
        <v>21</v>
      </c>
      <c r="W63" s="1198">
        <f t="shared" si="26"/>
        <v>144</v>
      </c>
      <c r="X63" s="1198">
        <f t="shared" si="26"/>
        <v>22</v>
      </c>
      <c r="Y63" s="1198">
        <f t="shared" si="1"/>
        <v>1805</v>
      </c>
      <c r="Z63" s="62"/>
    </row>
    <row r="64" spans="1:26" ht="21.95" customHeight="1">
      <c r="A64" s="66" t="s">
        <v>148</v>
      </c>
      <c r="B64" s="1199" t="s">
        <v>149</v>
      </c>
      <c r="C64" s="1199"/>
      <c r="D64" s="62"/>
      <c r="E64" s="1190">
        <v>265</v>
      </c>
      <c r="F64" s="1190">
        <v>97</v>
      </c>
      <c r="G64" s="1190">
        <v>80</v>
      </c>
      <c r="H64" s="1190">
        <v>114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0">
        <v>85</v>
      </c>
      <c r="V64" s="1190"/>
      <c r="W64" s="1190"/>
      <c r="X64" s="1190"/>
      <c r="Y64" s="1198">
        <f t="shared" si="1"/>
        <v>641</v>
      </c>
      <c r="Z64" s="62"/>
    </row>
    <row r="65" spans="1:26" ht="21.9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347</v>
      </c>
      <c r="J65" s="1190">
        <v>56</v>
      </c>
      <c r="K65" s="1190">
        <v>132</v>
      </c>
      <c r="L65" s="1190">
        <v>54</v>
      </c>
      <c r="M65" s="1190">
        <v>125</v>
      </c>
      <c r="N65" s="1190"/>
      <c r="O65" s="1190"/>
      <c r="P65" s="1190"/>
      <c r="Q65" s="1190"/>
      <c r="R65" s="1190"/>
      <c r="S65" s="1190"/>
      <c r="T65" s="1190"/>
      <c r="U65" s="1190">
        <v>52</v>
      </c>
      <c r="V65" s="1190"/>
      <c r="W65" s="1190"/>
      <c r="X65" s="1190"/>
      <c r="Y65" s="1198">
        <f t="shared" si="1"/>
        <v>766</v>
      </c>
      <c r="Z65" s="62"/>
    </row>
    <row r="66" spans="1:26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/>
      <c r="M66" s="1190"/>
      <c r="N66" s="1190"/>
      <c r="O66" s="1190">
        <v>40</v>
      </c>
      <c r="P66" s="1190">
        <v>48</v>
      </c>
      <c r="Q66" s="1190">
        <v>29</v>
      </c>
      <c r="R66" s="1190">
        <v>42</v>
      </c>
      <c r="S66" s="1190"/>
      <c r="T66" s="1190">
        <v>45</v>
      </c>
      <c r="U66" s="1190"/>
      <c r="V66" s="1190">
        <v>21</v>
      </c>
      <c r="W66" s="1190">
        <v>144</v>
      </c>
      <c r="X66" s="1190">
        <v>22</v>
      </c>
      <c r="Y66" s="1198">
        <f t="shared" si="1"/>
        <v>391</v>
      </c>
      <c r="Z66" s="62"/>
    </row>
    <row r="67" spans="1:26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>
        <v>7</v>
      </c>
      <c r="T67" s="1190"/>
      <c r="U67" s="1190"/>
      <c r="V67" s="1190"/>
      <c r="W67" s="1190"/>
      <c r="X67" s="1190"/>
      <c r="Y67" s="1198">
        <f t="shared" si="1"/>
        <v>7</v>
      </c>
      <c r="Z67" s="62"/>
    </row>
    <row r="68" spans="1:26" ht="21.9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3840</v>
      </c>
      <c r="F68" s="1198">
        <f t="shared" ref="F68:X68" si="27">F69+F70+F71+F72</f>
        <v>1476</v>
      </c>
      <c r="G68" s="1198">
        <f t="shared" si="27"/>
        <v>1210</v>
      </c>
      <c r="H68" s="1198">
        <f t="shared" si="27"/>
        <v>1818</v>
      </c>
      <c r="I68" s="1198">
        <f t="shared" si="27"/>
        <v>5574</v>
      </c>
      <c r="J68" s="1198">
        <f t="shared" si="27"/>
        <v>793</v>
      </c>
      <c r="K68" s="1198">
        <f t="shared" si="27"/>
        <v>2235</v>
      </c>
      <c r="L68" s="1198">
        <f t="shared" si="27"/>
        <v>768</v>
      </c>
      <c r="M68" s="1198">
        <f t="shared" si="27"/>
        <v>1980</v>
      </c>
      <c r="N68" s="1198">
        <f t="shared" si="27"/>
        <v>0</v>
      </c>
      <c r="O68" s="1198">
        <f t="shared" si="27"/>
        <v>322</v>
      </c>
      <c r="P68" s="1198">
        <f t="shared" si="27"/>
        <v>547</v>
      </c>
      <c r="Q68" s="1198">
        <f t="shared" si="27"/>
        <v>309</v>
      </c>
      <c r="R68" s="1198">
        <f t="shared" si="27"/>
        <v>382</v>
      </c>
      <c r="S68" s="1198">
        <f t="shared" si="27"/>
        <v>0</v>
      </c>
      <c r="T68" s="1198">
        <f t="shared" si="27"/>
        <v>309</v>
      </c>
      <c r="U68" s="1198">
        <f t="shared" si="27"/>
        <v>2311</v>
      </c>
      <c r="V68" s="1198">
        <f t="shared" si="27"/>
        <v>255</v>
      </c>
      <c r="W68" s="1198">
        <f t="shared" si="27"/>
        <v>1355</v>
      </c>
      <c r="X68" s="1198">
        <f t="shared" si="27"/>
        <v>288</v>
      </c>
      <c r="Y68" s="1198">
        <f t="shared" si="1"/>
        <v>25772</v>
      </c>
      <c r="Z68" s="62"/>
    </row>
    <row r="69" spans="1:26" ht="21.95" customHeight="1">
      <c r="A69" s="66" t="s">
        <v>158</v>
      </c>
      <c r="B69" s="1199" t="s">
        <v>149</v>
      </c>
      <c r="C69" s="1199"/>
      <c r="D69" s="62"/>
      <c r="E69" s="1190">
        <v>3840</v>
      </c>
      <c r="F69" s="1190">
        <v>1476</v>
      </c>
      <c r="G69" s="1190">
        <v>1210</v>
      </c>
      <c r="H69" s="1190">
        <v>1818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0">
        <v>1253</v>
      </c>
      <c r="V69" s="1190"/>
      <c r="W69" s="1190"/>
      <c r="X69" s="1190"/>
      <c r="Y69" s="1198">
        <f t="shared" ref="Y69:Y75" si="28">SUM(E69:X69)</f>
        <v>9597</v>
      </c>
      <c r="Z69" s="62"/>
    </row>
    <row r="70" spans="1:26" ht="21.9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5574</v>
      </c>
      <c r="J70" s="1190">
        <v>793</v>
      </c>
      <c r="K70" s="1190">
        <v>2235</v>
      </c>
      <c r="L70" s="1190">
        <v>768</v>
      </c>
      <c r="M70" s="1190">
        <v>1980</v>
      </c>
      <c r="N70" s="1190"/>
      <c r="O70" s="1190"/>
      <c r="P70" s="1190"/>
      <c r="Q70" s="1190"/>
      <c r="R70" s="1190"/>
      <c r="S70" s="1190"/>
      <c r="T70" s="1190"/>
      <c r="U70" s="1190">
        <v>1058</v>
      </c>
      <c r="V70" s="1190"/>
      <c r="W70" s="1190"/>
      <c r="X70" s="1190"/>
      <c r="Y70" s="1198">
        <f t="shared" si="28"/>
        <v>12408</v>
      </c>
      <c r="Z70" s="62"/>
    </row>
    <row r="71" spans="1:26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/>
      <c r="M71" s="1190"/>
      <c r="N71" s="1190"/>
      <c r="O71" s="1190">
        <v>322</v>
      </c>
      <c r="P71" s="1190">
        <v>547</v>
      </c>
      <c r="Q71" s="1190">
        <v>309</v>
      </c>
      <c r="R71" s="1190">
        <v>382</v>
      </c>
      <c r="S71" s="1190"/>
      <c r="T71" s="1190">
        <v>309</v>
      </c>
      <c r="U71" s="1190"/>
      <c r="V71" s="1190">
        <v>255</v>
      </c>
      <c r="W71" s="1190">
        <v>1355</v>
      </c>
      <c r="X71" s="1190">
        <v>288</v>
      </c>
      <c r="Y71" s="1198">
        <f t="shared" si="28"/>
        <v>3767</v>
      </c>
      <c r="Z71" s="62"/>
    </row>
    <row r="72" spans="1:26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0"/>
      <c r="V72" s="1190"/>
      <c r="W72" s="1190"/>
      <c r="X72" s="1190"/>
      <c r="Y72" s="1198">
        <f t="shared" si="28"/>
        <v>0</v>
      </c>
      <c r="Z72" s="62"/>
    </row>
    <row r="73" spans="1:26" ht="21.95" customHeight="1">
      <c r="A73" s="66" t="s">
        <v>162</v>
      </c>
      <c r="B73" s="61" t="s">
        <v>218</v>
      </c>
      <c r="C73" s="61"/>
      <c r="D73" s="62"/>
      <c r="E73" s="1190">
        <v>139</v>
      </c>
      <c r="F73" s="1190">
        <v>54</v>
      </c>
      <c r="G73" s="1190">
        <v>64</v>
      </c>
      <c r="H73" s="1190">
        <v>4</v>
      </c>
      <c r="I73" s="1190">
        <v>113</v>
      </c>
      <c r="J73" s="1190">
        <v>42</v>
      </c>
      <c r="K73" s="1190">
        <v>39</v>
      </c>
      <c r="L73" s="1190">
        <v>28</v>
      </c>
      <c r="M73" s="1190">
        <v>5</v>
      </c>
      <c r="N73" s="1190"/>
      <c r="O73" s="1190">
        <v>41</v>
      </c>
      <c r="P73" s="1190">
        <v>1</v>
      </c>
      <c r="Q73" s="1190"/>
      <c r="R73" s="1190">
        <v>30</v>
      </c>
      <c r="S73" s="1190">
        <v>8</v>
      </c>
      <c r="T73" s="1190">
        <v>0</v>
      </c>
      <c r="U73" s="1190">
        <v>23</v>
      </c>
      <c r="V73" s="1190"/>
      <c r="W73" s="1190">
        <v>56</v>
      </c>
      <c r="X73" s="1190"/>
      <c r="Y73" s="1198">
        <f t="shared" si="28"/>
        <v>647</v>
      </c>
      <c r="Z73" s="62"/>
    </row>
    <row r="74" spans="1:26" ht="21.95" customHeight="1">
      <c r="A74" s="66" t="s">
        <v>3011</v>
      </c>
      <c r="B74" s="1199" t="s">
        <v>219</v>
      </c>
      <c r="C74" s="1199"/>
      <c r="D74" s="67"/>
      <c r="E74" s="1180">
        <v>32490.31</v>
      </c>
      <c r="F74" s="1180">
        <v>13160</v>
      </c>
      <c r="G74" s="1180">
        <v>8951.8799999999992</v>
      </c>
      <c r="H74" s="1180">
        <v>11355.73</v>
      </c>
      <c r="I74" s="1180">
        <v>38028.839999999997</v>
      </c>
      <c r="J74" s="1180">
        <v>4631.83</v>
      </c>
      <c r="K74" s="1180">
        <v>12756.42</v>
      </c>
      <c r="L74" s="1180">
        <v>9285.57</v>
      </c>
      <c r="M74" s="1180">
        <v>14358.21</v>
      </c>
      <c r="N74" s="1180"/>
      <c r="O74" s="1180">
        <v>4286</v>
      </c>
      <c r="P74" s="1180">
        <v>13349.34</v>
      </c>
      <c r="Q74" s="1180">
        <v>3731.92</v>
      </c>
      <c r="R74" s="1180">
        <v>4612</v>
      </c>
      <c r="S74" s="1180">
        <v>2800</v>
      </c>
      <c r="T74" s="1180">
        <v>6500</v>
      </c>
      <c r="U74" s="1180">
        <v>32335.57</v>
      </c>
      <c r="V74" s="1180">
        <v>6995</v>
      </c>
      <c r="W74" s="1180">
        <v>23029.07</v>
      </c>
      <c r="X74" s="1180">
        <v>8272.89</v>
      </c>
      <c r="Y74" s="1185">
        <f t="shared" si="28"/>
        <v>250930.58000000002</v>
      </c>
      <c r="Z74" s="62"/>
    </row>
    <row r="75" spans="1:26" ht="21.95" customHeight="1">
      <c r="A75" s="66" t="s">
        <v>3012</v>
      </c>
      <c r="B75" s="1199" t="s">
        <v>220</v>
      </c>
      <c r="C75" s="1199"/>
      <c r="D75" s="67"/>
      <c r="E75" s="1180">
        <v>17447</v>
      </c>
      <c r="F75" s="1180">
        <v>8691</v>
      </c>
      <c r="G75" s="1180">
        <v>6496</v>
      </c>
      <c r="H75" s="1180">
        <v>4073</v>
      </c>
      <c r="I75" s="1180">
        <v>12339</v>
      </c>
      <c r="J75" s="1180">
        <v>3226</v>
      </c>
      <c r="K75" s="1180">
        <v>6620</v>
      </c>
      <c r="L75" s="1180">
        <v>3585</v>
      </c>
      <c r="M75" s="1180">
        <v>7880</v>
      </c>
      <c r="N75" s="1180"/>
      <c r="O75" s="1180">
        <v>2350</v>
      </c>
      <c r="P75" s="1180">
        <v>6044.7</v>
      </c>
      <c r="Q75" s="1180">
        <v>1786</v>
      </c>
      <c r="R75" s="1180">
        <v>1717</v>
      </c>
      <c r="S75" s="1180"/>
      <c r="T75" s="1180">
        <v>2312.1</v>
      </c>
      <c r="U75" s="1180">
        <v>17204.3</v>
      </c>
      <c r="V75" s="1180">
        <v>3698.1</v>
      </c>
      <c r="W75" s="1180">
        <v>9430</v>
      </c>
      <c r="X75" s="1180">
        <v>2981.45</v>
      </c>
      <c r="Y75" s="1185">
        <f t="shared" si="28"/>
        <v>117880.65000000001</v>
      </c>
      <c r="Z75" s="62"/>
    </row>
    <row r="76" spans="1:26">
      <c r="E76" s="3" t="s">
        <v>3089</v>
      </c>
      <c r="U76" s="3" t="s">
        <v>3089</v>
      </c>
      <c r="X76" s="3" t="s">
        <v>3089</v>
      </c>
    </row>
    <row r="82" spans="5:26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</sheetData>
  <protectedRanges>
    <protectedRange password="E9C1" sqref="D31 C32 A6:D7 B8:D30 Y6:Z75 B33:D75 A8:A75 A3:Z5" name="区域1_1"/>
    <protectedRange password="E9C1" sqref="B31:C31 B32" name="区域1_1_1"/>
    <protectedRange password="E9C1" sqref="D32" name="区域1_2"/>
  </protectedRanges>
  <mergeCells count="7">
    <mergeCell ref="A1:Z1"/>
    <mergeCell ref="A3:A4"/>
    <mergeCell ref="B3:B4"/>
    <mergeCell ref="C3:C4"/>
    <mergeCell ref="D3:D4"/>
    <mergeCell ref="Y3:Y4"/>
    <mergeCell ref="Z3:Z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AG79"/>
  <sheetViews>
    <sheetView topLeftCell="B1" workbookViewId="0">
      <pane xSplit="3" ySplit="4" topLeftCell="H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3.5"/>
  <cols>
    <col min="1" max="1" width="5.875" style="1217" hidden="1" customWidth="1"/>
    <col min="2" max="2" width="22.625" style="3" customWidth="1"/>
    <col min="3" max="4" width="0" style="1217" hidden="1" customWidth="1"/>
    <col min="5" max="5" width="12.125" style="3" customWidth="1"/>
    <col min="6" max="6" width="11.625" style="3" customWidth="1"/>
    <col min="7" max="7" width="11.75" style="3" customWidth="1"/>
    <col min="8" max="8" width="12" style="3" customWidth="1"/>
    <col min="9" max="11" width="12.125" style="3" customWidth="1"/>
    <col min="12" max="12" width="12.375" style="3" customWidth="1"/>
    <col min="13" max="13" width="11.75" style="3" customWidth="1"/>
    <col min="14" max="14" width="12" style="3" customWidth="1"/>
    <col min="15" max="15" width="11.625" style="3" customWidth="1"/>
    <col min="16" max="16" width="11.75" style="3" customWidth="1"/>
    <col min="17" max="17" width="12" style="3" customWidth="1"/>
    <col min="18" max="18" width="11.75" style="3" customWidth="1"/>
    <col min="19" max="19" width="11.625" style="3" customWidth="1"/>
    <col min="20" max="20" width="11.875" style="3" customWidth="1"/>
    <col min="21" max="21" width="11.75" style="3" customWidth="1"/>
    <col min="22" max="22" width="12.875" style="3" customWidth="1"/>
    <col min="23" max="23" width="12" style="3" customWidth="1"/>
    <col min="24" max="24" width="13" style="1218" customWidth="1"/>
    <col min="25" max="25" width="0" style="1210" hidden="1" customWidth="1"/>
    <col min="26" max="26" width="9" style="1210"/>
    <col min="27" max="27" width="12.75" style="1210" bestFit="1" customWidth="1"/>
    <col min="28" max="32" width="9" style="1210"/>
    <col min="33" max="33" width="15" style="1210" bestFit="1" customWidth="1"/>
    <col min="34" max="16384" width="9" style="1210"/>
  </cols>
  <sheetData>
    <row r="1" spans="1:33" ht="24.95" customHeight="1">
      <c r="A1" s="1614" t="s">
        <v>3053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4"/>
      <c r="Y1" s="1614"/>
    </row>
    <row r="2" spans="1:33" s="1213" customFormat="1" ht="20.100000000000001" customHeight="1">
      <c r="A2" s="1211"/>
      <c r="B2" s="1211"/>
      <c r="C2" s="1211"/>
      <c r="D2" s="1211"/>
      <c r="E2" s="1212"/>
      <c r="F2" s="1212"/>
      <c r="G2" s="1212"/>
      <c r="H2" s="1212"/>
      <c r="I2" s="1212"/>
      <c r="J2" s="1212"/>
      <c r="K2" s="1212"/>
      <c r="L2" s="1212"/>
      <c r="M2" s="1212"/>
      <c r="N2" s="1212"/>
      <c r="O2" s="1212"/>
      <c r="P2" s="1212"/>
      <c r="Q2" s="1212"/>
      <c r="R2" s="1212"/>
      <c r="S2" s="1212"/>
      <c r="T2" s="1212"/>
      <c r="U2" s="1212"/>
      <c r="V2" s="1212"/>
      <c r="W2" s="1212"/>
      <c r="X2" s="1258" t="s">
        <v>3247</v>
      </c>
      <c r="Y2" s="1211" t="s">
        <v>3078</v>
      </c>
    </row>
    <row r="3" spans="1:33" ht="24.95" customHeight="1">
      <c r="A3" s="1615" t="s">
        <v>12</v>
      </c>
      <c r="B3" s="1615" t="s">
        <v>13</v>
      </c>
      <c r="C3" s="1615" t="s">
        <v>14</v>
      </c>
      <c r="D3" s="1615" t="s">
        <v>15</v>
      </c>
      <c r="E3" s="1191" t="s">
        <v>3090</v>
      </c>
      <c r="F3" s="1191" t="s">
        <v>3091</v>
      </c>
      <c r="G3" s="1191" t="s">
        <v>3039</v>
      </c>
      <c r="H3" s="1191" t="s">
        <v>3040</v>
      </c>
      <c r="I3" s="1191" t="s">
        <v>3092</v>
      </c>
      <c r="J3" s="1191" t="s">
        <v>3093</v>
      </c>
      <c r="K3" s="1191" t="s">
        <v>3094</v>
      </c>
      <c r="L3" s="1191" t="s">
        <v>3041</v>
      </c>
      <c r="M3" s="1191" t="s">
        <v>3095</v>
      </c>
      <c r="N3" s="1191" t="s">
        <v>3042</v>
      </c>
      <c r="O3" s="1191" t="s">
        <v>3043</v>
      </c>
      <c r="P3" s="1191" t="s">
        <v>3044</v>
      </c>
      <c r="Q3" s="1191" t="s">
        <v>3045</v>
      </c>
      <c r="R3" s="1191" t="s">
        <v>3046</v>
      </c>
      <c r="S3" s="1191" t="s">
        <v>3047</v>
      </c>
      <c r="T3" s="1191" t="s">
        <v>3048</v>
      </c>
      <c r="U3" s="1191" t="s">
        <v>3049</v>
      </c>
      <c r="V3" s="1191" t="s">
        <v>3050</v>
      </c>
      <c r="W3" s="1191" t="s">
        <v>273</v>
      </c>
      <c r="X3" s="1617" t="s">
        <v>17</v>
      </c>
      <c r="Y3" s="1617" t="s">
        <v>18</v>
      </c>
    </row>
    <row r="4" spans="1:33" ht="24.95" customHeight="1">
      <c r="A4" s="1616"/>
      <c r="B4" s="1616"/>
      <c r="C4" s="1616"/>
      <c r="D4" s="1616"/>
      <c r="E4" s="1191" t="s">
        <v>464</v>
      </c>
      <c r="F4" s="1191" t="s">
        <v>464</v>
      </c>
      <c r="G4" s="1191" t="s">
        <v>2371</v>
      </c>
      <c r="H4" s="1191" t="s">
        <v>464</v>
      </c>
      <c r="I4" s="1191" t="s">
        <v>2371</v>
      </c>
      <c r="J4" s="1191" t="s">
        <v>463</v>
      </c>
      <c r="K4" s="1191" t="s">
        <v>463</v>
      </c>
      <c r="L4" s="1191" t="s">
        <v>463</v>
      </c>
      <c r="M4" s="1191" t="s">
        <v>3096</v>
      </c>
      <c r="N4" s="1191" t="s">
        <v>3096</v>
      </c>
      <c r="O4" s="1191" t="s">
        <v>3081</v>
      </c>
      <c r="P4" s="1191" t="s">
        <v>3081</v>
      </c>
      <c r="Q4" s="1191" t="s">
        <v>3081</v>
      </c>
      <c r="R4" s="1191" t="s">
        <v>3081</v>
      </c>
      <c r="S4" s="1191" t="s">
        <v>3081</v>
      </c>
      <c r="T4" s="1191" t="s">
        <v>3081</v>
      </c>
      <c r="U4" s="1191" t="s">
        <v>3081</v>
      </c>
      <c r="V4" s="1191" t="s">
        <v>3081</v>
      </c>
      <c r="W4" s="1191" t="s">
        <v>3082</v>
      </c>
      <c r="X4" s="1613"/>
      <c r="Y4" s="1613"/>
    </row>
    <row r="5" spans="1:33" ht="21.95" customHeight="1">
      <c r="A5" s="1207" t="s">
        <v>19</v>
      </c>
      <c r="B5" s="61" t="s">
        <v>20</v>
      </c>
      <c r="C5" s="1207"/>
      <c r="D5" s="1207" t="s">
        <v>21</v>
      </c>
      <c r="E5" s="1201">
        <f t="shared" ref="E5:W5" si="0">E6+E33+E40</f>
        <v>23158204.600000001</v>
      </c>
      <c r="F5" s="1201">
        <f t="shared" si="0"/>
        <v>22739171.349999998</v>
      </c>
      <c r="G5" s="1201">
        <f t="shared" si="0"/>
        <v>24364808.5</v>
      </c>
      <c r="H5" s="1201">
        <f t="shared" si="0"/>
        <v>23055573.299999997</v>
      </c>
      <c r="I5" s="1201">
        <f t="shared" si="0"/>
        <v>10994326.66</v>
      </c>
      <c r="J5" s="1201">
        <f t="shared" si="0"/>
        <v>26931519.579999998</v>
      </c>
      <c r="K5" s="1201">
        <f t="shared" si="0"/>
        <v>20994149.270000003</v>
      </c>
      <c r="L5" s="1201">
        <f t="shared" si="0"/>
        <v>17185452.18</v>
      </c>
      <c r="M5" s="1201">
        <f t="shared" si="0"/>
        <v>21677332.619999997</v>
      </c>
      <c r="N5" s="1201">
        <f t="shared" si="0"/>
        <v>16577545.120000001</v>
      </c>
      <c r="O5" s="1201">
        <f t="shared" si="0"/>
        <v>12298950.27</v>
      </c>
      <c r="P5" s="1201">
        <f t="shared" si="0"/>
        <v>13288357.350000001</v>
      </c>
      <c r="Q5" s="1201">
        <f t="shared" si="0"/>
        <v>11925552.449999999</v>
      </c>
      <c r="R5" s="1201">
        <f t="shared" si="0"/>
        <v>4814619.0999999996</v>
      </c>
      <c r="S5" s="1201">
        <f t="shared" si="0"/>
        <v>6907167.9399999985</v>
      </c>
      <c r="T5" s="1201">
        <f t="shared" si="0"/>
        <v>6609156.9199999999</v>
      </c>
      <c r="U5" s="1201">
        <f t="shared" si="0"/>
        <v>8309058.2300000004</v>
      </c>
      <c r="V5" s="1201">
        <f t="shared" si="0"/>
        <v>9125876.3500000015</v>
      </c>
      <c r="W5" s="1201">
        <f t="shared" si="0"/>
        <v>1718482.56</v>
      </c>
      <c r="X5" s="1208">
        <f>SUM(E5:W5)</f>
        <v>282675304.35000002</v>
      </c>
      <c r="Y5" s="1209"/>
      <c r="Z5" s="1214"/>
    </row>
    <row r="6" spans="1:33" ht="21.95" customHeight="1">
      <c r="A6" s="1207" t="s">
        <v>22</v>
      </c>
      <c r="B6" s="61" t="s">
        <v>0</v>
      </c>
      <c r="C6" s="1207"/>
      <c r="D6" s="1207" t="s">
        <v>21</v>
      </c>
      <c r="E6" s="1201">
        <f t="shared" ref="E6:W6" si="1">E7+E10+E14+E17+E22+E27+E29+E31+E32</f>
        <v>15791932.6</v>
      </c>
      <c r="F6" s="1201">
        <f t="shared" si="1"/>
        <v>15817528.969999999</v>
      </c>
      <c r="G6" s="1201">
        <f t="shared" si="1"/>
        <v>17786703.149999999</v>
      </c>
      <c r="H6" s="1201">
        <f t="shared" si="1"/>
        <v>15837686.079999998</v>
      </c>
      <c r="I6" s="1201">
        <f t="shared" si="1"/>
        <v>7032919.4000000004</v>
      </c>
      <c r="J6" s="1201">
        <f t="shared" si="1"/>
        <v>17280183.899999999</v>
      </c>
      <c r="K6" s="1201">
        <f t="shared" si="1"/>
        <v>13331869.560000002</v>
      </c>
      <c r="L6" s="1201">
        <f t="shared" si="1"/>
        <v>10800034.490000002</v>
      </c>
      <c r="M6" s="1201">
        <f t="shared" si="1"/>
        <v>15832811.329999998</v>
      </c>
      <c r="N6" s="1201">
        <f t="shared" si="1"/>
        <v>11750082.27</v>
      </c>
      <c r="O6" s="1201">
        <f t="shared" si="1"/>
        <v>9168152.1500000004</v>
      </c>
      <c r="P6" s="1201">
        <f t="shared" si="1"/>
        <v>9500155.6500000004</v>
      </c>
      <c r="Q6" s="1201">
        <f t="shared" si="1"/>
        <v>9147006.6499999985</v>
      </c>
      <c r="R6" s="1201">
        <f t="shared" si="1"/>
        <v>3566037.0999999996</v>
      </c>
      <c r="S6" s="1201">
        <f t="shared" si="1"/>
        <v>4478024.0499999989</v>
      </c>
      <c r="T6" s="1201">
        <f t="shared" si="1"/>
        <v>4380594.92</v>
      </c>
      <c r="U6" s="1201">
        <f t="shared" si="1"/>
        <v>6002756.4100000001</v>
      </c>
      <c r="V6" s="1201">
        <f t="shared" si="1"/>
        <v>6429994.0200000005</v>
      </c>
      <c r="W6" s="1201">
        <f t="shared" si="1"/>
        <v>1021978.85</v>
      </c>
      <c r="X6" s="1208">
        <f t="shared" ref="X6:X69" si="2">SUM(E6:W6)</f>
        <v>194956451.55000001</v>
      </c>
      <c r="Y6" s="1209"/>
    </row>
    <row r="7" spans="1:33" ht="21.95" customHeight="1">
      <c r="A7" s="1207" t="s">
        <v>23</v>
      </c>
      <c r="B7" s="61" t="s">
        <v>24</v>
      </c>
      <c r="C7" s="1207"/>
      <c r="D7" s="1207" t="s">
        <v>21</v>
      </c>
      <c r="E7" s="1201">
        <f t="shared" ref="E7:W7" si="3">E8+E9</f>
        <v>4932679</v>
      </c>
      <c r="F7" s="1201">
        <f t="shared" si="3"/>
        <v>4621157</v>
      </c>
      <c r="G7" s="1201">
        <f t="shared" si="3"/>
        <v>4622935.72</v>
      </c>
      <c r="H7" s="1201">
        <f t="shared" si="3"/>
        <v>4294108</v>
      </c>
      <c r="I7" s="1201">
        <f t="shared" si="3"/>
        <v>1807300</v>
      </c>
      <c r="J7" s="1201">
        <f t="shared" si="3"/>
        <v>5373200</v>
      </c>
      <c r="K7" s="1201">
        <f t="shared" si="3"/>
        <v>3949023.3000000003</v>
      </c>
      <c r="L7" s="1201">
        <f t="shared" si="3"/>
        <v>2932968</v>
      </c>
      <c r="M7" s="1201">
        <f t="shared" si="3"/>
        <v>4624178</v>
      </c>
      <c r="N7" s="1201">
        <f t="shared" si="3"/>
        <v>3226234</v>
      </c>
      <c r="O7" s="1201">
        <f t="shared" si="3"/>
        <v>2973093.5</v>
      </c>
      <c r="P7" s="1201">
        <f t="shared" si="3"/>
        <v>3105073.74</v>
      </c>
      <c r="Q7" s="1201">
        <f t="shared" si="3"/>
        <v>3010138</v>
      </c>
      <c r="R7" s="1201">
        <f t="shared" si="3"/>
        <v>1111857</v>
      </c>
      <c r="S7" s="1201">
        <f t="shared" si="3"/>
        <v>1384512</v>
      </c>
      <c r="T7" s="1201">
        <f t="shared" si="3"/>
        <v>1349770</v>
      </c>
      <c r="U7" s="1201">
        <f t="shared" si="3"/>
        <v>1831125</v>
      </c>
      <c r="V7" s="1201">
        <f t="shared" si="3"/>
        <v>1972589</v>
      </c>
      <c r="W7" s="1201">
        <f t="shared" si="3"/>
        <v>370907</v>
      </c>
      <c r="X7" s="1208">
        <f t="shared" si="2"/>
        <v>57492848.259999998</v>
      </c>
      <c r="Y7" s="1209"/>
    </row>
    <row r="8" spans="1:33" ht="21.95" customHeight="1">
      <c r="A8" s="1207" t="s">
        <v>25</v>
      </c>
      <c r="B8" s="61" t="s">
        <v>26</v>
      </c>
      <c r="C8" s="1207" t="s">
        <v>27</v>
      </c>
      <c r="D8" s="1207" t="s">
        <v>28</v>
      </c>
      <c r="E8" s="1183">
        <f>2031593+208392*3+2420*2</f>
        <v>2661609</v>
      </c>
      <c r="F8" s="1183">
        <v>2595957</v>
      </c>
      <c r="G8" s="1183">
        <v>3000569</v>
      </c>
      <c r="H8" s="1183">
        <f>2648636+10000</f>
        <v>2658636</v>
      </c>
      <c r="I8" s="1183">
        <v>1295300</v>
      </c>
      <c r="J8" s="1183">
        <v>2817652</v>
      </c>
      <c r="K8" s="1183">
        <v>2282061.7000000002</v>
      </c>
      <c r="L8" s="1183">
        <v>1954070</v>
      </c>
      <c r="M8" s="1183">
        <f>223348*12+164353</f>
        <v>2844529</v>
      </c>
      <c r="N8" s="1183">
        <v>2061765</v>
      </c>
      <c r="O8" s="1183">
        <v>1751896</v>
      </c>
      <c r="P8" s="1183">
        <v>1869721</v>
      </c>
      <c r="Q8" s="1183">
        <v>1903970</v>
      </c>
      <c r="R8" s="1183">
        <f>461648+55223*4.5</f>
        <v>710151.5</v>
      </c>
      <c r="S8" s="1183">
        <v>848438</v>
      </c>
      <c r="T8" s="1183">
        <v>865806</v>
      </c>
      <c r="U8" s="1183">
        <v>1124886</v>
      </c>
      <c r="V8" s="1183">
        <v>1255500</v>
      </c>
      <c r="W8" s="1183">
        <v>191638</v>
      </c>
      <c r="X8" s="1208">
        <f t="shared" si="2"/>
        <v>34694155.200000003</v>
      </c>
      <c r="Y8" s="1209"/>
    </row>
    <row r="9" spans="1:33" ht="21.95" customHeight="1">
      <c r="A9" s="1207" t="s">
        <v>29</v>
      </c>
      <c r="B9" s="61" t="s">
        <v>30</v>
      </c>
      <c r="C9" s="1207" t="s">
        <v>27</v>
      </c>
      <c r="D9" s="1207" t="s">
        <v>28</v>
      </c>
      <c r="E9" s="1183">
        <f>1738881+176343*3+1580*2</f>
        <v>2271070</v>
      </c>
      <c r="F9" s="1183">
        <v>2025200</v>
      </c>
      <c r="G9" s="1183">
        <v>1622366.72</v>
      </c>
      <c r="H9" s="1183">
        <f>1625472+10000</f>
        <v>1635472</v>
      </c>
      <c r="I9" s="1183">
        <v>512000</v>
      </c>
      <c r="J9" s="1183">
        <v>2555548</v>
      </c>
      <c r="K9" s="1183">
        <v>1666961.6</v>
      </c>
      <c r="L9" s="1183">
        <v>978898</v>
      </c>
      <c r="M9" s="1183">
        <f>137756*12+126577</f>
        <v>1779649</v>
      </c>
      <c r="N9" s="1183">
        <v>1164469</v>
      </c>
      <c r="O9" s="1183">
        <v>1221197.5</v>
      </c>
      <c r="P9" s="1183">
        <v>1235352.74</v>
      </c>
      <c r="Q9" s="1183">
        <v>1106168</v>
      </c>
      <c r="R9" s="1183">
        <f>30787*4.5+263164</f>
        <v>401705.5</v>
      </c>
      <c r="S9" s="1183">
        <v>536074</v>
      </c>
      <c r="T9" s="1183">
        <v>483964</v>
      </c>
      <c r="U9" s="1183">
        <v>706239</v>
      </c>
      <c r="V9" s="1183">
        <v>717089</v>
      </c>
      <c r="W9" s="1183">
        <v>179269</v>
      </c>
      <c r="X9" s="1208">
        <f t="shared" si="2"/>
        <v>22798693.059999999</v>
      </c>
      <c r="Y9" s="1209"/>
    </row>
    <row r="10" spans="1:33" ht="21.95" customHeight="1">
      <c r="A10" s="1207" t="s">
        <v>31</v>
      </c>
      <c r="B10" s="61" t="s">
        <v>32</v>
      </c>
      <c r="C10" s="1207"/>
      <c r="D10" s="1207" t="s">
        <v>21</v>
      </c>
      <c r="E10" s="1201">
        <f t="shared" ref="E10:W10" si="4">E11+E12</f>
        <v>423705</v>
      </c>
      <c r="F10" s="1201">
        <f t="shared" si="4"/>
        <v>419717</v>
      </c>
      <c r="G10" s="1201">
        <f t="shared" si="4"/>
        <v>504638</v>
      </c>
      <c r="H10" s="1201">
        <f t="shared" si="4"/>
        <v>457105</v>
      </c>
      <c r="I10" s="1201">
        <f t="shared" si="4"/>
        <v>240608</v>
      </c>
      <c r="J10" s="1201">
        <f t="shared" si="4"/>
        <v>479895</v>
      </c>
      <c r="K10" s="1201">
        <f t="shared" si="4"/>
        <v>375159</v>
      </c>
      <c r="L10" s="1201">
        <f t="shared" si="4"/>
        <v>329151</v>
      </c>
      <c r="M10" s="1201">
        <f t="shared" si="4"/>
        <v>474496.8</v>
      </c>
      <c r="N10" s="1201">
        <f t="shared" si="4"/>
        <v>359911</v>
      </c>
      <c r="O10" s="1201">
        <f t="shared" si="4"/>
        <v>297292</v>
      </c>
      <c r="P10" s="1201">
        <f t="shared" si="4"/>
        <v>316238</v>
      </c>
      <c r="Q10" s="1201">
        <f t="shared" si="4"/>
        <v>326008</v>
      </c>
      <c r="R10" s="1201">
        <f t="shared" si="4"/>
        <v>117133</v>
      </c>
      <c r="S10" s="1201">
        <f t="shared" si="4"/>
        <v>151136</v>
      </c>
      <c r="T10" s="1201">
        <f t="shared" si="4"/>
        <v>149844.66999999998</v>
      </c>
      <c r="U10" s="1201">
        <f t="shared" si="4"/>
        <v>199974</v>
      </c>
      <c r="V10" s="1201">
        <f t="shared" si="4"/>
        <v>211797</v>
      </c>
      <c r="W10" s="1201">
        <f t="shared" si="4"/>
        <v>31549</v>
      </c>
      <c r="X10" s="1208">
        <f t="shared" si="2"/>
        <v>5865357.4699999997</v>
      </c>
      <c r="Y10" s="1209"/>
    </row>
    <row r="11" spans="1:33" ht="21.95" customHeight="1">
      <c r="A11" s="1207" t="s">
        <v>33</v>
      </c>
      <c r="B11" s="61" t="s">
        <v>34</v>
      </c>
      <c r="C11" s="1207" t="s">
        <v>27</v>
      </c>
      <c r="D11" s="1207" t="s">
        <v>28</v>
      </c>
      <c r="E11" s="1183">
        <f>4283+472*3+6</f>
        <v>5705</v>
      </c>
      <c r="F11" s="1183">
        <v>4925</v>
      </c>
      <c r="G11" s="1183">
        <v>2598</v>
      </c>
      <c r="H11" s="1183">
        <v>3465</v>
      </c>
      <c r="I11" s="1183">
        <v>608</v>
      </c>
      <c r="J11" s="1183">
        <v>6455</v>
      </c>
      <c r="K11" s="1183">
        <v>4239</v>
      </c>
      <c r="L11" s="1183">
        <v>6191</v>
      </c>
      <c r="M11" s="1183">
        <f>410*12+851.4*12</f>
        <v>15136.8</v>
      </c>
      <c r="N11" s="1183">
        <v>2447</v>
      </c>
      <c r="O11" s="1183">
        <v>3592</v>
      </c>
      <c r="P11" s="1183">
        <v>3838</v>
      </c>
      <c r="Q11" s="1183">
        <v>3108</v>
      </c>
      <c r="R11" s="1183">
        <f>645+82*4</f>
        <v>973</v>
      </c>
      <c r="S11" s="1183">
        <v>1536</v>
      </c>
      <c r="T11" s="1183">
        <v>13446.05</v>
      </c>
      <c r="U11" s="1183">
        <v>1974</v>
      </c>
      <c r="V11" s="1183">
        <v>2797</v>
      </c>
      <c r="W11" s="1183">
        <v>309</v>
      </c>
      <c r="X11" s="1208">
        <f t="shared" si="2"/>
        <v>83342.850000000006</v>
      </c>
      <c r="Y11" s="1209"/>
    </row>
    <row r="12" spans="1:33" ht="21.95" customHeight="1">
      <c r="A12" s="1207" t="s">
        <v>35</v>
      </c>
      <c r="B12" s="61" t="s">
        <v>36</v>
      </c>
      <c r="C12" s="1207"/>
      <c r="D12" s="1207" t="s">
        <v>21</v>
      </c>
      <c r="E12" s="1201">
        <f t="shared" ref="E12:W12" si="5">E13</f>
        <v>418000</v>
      </c>
      <c r="F12" s="1201">
        <f t="shared" si="5"/>
        <v>414792</v>
      </c>
      <c r="G12" s="1201">
        <f t="shared" si="5"/>
        <v>502040</v>
      </c>
      <c r="H12" s="1201">
        <f t="shared" si="5"/>
        <v>453640</v>
      </c>
      <c r="I12" s="1201">
        <f t="shared" si="5"/>
        <v>240000</v>
      </c>
      <c r="J12" s="1201">
        <f t="shared" si="5"/>
        <v>473440</v>
      </c>
      <c r="K12" s="1201">
        <f t="shared" si="5"/>
        <v>370920</v>
      </c>
      <c r="L12" s="1201">
        <f t="shared" si="5"/>
        <v>322960</v>
      </c>
      <c r="M12" s="1201">
        <f t="shared" si="5"/>
        <v>459360</v>
      </c>
      <c r="N12" s="1201">
        <f t="shared" si="5"/>
        <v>357464</v>
      </c>
      <c r="O12" s="1201">
        <f t="shared" si="5"/>
        <v>293700</v>
      </c>
      <c r="P12" s="1201">
        <f t="shared" si="5"/>
        <v>312400</v>
      </c>
      <c r="Q12" s="1201">
        <f t="shared" si="5"/>
        <v>322900</v>
      </c>
      <c r="R12" s="1201">
        <f t="shared" si="5"/>
        <v>116160</v>
      </c>
      <c r="S12" s="1201">
        <f t="shared" si="5"/>
        <v>149600</v>
      </c>
      <c r="T12" s="1201">
        <f t="shared" si="5"/>
        <v>136398.62</v>
      </c>
      <c r="U12" s="1201">
        <f t="shared" si="5"/>
        <v>198000</v>
      </c>
      <c r="V12" s="1201">
        <f t="shared" si="5"/>
        <v>209000</v>
      </c>
      <c r="W12" s="1201">
        <f t="shared" si="5"/>
        <v>31240</v>
      </c>
      <c r="X12" s="1208">
        <f t="shared" si="2"/>
        <v>5782014.6200000001</v>
      </c>
      <c r="Y12" s="1209"/>
    </row>
    <row r="13" spans="1:33" ht="21.95" customHeight="1">
      <c r="A13" s="1207" t="s">
        <v>37</v>
      </c>
      <c r="B13" s="61" t="s">
        <v>3097</v>
      </c>
      <c r="C13" s="1207" t="s">
        <v>27</v>
      </c>
      <c r="D13" s="1207" t="s">
        <v>28</v>
      </c>
      <c r="E13" s="1183">
        <f>312840+440*79*3+440*2</f>
        <v>418000</v>
      </c>
      <c r="F13" s="1183">
        <v>414792</v>
      </c>
      <c r="G13" s="1183">
        <v>502040</v>
      </c>
      <c r="H13" s="1183">
        <v>453640</v>
      </c>
      <c r="I13" s="1183">
        <v>240000</v>
      </c>
      <c r="J13" s="1183">
        <v>473440</v>
      </c>
      <c r="K13" s="1183">
        <v>370920</v>
      </c>
      <c r="L13" s="1183">
        <v>322960</v>
      </c>
      <c r="M13" s="1183">
        <f>440*12*87</f>
        <v>459360</v>
      </c>
      <c r="N13" s="1183">
        <v>357464</v>
      </c>
      <c r="O13" s="1183">
        <v>293700</v>
      </c>
      <c r="P13" s="1183">
        <v>312400</v>
      </c>
      <c r="Q13" s="1183">
        <v>322900</v>
      </c>
      <c r="R13" s="1183">
        <v>116160</v>
      </c>
      <c r="S13" s="1183">
        <v>149600</v>
      </c>
      <c r="T13" s="1183">
        <v>136398.62</v>
      </c>
      <c r="U13" s="1183">
        <v>198000</v>
      </c>
      <c r="V13" s="1183">
        <v>209000</v>
      </c>
      <c r="W13" s="1183">
        <v>31240</v>
      </c>
      <c r="X13" s="1208">
        <f t="shared" si="2"/>
        <v>5782014.6200000001</v>
      </c>
      <c r="Y13" s="1209"/>
    </row>
    <row r="14" spans="1:33" ht="21.95" customHeight="1">
      <c r="A14" s="1207" t="s">
        <v>39</v>
      </c>
      <c r="B14" s="61" t="s">
        <v>40</v>
      </c>
      <c r="C14" s="1207"/>
      <c r="D14" s="1207" t="s">
        <v>41</v>
      </c>
      <c r="E14" s="1201">
        <f t="shared" ref="E14:W14" si="6">E15+E16</f>
        <v>141875.71</v>
      </c>
      <c r="F14" s="1201">
        <f t="shared" si="6"/>
        <v>143949.16999999998</v>
      </c>
      <c r="G14" s="1201">
        <f t="shared" si="6"/>
        <v>209998.9</v>
      </c>
      <c r="H14" s="1201">
        <f t="shared" si="6"/>
        <v>183729.54</v>
      </c>
      <c r="I14" s="1201">
        <f t="shared" si="6"/>
        <v>68800.899999999994</v>
      </c>
      <c r="J14" s="1201">
        <f t="shared" si="6"/>
        <v>184040.6</v>
      </c>
      <c r="K14" s="1201">
        <f t="shared" si="6"/>
        <v>125241.23</v>
      </c>
      <c r="L14" s="1201">
        <f t="shared" si="6"/>
        <v>103779.70999999999</v>
      </c>
      <c r="M14" s="1201">
        <f t="shared" si="6"/>
        <v>150973.43</v>
      </c>
      <c r="N14" s="1201">
        <f t="shared" si="6"/>
        <v>113885.28</v>
      </c>
      <c r="O14" s="1201">
        <f t="shared" si="6"/>
        <v>100349.26999999999</v>
      </c>
      <c r="P14" s="1201">
        <f t="shared" si="6"/>
        <v>105953.35</v>
      </c>
      <c r="Q14" s="1201">
        <f t="shared" si="6"/>
        <v>100788.35</v>
      </c>
      <c r="R14" s="1201">
        <f t="shared" si="6"/>
        <v>35985.100000000006</v>
      </c>
      <c r="S14" s="1201">
        <f t="shared" si="6"/>
        <v>41985.570000000007</v>
      </c>
      <c r="T14" s="1201">
        <f t="shared" si="6"/>
        <v>51377.43</v>
      </c>
      <c r="U14" s="1201">
        <f t="shared" si="6"/>
        <v>67825.570000000007</v>
      </c>
      <c r="V14" s="1201">
        <f t="shared" si="6"/>
        <v>72468</v>
      </c>
      <c r="W14" s="1201">
        <f t="shared" si="6"/>
        <v>9597.090000000002</v>
      </c>
      <c r="X14" s="1208">
        <f t="shared" si="2"/>
        <v>2012604.2000000004</v>
      </c>
      <c r="Y14" s="1209"/>
      <c r="AG14" s="1215"/>
    </row>
    <row r="15" spans="1:33" ht="21.95" customHeight="1">
      <c r="A15" s="1207" t="s">
        <v>42</v>
      </c>
      <c r="B15" s="61" t="s">
        <v>3098</v>
      </c>
      <c r="C15" s="1207" t="s">
        <v>27</v>
      </c>
      <c r="D15" s="1207" t="s">
        <v>419</v>
      </c>
      <c r="E15" s="1183">
        <v>40040.449999999997</v>
      </c>
      <c r="F15" s="1183">
        <f>30163.76+3488.78*3</f>
        <v>40630.1</v>
      </c>
      <c r="G15" s="1183">
        <v>81543.03</v>
      </c>
      <c r="H15" s="1183">
        <f>67119.19+5000</f>
        <v>72119.19</v>
      </c>
      <c r="I15" s="1183">
        <v>19658</v>
      </c>
      <c r="J15" s="1183">
        <v>71053.72</v>
      </c>
      <c r="K15" s="1183">
        <v>35337.919999999998</v>
      </c>
      <c r="L15" s="1183">
        <v>30223.18</v>
      </c>
      <c r="M15" s="1183">
        <v>42621.27</v>
      </c>
      <c r="N15" s="1183">
        <v>32184.939999999995</v>
      </c>
      <c r="O15" s="1183">
        <v>38755.42</v>
      </c>
      <c r="P15" s="1183">
        <v>40919.39</v>
      </c>
      <c r="Q15" s="1183">
        <v>38931.46</v>
      </c>
      <c r="R15" s="1183">
        <v>13030.11</v>
      </c>
      <c r="S15" s="1183">
        <v>11863.870000000003</v>
      </c>
      <c r="T15" s="1183">
        <v>22637.13</v>
      </c>
      <c r="U15" s="1183">
        <v>26201.11</v>
      </c>
      <c r="V15" s="1183">
        <v>27996.639999999992</v>
      </c>
      <c r="W15" s="1183">
        <v>2710.3399999999997</v>
      </c>
      <c r="X15" s="1208">
        <f t="shared" si="2"/>
        <v>688457.2699999999</v>
      </c>
      <c r="Y15" s="1209"/>
      <c r="Z15" s="1210">
        <v>1310342.6499999997</v>
      </c>
      <c r="AA15" s="1215">
        <f>X15-Z15</f>
        <v>-621885.37999999977</v>
      </c>
    </row>
    <row r="16" spans="1:33" ht="21.95" customHeight="1">
      <c r="A16" s="1207" t="s">
        <v>44</v>
      </c>
      <c r="B16" s="61" t="s">
        <v>3099</v>
      </c>
      <c r="C16" s="1207" t="s">
        <v>27</v>
      </c>
      <c r="D16" s="1207" t="s">
        <v>419</v>
      </c>
      <c r="E16" s="1183">
        <v>101835.26</v>
      </c>
      <c r="F16" s="1183">
        <f>77152.92+8722.05*3</f>
        <v>103319.06999999999</v>
      </c>
      <c r="G16" s="1183">
        <v>128455.87</v>
      </c>
      <c r="H16" s="1183">
        <f>106610.35+5000</f>
        <v>111610.35</v>
      </c>
      <c r="I16" s="1183">
        <v>49142.9</v>
      </c>
      <c r="J16" s="1183">
        <v>112986.88</v>
      </c>
      <c r="K16" s="1183">
        <v>89903.31</v>
      </c>
      <c r="L16" s="1183">
        <v>73556.53</v>
      </c>
      <c r="M16" s="1183">
        <v>108352.16</v>
      </c>
      <c r="N16" s="1183">
        <v>81700.34</v>
      </c>
      <c r="O16" s="1183">
        <v>61593.85</v>
      </c>
      <c r="P16" s="1183">
        <v>65033.96</v>
      </c>
      <c r="Q16" s="1183">
        <v>61856.89</v>
      </c>
      <c r="R16" s="1183">
        <v>22954.99</v>
      </c>
      <c r="S16" s="1183">
        <v>30121.7</v>
      </c>
      <c r="T16" s="1183">
        <v>28740.3</v>
      </c>
      <c r="U16" s="1183">
        <v>41624.46</v>
      </c>
      <c r="V16" s="1183">
        <v>44471.360000000015</v>
      </c>
      <c r="W16" s="1183">
        <v>6886.7500000000018</v>
      </c>
      <c r="X16" s="1208">
        <f t="shared" si="2"/>
        <v>1324146.93</v>
      </c>
      <c r="Y16" s="1209"/>
      <c r="Z16" s="1210">
        <v>1310342.6499999997</v>
      </c>
      <c r="AA16" s="1215">
        <f>X16-Z16</f>
        <v>13804.280000000261</v>
      </c>
    </row>
    <row r="17" spans="1:27" ht="21.95" customHeight="1">
      <c r="A17" s="1207" t="s">
        <v>46</v>
      </c>
      <c r="B17" s="61" t="s">
        <v>47</v>
      </c>
      <c r="C17" s="1207"/>
      <c r="D17" s="1207" t="s">
        <v>21</v>
      </c>
      <c r="E17" s="1201">
        <f t="shared" ref="E17:W17" si="7">E18+E19+E20+E21</f>
        <v>1927068.25</v>
      </c>
      <c r="F17" s="1201">
        <f t="shared" si="7"/>
        <v>2115951.5</v>
      </c>
      <c r="G17" s="1201">
        <f t="shared" si="7"/>
        <v>2485308.5</v>
      </c>
      <c r="H17" s="1201">
        <f t="shared" si="7"/>
        <v>2127186</v>
      </c>
      <c r="I17" s="1201">
        <f t="shared" si="7"/>
        <v>906720.5</v>
      </c>
      <c r="J17" s="1201">
        <f t="shared" si="7"/>
        <v>1952215.5</v>
      </c>
      <c r="K17" s="1201">
        <f t="shared" si="7"/>
        <v>1481852.25</v>
      </c>
      <c r="L17" s="1201">
        <f t="shared" si="7"/>
        <v>1490509.5</v>
      </c>
      <c r="M17" s="1201">
        <f t="shared" si="7"/>
        <v>1642462.38</v>
      </c>
      <c r="N17" s="1201">
        <f t="shared" si="7"/>
        <v>1353307.5</v>
      </c>
      <c r="O17" s="1201">
        <f t="shared" si="7"/>
        <v>732408</v>
      </c>
      <c r="P17" s="1201">
        <f t="shared" si="7"/>
        <v>621332</v>
      </c>
      <c r="Q17" s="1201">
        <f t="shared" si="7"/>
        <v>628076</v>
      </c>
      <c r="R17" s="1201">
        <f t="shared" si="7"/>
        <v>375756</v>
      </c>
      <c r="S17" s="1201">
        <f t="shared" si="7"/>
        <v>421804</v>
      </c>
      <c r="T17" s="1201">
        <f t="shared" si="7"/>
        <v>404044</v>
      </c>
      <c r="U17" s="1201">
        <f t="shared" si="7"/>
        <v>473704</v>
      </c>
      <c r="V17" s="1201">
        <f t="shared" si="7"/>
        <v>519892</v>
      </c>
      <c r="W17" s="1201">
        <f t="shared" si="7"/>
        <v>36000</v>
      </c>
      <c r="X17" s="1208">
        <f t="shared" si="2"/>
        <v>21695597.879999999</v>
      </c>
      <c r="Y17" s="1209"/>
    </row>
    <row r="18" spans="1:27" ht="21.95" customHeight="1">
      <c r="A18" s="1207" t="s">
        <v>48</v>
      </c>
      <c r="B18" s="61" t="s">
        <v>49</v>
      </c>
      <c r="C18" s="1207" t="s">
        <v>27</v>
      </c>
      <c r="D18" s="1207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208">
        <f t="shared" si="2"/>
        <v>0</v>
      </c>
      <c r="Y18" s="1209"/>
    </row>
    <row r="19" spans="1:27" ht="21.95" customHeight="1">
      <c r="A19" s="1207" t="s">
        <v>51</v>
      </c>
      <c r="B19" s="61" t="s">
        <v>52</v>
      </c>
      <c r="C19" s="1207" t="s">
        <v>27</v>
      </c>
      <c r="D19" s="1207" t="s">
        <v>53</v>
      </c>
      <c r="E19" s="1183">
        <f>274762+150</f>
        <v>274912</v>
      </c>
      <c r="F19" s="1183">
        <v>229488</v>
      </c>
      <c r="G19" s="1183">
        <v>286780</v>
      </c>
      <c r="H19" s="1183">
        <v>278589</v>
      </c>
      <c r="I19" s="1183"/>
      <c r="J19" s="1183">
        <v>504800</v>
      </c>
      <c r="K19" s="1183">
        <v>280264</v>
      </c>
      <c r="L19" s="1183">
        <v>428672</v>
      </c>
      <c r="M19" s="1183">
        <v>303124</v>
      </c>
      <c r="N19" s="1183">
        <v>239363</v>
      </c>
      <c r="O19" s="1183">
        <v>394008</v>
      </c>
      <c r="P19" s="1183">
        <v>266332</v>
      </c>
      <c r="Q19" s="1183">
        <v>286076</v>
      </c>
      <c r="R19" s="1183">
        <v>243756</v>
      </c>
      <c r="S19" s="1183">
        <v>252304</v>
      </c>
      <c r="T19" s="1183">
        <v>242044</v>
      </c>
      <c r="U19" s="1183">
        <v>245704</v>
      </c>
      <c r="V19" s="1183">
        <v>273892</v>
      </c>
      <c r="W19" s="1183"/>
      <c r="X19" s="1208">
        <f t="shared" si="2"/>
        <v>5030108</v>
      </c>
      <c r="Y19" s="1209"/>
    </row>
    <row r="20" spans="1:27" ht="21.95" customHeight="1">
      <c r="A20" s="1207" t="s">
        <v>54</v>
      </c>
      <c r="B20" s="61" t="s">
        <v>3100</v>
      </c>
      <c r="C20" s="1207" t="s">
        <v>27</v>
      </c>
      <c r="D20" s="1207" t="s">
        <v>28</v>
      </c>
      <c r="E20" s="1183">
        <f>238916+79*500*6</f>
        <v>475916</v>
      </c>
      <c r="F20" s="1183">
        <f>941*500</f>
        <v>470500</v>
      </c>
      <c r="G20" s="1183">
        <v>570500</v>
      </c>
      <c r="H20" s="1183">
        <f>500*83*3+500*82*3+500*88*1+500*89*2+500*90*3</f>
        <v>515500</v>
      </c>
      <c r="I20" s="1183">
        <v>276500</v>
      </c>
      <c r="J20" s="1183">
        <v>540000</v>
      </c>
      <c r="K20" s="1183">
        <v>434000</v>
      </c>
      <c r="L20" s="1183">
        <v>375000</v>
      </c>
      <c r="M20" s="1183">
        <f>500*87*12</f>
        <v>522000</v>
      </c>
      <c r="N20" s="1183">
        <v>411000</v>
      </c>
      <c r="O20" s="1183">
        <v>338400</v>
      </c>
      <c r="P20" s="1183">
        <v>355000</v>
      </c>
      <c r="Q20" s="1183">
        <f>57*500*12</f>
        <v>342000</v>
      </c>
      <c r="R20" s="1183">
        <v>132000</v>
      </c>
      <c r="S20" s="1183">
        <v>169500</v>
      </c>
      <c r="T20" s="1183">
        <v>162000</v>
      </c>
      <c r="U20" s="1183">
        <v>228000</v>
      </c>
      <c r="V20" s="1183">
        <v>246000</v>
      </c>
      <c r="W20" s="1183">
        <v>36000</v>
      </c>
      <c r="X20" s="1208">
        <f t="shared" si="2"/>
        <v>6599816</v>
      </c>
      <c r="Y20" s="1209"/>
    </row>
    <row r="21" spans="1:27" ht="21.95" customHeight="1">
      <c r="A21" s="1207" t="s">
        <v>56</v>
      </c>
      <c r="B21" s="61" t="s">
        <v>3101</v>
      </c>
      <c r="C21" s="1207" t="s">
        <v>27</v>
      </c>
      <c r="D21" s="1207" t="s">
        <v>28</v>
      </c>
      <c r="E21" s="1183">
        <v>1176240.25</v>
      </c>
      <c r="F21" s="1183">
        <v>1415963.5</v>
      </c>
      <c r="G21" s="1183">
        <v>1628028.5</v>
      </c>
      <c r="H21" s="1183">
        <v>1333097</v>
      </c>
      <c r="I21" s="1183">
        <v>630220.5</v>
      </c>
      <c r="J21" s="1183">
        <v>907415.5</v>
      </c>
      <c r="K21" s="1183">
        <v>767588.25</v>
      </c>
      <c r="L21" s="1183">
        <v>686837.5</v>
      </c>
      <c r="M21" s="1183">
        <v>817338.38</v>
      </c>
      <c r="N21" s="1183">
        <v>702944.5</v>
      </c>
      <c r="O21" s="1183"/>
      <c r="P21" s="1183"/>
      <c r="Q21" s="1183"/>
      <c r="R21" s="1183"/>
      <c r="S21" s="1183"/>
      <c r="T21" s="1183"/>
      <c r="U21" s="1183"/>
      <c r="V21" s="1183"/>
      <c r="W21" s="1183"/>
      <c r="X21" s="1208">
        <f t="shared" si="2"/>
        <v>10065673.880000001</v>
      </c>
      <c r="Y21" s="1209"/>
    </row>
    <row r="22" spans="1:27" ht="21.95" customHeight="1">
      <c r="A22" s="1207" t="s">
        <v>58</v>
      </c>
      <c r="B22" s="61" t="s">
        <v>59</v>
      </c>
      <c r="C22" s="1207"/>
      <c r="D22" s="1207" t="s">
        <v>21</v>
      </c>
      <c r="E22" s="1201">
        <f t="shared" ref="E22:W22" si="8">E23+E24</f>
        <v>2018257.48</v>
      </c>
      <c r="F22" s="1201">
        <f t="shared" si="8"/>
        <v>2078505.1800000002</v>
      </c>
      <c r="G22" s="1201">
        <f t="shared" si="8"/>
        <v>2370720.08</v>
      </c>
      <c r="H22" s="1201">
        <f t="shared" si="8"/>
        <v>2112665.66</v>
      </c>
      <c r="I22" s="1201">
        <f t="shared" si="8"/>
        <v>955132</v>
      </c>
      <c r="J22" s="1201">
        <f t="shared" si="8"/>
        <v>2256155.84</v>
      </c>
      <c r="K22" s="1201">
        <f t="shared" si="8"/>
        <v>1809459.66</v>
      </c>
      <c r="L22" s="1201">
        <f t="shared" si="8"/>
        <v>1422036.44</v>
      </c>
      <c r="M22" s="1201">
        <f t="shared" si="8"/>
        <v>2136721.29</v>
      </c>
      <c r="N22" s="1201">
        <f t="shared" si="8"/>
        <v>1606837.6500000004</v>
      </c>
      <c r="O22" s="1201">
        <f t="shared" si="8"/>
        <v>1229671.6200000001</v>
      </c>
      <c r="P22" s="1201">
        <f t="shared" si="8"/>
        <v>1298980.08</v>
      </c>
      <c r="Q22" s="1201">
        <f t="shared" si="8"/>
        <v>1225568.6599999999</v>
      </c>
      <c r="R22" s="1201">
        <f t="shared" si="8"/>
        <v>456304.65</v>
      </c>
      <c r="S22" s="1201">
        <f t="shared" si="8"/>
        <v>593139.69999999995</v>
      </c>
      <c r="T22" s="1201">
        <f t="shared" si="8"/>
        <v>568644.15</v>
      </c>
      <c r="U22" s="1201">
        <f t="shared" si="8"/>
        <v>834480</v>
      </c>
      <c r="V22" s="1201">
        <f t="shared" si="8"/>
        <v>880844.83999999973</v>
      </c>
      <c r="W22" s="1201">
        <f t="shared" si="8"/>
        <v>143822.12</v>
      </c>
      <c r="X22" s="1208">
        <f t="shared" si="2"/>
        <v>25997947.100000001</v>
      </c>
      <c r="Y22" s="1209"/>
    </row>
    <row r="23" spans="1:27" ht="21.95" customHeight="1">
      <c r="A23" s="1207" t="s">
        <v>60</v>
      </c>
      <c r="B23" s="61" t="s">
        <v>3102</v>
      </c>
      <c r="C23" s="1207" t="s">
        <v>61</v>
      </c>
      <c r="D23" s="1207" t="s">
        <v>419</v>
      </c>
      <c r="E23" s="1183">
        <v>1832997.48</v>
      </c>
      <c r="F23" s="1183">
        <f>1388724.32+156993.62*3</f>
        <v>1859705.1800000002</v>
      </c>
      <c r="G23" s="1183">
        <v>2205180.08</v>
      </c>
      <c r="H23" s="1183">
        <f>1918945.66+10000</f>
        <v>1928945.66</v>
      </c>
      <c r="I23" s="1183">
        <v>884572</v>
      </c>
      <c r="J23" s="1183">
        <v>2033725.84</v>
      </c>
      <c r="K23" s="1183">
        <v>1618229.66</v>
      </c>
      <c r="L23" s="1183">
        <v>1310316.44</v>
      </c>
      <c r="M23" s="1183">
        <f>ROUND(M31/0.07*0.09,2)</f>
        <v>1964026.29</v>
      </c>
      <c r="N23" s="1183">
        <v>1471597.6500000004</v>
      </c>
      <c r="O23" s="1183">
        <v>1108661.6200000001</v>
      </c>
      <c r="P23" s="1183">
        <v>1170580.08</v>
      </c>
      <c r="Q23" s="1183">
        <v>1113398.6599999999</v>
      </c>
      <c r="R23" s="1183">
        <v>413184.65</v>
      </c>
      <c r="S23" s="1183">
        <v>542179.69999999995</v>
      </c>
      <c r="T23" s="1183">
        <v>515724.15</v>
      </c>
      <c r="U23" s="1183">
        <v>760000</v>
      </c>
      <c r="V23" s="1183">
        <v>807864.83999999973</v>
      </c>
      <c r="W23" s="1183">
        <v>123962.12</v>
      </c>
      <c r="X23" s="1208">
        <f t="shared" si="2"/>
        <v>23664852.100000001</v>
      </c>
      <c r="Y23" s="1209"/>
      <c r="Z23" s="1210">
        <v>23586167.559999999</v>
      </c>
      <c r="AA23" s="1215">
        <f>X23-Z23</f>
        <v>78684.540000002831</v>
      </c>
    </row>
    <row r="24" spans="1:27" ht="21.95" customHeight="1">
      <c r="A24" s="1207" t="s">
        <v>62</v>
      </c>
      <c r="B24" s="61" t="s">
        <v>3103</v>
      </c>
      <c r="C24" s="1207"/>
      <c r="D24" s="1207" t="s">
        <v>43</v>
      </c>
      <c r="E24" s="1201">
        <f t="shared" ref="E24:W24" si="9">E25+E26</f>
        <v>185260</v>
      </c>
      <c r="F24" s="1201">
        <f t="shared" si="9"/>
        <v>218800</v>
      </c>
      <c r="G24" s="1201">
        <f t="shared" si="9"/>
        <v>165540</v>
      </c>
      <c r="H24" s="1201">
        <f t="shared" si="9"/>
        <v>183720</v>
      </c>
      <c r="I24" s="1201">
        <f t="shared" si="9"/>
        <v>70560</v>
      </c>
      <c r="J24" s="1201">
        <f t="shared" si="9"/>
        <v>222430</v>
      </c>
      <c r="K24" s="1201">
        <f t="shared" si="9"/>
        <v>191230</v>
      </c>
      <c r="L24" s="1201">
        <f t="shared" si="9"/>
        <v>111720</v>
      </c>
      <c r="M24" s="1201">
        <f t="shared" si="9"/>
        <v>172695</v>
      </c>
      <c r="N24" s="1201">
        <f t="shared" si="9"/>
        <v>135240</v>
      </c>
      <c r="O24" s="1201">
        <f t="shared" si="9"/>
        <v>121010</v>
      </c>
      <c r="P24" s="1201">
        <f t="shared" si="9"/>
        <v>128400</v>
      </c>
      <c r="Q24" s="1201">
        <f t="shared" si="9"/>
        <v>112170</v>
      </c>
      <c r="R24" s="1201">
        <f t="shared" si="9"/>
        <v>43120</v>
      </c>
      <c r="S24" s="1201">
        <f t="shared" si="9"/>
        <v>50960</v>
      </c>
      <c r="T24" s="1201">
        <f t="shared" si="9"/>
        <v>52920</v>
      </c>
      <c r="U24" s="1201">
        <f t="shared" si="9"/>
        <v>74480</v>
      </c>
      <c r="V24" s="1201">
        <f t="shared" si="9"/>
        <v>72980</v>
      </c>
      <c r="W24" s="1201">
        <f t="shared" si="9"/>
        <v>19860</v>
      </c>
      <c r="X24" s="1208">
        <f t="shared" si="2"/>
        <v>2333095</v>
      </c>
      <c r="Y24" s="1209"/>
    </row>
    <row r="25" spans="1:27" ht="21.95" customHeight="1">
      <c r="A25" s="1207" t="s">
        <v>64</v>
      </c>
      <c r="B25" s="61" t="s">
        <v>3104</v>
      </c>
      <c r="C25" s="1207" t="s">
        <v>61</v>
      </c>
      <c r="D25" s="1207" t="s">
        <v>423</v>
      </c>
      <c r="E25" s="1183"/>
      <c r="F25" s="1183">
        <f>4200+700*10</f>
        <v>11200</v>
      </c>
      <c r="G25" s="1183"/>
      <c r="H25" s="1183"/>
      <c r="I25" s="1183"/>
      <c r="J25" s="1183"/>
      <c r="K25" s="1183"/>
      <c r="L25" s="1183"/>
      <c r="M25" s="1183"/>
      <c r="N25" s="1183"/>
      <c r="O25" s="1183"/>
      <c r="P25" s="1183"/>
      <c r="Q25" s="1183"/>
      <c r="R25" s="1183"/>
      <c r="S25" s="1183"/>
      <c r="T25" s="1183"/>
      <c r="U25" s="1183"/>
      <c r="V25" s="1183"/>
      <c r="W25" s="1183"/>
      <c r="X25" s="1208">
        <f t="shared" si="2"/>
        <v>11200</v>
      </c>
      <c r="Y25" s="1209"/>
    </row>
    <row r="26" spans="1:27" ht="21.95" customHeight="1">
      <c r="A26" s="1207" t="s">
        <v>65</v>
      </c>
      <c r="B26" s="61" t="s">
        <v>3105</v>
      </c>
      <c r="C26" s="1207" t="s">
        <v>61</v>
      </c>
      <c r="D26" s="1207" t="s">
        <v>423</v>
      </c>
      <c r="E26" s="1183">
        <v>185260</v>
      </c>
      <c r="F26" s="1183">
        <v>207600</v>
      </c>
      <c r="G26" s="1183">
        <v>165540</v>
      </c>
      <c r="H26" s="1183">
        <f>145960+37310+450</f>
        <v>183720</v>
      </c>
      <c r="I26" s="1183">
        <v>70560</v>
      </c>
      <c r="J26" s="1183">
        <v>222430</v>
      </c>
      <c r="K26" s="1183">
        <v>191230</v>
      </c>
      <c r="L26" s="1183">
        <v>111720</v>
      </c>
      <c r="M26" s="1183">
        <v>172695</v>
      </c>
      <c r="N26" s="1183">
        <f>12420+122820</f>
        <v>135240</v>
      </c>
      <c r="O26" s="1183">
        <v>121010</v>
      </c>
      <c r="P26" s="1183">
        <v>128400</v>
      </c>
      <c r="Q26" s="1183">
        <v>112170</v>
      </c>
      <c r="R26" s="1183">
        <v>43120</v>
      </c>
      <c r="S26" s="1183">
        <v>50960</v>
      </c>
      <c r="T26" s="1183">
        <v>52920</v>
      </c>
      <c r="U26" s="1183">
        <v>74480</v>
      </c>
      <c r="V26" s="1183">
        <v>72980</v>
      </c>
      <c r="W26" s="1183">
        <v>19860</v>
      </c>
      <c r="X26" s="1208">
        <f t="shared" si="2"/>
        <v>2321895</v>
      </c>
      <c r="Y26" s="1209"/>
    </row>
    <row r="27" spans="1:27" ht="21.95" customHeight="1">
      <c r="A27" s="1207" t="s">
        <v>66</v>
      </c>
      <c r="B27" s="61" t="s">
        <v>67</v>
      </c>
      <c r="C27" s="1207"/>
      <c r="D27" s="1207" t="s">
        <v>21</v>
      </c>
      <c r="E27" s="1201">
        <f t="shared" ref="E27:W27" si="10">E28</f>
        <v>3258653.92</v>
      </c>
      <c r="F27" s="1201">
        <f t="shared" si="10"/>
        <v>3306134.08</v>
      </c>
      <c r="G27" s="1201">
        <f t="shared" si="10"/>
        <v>3910526.61</v>
      </c>
      <c r="H27" s="1201">
        <f t="shared" si="10"/>
        <v>3421449.92</v>
      </c>
      <c r="I27" s="1201">
        <f t="shared" si="10"/>
        <v>1572572</v>
      </c>
      <c r="J27" s="1201">
        <f t="shared" si="10"/>
        <v>3615504.16</v>
      </c>
      <c r="K27" s="1201">
        <f t="shared" si="10"/>
        <v>2876846.0800000001</v>
      </c>
      <c r="L27" s="1201">
        <f t="shared" si="10"/>
        <v>2322700.7200000002</v>
      </c>
      <c r="M27" s="1201">
        <f t="shared" si="10"/>
        <v>3491602.29</v>
      </c>
      <c r="N27" s="1201">
        <f t="shared" si="10"/>
        <v>2614405.5699999998</v>
      </c>
      <c r="O27" s="1201">
        <f t="shared" si="10"/>
        <v>1970947.84</v>
      </c>
      <c r="P27" s="1201">
        <f t="shared" si="10"/>
        <v>2081024.32</v>
      </c>
      <c r="Q27" s="1201">
        <f t="shared" si="10"/>
        <v>1979369.76</v>
      </c>
      <c r="R27" s="1201">
        <f t="shared" si="10"/>
        <v>734549.34</v>
      </c>
      <c r="S27" s="1201">
        <f t="shared" si="10"/>
        <v>963872.5399999998</v>
      </c>
      <c r="T27" s="1201">
        <f t="shared" si="10"/>
        <v>916586.96</v>
      </c>
      <c r="U27" s="1201">
        <f t="shared" si="10"/>
        <v>1331946.56</v>
      </c>
      <c r="V27" s="1201">
        <f t="shared" si="10"/>
        <v>1423083.3900000004</v>
      </c>
      <c r="W27" s="1201">
        <f t="shared" si="10"/>
        <v>221377.21</v>
      </c>
      <c r="X27" s="1208">
        <f t="shared" si="2"/>
        <v>42013153.269999996</v>
      </c>
      <c r="Y27" s="1209"/>
    </row>
    <row r="28" spans="1:27" ht="21.95" customHeight="1">
      <c r="A28" s="1207" t="s">
        <v>68</v>
      </c>
      <c r="B28" s="61" t="s">
        <v>3106</v>
      </c>
      <c r="C28" s="1207" t="s">
        <v>70</v>
      </c>
      <c r="D28" s="1207" t="s">
        <v>419</v>
      </c>
      <c r="E28" s="1183">
        <v>3258653.92</v>
      </c>
      <c r="F28" s="1183">
        <f>2468836.96+279099.04*3</f>
        <v>3306134.08</v>
      </c>
      <c r="G28" s="1183">
        <v>3910526.61</v>
      </c>
      <c r="H28" s="1183">
        <f>3411449.92+10000</f>
        <v>3421449.92</v>
      </c>
      <c r="I28" s="1183">
        <v>1572572</v>
      </c>
      <c r="J28" s="1183">
        <v>3615504.16</v>
      </c>
      <c r="K28" s="1183">
        <v>2876846.0800000001</v>
      </c>
      <c r="L28" s="1183">
        <v>2322700.7200000002</v>
      </c>
      <c r="M28" s="1183">
        <f>ROUND(M31/0.07*0.16,2)</f>
        <v>3491602.29</v>
      </c>
      <c r="N28" s="1183">
        <v>2614405.5699999998</v>
      </c>
      <c r="O28" s="1183">
        <v>1970947.84</v>
      </c>
      <c r="P28" s="1183">
        <v>2081024.32</v>
      </c>
      <c r="Q28" s="1183">
        <v>1979369.76</v>
      </c>
      <c r="R28" s="1183">
        <v>734549.34</v>
      </c>
      <c r="S28" s="1183">
        <v>963872.5399999998</v>
      </c>
      <c r="T28" s="1183">
        <v>916586.96</v>
      </c>
      <c r="U28" s="1183">
        <v>1331946.56</v>
      </c>
      <c r="V28" s="1183">
        <v>1423083.3900000004</v>
      </c>
      <c r="W28" s="1183">
        <v>221377.21</v>
      </c>
      <c r="X28" s="1208">
        <f t="shared" si="2"/>
        <v>42013153.269999996</v>
      </c>
      <c r="Y28" s="1209"/>
      <c r="Z28" s="1210">
        <v>41930964.560000002</v>
      </c>
      <c r="AA28" s="1215">
        <f>X28-Z28</f>
        <v>82188.709999993443</v>
      </c>
    </row>
    <row r="29" spans="1:27" ht="21.95" customHeight="1">
      <c r="A29" s="1207" t="s">
        <v>71</v>
      </c>
      <c r="B29" s="61" t="s">
        <v>72</v>
      </c>
      <c r="C29" s="1207"/>
      <c r="D29" s="1207" t="s">
        <v>21</v>
      </c>
      <c r="E29" s="1201">
        <f t="shared" ref="E29:W29" si="11">E30</f>
        <v>1638800.2400000002</v>
      </c>
      <c r="F29" s="1201">
        <f t="shared" si="11"/>
        <v>1653067.04</v>
      </c>
      <c r="G29" s="1201">
        <f t="shared" si="11"/>
        <v>1955263.34</v>
      </c>
      <c r="H29" s="1201">
        <f t="shared" si="11"/>
        <v>1715724.96</v>
      </c>
      <c r="I29" s="1201">
        <f t="shared" si="11"/>
        <v>786286</v>
      </c>
      <c r="J29" s="1201">
        <f t="shared" si="11"/>
        <v>1806572.8</v>
      </c>
      <c r="K29" s="1201">
        <f t="shared" si="11"/>
        <v>1438423.04</v>
      </c>
      <c r="L29" s="1201">
        <f t="shared" si="11"/>
        <v>1161851.1200000001</v>
      </c>
      <c r="M29" s="1201">
        <f t="shared" si="11"/>
        <v>1745801.14</v>
      </c>
      <c r="N29" s="1201">
        <f t="shared" si="11"/>
        <v>1307202.2699999998</v>
      </c>
      <c r="O29" s="1201">
        <f t="shared" si="11"/>
        <v>985473.92</v>
      </c>
      <c r="P29" s="1201">
        <f t="shared" si="11"/>
        <v>1040512.16</v>
      </c>
      <c r="Q29" s="1201">
        <f t="shared" si="11"/>
        <v>1086597.97</v>
      </c>
      <c r="R29" s="1201">
        <f t="shared" si="11"/>
        <v>382960.01</v>
      </c>
      <c r="S29" s="1201">
        <f t="shared" si="11"/>
        <v>481936.23999999987</v>
      </c>
      <c r="T29" s="1201">
        <f t="shared" si="11"/>
        <v>497357.71</v>
      </c>
      <c r="U29" s="1201">
        <f t="shared" si="11"/>
        <v>665973.28</v>
      </c>
      <c r="V29" s="1201">
        <f t="shared" si="11"/>
        <v>711541.79000000015</v>
      </c>
      <c r="W29" s="1201">
        <f t="shared" si="11"/>
        <v>110188.43000000001</v>
      </c>
      <c r="X29" s="1208">
        <f t="shared" si="2"/>
        <v>21171533.460000001</v>
      </c>
      <c r="Y29" s="1209"/>
    </row>
    <row r="30" spans="1:27" ht="21.95" customHeight="1">
      <c r="A30" s="1207" t="s">
        <v>73</v>
      </c>
      <c r="B30" s="61" t="s">
        <v>74</v>
      </c>
      <c r="C30" s="1207" t="s">
        <v>75</v>
      </c>
      <c r="D30" s="1207" t="s">
        <v>419</v>
      </c>
      <c r="E30" s="1183">
        <f>1214988.08+136270.72*3+3000*5</f>
        <v>1638800.2400000002</v>
      </c>
      <c r="F30" s="1183">
        <f>1234418.48+139549.52*3</f>
        <v>1653067.04</v>
      </c>
      <c r="G30" s="1183">
        <v>1955263.34</v>
      </c>
      <c r="H30" s="1183">
        <f>1705724.96+10000</f>
        <v>1715724.96</v>
      </c>
      <c r="I30" s="1183">
        <v>786286</v>
      </c>
      <c r="J30" s="1183">
        <v>1806572.8</v>
      </c>
      <c r="K30" s="1183">
        <v>1438423.04</v>
      </c>
      <c r="L30" s="1183">
        <v>1161851.1200000001</v>
      </c>
      <c r="M30" s="1183">
        <f>ROUND(M31/0.07*0.08,2)</f>
        <v>1745801.14</v>
      </c>
      <c r="N30" s="1183">
        <v>1307202.2699999998</v>
      </c>
      <c r="O30" s="1183">
        <v>985473.92</v>
      </c>
      <c r="P30" s="1183">
        <v>1040512.16</v>
      </c>
      <c r="Q30" s="1183">
        <v>1086597.97</v>
      </c>
      <c r="R30" s="1183">
        <f>239090.69+31970.96*4.5</f>
        <v>382960.01</v>
      </c>
      <c r="S30" s="1183">
        <v>481936.23999999987</v>
      </c>
      <c r="T30" s="1183">
        <v>497357.71</v>
      </c>
      <c r="U30" s="1183">
        <v>665973.28</v>
      </c>
      <c r="V30" s="1183">
        <v>711541.79000000015</v>
      </c>
      <c r="W30" s="1183">
        <v>110188.43000000001</v>
      </c>
      <c r="X30" s="1208">
        <f t="shared" si="2"/>
        <v>21171533.460000001</v>
      </c>
      <c r="Y30" s="1209"/>
      <c r="Z30" s="1210">
        <v>20965482.289999999</v>
      </c>
      <c r="AA30" s="1215">
        <f>X30-Z30</f>
        <v>206051.17000000179</v>
      </c>
    </row>
    <row r="31" spans="1:27" ht="21.95" customHeight="1">
      <c r="A31" s="1207" t="s">
        <v>76</v>
      </c>
      <c r="B31" s="61" t="s">
        <v>3107</v>
      </c>
      <c r="C31" s="1207" t="s">
        <v>78</v>
      </c>
      <c r="D31" s="1207" t="s">
        <v>28</v>
      </c>
      <c r="E31" s="1183">
        <f>1061128+120449*3+1209*2</f>
        <v>1424893</v>
      </c>
      <c r="F31" s="1183">
        <f>1076851+125399*3</f>
        <v>1453048</v>
      </c>
      <c r="G31" s="1183">
        <v>1696312</v>
      </c>
      <c r="H31" s="1183">
        <v>1499717</v>
      </c>
      <c r="I31" s="1183">
        <v>688000</v>
      </c>
      <c r="J31" s="1183">
        <v>1578600</v>
      </c>
      <c r="K31" s="1183">
        <v>1251365</v>
      </c>
      <c r="L31" s="1183">
        <v>1018538</v>
      </c>
      <c r="M31" s="1183">
        <f>127298*12</f>
        <v>1527576</v>
      </c>
      <c r="N31" s="1183">
        <v>1145299</v>
      </c>
      <c r="O31" s="1183">
        <v>858916</v>
      </c>
      <c r="P31" s="1183">
        <v>908042</v>
      </c>
      <c r="Q31" s="1183">
        <v>771959.91</v>
      </c>
      <c r="R31" s="1183">
        <v>345492</v>
      </c>
      <c r="S31" s="1183">
        <v>432138</v>
      </c>
      <c r="T31" s="1183">
        <v>435470</v>
      </c>
      <c r="U31" s="1183">
        <v>583728</v>
      </c>
      <c r="V31" s="1183">
        <v>623778</v>
      </c>
      <c r="W31" s="1183">
        <v>97038</v>
      </c>
      <c r="X31" s="1208">
        <f t="shared" si="2"/>
        <v>18339909.91</v>
      </c>
      <c r="Y31" s="1209"/>
      <c r="Z31" s="1210">
        <v>18344797</v>
      </c>
      <c r="AA31" s="1215">
        <f>X31-Z31</f>
        <v>-4887.089999999851</v>
      </c>
    </row>
    <row r="32" spans="1:27" ht="21.95" customHeight="1">
      <c r="A32" s="1207" t="s">
        <v>80</v>
      </c>
      <c r="B32" s="61" t="s">
        <v>3108</v>
      </c>
      <c r="C32" s="1207" t="s">
        <v>27</v>
      </c>
      <c r="D32" s="1207" t="s">
        <v>204</v>
      </c>
      <c r="E32" s="1183">
        <v>26000</v>
      </c>
      <c r="F32" s="1183">
        <v>26000</v>
      </c>
      <c r="G32" s="1183">
        <v>31000</v>
      </c>
      <c r="H32" s="1183">
        <v>26000</v>
      </c>
      <c r="I32" s="1183">
        <v>7500</v>
      </c>
      <c r="J32" s="1183">
        <v>34000</v>
      </c>
      <c r="K32" s="1183">
        <v>24500</v>
      </c>
      <c r="L32" s="1183">
        <v>18500</v>
      </c>
      <c r="M32" s="1183">
        <v>39000</v>
      </c>
      <c r="N32" s="1183">
        <v>23000</v>
      </c>
      <c r="O32" s="1183">
        <v>20000</v>
      </c>
      <c r="P32" s="1183">
        <v>23000</v>
      </c>
      <c r="Q32" s="1183">
        <v>18500</v>
      </c>
      <c r="R32" s="1183">
        <v>6000</v>
      </c>
      <c r="S32" s="1183">
        <v>7500</v>
      </c>
      <c r="T32" s="1183">
        <v>7500</v>
      </c>
      <c r="U32" s="1183">
        <v>14000</v>
      </c>
      <c r="V32" s="1183">
        <v>14000</v>
      </c>
      <c r="W32" s="1183">
        <v>1500</v>
      </c>
      <c r="X32" s="1208">
        <f t="shared" si="2"/>
        <v>367500</v>
      </c>
      <c r="Y32" s="1209"/>
    </row>
    <row r="33" spans="1:25" ht="21.95" customHeight="1">
      <c r="A33" s="1207" t="s">
        <v>83</v>
      </c>
      <c r="B33" s="61" t="s">
        <v>84</v>
      </c>
      <c r="C33" s="1207"/>
      <c r="D33" s="1207" t="s">
        <v>21</v>
      </c>
      <c r="E33" s="1201">
        <f t="shared" ref="E33:W33" si="12">E34+E36+E38</f>
        <v>1314995</v>
      </c>
      <c r="F33" s="1201">
        <f t="shared" si="12"/>
        <v>1138885</v>
      </c>
      <c r="G33" s="1201">
        <f t="shared" si="12"/>
        <v>15780</v>
      </c>
      <c r="H33" s="1201">
        <f t="shared" si="12"/>
        <v>16230</v>
      </c>
      <c r="I33" s="1201">
        <f t="shared" si="12"/>
        <v>780</v>
      </c>
      <c r="J33" s="1201">
        <f t="shared" si="12"/>
        <v>2013845</v>
      </c>
      <c r="K33" s="1201">
        <f t="shared" si="12"/>
        <v>1916890</v>
      </c>
      <c r="L33" s="1201">
        <f t="shared" si="12"/>
        <v>720</v>
      </c>
      <c r="M33" s="1201">
        <f t="shared" si="12"/>
        <v>17700</v>
      </c>
      <c r="N33" s="1201">
        <f t="shared" si="12"/>
        <v>3350</v>
      </c>
      <c r="O33" s="1201">
        <f t="shared" si="12"/>
        <v>411860</v>
      </c>
      <c r="P33" s="1201">
        <f t="shared" si="12"/>
        <v>405480</v>
      </c>
      <c r="Q33" s="1201">
        <f t="shared" si="12"/>
        <v>14970</v>
      </c>
      <c r="R33" s="1201">
        <f t="shared" si="12"/>
        <v>360</v>
      </c>
      <c r="S33" s="1201">
        <f t="shared" si="12"/>
        <v>1440</v>
      </c>
      <c r="T33" s="1201">
        <f t="shared" si="12"/>
        <v>5080</v>
      </c>
      <c r="U33" s="1201">
        <f t="shared" si="12"/>
        <v>1080</v>
      </c>
      <c r="V33" s="1201">
        <f t="shared" si="12"/>
        <v>1800</v>
      </c>
      <c r="W33" s="1201">
        <f t="shared" si="12"/>
        <v>370500</v>
      </c>
      <c r="X33" s="1208">
        <f t="shared" si="2"/>
        <v>7651745</v>
      </c>
      <c r="Y33" s="1209"/>
    </row>
    <row r="34" spans="1:25" ht="21.95" customHeight="1">
      <c r="A34" s="1207" t="s">
        <v>85</v>
      </c>
      <c r="B34" s="61" t="s">
        <v>3109</v>
      </c>
      <c r="C34" s="1207" t="s">
        <v>87</v>
      </c>
      <c r="D34" s="1207" t="s">
        <v>206</v>
      </c>
      <c r="E34" s="1201">
        <f t="shared" ref="E34:W34" si="13">E35</f>
        <v>1313555</v>
      </c>
      <c r="F34" s="1201">
        <f t="shared" si="13"/>
        <v>1137805</v>
      </c>
      <c r="G34" s="1201">
        <f t="shared" si="13"/>
        <v>15780</v>
      </c>
      <c r="H34" s="1201">
        <f t="shared" si="13"/>
        <v>15780</v>
      </c>
      <c r="I34" s="1201">
        <f t="shared" si="13"/>
        <v>0</v>
      </c>
      <c r="J34" s="1201">
        <f t="shared" si="13"/>
        <v>2013125</v>
      </c>
      <c r="K34" s="1201">
        <f t="shared" si="13"/>
        <v>1916170</v>
      </c>
      <c r="L34" s="1201">
        <f t="shared" si="13"/>
        <v>0</v>
      </c>
      <c r="M34" s="1201">
        <f t="shared" si="13"/>
        <v>13020</v>
      </c>
      <c r="N34" s="1201">
        <f t="shared" si="13"/>
        <v>2630</v>
      </c>
      <c r="O34" s="1201">
        <f t="shared" si="13"/>
        <v>406610</v>
      </c>
      <c r="P34" s="1201">
        <f t="shared" si="13"/>
        <v>401880</v>
      </c>
      <c r="Q34" s="1201">
        <f t="shared" si="13"/>
        <v>13020</v>
      </c>
      <c r="R34" s="1201">
        <f t="shared" si="13"/>
        <v>0</v>
      </c>
      <c r="S34" s="1201">
        <f t="shared" si="13"/>
        <v>0</v>
      </c>
      <c r="T34" s="1201">
        <f t="shared" si="13"/>
        <v>4000</v>
      </c>
      <c r="U34" s="1201">
        <f t="shared" si="13"/>
        <v>0</v>
      </c>
      <c r="V34" s="1201">
        <f t="shared" si="13"/>
        <v>0</v>
      </c>
      <c r="W34" s="1201">
        <f t="shared" si="13"/>
        <v>370500</v>
      </c>
      <c r="X34" s="1208">
        <f t="shared" si="2"/>
        <v>7623875</v>
      </c>
      <c r="Y34" s="1209"/>
    </row>
    <row r="35" spans="1:25" ht="21.95" customHeight="1">
      <c r="A35" s="1207" t="s">
        <v>89</v>
      </c>
      <c r="B35" s="61" t="s">
        <v>3110</v>
      </c>
      <c r="C35" s="1207" t="s">
        <v>87</v>
      </c>
      <c r="D35" s="1207" t="s">
        <v>206</v>
      </c>
      <c r="E35" s="1183">
        <f>983810+109915*3</f>
        <v>1313555</v>
      </c>
      <c r="F35" s="1183">
        <f>849550+96085*3</f>
        <v>1137805</v>
      </c>
      <c r="G35" s="1183">
        <v>15780</v>
      </c>
      <c r="H35" s="1183">
        <f>1315*12</f>
        <v>15780</v>
      </c>
      <c r="I35" s="1183"/>
      <c r="J35" s="1183">
        <v>2013125</v>
      </c>
      <c r="K35" s="1183">
        <v>1916170</v>
      </c>
      <c r="L35" s="1183"/>
      <c r="M35" s="1183">
        <f>1085*12</f>
        <v>13020</v>
      </c>
      <c r="N35" s="1183">
        <f>1315*2</f>
        <v>2630</v>
      </c>
      <c r="O35" s="1183">
        <v>406610</v>
      </c>
      <c r="P35" s="1183">
        <v>401880</v>
      </c>
      <c r="Q35" s="1183">
        <f>1085*12</f>
        <v>13020</v>
      </c>
      <c r="R35" s="1183"/>
      <c r="S35" s="1183"/>
      <c r="T35" s="1183">
        <v>4000</v>
      </c>
      <c r="U35" s="1183"/>
      <c r="V35" s="1183"/>
      <c r="W35" s="1183">
        <v>370500</v>
      </c>
      <c r="X35" s="1208">
        <f t="shared" si="2"/>
        <v>7623875</v>
      </c>
      <c r="Y35" s="1209"/>
    </row>
    <row r="36" spans="1:25" ht="21.95" customHeight="1">
      <c r="A36" s="1207" t="s">
        <v>91</v>
      </c>
      <c r="B36" s="61" t="s">
        <v>92</v>
      </c>
      <c r="C36" s="1207"/>
      <c r="D36" s="1207" t="s">
        <v>21</v>
      </c>
      <c r="E36" s="1201">
        <f t="shared" ref="E36:W36" si="14">E37</f>
        <v>1440</v>
      </c>
      <c r="F36" s="1201">
        <f t="shared" si="14"/>
        <v>1080</v>
      </c>
      <c r="G36" s="1201">
        <f t="shared" si="14"/>
        <v>0</v>
      </c>
      <c r="H36" s="1201">
        <f t="shared" si="14"/>
        <v>450</v>
      </c>
      <c r="I36" s="1201">
        <f t="shared" si="14"/>
        <v>780</v>
      </c>
      <c r="J36" s="1201">
        <f t="shared" si="14"/>
        <v>720</v>
      </c>
      <c r="K36" s="1201">
        <f t="shared" si="14"/>
        <v>720</v>
      </c>
      <c r="L36" s="1201">
        <f t="shared" si="14"/>
        <v>720</v>
      </c>
      <c r="M36" s="1201">
        <f t="shared" si="14"/>
        <v>4680</v>
      </c>
      <c r="N36" s="1201">
        <f t="shared" si="14"/>
        <v>720</v>
      </c>
      <c r="O36" s="1201">
        <f t="shared" si="14"/>
        <v>5250</v>
      </c>
      <c r="P36" s="1201">
        <f t="shared" si="14"/>
        <v>3600</v>
      </c>
      <c r="Q36" s="1201">
        <f t="shared" si="14"/>
        <v>1950</v>
      </c>
      <c r="R36" s="1201">
        <f t="shared" si="14"/>
        <v>360</v>
      </c>
      <c r="S36" s="1201">
        <f t="shared" si="14"/>
        <v>1440</v>
      </c>
      <c r="T36" s="1201">
        <f t="shared" si="14"/>
        <v>1080</v>
      </c>
      <c r="U36" s="1201">
        <f t="shared" si="14"/>
        <v>1080</v>
      </c>
      <c r="V36" s="1201">
        <f t="shared" si="14"/>
        <v>1800</v>
      </c>
      <c r="W36" s="1201">
        <f t="shared" si="14"/>
        <v>0</v>
      </c>
      <c r="X36" s="1208">
        <f t="shared" si="2"/>
        <v>27870</v>
      </c>
      <c r="Y36" s="1209"/>
    </row>
    <row r="37" spans="1:25" ht="21.95" customHeight="1">
      <c r="A37" s="1207" t="s">
        <v>93</v>
      </c>
      <c r="B37" s="61" t="s">
        <v>94</v>
      </c>
      <c r="C37" s="1207" t="s">
        <v>27</v>
      </c>
      <c r="D37" s="1207" t="s">
        <v>28</v>
      </c>
      <c r="E37" s="1183">
        <v>1440</v>
      </c>
      <c r="F37" s="1183">
        <v>1080</v>
      </c>
      <c r="G37" s="1183">
        <v>0</v>
      </c>
      <c r="H37" s="1183">
        <f>30*12+30*3</f>
        <v>450</v>
      </c>
      <c r="I37" s="1183">
        <v>780</v>
      </c>
      <c r="J37" s="1183">
        <v>720</v>
      </c>
      <c r="K37" s="1183">
        <v>720</v>
      </c>
      <c r="L37" s="1183">
        <v>720</v>
      </c>
      <c r="M37" s="1183">
        <f>13*30*12</f>
        <v>4680</v>
      </c>
      <c r="N37" s="1183">
        <v>720</v>
      </c>
      <c r="O37" s="1183">
        <v>5250</v>
      </c>
      <c r="P37" s="1183">
        <v>3600</v>
      </c>
      <c r="Q37" s="1183">
        <v>1950</v>
      </c>
      <c r="R37" s="1183">
        <f>240+30*4</f>
        <v>360</v>
      </c>
      <c r="S37" s="1183">
        <v>1440</v>
      </c>
      <c r="T37" s="1183">
        <v>1080</v>
      </c>
      <c r="U37" s="1183">
        <v>1080</v>
      </c>
      <c r="V37" s="1183">
        <v>1800</v>
      </c>
      <c r="W37" s="1183"/>
      <c r="X37" s="1208">
        <f t="shared" si="2"/>
        <v>27870</v>
      </c>
      <c r="Y37" s="1209"/>
    </row>
    <row r="38" spans="1:25" ht="21.95" customHeight="1">
      <c r="A38" s="1207" t="s">
        <v>95</v>
      </c>
      <c r="B38" s="61" t="s">
        <v>3002</v>
      </c>
      <c r="C38" s="1207"/>
      <c r="D38" s="1207" t="s">
        <v>21</v>
      </c>
      <c r="E38" s="1201">
        <f t="shared" ref="E38:W38" si="15">E39</f>
        <v>0</v>
      </c>
      <c r="F38" s="1201">
        <f t="shared" si="15"/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8">
        <f t="shared" si="2"/>
        <v>0</v>
      </c>
      <c r="Y38" s="1209"/>
    </row>
    <row r="39" spans="1:25" ht="21.95" customHeight="1">
      <c r="A39" s="1207" t="s">
        <v>96</v>
      </c>
      <c r="B39" s="61" t="s">
        <v>3111</v>
      </c>
      <c r="C39" s="1207" t="s">
        <v>27</v>
      </c>
      <c r="D39" s="1207" t="s">
        <v>3004</v>
      </c>
      <c r="E39" s="1183"/>
      <c r="F39" s="1183"/>
      <c r="G39" s="1183"/>
      <c r="H39" s="1183"/>
      <c r="I39" s="1183"/>
      <c r="J39" s="1183">
        <v>0</v>
      </c>
      <c r="K39" s="1183"/>
      <c r="L39" s="1183"/>
      <c r="M39" s="1183"/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208">
        <f t="shared" si="2"/>
        <v>0</v>
      </c>
      <c r="Y39" s="1209"/>
    </row>
    <row r="40" spans="1:25" ht="21.95" customHeight="1">
      <c r="A40" s="1207" t="s">
        <v>97</v>
      </c>
      <c r="B40" s="61" t="s">
        <v>98</v>
      </c>
      <c r="C40" s="1207"/>
      <c r="D40" s="1207" t="s">
        <v>21</v>
      </c>
      <c r="E40" s="1201">
        <f t="shared" ref="E40:W40" si="16">E41+E43+E45+E47+E49+E52+E54+E56+E60</f>
        <v>6051277</v>
      </c>
      <c r="F40" s="1201">
        <f t="shared" si="16"/>
        <v>5782757.3799999999</v>
      </c>
      <c r="G40" s="1201">
        <f t="shared" si="16"/>
        <v>6562325.3499999996</v>
      </c>
      <c r="H40" s="1201">
        <f t="shared" si="16"/>
        <v>7201657.2199999997</v>
      </c>
      <c r="I40" s="1201">
        <f t="shared" si="16"/>
        <v>3960627.2600000002</v>
      </c>
      <c r="J40" s="1201">
        <f t="shared" si="16"/>
        <v>7637490.6799999997</v>
      </c>
      <c r="K40" s="1201">
        <f t="shared" si="16"/>
        <v>5745389.71</v>
      </c>
      <c r="L40" s="1201">
        <f t="shared" si="16"/>
        <v>6384697.6899999995</v>
      </c>
      <c r="M40" s="1201">
        <f t="shared" si="16"/>
        <v>5826821.29</v>
      </c>
      <c r="N40" s="1201">
        <f t="shared" si="16"/>
        <v>4824112.8500000006</v>
      </c>
      <c r="O40" s="1201">
        <f t="shared" si="16"/>
        <v>2718938.1199999996</v>
      </c>
      <c r="P40" s="1201">
        <f t="shared" si="16"/>
        <v>3382721.7</v>
      </c>
      <c r="Q40" s="1201">
        <f t="shared" si="16"/>
        <v>2763575.8</v>
      </c>
      <c r="R40" s="1201">
        <f t="shared" si="16"/>
        <v>1248222</v>
      </c>
      <c r="S40" s="1201">
        <f t="shared" si="16"/>
        <v>2427703.8899999997</v>
      </c>
      <c r="T40" s="1201">
        <f t="shared" si="16"/>
        <v>2223482</v>
      </c>
      <c r="U40" s="1201">
        <f t="shared" si="16"/>
        <v>2305221.8200000003</v>
      </c>
      <c r="V40" s="1201">
        <f t="shared" si="16"/>
        <v>2694082.33</v>
      </c>
      <c r="W40" s="1201">
        <f t="shared" si="16"/>
        <v>326003.71000000002</v>
      </c>
      <c r="X40" s="1208">
        <f t="shared" si="2"/>
        <v>80067107.799999982</v>
      </c>
      <c r="Y40" s="1209"/>
    </row>
    <row r="41" spans="1:25" ht="21.95" customHeight="1">
      <c r="A41" s="1207" t="s">
        <v>99</v>
      </c>
      <c r="B41" s="61" t="s">
        <v>100</v>
      </c>
      <c r="C41" s="1207"/>
      <c r="D41" s="1207" t="s">
        <v>101</v>
      </c>
      <c r="E41" s="1183">
        <v>4522950</v>
      </c>
      <c r="F41" s="1183">
        <v>4391200</v>
      </c>
      <c r="G41" s="1183">
        <v>4741195</v>
      </c>
      <c r="H41" s="1183">
        <v>5943125</v>
      </c>
      <c r="I41" s="1183">
        <v>3198175</v>
      </c>
      <c r="J41" s="1183">
        <v>5687130</v>
      </c>
      <c r="K41" s="1183">
        <v>4134600</v>
      </c>
      <c r="L41" s="1183">
        <v>5422920</v>
      </c>
      <c r="M41" s="1183">
        <f>1378*3210+7*6790</f>
        <v>4470910</v>
      </c>
      <c r="N41" s="1183">
        <v>3890395</v>
      </c>
      <c r="O41" s="1183">
        <v>1881880</v>
      </c>
      <c r="P41" s="1183">
        <v>2465270</v>
      </c>
      <c r="Q41" s="1183">
        <v>2014870</v>
      </c>
      <c r="R41" s="1183">
        <v>899470</v>
      </c>
      <c r="S41" s="1183">
        <f>1079630+858000</f>
        <v>1937630</v>
      </c>
      <c r="T41" s="1183">
        <v>1737420</v>
      </c>
      <c r="U41" s="1183">
        <f>300*2860+300*2860</f>
        <v>1716000</v>
      </c>
      <c r="V41" s="1183">
        <v>2040580</v>
      </c>
      <c r="W41" s="1183">
        <v>134400</v>
      </c>
      <c r="X41" s="1208">
        <f t="shared" si="2"/>
        <v>61230120</v>
      </c>
      <c r="Y41" s="1209"/>
    </row>
    <row r="42" spans="1:25" ht="21.95" customHeight="1">
      <c r="A42" s="1207" t="s">
        <v>102</v>
      </c>
      <c r="B42" s="61" t="s">
        <v>3112</v>
      </c>
      <c r="C42" s="1207" t="s">
        <v>27</v>
      </c>
      <c r="D42" s="1207" t="s">
        <v>209</v>
      </c>
      <c r="E42" s="1183">
        <v>226147.5</v>
      </c>
      <c r="F42" s="1183">
        <v>219560</v>
      </c>
      <c r="G42" s="1183">
        <v>237059.75</v>
      </c>
      <c r="H42" s="1183">
        <f>H41*5%</f>
        <v>297156.25</v>
      </c>
      <c r="I42" s="1183">
        <v>159908.75</v>
      </c>
      <c r="J42" s="1183">
        <v>284356.5</v>
      </c>
      <c r="K42" s="1183">
        <v>206730</v>
      </c>
      <c r="L42" s="1183">
        <v>271146</v>
      </c>
      <c r="M42" s="1183">
        <f>M41*0.05</f>
        <v>223545.5</v>
      </c>
      <c r="N42" s="1183">
        <v>194519.75</v>
      </c>
      <c r="O42" s="1183">
        <v>94094</v>
      </c>
      <c r="P42" s="1183">
        <v>123263.5</v>
      </c>
      <c r="Q42" s="1183">
        <v>100743.5</v>
      </c>
      <c r="R42" s="1183">
        <v>44973.5</v>
      </c>
      <c r="S42" s="1183">
        <v>72714.5</v>
      </c>
      <c r="T42" s="1183">
        <v>69496.5</v>
      </c>
      <c r="U42" s="1183">
        <v>73430.5</v>
      </c>
      <c r="V42" s="1183">
        <v>100527.5</v>
      </c>
      <c r="W42" s="1183">
        <v>6720</v>
      </c>
      <c r="X42" s="1208">
        <f t="shared" si="2"/>
        <v>3006093.5</v>
      </c>
      <c r="Y42" s="1209"/>
    </row>
    <row r="43" spans="1:25" ht="21.95" customHeight="1">
      <c r="A43" s="1207" t="s">
        <v>106</v>
      </c>
      <c r="B43" s="61" t="s">
        <v>107</v>
      </c>
      <c r="C43" s="1207"/>
      <c r="D43" s="1207"/>
      <c r="E43" s="1201">
        <f t="shared" ref="E43:W43" si="17">E44</f>
        <v>31200</v>
      </c>
      <c r="F43" s="1201">
        <f t="shared" si="17"/>
        <v>31366.67</v>
      </c>
      <c r="G43" s="1201">
        <f t="shared" si="17"/>
        <v>38030</v>
      </c>
      <c r="H43" s="1201">
        <f t="shared" si="17"/>
        <v>36000</v>
      </c>
      <c r="I43" s="1201">
        <f t="shared" si="17"/>
        <v>18433.330000000002</v>
      </c>
      <c r="J43" s="1201">
        <f t="shared" si="17"/>
        <v>36000</v>
      </c>
      <c r="K43" s="1201">
        <f t="shared" si="17"/>
        <v>30400</v>
      </c>
      <c r="L43" s="1201">
        <f t="shared" si="17"/>
        <v>25000</v>
      </c>
      <c r="M43" s="1201">
        <f t="shared" si="17"/>
        <v>34800</v>
      </c>
      <c r="N43" s="1201">
        <f t="shared" si="17"/>
        <v>27600</v>
      </c>
      <c r="O43" s="1201">
        <f t="shared" si="17"/>
        <v>22800</v>
      </c>
      <c r="P43" s="1201">
        <f t="shared" si="17"/>
        <v>23600</v>
      </c>
      <c r="Q43" s="1201">
        <f t="shared" si="17"/>
        <v>22800</v>
      </c>
      <c r="R43" s="1201">
        <f t="shared" si="17"/>
        <v>8800</v>
      </c>
      <c r="S43" s="1201">
        <f t="shared" si="17"/>
        <v>12400</v>
      </c>
      <c r="T43" s="1201">
        <f t="shared" si="17"/>
        <v>10800</v>
      </c>
      <c r="U43" s="1201">
        <f t="shared" si="17"/>
        <v>15200</v>
      </c>
      <c r="V43" s="1201">
        <f t="shared" si="17"/>
        <v>16400</v>
      </c>
      <c r="W43" s="1201">
        <f t="shared" si="17"/>
        <v>2400</v>
      </c>
      <c r="X43" s="1208">
        <f t="shared" si="2"/>
        <v>444030</v>
      </c>
      <c r="Y43" s="1209"/>
    </row>
    <row r="44" spans="1:25" ht="21.95" customHeight="1">
      <c r="A44" s="1207" t="s">
        <v>108</v>
      </c>
      <c r="B44" s="61" t="s">
        <v>109</v>
      </c>
      <c r="C44" s="1207" t="s">
        <v>27</v>
      </c>
      <c r="D44" s="1207" t="s">
        <v>426</v>
      </c>
      <c r="E44" s="1183">
        <v>31200</v>
      </c>
      <c r="F44" s="1183">
        <v>31366.67</v>
      </c>
      <c r="G44" s="1183">
        <v>38030</v>
      </c>
      <c r="H44" s="1183">
        <f>400*H64</f>
        <v>36000</v>
      </c>
      <c r="I44" s="1183">
        <v>18433.330000000002</v>
      </c>
      <c r="J44" s="1183">
        <v>36000</v>
      </c>
      <c r="K44" s="1183">
        <v>30400</v>
      </c>
      <c r="L44" s="1183">
        <v>25000</v>
      </c>
      <c r="M44" s="1183">
        <f>M65*400</f>
        <v>34800</v>
      </c>
      <c r="N44" s="1183">
        <f>69*400</f>
        <v>27600</v>
      </c>
      <c r="O44" s="1183">
        <v>22800</v>
      </c>
      <c r="P44" s="1183">
        <v>23600</v>
      </c>
      <c r="Q44" s="1183">
        <f>57*400</f>
        <v>22800</v>
      </c>
      <c r="R44" s="1183">
        <v>8800</v>
      </c>
      <c r="S44" s="1183">
        <f>31*400</f>
        <v>12400</v>
      </c>
      <c r="T44" s="1183">
        <v>10800</v>
      </c>
      <c r="U44" s="1183">
        <f>400*38</f>
        <v>15200</v>
      </c>
      <c r="V44" s="1183">
        <v>16400</v>
      </c>
      <c r="W44" s="1183">
        <v>2400</v>
      </c>
      <c r="X44" s="1208">
        <f t="shared" si="2"/>
        <v>444030</v>
      </c>
      <c r="Y44" s="1209"/>
    </row>
    <row r="45" spans="1:25" ht="21.95" customHeight="1">
      <c r="A45" s="1207" t="s">
        <v>111</v>
      </c>
      <c r="B45" s="61" t="s">
        <v>112</v>
      </c>
      <c r="C45" s="1207"/>
      <c r="D45" s="1207" t="s">
        <v>21</v>
      </c>
      <c r="E45" s="1201">
        <f t="shared" ref="E45:W45" si="18">E46</f>
        <v>255945</v>
      </c>
      <c r="F45" s="1201">
        <f t="shared" si="18"/>
        <v>178845</v>
      </c>
      <c r="G45" s="1201">
        <f t="shared" si="18"/>
        <v>715855.35</v>
      </c>
      <c r="H45" s="1201">
        <f t="shared" si="18"/>
        <v>277220.84999999998</v>
      </c>
      <c r="I45" s="1201">
        <f t="shared" si="18"/>
        <v>237987.9</v>
      </c>
      <c r="J45" s="1201">
        <f t="shared" si="18"/>
        <v>353195.25</v>
      </c>
      <c r="K45" s="1201">
        <f t="shared" si="18"/>
        <v>247352.85</v>
      </c>
      <c r="L45" s="1201">
        <f t="shared" si="18"/>
        <v>249734.55</v>
      </c>
      <c r="M45" s="1201">
        <f t="shared" si="18"/>
        <v>336501</v>
      </c>
      <c r="N45" s="1201">
        <f t="shared" si="18"/>
        <v>178714.35</v>
      </c>
      <c r="O45" s="1201">
        <f t="shared" si="18"/>
        <v>114821.55</v>
      </c>
      <c r="P45" s="1201">
        <f t="shared" si="18"/>
        <v>181706.7</v>
      </c>
      <c r="Q45" s="1201">
        <f t="shared" si="18"/>
        <v>156571.80000000002</v>
      </c>
      <c r="R45" s="1201">
        <f t="shared" si="18"/>
        <v>91200</v>
      </c>
      <c r="S45" s="1201">
        <f t="shared" si="18"/>
        <v>172748.25</v>
      </c>
      <c r="T45" s="1201">
        <f t="shared" si="18"/>
        <v>179094</v>
      </c>
      <c r="U45" s="1201">
        <f t="shared" si="18"/>
        <v>169364.1</v>
      </c>
      <c r="V45" s="1201">
        <f t="shared" si="18"/>
        <v>202800</v>
      </c>
      <c r="W45" s="1201">
        <f t="shared" si="18"/>
        <v>23670</v>
      </c>
      <c r="X45" s="1208">
        <f t="shared" si="2"/>
        <v>4323328.5</v>
      </c>
      <c r="Y45" s="1209"/>
    </row>
    <row r="46" spans="1:25" ht="21.95" customHeight="1">
      <c r="A46" s="1207" t="s">
        <v>113</v>
      </c>
      <c r="B46" s="61" t="s">
        <v>114</v>
      </c>
      <c r="C46" s="1207" t="s">
        <v>27</v>
      </c>
      <c r="D46" s="1207" t="s">
        <v>427</v>
      </c>
      <c r="E46" s="1183">
        <v>255945</v>
      </c>
      <c r="F46" s="1183">
        <f>F74*15</f>
        <v>178845</v>
      </c>
      <c r="G46" s="1183">
        <v>715855.35</v>
      </c>
      <c r="H46" s="1183">
        <f>15*H74</f>
        <v>277220.84999999998</v>
      </c>
      <c r="I46" s="1183">
        <v>237987.9</v>
      </c>
      <c r="J46" s="1183">
        <v>353195.25</v>
      </c>
      <c r="K46" s="1183">
        <v>247352.85</v>
      </c>
      <c r="L46" s="1183">
        <v>249734.55</v>
      </c>
      <c r="M46" s="1183">
        <f>M74*15</f>
        <v>336501</v>
      </c>
      <c r="N46" s="1183">
        <f>15*N74</f>
        <v>178714.35</v>
      </c>
      <c r="O46" s="1183">
        <v>114821.55</v>
      </c>
      <c r="P46" s="1183">
        <v>181706.7</v>
      </c>
      <c r="Q46" s="1183">
        <f>Q74*15</f>
        <v>156571.80000000002</v>
      </c>
      <c r="R46" s="1183">
        <v>91200</v>
      </c>
      <c r="S46" s="1183">
        <f>S74*15</f>
        <v>172748.25</v>
      </c>
      <c r="T46" s="1183">
        <v>179094</v>
      </c>
      <c r="U46" s="1183">
        <v>169364.1</v>
      </c>
      <c r="V46" s="1183">
        <v>202800</v>
      </c>
      <c r="W46" s="1183">
        <v>23670</v>
      </c>
      <c r="X46" s="1208">
        <f t="shared" si="2"/>
        <v>4323328.5</v>
      </c>
      <c r="Y46" s="1209"/>
    </row>
    <row r="47" spans="1:25" ht="21.95" customHeight="1">
      <c r="A47" s="1207" t="s">
        <v>116</v>
      </c>
      <c r="B47" s="61" t="s">
        <v>117</v>
      </c>
      <c r="C47" s="1207"/>
      <c r="D47" s="1207" t="s">
        <v>21</v>
      </c>
      <c r="E47" s="1201">
        <f t="shared" ref="E47:W47" si="19">E48</f>
        <v>126632</v>
      </c>
      <c r="F47" s="1201">
        <f t="shared" si="19"/>
        <v>82880</v>
      </c>
      <c r="G47" s="1201">
        <f t="shared" si="19"/>
        <v>130104</v>
      </c>
      <c r="H47" s="1201">
        <f t="shared" si="19"/>
        <v>100940.8</v>
      </c>
      <c r="I47" s="1201">
        <f t="shared" si="19"/>
        <v>68379.600000000006</v>
      </c>
      <c r="J47" s="1201">
        <f t="shared" si="19"/>
        <v>157696</v>
      </c>
      <c r="K47" s="1201">
        <f t="shared" si="19"/>
        <v>89280</v>
      </c>
      <c r="L47" s="1201">
        <f t="shared" si="19"/>
        <v>89000</v>
      </c>
      <c r="M47" s="1201">
        <f t="shared" si="19"/>
        <v>125600</v>
      </c>
      <c r="N47" s="1201">
        <f t="shared" si="19"/>
        <v>67576.800000000003</v>
      </c>
      <c r="O47" s="1201">
        <f t="shared" si="19"/>
        <v>41072</v>
      </c>
      <c r="P47" s="1201">
        <f t="shared" si="19"/>
        <v>34640</v>
      </c>
      <c r="Q47" s="1201">
        <f t="shared" si="19"/>
        <v>34128</v>
      </c>
      <c r="R47" s="1201">
        <f t="shared" si="19"/>
        <v>20000</v>
      </c>
      <c r="S47" s="1201">
        <f t="shared" si="19"/>
        <v>40464.800000000003</v>
      </c>
      <c r="T47" s="1201">
        <f t="shared" si="19"/>
        <v>39992</v>
      </c>
      <c r="U47" s="1201">
        <f t="shared" si="19"/>
        <v>37018.720000000001</v>
      </c>
      <c r="V47" s="1201">
        <f t="shared" si="19"/>
        <v>40360</v>
      </c>
      <c r="W47" s="1201">
        <f t="shared" si="19"/>
        <v>5000</v>
      </c>
      <c r="X47" s="1208">
        <f t="shared" si="2"/>
        <v>1330764.7200000002</v>
      </c>
      <c r="Y47" s="1209"/>
    </row>
    <row r="48" spans="1:25" ht="21.95" customHeight="1">
      <c r="A48" s="1207" t="s">
        <v>118</v>
      </c>
      <c r="B48" s="61" t="s">
        <v>119</v>
      </c>
      <c r="C48" s="1207" t="s">
        <v>27</v>
      </c>
      <c r="D48" s="1207" t="s">
        <v>428</v>
      </c>
      <c r="E48" s="1183">
        <v>126632</v>
      </c>
      <c r="F48" s="1183">
        <f>F75*8</f>
        <v>82880</v>
      </c>
      <c r="G48" s="1183">
        <v>130104</v>
      </c>
      <c r="H48" s="1183">
        <f>8*H75</f>
        <v>100940.8</v>
      </c>
      <c r="I48" s="1183">
        <v>68379.600000000006</v>
      </c>
      <c r="J48" s="1183">
        <v>157696</v>
      </c>
      <c r="K48" s="1183">
        <v>89280</v>
      </c>
      <c r="L48" s="1183">
        <v>89000</v>
      </c>
      <c r="M48" s="1183">
        <f>M75*8</f>
        <v>125600</v>
      </c>
      <c r="N48" s="1183">
        <f>8*N75</f>
        <v>67576.800000000003</v>
      </c>
      <c r="O48" s="1183">
        <v>41072</v>
      </c>
      <c r="P48" s="1183">
        <v>34640</v>
      </c>
      <c r="Q48" s="1183">
        <f>Q75*8</f>
        <v>34128</v>
      </c>
      <c r="R48" s="1183">
        <v>20000</v>
      </c>
      <c r="S48" s="1183">
        <f>S75*8</f>
        <v>40464.800000000003</v>
      </c>
      <c r="T48" s="1183">
        <v>39992</v>
      </c>
      <c r="U48" s="1183">
        <v>37018.720000000001</v>
      </c>
      <c r="V48" s="1183">
        <v>40360</v>
      </c>
      <c r="W48" s="1183">
        <v>5000</v>
      </c>
      <c r="X48" s="1208">
        <f t="shared" si="2"/>
        <v>1330764.7200000002</v>
      </c>
      <c r="Y48" s="1209"/>
    </row>
    <row r="49" spans="1:25" ht="21.95" customHeight="1">
      <c r="A49" s="1207" t="s">
        <v>121</v>
      </c>
      <c r="B49" s="61" t="s">
        <v>3113</v>
      </c>
      <c r="C49" s="1207"/>
      <c r="D49" s="1207" t="s">
        <v>21</v>
      </c>
      <c r="E49" s="1201">
        <f t="shared" ref="E49:W49" si="20">E50+E51</f>
        <v>635040</v>
      </c>
      <c r="F49" s="1201">
        <f t="shared" si="20"/>
        <v>614160</v>
      </c>
      <c r="G49" s="1201">
        <f t="shared" si="20"/>
        <v>415080</v>
      </c>
      <c r="H49" s="1201">
        <f t="shared" si="20"/>
        <v>375480</v>
      </c>
      <c r="I49" s="1201">
        <f t="shared" si="20"/>
        <v>199080</v>
      </c>
      <c r="J49" s="1201">
        <f t="shared" si="20"/>
        <v>864000</v>
      </c>
      <c r="K49" s="1201">
        <f t="shared" si="20"/>
        <v>773280</v>
      </c>
      <c r="L49" s="1201">
        <f t="shared" si="20"/>
        <v>270000</v>
      </c>
      <c r="M49" s="1201">
        <f t="shared" si="20"/>
        <v>380160</v>
      </c>
      <c r="N49" s="1201">
        <f t="shared" si="20"/>
        <v>297360</v>
      </c>
      <c r="O49" s="1201">
        <f t="shared" si="20"/>
        <v>352800</v>
      </c>
      <c r="P49" s="1201">
        <f t="shared" si="20"/>
        <v>359640</v>
      </c>
      <c r="Q49" s="1201">
        <f t="shared" si="20"/>
        <v>250560</v>
      </c>
      <c r="R49" s="1201">
        <f t="shared" si="20"/>
        <v>95040</v>
      </c>
      <c r="S49" s="1201">
        <f t="shared" si="20"/>
        <v>122040</v>
      </c>
      <c r="T49" s="1201">
        <f t="shared" si="20"/>
        <v>116640</v>
      </c>
      <c r="U49" s="1201">
        <f t="shared" si="20"/>
        <v>164160</v>
      </c>
      <c r="V49" s="1201">
        <f t="shared" si="20"/>
        <v>177120</v>
      </c>
      <c r="W49" s="1201">
        <f t="shared" si="20"/>
        <v>103680</v>
      </c>
      <c r="X49" s="1208">
        <f t="shared" si="2"/>
        <v>6565320</v>
      </c>
      <c r="Y49" s="1209"/>
    </row>
    <row r="50" spans="1:25" ht="21.95" customHeight="1">
      <c r="A50" s="1207" t="s">
        <v>123</v>
      </c>
      <c r="B50" s="61" t="s">
        <v>3114</v>
      </c>
      <c r="C50" s="1207" t="s">
        <v>27</v>
      </c>
      <c r="D50" s="1207" t="s">
        <v>429</v>
      </c>
      <c r="E50" s="1183">
        <v>341280</v>
      </c>
      <c r="F50" s="1183">
        <f>941*360</f>
        <v>338760</v>
      </c>
      <c r="G50" s="1183">
        <v>410760</v>
      </c>
      <c r="H50" s="1183">
        <f>360*83*3+360*82*3+360*88*1+360*89*2+360*90*3</f>
        <v>371160</v>
      </c>
      <c r="I50" s="1183">
        <v>199080</v>
      </c>
      <c r="J50" s="1183">
        <v>388800</v>
      </c>
      <c r="K50" s="1183">
        <v>312480</v>
      </c>
      <c r="L50" s="1183">
        <v>270000</v>
      </c>
      <c r="M50" s="1183">
        <f>87*4320</f>
        <v>375840</v>
      </c>
      <c r="N50" s="1183">
        <f>66*4320+1*360*10+2*8*360+1*4*360</f>
        <v>295920</v>
      </c>
      <c r="O50" s="1183">
        <v>246240</v>
      </c>
      <c r="P50" s="1183">
        <v>255600</v>
      </c>
      <c r="Q50" s="1183">
        <f>57*4320</f>
        <v>246240</v>
      </c>
      <c r="R50" s="1183">
        <v>95040</v>
      </c>
      <c r="S50" s="1183">
        <v>122040</v>
      </c>
      <c r="T50" s="1183">
        <v>116640</v>
      </c>
      <c r="U50" s="1183">
        <f>4320*38</f>
        <v>164160</v>
      </c>
      <c r="V50" s="1183">
        <v>177120</v>
      </c>
      <c r="W50" s="1183">
        <v>25920</v>
      </c>
      <c r="X50" s="1208">
        <f t="shared" si="2"/>
        <v>4753080</v>
      </c>
      <c r="Y50" s="1209"/>
    </row>
    <row r="51" spans="1:25" ht="21.95" customHeight="1">
      <c r="A51" s="1207" t="s">
        <v>125</v>
      </c>
      <c r="B51" s="61" t="s">
        <v>3115</v>
      </c>
      <c r="C51" s="1207" t="s">
        <v>27</v>
      </c>
      <c r="D51" s="1207" t="s">
        <v>430</v>
      </c>
      <c r="E51" s="1183">
        <v>293760</v>
      </c>
      <c r="F51" s="1183">
        <f>765*360</f>
        <v>275400</v>
      </c>
      <c r="G51" s="1183">
        <v>4320</v>
      </c>
      <c r="H51" s="1183">
        <f>4320*H73</f>
        <v>4320</v>
      </c>
      <c r="I51" s="1183"/>
      <c r="J51" s="1183">
        <v>475200</v>
      </c>
      <c r="K51" s="1183">
        <v>460800</v>
      </c>
      <c r="L51" s="1183"/>
      <c r="M51" s="1183">
        <f>1*4320</f>
        <v>4320</v>
      </c>
      <c r="N51" s="1183">
        <f>2*360*2</f>
        <v>1440</v>
      </c>
      <c r="O51" s="1183">
        <v>106560</v>
      </c>
      <c r="P51" s="1183">
        <v>104040</v>
      </c>
      <c r="Q51" s="1183">
        <f>4320</f>
        <v>4320</v>
      </c>
      <c r="R51" s="1183"/>
      <c r="S51" s="1183"/>
      <c r="T51" s="1183"/>
      <c r="U51" s="1183"/>
      <c r="V51" s="1183"/>
      <c r="W51" s="1183">
        <v>77760</v>
      </c>
      <c r="X51" s="1208">
        <f t="shared" si="2"/>
        <v>1812240</v>
      </c>
      <c r="Y51" s="1209"/>
    </row>
    <row r="52" spans="1:25" ht="21.95" customHeight="1">
      <c r="A52" s="1207" t="s">
        <v>126</v>
      </c>
      <c r="B52" s="61" t="s">
        <v>3116</v>
      </c>
      <c r="C52" s="1207"/>
      <c r="D52" s="1207" t="s">
        <v>21</v>
      </c>
      <c r="E52" s="1201">
        <f t="shared" ref="E52:W52" si="21">E53</f>
        <v>415560</v>
      </c>
      <c r="F52" s="1201">
        <f t="shared" si="21"/>
        <v>423805.71</v>
      </c>
      <c r="G52" s="1201">
        <f t="shared" si="21"/>
        <v>484661</v>
      </c>
      <c r="H52" s="1201">
        <f t="shared" si="21"/>
        <v>428490.57</v>
      </c>
      <c r="I52" s="1201">
        <f t="shared" si="21"/>
        <v>196571.43</v>
      </c>
      <c r="J52" s="1201">
        <f t="shared" si="21"/>
        <v>448469.43</v>
      </c>
      <c r="K52" s="1201">
        <f t="shared" si="21"/>
        <v>391326.86</v>
      </c>
      <c r="L52" s="1201">
        <f t="shared" si="21"/>
        <v>290393.14</v>
      </c>
      <c r="M52" s="1201">
        <f t="shared" si="21"/>
        <v>436450.29</v>
      </c>
      <c r="N52" s="1201">
        <f t="shared" si="21"/>
        <v>326800.7</v>
      </c>
      <c r="O52" s="1201">
        <f t="shared" si="21"/>
        <v>254564.57</v>
      </c>
      <c r="P52" s="1201">
        <f t="shared" si="21"/>
        <v>270815</v>
      </c>
      <c r="Q52" s="1201">
        <f t="shared" si="21"/>
        <v>246096</v>
      </c>
      <c r="R52" s="1201">
        <f t="shared" si="21"/>
        <v>98712</v>
      </c>
      <c r="S52" s="1201">
        <f t="shared" si="21"/>
        <v>119020.84</v>
      </c>
      <c r="T52" s="1201">
        <f t="shared" si="21"/>
        <v>112536</v>
      </c>
      <c r="U52" s="1201">
        <f t="shared" si="21"/>
        <v>166779</v>
      </c>
      <c r="V52" s="1201">
        <f t="shared" si="21"/>
        <v>178822.33</v>
      </c>
      <c r="W52" s="1201">
        <f t="shared" si="21"/>
        <v>26653.71</v>
      </c>
      <c r="X52" s="1208">
        <f t="shared" si="2"/>
        <v>5316528.58</v>
      </c>
      <c r="Y52" s="1209"/>
    </row>
    <row r="53" spans="1:25" ht="21.95" customHeight="1">
      <c r="A53" s="1207" t="s">
        <v>128</v>
      </c>
      <c r="B53" s="61" t="s">
        <v>129</v>
      </c>
      <c r="C53" s="1207" t="s">
        <v>27</v>
      </c>
      <c r="D53" s="1207" t="s">
        <v>431</v>
      </c>
      <c r="E53" s="1183">
        <v>415560</v>
      </c>
      <c r="F53" s="1183">
        <v>423805.71</v>
      </c>
      <c r="G53" s="1183">
        <v>484661</v>
      </c>
      <c r="H53" s="1183">
        <v>428490.57</v>
      </c>
      <c r="I53" s="1183">
        <v>196571.43</v>
      </c>
      <c r="J53" s="1183">
        <v>448469.43</v>
      </c>
      <c r="K53" s="1183">
        <v>391326.86</v>
      </c>
      <c r="L53" s="1183">
        <v>290393.14</v>
      </c>
      <c r="M53" s="1183">
        <f>ROUND(M31/0.07*0.02,2)</f>
        <v>436450.29</v>
      </c>
      <c r="N53" s="1183">
        <v>326800.7</v>
      </c>
      <c r="O53" s="1183">
        <v>254564.57</v>
      </c>
      <c r="P53" s="1183">
        <v>270815</v>
      </c>
      <c r="Q53" s="1183">
        <v>246096</v>
      </c>
      <c r="R53" s="1183">
        <v>98712</v>
      </c>
      <c r="S53" s="1183">
        <v>119020.84</v>
      </c>
      <c r="T53" s="1183">
        <v>112536</v>
      </c>
      <c r="U53" s="1183">
        <v>166779</v>
      </c>
      <c r="V53" s="1183">
        <v>178822.33</v>
      </c>
      <c r="W53" s="1183">
        <v>26653.71</v>
      </c>
      <c r="X53" s="1208">
        <f t="shared" si="2"/>
        <v>5316528.58</v>
      </c>
      <c r="Y53" s="1209"/>
    </row>
    <row r="54" spans="1:25" ht="21.95" customHeight="1">
      <c r="A54" s="1207" t="s">
        <v>130</v>
      </c>
      <c r="B54" s="61" t="s">
        <v>3117</v>
      </c>
      <c r="C54" s="1207"/>
      <c r="D54" s="1207" t="s">
        <v>21</v>
      </c>
      <c r="E54" s="1201">
        <f t="shared" ref="E54:W54" si="22">E55</f>
        <v>32000</v>
      </c>
      <c r="F54" s="1201">
        <f t="shared" si="22"/>
        <v>32000</v>
      </c>
      <c r="G54" s="1201">
        <f t="shared" si="22"/>
        <v>0</v>
      </c>
      <c r="H54" s="1201">
        <f t="shared" si="22"/>
        <v>0</v>
      </c>
      <c r="I54" s="1201">
        <f t="shared" si="22"/>
        <v>32000</v>
      </c>
      <c r="J54" s="1201">
        <f t="shared" si="22"/>
        <v>32000</v>
      </c>
      <c r="K54" s="1201">
        <f t="shared" si="22"/>
        <v>32000</v>
      </c>
      <c r="L54" s="1201">
        <f t="shared" si="22"/>
        <v>0</v>
      </c>
      <c r="M54" s="1201">
        <f t="shared" si="22"/>
        <v>0</v>
      </c>
      <c r="N54" s="1201">
        <f t="shared" si="22"/>
        <v>0</v>
      </c>
      <c r="O54" s="1201">
        <f t="shared" si="22"/>
        <v>32000</v>
      </c>
      <c r="P54" s="1201">
        <f t="shared" si="22"/>
        <v>25000</v>
      </c>
      <c r="Q54" s="1201">
        <f t="shared" si="22"/>
        <v>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22000</v>
      </c>
      <c r="X54" s="1208">
        <f t="shared" si="2"/>
        <v>239000</v>
      </c>
      <c r="Y54" s="1209"/>
    </row>
    <row r="55" spans="1:25" ht="21.95" customHeight="1">
      <c r="A55" s="1207" t="s">
        <v>131</v>
      </c>
      <c r="B55" s="61" t="s">
        <v>132</v>
      </c>
      <c r="C55" s="1207" t="s">
        <v>27</v>
      </c>
      <c r="D55" s="1207" t="s">
        <v>3005</v>
      </c>
      <c r="E55" s="1183">
        <v>32000</v>
      </c>
      <c r="F55" s="1183">
        <v>32000</v>
      </c>
      <c r="G55" s="1183"/>
      <c r="H55" s="1183"/>
      <c r="I55" s="1183">
        <v>32000</v>
      </c>
      <c r="J55" s="1183">
        <v>32000</v>
      </c>
      <c r="K55" s="1183">
        <v>32000</v>
      </c>
      <c r="L55" s="1183"/>
      <c r="M55" s="1183"/>
      <c r="N55" s="1183"/>
      <c r="O55" s="1183">
        <v>32000</v>
      </c>
      <c r="P55" s="1183">
        <v>25000</v>
      </c>
      <c r="Q55" s="1183"/>
      <c r="R55" s="1183"/>
      <c r="S55" s="1183"/>
      <c r="T55" s="1183"/>
      <c r="U55" s="1183"/>
      <c r="V55" s="1183"/>
      <c r="W55" s="1183">
        <v>22000</v>
      </c>
      <c r="X55" s="1208">
        <f t="shared" si="2"/>
        <v>239000</v>
      </c>
      <c r="Y55" s="1209"/>
    </row>
    <row r="56" spans="1:25" ht="21.95" customHeight="1">
      <c r="A56" s="1207" t="s">
        <v>134</v>
      </c>
      <c r="B56" s="61" t="s">
        <v>3118</v>
      </c>
      <c r="C56" s="1207"/>
      <c r="D56" s="1207" t="s">
        <v>21</v>
      </c>
      <c r="E56" s="1201">
        <f t="shared" ref="E56:W56" si="23">E57+E59</f>
        <v>31950</v>
      </c>
      <c r="F56" s="1201">
        <f t="shared" si="23"/>
        <v>28500</v>
      </c>
      <c r="G56" s="1201">
        <f t="shared" si="23"/>
        <v>5400</v>
      </c>
      <c r="H56" s="1201">
        <f t="shared" si="23"/>
        <v>8400</v>
      </c>
      <c r="I56" s="1201">
        <f t="shared" si="23"/>
        <v>10000</v>
      </c>
      <c r="J56" s="1201">
        <f t="shared" si="23"/>
        <v>49000</v>
      </c>
      <c r="K56" s="1201">
        <f t="shared" si="23"/>
        <v>47150</v>
      </c>
      <c r="L56" s="1201">
        <f t="shared" si="23"/>
        <v>5650</v>
      </c>
      <c r="M56" s="1201">
        <f t="shared" si="23"/>
        <v>10400</v>
      </c>
      <c r="N56" s="1201">
        <f t="shared" si="23"/>
        <v>3666</v>
      </c>
      <c r="O56" s="1201">
        <f t="shared" si="23"/>
        <v>14000</v>
      </c>
      <c r="P56" s="1201">
        <f t="shared" si="23"/>
        <v>17050</v>
      </c>
      <c r="Q56" s="1201">
        <f t="shared" si="23"/>
        <v>6550</v>
      </c>
      <c r="R56" s="1201">
        <f t="shared" si="23"/>
        <v>3000</v>
      </c>
      <c r="S56" s="1201">
        <f t="shared" si="23"/>
        <v>3400</v>
      </c>
      <c r="T56" s="1201">
        <f t="shared" si="23"/>
        <v>7000</v>
      </c>
      <c r="U56" s="1201">
        <f t="shared" si="23"/>
        <v>4700</v>
      </c>
      <c r="V56" s="1201">
        <f t="shared" si="23"/>
        <v>6000</v>
      </c>
      <c r="W56" s="1201">
        <f t="shared" si="23"/>
        <v>8200</v>
      </c>
      <c r="X56" s="1208">
        <f t="shared" si="2"/>
        <v>270016</v>
      </c>
      <c r="Y56" s="1209"/>
    </row>
    <row r="57" spans="1:25" ht="21.95" customHeight="1">
      <c r="A57" s="1207" t="s">
        <v>135</v>
      </c>
      <c r="B57" s="61" t="s">
        <v>3119</v>
      </c>
      <c r="C57" s="1207" t="s">
        <v>27</v>
      </c>
      <c r="D57" s="1207" t="s">
        <v>21</v>
      </c>
      <c r="E57" s="1201">
        <f t="shared" ref="E57:W57" si="24">E58</f>
        <v>27000</v>
      </c>
      <c r="F57" s="1201">
        <f t="shared" si="24"/>
        <v>25500</v>
      </c>
      <c r="G57" s="1201">
        <f t="shared" si="24"/>
        <v>400</v>
      </c>
      <c r="H57" s="1201">
        <f t="shared" si="24"/>
        <v>400</v>
      </c>
      <c r="I57" s="1201">
        <f t="shared" si="24"/>
        <v>0</v>
      </c>
      <c r="J57" s="1201">
        <f t="shared" si="24"/>
        <v>44000</v>
      </c>
      <c r="K57" s="1201">
        <f t="shared" si="24"/>
        <v>42800</v>
      </c>
      <c r="L57" s="1201">
        <f t="shared" si="24"/>
        <v>0</v>
      </c>
      <c r="M57" s="1201">
        <f t="shared" si="24"/>
        <v>400</v>
      </c>
      <c r="N57" s="1201">
        <f t="shared" si="24"/>
        <v>66</v>
      </c>
      <c r="O57" s="1201">
        <f t="shared" si="24"/>
        <v>10000</v>
      </c>
      <c r="P57" s="1201">
        <f t="shared" si="24"/>
        <v>10000</v>
      </c>
      <c r="Q57" s="1201">
        <f t="shared" si="24"/>
        <v>400</v>
      </c>
      <c r="R57" s="1201">
        <f t="shared" si="24"/>
        <v>0</v>
      </c>
      <c r="S57" s="1201">
        <f t="shared" si="24"/>
        <v>0</v>
      </c>
      <c r="T57" s="1201">
        <f t="shared" si="24"/>
        <v>0</v>
      </c>
      <c r="U57" s="1201">
        <f t="shared" si="24"/>
        <v>0</v>
      </c>
      <c r="V57" s="1201">
        <f t="shared" si="24"/>
        <v>0</v>
      </c>
      <c r="W57" s="1201">
        <f t="shared" si="24"/>
        <v>7200</v>
      </c>
      <c r="X57" s="1208">
        <f t="shared" si="2"/>
        <v>168166</v>
      </c>
      <c r="Y57" s="1209"/>
    </row>
    <row r="58" spans="1:25" ht="21.95" customHeight="1">
      <c r="A58" s="1207" t="s">
        <v>136</v>
      </c>
      <c r="B58" s="61" t="s">
        <v>137</v>
      </c>
      <c r="C58" s="1207" t="s">
        <v>27</v>
      </c>
      <c r="D58" s="1207" t="s">
        <v>435</v>
      </c>
      <c r="E58" s="1183">
        <v>27000</v>
      </c>
      <c r="F58" s="1183">
        <f>765/12*400</f>
        <v>25500</v>
      </c>
      <c r="G58" s="1183">
        <v>400</v>
      </c>
      <c r="H58" s="1183">
        <f>400*H73</f>
        <v>400</v>
      </c>
      <c r="I58" s="1183"/>
      <c r="J58" s="1183">
        <v>44000</v>
      </c>
      <c r="K58" s="1183">
        <v>42800</v>
      </c>
      <c r="L58" s="1183"/>
      <c r="M58" s="1183">
        <v>400</v>
      </c>
      <c r="N58" s="1183">
        <v>66</v>
      </c>
      <c r="O58" s="1183">
        <v>10000</v>
      </c>
      <c r="P58" s="1183">
        <v>10000</v>
      </c>
      <c r="Q58" s="1183">
        <f>1*400</f>
        <v>400</v>
      </c>
      <c r="R58" s="1183"/>
      <c r="S58" s="1183"/>
      <c r="T58" s="1183"/>
      <c r="U58" s="1183"/>
      <c r="V58" s="1183"/>
      <c r="W58" s="1183">
        <v>7200</v>
      </c>
      <c r="X58" s="1208">
        <f t="shared" si="2"/>
        <v>168166</v>
      </c>
      <c r="Y58" s="1209"/>
    </row>
    <row r="59" spans="1:25" ht="21.95" customHeight="1">
      <c r="A59" s="1207" t="s">
        <v>139</v>
      </c>
      <c r="B59" s="61" t="s">
        <v>3120</v>
      </c>
      <c r="C59" s="1207" t="s">
        <v>27</v>
      </c>
      <c r="D59" s="1207" t="s">
        <v>438</v>
      </c>
      <c r="E59" s="1183">
        <v>4950</v>
      </c>
      <c r="F59" s="1183">
        <v>3000</v>
      </c>
      <c r="G59" s="1183">
        <v>5000</v>
      </c>
      <c r="H59" s="1183">
        <v>8000</v>
      </c>
      <c r="I59" s="1183">
        <v>10000</v>
      </c>
      <c r="J59" s="1183">
        <v>5000</v>
      </c>
      <c r="K59" s="1183">
        <v>4350</v>
      </c>
      <c r="L59" s="1183">
        <v>5650</v>
      </c>
      <c r="M59" s="1183">
        <v>10000</v>
      </c>
      <c r="N59" s="1183">
        <f>6*12*50</f>
        <v>3600</v>
      </c>
      <c r="O59" s="1183">
        <v>4000</v>
      </c>
      <c r="P59" s="1183">
        <v>7050</v>
      </c>
      <c r="Q59" s="1183">
        <v>6150</v>
      </c>
      <c r="R59" s="1183">
        <v>3000</v>
      </c>
      <c r="S59" s="1183">
        <v>3400</v>
      </c>
      <c r="T59" s="1183">
        <v>7000</v>
      </c>
      <c r="U59" s="1183">
        <v>4700</v>
      </c>
      <c r="V59" s="1183">
        <v>6000</v>
      </c>
      <c r="W59" s="1183">
        <v>1000</v>
      </c>
      <c r="X59" s="1208">
        <f t="shared" si="2"/>
        <v>101850</v>
      </c>
      <c r="Y59" s="1209"/>
    </row>
    <row r="60" spans="1:25" ht="21.95" customHeight="1">
      <c r="A60" s="1207" t="s">
        <v>141</v>
      </c>
      <c r="B60" s="61" t="s">
        <v>3121</v>
      </c>
      <c r="C60" s="1207"/>
      <c r="D60" s="1207" t="s">
        <v>21</v>
      </c>
      <c r="E60" s="1201">
        <f t="shared" ref="E60:W60" si="25">E61</f>
        <v>0</v>
      </c>
      <c r="F60" s="1201">
        <f t="shared" si="25"/>
        <v>0</v>
      </c>
      <c r="G60" s="1201">
        <f t="shared" si="25"/>
        <v>32000</v>
      </c>
      <c r="H60" s="1201">
        <f t="shared" si="25"/>
        <v>32000</v>
      </c>
      <c r="I60" s="1201">
        <f t="shared" si="25"/>
        <v>0</v>
      </c>
      <c r="J60" s="1201">
        <f t="shared" si="25"/>
        <v>10000</v>
      </c>
      <c r="K60" s="1201">
        <f t="shared" si="25"/>
        <v>0</v>
      </c>
      <c r="L60" s="1201">
        <f t="shared" si="25"/>
        <v>32000</v>
      </c>
      <c r="M60" s="1201">
        <f t="shared" si="25"/>
        <v>32000</v>
      </c>
      <c r="N60" s="1201">
        <f t="shared" si="25"/>
        <v>32000</v>
      </c>
      <c r="O60" s="1201">
        <f t="shared" si="25"/>
        <v>5000</v>
      </c>
      <c r="P60" s="1201">
        <f t="shared" si="25"/>
        <v>5000</v>
      </c>
      <c r="Q60" s="1201">
        <f t="shared" si="25"/>
        <v>32000</v>
      </c>
      <c r="R60" s="1201">
        <f t="shared" si="25"/>
        <v>32000</v>
      </c>
      <c r="S60" s="1201">
        <f t="shared" si="25"/>
        <v>20000</v>
      </c>
      <c r="T60" s="1201">
        <f t="shared" si="25"/>
        <v>20000</v>
      </c>
      <c r="U60" s="1201">
        <f t="shared" si="25"/>
        <v>32000</v>
      </c>
      <c r="V60" s="1201">
        <f t="shared" si="25"/>
        <v>32000</v>
      </c>
      <c r="W60" s="1201">
        <f t="shared" si="25"/>
        <v>0</v>
      </c>
      <c r="X60" s="1208">
        <f t="shared" si="2"/>
        <v>348000</v>
      </c>
      <c r="Y60" s="1209"/>
    </row>
    <row r="61" spans="1:25" ht="21.95" customHeight="1" thickBot="1">
      <c r="A61" s="1207" t="s">
        <v>142</v>
      </c>
      <c r="B61" s="1196" t="s">
        <v>143</v>
      </c>
      <c r="C61" s="1207" t="s">
        <v>27</v>
      </c>
      <c r="D61" s="1207" t="s">
        <v>440</v>
      </c>
      <c r="E61" s="1182"/>
      <c r="F61" s="1182"/>
      <c r="G61" s="1182">
        <v>32000</v>
      </c>
      <c r="H61" s="1182">
        <v>32000</v>
      </c>
      <c r="I61" s="1182"/>
      <c r="J61" s="1182">
        <v>10000</v>
      </c>
      <c r="K61" s="1182"/>
      <c r="L61" s="1182">
        <v>32000</v>
      </c>
      <c r="M61" s="1182">
        <v>32000</v>
      </c>
      <c r="N61" s="1182">
        <v>32000</v>
      </c>
      <c r="O61" s="1182">
        <v>5000</v>
      </c>
      <c r="P61" s="1182">
        <v>5000</v>
      </c>
      <c r="Q61" s="1182">
        <v>32000</v>
      </c>
      <c r="R61" s="1182">
        <v>32000</v>
      </c>
      <c r="S61" s="1182">
        <v>20000</v>
      </c>
      <c r="T61" s="1182">
        <v>20000</v>
      </c>
      <c r="U61" s="1182">
        <v>32000</v>
      </c>
      <c r="V61" s="1182">
        <v>32000</v>
      </c>
      <c r="W61" s="1182"/>
      <c r="X61" s="1208">
        <f t="shared" si="2"/>
        <v>348000</v>
      </c>
      <c r="Y61" s="1209"/>
    </row>
    <row r="62" spans="1:25" ht="21.95" customHeight="1" thickTop="1">
      <c r="A62" s="1207" t="s">
        <v>144</v>
      </c>
      <c r="B62" s="1197" t="s">
        <v>145</v>
      </c>
      <c r="C62" s="1207"/>
      <c r="D62" s="1207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208">
        <f t="shared" si="2"/>
        <v>0</v>
      </c>
      <c r="Y62" s="1209"/>
    </row>
    <row r="63" spans="1:25" ht="21.95" customHeight="1">
      <c r="A63" s="1207" t="s">
        <v>146</v>
      </c>
      <c r="B63" s="61" t="s">
        <v>147</v>
      </c>
      <c r="C63" s="1207"/>
      <c r="D63" s="1207" t="s">
        <v>3010</v>
      </c>
      <c r="E63" s="1204">
        <f t="shared" ref="E63:W63" si="26">E64+E65+E66+E67</f>
        <v>79</v>
      </c>
      <c r="F63" s="1204">
        <f t="shared" si="26"/>
        <v>78</v>
      </c>
      <c r="G63" s="1204">
        <f t="shared" si="26"/>
        <v>97</v>
      </c>
      <c r="H63" s="1204">
        <f t="shared" si="26"/>
        <v>90</v>
      </c>
      <c r="I63" s="1204">
        <f t="shared" si="26"/>
        <v>57</v>
      </c>
      <c r="J63" s="1204">
        <f t="shared" si="26"/>
        <v>91</v>
      </c>
      <c r="K63" s="1204">
        <f t="shared" si="26"/>
        <v>70</v>
      </c>
      <c r="L63" s="1204">
        <f t="shared" si="26"/>
        <v>68</v>
      </c>
      <c r="M63" s="1204">
        <f t="shared" si="26"/>
        <v>87</v>
      </c>
      <c r="N63" s="1204">
        <f t="shared" si="26"/>
        <v>67</v>
      </c>
      <c r="O63" s="1204">
        <f t="shared" si="26"/>
        <v>56</v>
      </c>
      <c r="P63" s="1204">
        <f t="shared" si="26"/>
        <v>58</v>
      </c>
      <c r="Q63" s="1204">
        <f t="shared" si="26"/>
        <v>57</v>
      </c>
      <c r="R63" s="1204">
        <f t="shared" si="26"/>
        <v>22</v>
      </c>
      <c r="S63" s="1204">
        <f t="shared" si="26"/>
        <v>31</v>
      </c>
      <c r="T63" s="1204">
        <f t="shared" si="26"/>
        <v>27</v>
      </c>
      <c r="U63" s="1204">
        <f t="shared" si="26"/>
        <v>38</v>
      </c>
      <c r="V63" s="1204">
        <f t="shared" si="26"/>
        <v>41</v>
      </c>
      <c r="W63" s="1204">
        <f t="shared" si="26"/>
        <v>6</v>
      </c>
      <c r="X63" s="1216">
        <f t="shared" si="2"/>
        <v>1120</v>
      </c>
      <c r="Y63" s="1209"/>
    </row>
    <row r="64" spans="1:25" ht="21.95" customHeight="1">
      <c r="A64" s="1207" t="s">
        <v>148</v>
      </c>
      <c r="B64" s="1199" t="s">
        <v>149</v>
      </c>
      <c r="C64" s="1207"/>
      <c r="D64" s="1207"/>
      <c r="E64" s="1181">
        <v>79</v>
      </c>
      <c r="F64" s="1181">
        <v>78</v>
      </c>
      <c r="G64" s="1181">
        <v>51</v>
      </c>
      <c r="H64" s="1181">
        <v>90</v>
      </c>
      <c r="I64" s="1181">
        <v>57</v>
      </c>
      <c r="J64" s="1181"/>
      <c r="K64" s="1181"/>
      <c r="L64" s="1181"/>
      <c r="M64" s="1181"/>
      <c r="N64" s="1181"/>
      <c r="O64" s="1181"/>
      <c r="P64" s="1181"/>
      <c r="Q64" s="1181"/>
      <c r="R64" s="1181"/>
      <c r="S64" s="1181"/>
      <c r="T64" s="1181"/>
      <c r="U64" s="1181"/>
      <c r="V64" s="1181"/>
      <c r="W64" s="1181"/>
      <c r="X64" s="1216">
        <f t="shared" si="2"/>
        <v>355</v>
      </c>
      <c r="Y64" s="1209"/>
    </row>
    <row r="65" spans="1:26" ht="21.95" customHeight="1">
      <c r="A65" s="1207" t="s">
        <v>150</v>
      </c>
      <c r="B65" s="1199" t="s">
        <v>151</v>
      </c>
      <c r="C65" s="1207"/>
      <c r="D65" s="1207"/>
      <c r="E65" s="1181"/>
      <c r="F65" s="1181"/>
      <c r="G65" s="1181">
        <v>46</v>
      </c>
      <c r="H65" s="1181"/>
      <c r="I65" s="1181"/>
      <c r="J65" s="1181">
        <v>91</v>
      </c>
      <c r="K65" s="1181">
        <v>70</v>
      </c>
      <c r="L65" s="1181">
        <v>68</v>
      </c>
      <c r="M65" s="1181">
        <v>87</v>
      </c>
      <c r="N65" s="1181">
        <v>67</v>
      </c>
      <c r="O65" s="1181"/>
      <c r="P65" s="1181"/>
      <c r="Q65" s="1181"/>
      <c r="R65" s="1181"/>
      <c r="S65" s="1181"/>
      <c r="T65" s="1181"/>
      <c r="U65" s="1181"/>
      <c r="V65" s="1181"/>
      <c r="W65" s="1181"/>
      <c r="X65" s="1216">
        <f t="shared" si="2"/>
        <v>429</v>
      </c>
      <c r="Y65" s="1209"/>
    </row>
    <row r="66" spans="1:26" ht="21.95" customHeight="1">
      <c r="A66" s="1207" t="s">
        <v>152</v>
      </c>
      <c r="B66" s="1199" t="s">
        <v>153</v>
      </c>
      <c r="C66" s="1207"/>
      <c r="D66" s="1207"/>
      <c r="E66" s="1181"/>
      <c r="F66" s="1181"/>
      <c r="G66" s="1181"/>
      <c r="H66" s="1181"/>
      <c r="I66" s="1181"/>
      <c r="J66" s="1181"/>
      <c r="K66" s="1181"/>
      <c r="L66" s="1181"/>
      <c r="M66" s="1181"/>
      <c r="N66" s="1181"/>
      <c r="O66" s="1181">
        <v>56</v>
      </c>
      <c r="P66" s="1181">
        <v>58</v>
      </c>
      <c r="Q66" s="1181">
        <v>57</v>
      </c>
      <c r="R66" s="1181">
        <v>22</v>
      </c>
      <c r="S66" s="1181">
        <v>31</v>
      </c>
      <c r="T66" s="1181">
        <v>27</v>
      </c>
      <c r="U66" s="1181">
        <v>38</v>
      </c>
      <c r="V66" s="1181">
        <v>41</v>
      </c>
      <c r="W66" s="1181"/>
      <c r="X66" s="1216">
        <f t="shared" si="2"/>
        <v>330</v>
      </c>
      <c r="Y66" s="1209"/>
    </row>
    <row r="67" spans="1:26" ht="21.95" customHeight="1">
      <c r="A67" s="1207" t="s">
        <v>154</v>
      </c>
      <c r="B67" s="1199" t="s">
        <v>155</v>
      </c>
      <c r="C67" s="1207"/>
      <c r="D67" s="1207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/>
      <c r="Q67" s="1181"/>
      <c r="R67" s="1181"/>
      <c r="S67" s="1181"/>
      <c r="T67" s="1181"/>
      <c r="U67" s="1181"/>
      <c r="V67" s="1181"/>
      <c r="W67" s="1181">
        <v>6</v>
      </c>
      <c r="X67" s="1216">
        <f t="shared" si="2"/>
        <v>6</v>
      </c>
      <c r="Y67" s="1209"/>
    </row>
    <row r="68" spans="1:26" ht="21.95" customHeight="1">
      <c r="A68" s="1207" t="s">
        <v>156</v>
      </c>
      <c r="B68" s="61" t="s">
        <v>157</v>
      </c>
      <c r="C68" s="1207"/>
      <c r="D68" s="1207" t="s">
        <v>3051</v>
      </c>
      <c r="E68" s="1204">
        <f t="shared" ref="E68:U68" si="27">E69+E70+E71+E72</f>
        <v>1248</v>
      </c>
      <c r="F68" s="1204">
        <f t="shared" si="27"/>
        <v>1142</v>
      </c>
      <c r="G68" s="1204">
        <f t="shared" si="27"/>
        <v>1363</v>
      </c>
      <c r="H68" s="1204">
        <f t="shared" si="27"/>
        <v>1650</v>
      </c>
      <c r="I68" s="1204">
        <f t="shared" si="27"/>
        <v>982</v>
      </c>
      <c r="J68" s="1204">
        <f t="shared" si="27"/>
        <v>1751</v>
      </c>
      <c r="K68" s="1204">
        <f t="shared" si="27"/>
        <v>1283</v>
      </c>
      <c r="L68" s="1204">
        <f t="shared" si="27"/>
        <v>1816</v>
      </c>
      <c r="M68" s="1204">
        <f t="shared" si="27"/>
        <v>1412</v>
      </c>
      <c r="N68" s="1204">
        <f t="shared" si="27"/>
        <v>1233</v>
      </c>
      <c r="O68" s="1204">
        <f t="shared" si="27"/>
        <v>616</v>
      </c>
      <c r="P68" s="1204">
        <f t="shared" si="27"/>
        <v>814</v>
      </c>
      <c r="Q68" s="1204">
        <f t="shared" si="27"/>
        <v>677</v>
      </c>
      <c r="R68" s="1204">
        <f t="shared" si="27"/>
        <v>312</v>
      </c>
      <c r="S68" s="1204">
        <f t="shared" si="27"/>
        <v>526</v>
      </c>
      <c r="T68" s="1204">
        <f t="shared" si="27"/>
        <v>472</v>
      </c>
      <c r="U68" s="1204">
        <f t="shared" si="27"/>
        <v>514</v>
      </c>
      <c r="V68" s="1204">
        <v>697</v>
      </c>
      <c r="W68" s="1204">
        <f>W69+W70+W71+W72</f>
        <v>0</v>
      </c>
      <c r="X68" s="1216">
        <f t="shared" si="2"/>
        <v>18508</v>
      </c>
      <c r="Y68" s="1209"/>
    </row>
    <row r="69" spans="1:26" ht="21.95" customHeight="1">
      <c r="A69" s="1207" t="s">
        <v>158</v>
      </c>
      <c r="B69" s="1199" t="s">
        <v>149</v>
      </c>
      <c r="C69" s="1207"/>
      <c r="D69" s="1207"/>
      <c r="E69" s="1181">
        <v>1248</v>
      </c>
      <c r="F69" s="1181">
        <v>1142</v>
      </c>
      <c r="G69" s="1181">
        <v>559</v>
      </c>
      <c r="H69" s="1181">
        <v>1650</v>
      </c>
      <c r="I69" s="1181">
        <v>982</v>
      </c>
      <c r="J69" s="1181"/>
      <c r="K69" s="1181"/>
      <c r="L69" s="1181"/>
      <c r="M69" s="1181"/>
      <c r="N69" s="1181"/>
      <c r="O69" s="1181"/>
      <c r="P69" s="1181"/>
      <c r="Q69" s="1181"/>
      <c r="R69" s="1181"/>
      <c r="S69" s="1181"/>
      <c r="T69" s="1181"/>
      <c r="U69" s="1181"/>
      <c r="V69" s="1181"/>
      <c r="W69" s="1181"/>
      <c r="X69" s="1216">
        <f t="shared" si="2"/>
        <v>5581</v>
      </c>
      <c r="Y69" s="1209"/>
    </row>
    <row r="70" spans="1:26" ht="21.95" customHeight="1">
      <c r="A70" s="1207" t="s">
        <v>159</v>
      </c>
      <c r="B70" s="1199" t="s">
        <v>151</v>
      </c>
      <c r="C70" s="1207"/>
      <c r="D70" s="1207"/>
      <c r="E70" s="1181"/>
      <c r="F70" s="1181"/>
      <c r="G70" s="1181">
        <v>804</v>
      </c>
      <c r="H70" s="1181"/>
      <c r="I70" s="1181"/>
      <c r="J70" s="1181">
        <v>1751</v>
      </c>
      <c r="K70" s="1181">
        <v>1283</v>
      </c>
      <c r="L70" s="1181">
        <v>1816</v>
      </c>
      <c r="M70" s="1181">
        <v>1412</v>
      </c>
      <c r="N70" s="1181">
        <v>1233</v>
      </c>
      <c r="O70" s="1181"/>
      <c r="P70" s="1181"/>
      <c r="Q70" s="1181"/>
      <c r="R70" s="1181"/>
      <c r="S70" s="1181"/>
      <c r="T70" s="1181"/>
      <c r="U70" s="1181"/>
      <c r="V70" s="1181"/>
      <c r="W70" s="1181"/>
      <c r="X70" s="1216">
        <f t="shared" ref="X70:X75" si="28">SUM(E70:W70)</f>
        <v>8299</v>
      </c>
      <c r="Y70" s="1209"/>
    </row>
    <row r="71" spans="1:26" ht="21.95" customHeight="1">
      <c r="A71" s="1207" t="s">
        <v>160</v>
      </c>
      <c r="B71" s="1199" t="s">
        <v>153</v>
      </c>
      <c r="C71" s="1207"/>
      <c r="D71" s="1207"/>
      <c r="E71" s="1181"/>
      <c r="F71" s="1181"/>
      <c r="G71" s="1181"/>
      <c r="H71" s="1181"/>
      <c r="I71" s="1181"/>
      <c r="J71" s="1181"/>
      <c r="K71" s="1181"/>
      <c r="L71" s="1181"/>
      <c r="M71" s="1181"/>
      <c r="N71" s="1181"/>
      <c r="O71" s="1181">
        <v>616</v>
      </c>
      <c r="P71" s="1181">
        <v>814</v>
      </c>
      <c r="Q71" s="1181">
        <v>677</v>
      </c>
      <c r="R71" s="1181">
        <v>312</v>
      </c>
      <c r="S71" s="1181">
        <v>526</v>
      </c>
      <c r="T71" s="1181">
        <v>472</v>
      </c>
      <c r="U71" s="1181">
        <v>514</v>
      </c>
      <c r="V71" s="1181">
        <v>697</v>
      </c>
      <c r="W71" s="1181"/>
      <c r="X71" s="1216">
        <f t="shared" si="28"/>
        <v>4628</v>
      </c>
      <c r="Y71" s="1209"/>
    </row>
    <row r="72" spans="1:26" ht="21.95" customHeight="1">
      <c r="A72" s="1207" t="s">
        <v>161</v>
      </c>
      <c r="B72" s="1199" t="s">
        <v>155</v>
      </c>
      <c r="C72" s="1207"/>
      <c r="D72" s="1207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181"/>
      <c r="U72" s="1181"/>
      <c r="V72" s="1181"/>
      <c r="W72" s="1181"/>
      <c r="X72" s="1216">
        <f t="shared" si="28"/>
        <v>0</v>
      </c>
      <c r="Y72" s="1209"/>
    </row>
    <row r="73" spans="1:26" ht="21.95" customHeight="1">
      <c r="A73" s="1207" t="s">
        <v>162</v>
      </c>
      <c r="B73" s="61" t="s">
        <v>3122</v>
      </c>
      <c r="C73" s="1207"/>
      <c r="D73" s="1207"/>
      <c r="E73" s="1181">
        <v>68</v>
      </c>
      <c r="F73" s="1181">
        <v>63</v>
      </c>
      <c r="G73" s="1181">
        <v>1</v>
      </c>
      <c r="H73" s="1181">
        <v>1</v>
      </c>
      <c r="I73" s="1181"/>
      <c r="J73" s="1181">
        <v>110</v>
      </c>
      <c r="K73" s="1181">
        <v>107</v>
      </c>
      <c r="L73" s="1181"/>
      <c r="M73" s="1181">
        <v>1</v>
      </c>
      <c r="N73" s="1181">
        <v>1</v>
      </c>
      <c r="O73" s="1181">
        <v>25</v>
      </c>
      <c r="P73" s="1181">
        <v>24</v>
      </c>
      <c r="Q73" s="1181">
        <v>1</v>
      </c>
      <c r="R73" s="1181"/>
      <c r="S73" s="1181"/>
      <c r="T73" s="1181"/>
      <c r="U73" s="1181"/>
      <c r="V73" s="1181"/>
      <c r="W73" s="1181">
        <v>18</v>
      </c>
      <c r="X73" s="1216">
        <f t="shared" si="28"/>
        <v>420</v>
      </c>
      <c r="Y73" s="1209"/>
    </row>
    <row r="74" spans="1:26" ht="21.95" customHeight="1">
      <c r="A74" s="1207" t="s">
        <v>3011</v>
      </c>
      <c r="B74" s="1199" t="s">
        <v>3123</v>
      </c>
      <c r="C74" s="1207"/>
      <c r="D74" s="1207"/>
      <c r="E74" s="1180">
        <v>17063</v>
      </c>
      <c r="F74" s="1180">
        <v>11923</v>
      </c>
      <c r="G74" s="1180">
        <v>47723.69</v>
      </c>
      <c r="H74" s="1180">
        <v>18481.39</v>
      </c>
      <c r="I74" s="1180">
        <v>15865.86</v>
      </c>
      <c r="J74" s="1180">
        <v>23546.35</v>
      </c>
      <c r="K74" s="1180">
        <v>16490.189999999999</v>
      </c>
      <c r="L74" s="1180">
        <v>16648.97</v>
      </c>
      <c r="M74" s="1180">
        <v>22433.4</v>
      </c>
      <c r="N74" s="1180">
        <v>11914.29</v>
      </c>
      <c r="O74" s="1180">
        <v>7654.77</v>
      </c>
      <c r="P74" s="1180">
        <v>12113.78</v>
      </c>
      <c r="Q74" s="1180">
        <v>10438.120000000001</v>
      </c>
      <c r="R74" s="1180">
        <v>6080</v>
      </c>
      <c r="S74" s="1180">
        <v>11516.55</v>
      </c>
      <c r="T74" s="1180">
        <v>11939.6</v>
      </c>
      <c r="U74" s="1180">
        <v>11290.94</v>
      </c>
      <c r="V74" s="1180">
        <v>13520</v>
      </c>
      <c r="W74" s="1180">
        <v>1578</v>
      </c>
      <c r="X74" s="1208">
        <f t="shared" si="28"/>
        <v>288221.89999999997</v>
      </c>
      <c r="Y74" s="1209"/>
    </row>
    <row r="75" spans="1:26" ht="21.95" customHeight="1">
      <c r="A75" s="1207" t="s">
        <v>3012</v>
      </c>
      <c r="B75" s="1199" t="s">
        <v>3124</v>
      </c>
      <c r="C75" s="1207"/>
      <c r="D75" s="1207"/>
      <c r="E75" s="1180">
        <v>15829</v>
      </c>
      <c r="F75" s="1180">
        <v>10360</v>
      </c>
      <c r="G75" s="1180">
        <v>16263</v>
      </c>
      <c r="H75" s="1180">
        <v>12617.6</v>
      </c>
      <c r="I75" s="1180">
        <v>8547.4500000000007</v>
      </c>
      <c r="J75" s="1180">
        <v>19712</v>
      </c>
      <c r="K75" s="1180">
        <v>11160</v>
      </c>
      <c r="L75" s="1180">
        <v>11125</v>
      </c>
      <c r="M75" s="1180">
        <v>15700</v>
      </c>
      <c r="N75" s="1180">
        <v>8447.1</v>
      </c>
      <c r="O75" s="1180">
        <v>5134</v>
      </c>
      <c r="P75" s="1180">
        <v>4330</v>
      </c>
      <c r="Q75" s="1180">
        <v>4266</v>
      </c>
      <c r="R75" s="1180">
        <v>2500</v>
      </c>
      <c r="S75" s="1180">
        <v>5058.1000000000004</v>
      </c>
      <c r="T75" s="1180">
        <v>4999</v>
      </c>
      <c r="U75" s="1180">
        <v>4627.34</v>
      </c>
      <c r="V75" s="1180">
        <v>5045</v>
      </c>
      <c r="W75" s="1180">
        <v>625</v>
      </c>
      <c r="X75" s="1208">
        <f t="shared" si="28"/>
        <v>166345.59000000003</v>
      </c>
      <c r="Y75" s="1209"/>
    </row>
    <row r="77" spans="1:26">
      <c r="X77" s="3"/>
      <c r="Y77" s="3"/>
      <c r="Z77" s="3"/>
    </row>
    <row r="78" spans="1:26">
      <c r="X78" s="3"/>
    </row>
    <row r="79" spans="1:26"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</sheetData>
  <protectedRanges>
    <protectedRange password="E9C1" sqref="E3:E5" name="区域1_1_1"/>
    <protectedRange password="E9C1" sqref="Q3:Q5" name="区域1_1_2"/>
    <protectedRange password="E9C1" sqref="P3:P5" name="区域1_1_3"/>
    <protectedRange password="E9C1" sqref="V3:V5" name="区域1_1"/>
    <protectedRange password="E9C1" sqref="T3:T5" name="区域1_1_4"/>
    <protectedRange password="E9C1" sqref="U3:U5" name="区域1_1_5"/>
    <protectedRange password="E9C1" sqref="W3:W5" name="区域1_1_6"/>
    <protectedRange password="E9C1" sqref="M3:M5" name="区域1_1_7"/>
    <protectedRange password="E9C1" sqref="L3:L5" name="区域1_1_8"/>
    <protectedRange password="E9C1" sqref="O3:O5" name="区域1_1_9"/>
    <protectedRange password="E9C1" sqref="K3:K5" name="区域1_1_10"/>
    <protectedRange password="E9C1" sqref="S3:S5" name="区域1_1_12"/>
    <protectedRange password="E9C1" sqref="J3:J5" name="区域1_1_13"/>
    <protectedRange password="E9C1" sqref="R3:R5" name="区域1_1_14"/>
    <protectedRange password="E9C1" sqref="F3:F5" name="区域1_1_16"/>
    <protectedRange password="E9C1" sqref="I3:I5" name="区域1_1_17"/>
    <protectedRange password="E9C1" sqref="H3:H5" name="区域1_1_18"/>
    <protectedRange password="E9C1" sqref="G3:G5" name="区域1_1_19"/>
    <protectedRange password="E9C1" sqref="N3:N5" name="区域1_1_20"/>
    <protectedRange password="E9C1" sqref="B33:B75 B3:B30" name="区域1_1_11"/>
    <protectedRange password="E9C1" sqref="B31:B32" name="区域1_1_1_1"/>
  </protectedRanges>
  <mergeCells count="7">
    <mergeCell ref="A1:Y1"/>
    <mergeCell ref="A3:A4"/>
    <mergeCell ref="B3:B4"/>
    <mergeCell ref="C3:C4"/>
    <mergeCell ref="D3:D4"/>
    <mergeCell ref="X3:X4"/>
    <mergeCell ref="Y3:Y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X81"/>
  <sheetViews>
    <sheetView topLeftCell="B1" workbookViewId="0">
      <pane xSplit="3" ySplit="4" topLeftCell="E6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5.125" style="21" hidden="1" customWidth="1"/>
    <col min="2" max="2" width="24.875" style="3" customWidth="1"/>
    <col min="3" max="3" width="0" style="3" hidden="1" customWidth="1"/>
    <col min="4" max="4" width="0" style="1178" hidden="1" customWidth="1"/>
    <col min="5" max="5" width="13" style="3" customWidth="1"/>
    <col min="6" max="6" width="11.875" style="3" customWidth="1"/>
    <col min="7" max="8" width="12.875" style="3" customWidth="1"/>
    <col min="9" max="9" width="12.25" style="3" customWidth="1"/>
    <col min="10" max="10" width="12.125" style="3" customWidth="1"/>
    <col min="11" max="11" width="11.875" style="3" customWidth="1"/>
    <col min="12" max="12" width="12.25" style="3" customWidth="1"/>
    <col min="13" max="13" width="11.5" style="3" customWidth="1"/>
    <col min="14" max="14" width="12" style="3" customWidth="1"/>
    <col min="15" max="15" width="11.375" style="3" customWidth="1"/>
    <col min="16" max="16" width="11.75" style="3" customWidth="1"/>
    <col min="17" max="19" width="11.875" style="3" customWidth="1"/>
    <col min="20" max="20" width="11.75" style="3" customWidth="1"/>
    <col min="21" max="21" width="13.25" style="3" customWidth="1"/>
    <col min="22" max="22" width="10.625" style="3" hidden="1" customWidth="1"/>
    <col min="23" max="16384" width="9" style="3"/>
  </cols>
  <sheetData>
    <row r="1" spans="1:24" ht="24.95" customHeight="1">
      <c r="A1" s="1362" t="s">
        <v>3125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  <c r="U1" s="1362"/>
      <c r="V1" s="1362"/>
    </row>
    <row r="2" spans="1:24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257" t="s">
        <v>3247</v>
      </c>
      <c r="V2" s="1184" t="s">
        <v>3000</v>
      </c>
    </row>
    <row r="3" spans="1:24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219" t="s">
        <v>3054</v>
      </c>
      <c r="F3" s="1219" t="s">
        <v>3055</v>
      </c>
      <c r="G3" s="1219" t="s">
        <v>3056</v>
      </c>
      <c r="H3" s="1219" t="s">
        <v>3057</v>
      </c>
      <c r="I3" s="1219" t="s">
        <v>3058</v>
      </c>
      <c r="J3" s="1219" t="s">
        <v>3126</v>
      </c>
      <c r="K3" s="1219" t="s">
        <v>3059</v>
      </c>
      <c r="L3" s="1219" t="s">
        <v>3127</v>
      </c>
      <c r="M3" s="1219" t="s">
        <v>3128</v>
      </c>
      <c r="N3" s="1219" t="s">
        <v>3060</v>
      </c>
      <c r="O3" s="1219" t="s">
        <v>3061</v>
      </c>
      <c r="P3" s="1219" t="s">
        <v>3062</v>
      </c>
      <c r="Q3" s="1219" t="s">
        <v>3129</v>
      </c>
      <c r="R3" s="1219" t="s">
        <v>3063</v>
      </c>
      <c r="S3" s="1219" t="s">
        <v>3064</v>
      </c>
      <c r="T3" s="1219" t="s">
        <v>3065</v>
      </c>
      <c r="U3" s="1611" t="s">
        <v>17</v>
      </c>
      <c r="V3" s="1611" t="s">
        <v>18</v>
      </c>
    </row>
    <row r="4" spans="1:24" ht="24.95" customHeight="1">
      <c r="A4" s="1610"/>
      <c r="B4" s="1610"/>
      <c r="C4" s="1610"/>
      <c r="D4" s="1610"/>
      <c r="E4" s="1219" t="s">
        <v>2371</v>
      </c>
      <c r="F4" s="1219" t="s">
        <v>464</v>
      </c>
      <c r="G4" s="1219" t="s">
        <v>464</v>
      </c>
      <c r="H4" s="1219" t="s">
        <v>464</v>
      </c>
      <c r="I4" s="1219" t="s">
        <v>463</v>
      </c>
      <c r="J4" s="1219" t="s">
        <v>463</v>
      </c>
      <c r="K4" s="1219" t="s">
        <v>463</v>
      </c>
      <c r="L4" s="1219" t="s">
        <v>460</v>
      </c>
      <c r="M4" s="1219" t="s">
        <v>460</v>
      </c>
      <c r="N4" s="1219" t="s">
        <v>460</v>
      </c>
      <c r="O4" s="1219" t="s">
        <v>460</v>
      </c>
      <c r="P4" s="1219" t="s">
        <v>460</v>
      </c>
      <c r="Q4" s="1219" t="s">
        <v>460</v>
      </c>
      <c r="R4" s="1219" t="s">
        <v>460</v>
      </c>
      <c r="S4" s="1219" t="s">
        <v>460</v>
      </c>
      <c r="T4" s="1219" t="s">
        <v>3071</v>
      </c>
      <c r="U4" s="1612"/>
      <c r="V4" s="1612"/>
    </row>
    <row r="5" spans="1:24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T5" si="0">E6+E33+E40</f>
        <v>35586496.229999997</v>
      </c>
      <c r="F5" s="1185">
        <f t="shared" si="0"/>
        <v>20764610.920000002</v>
      </c>
      <c r="G5" s="1185">
        <f t="shared" si="0"/>
        <v>20061547.059999999</v>
      </c>
      <c r="H5" s="1185">
        <f t="shared" si="0"/>
        <v>24141919.229999997</v>
      </c>
      <c r="I5" s="1185">
        <f t="shared" si="0"/>
        <v>18477375.359999999</v>
      </c>
      <c r="J5" s="1185">
        <f t="shared" si="0"/>
        <v>15680653.810000001</v>
      </c>
      <c r="K5" s="1185">
        <f t="shared" si="0"/>
        <v>28868032.02</v>
      </c>
      <c r="L5" s="1185">
        <f t="shared" si="0"/>
        <v>12592885.629999999</v>
      </c>
      <c r="M5" s="1185">
        <f t="shared" si="0"/>
        <v>8935778.3100000005</v>
      </c>
      <c r="N5" s="1185">
        <f t="shared" si="0"/>
        <v>15533508.92</v>
      </c>
      <c r="O5" s="1185">
        <f t="shared" si="0"/>
        <v>9644080.7100000009</v>
      </c>
      <c r="P5" s="1185">
        <f t="shared" si="0"/>
        <v>9716561.4199999999</v>
      </c>
      <c r="Q5" s="1185">
        <f t="shared" si="0"/>
        <v>8210327.8799999999</v>
      </c>
      <c r="R5" s="1185">
        <f t="shared" si="0"/>
        <v>4020638.33</v>
      </c>
      <c r="S5" s="1185">
        <f t="shared" si="0"/>
        <v>2833755.41</v>
      </c>
      <c r="T5" s="1185">
        <f t="shared" si="0"/>
        <v>969986.34</v>
      </c>
      <c r="U5" s="1201">
        <f t="shared" ref="U5:U36" si="1">SUM(E5:T5)</f>
        <v>236038157.57999998</v>
      </c>
      <c r="V5" s="62"/>
      <c r="W5" s="1193"/>
    </row>
    <row r="6" spans="1:24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24036311.589999996</v>
      </c>
      <c r="F6" s="1185">
        <f t="shared" ref="F6:T6" si="2">F7+F10+F14+F17+F22+F27+F29+F31+F32</f>
        <v>14772987.130000003</v>
      </c>
      <c r="G6" s="1185">
        <f t="shared" si="2"/>
        <v>13866506.75</v>
      </c>
      <c r="H6" s="1185">
        <f t="shared" si="2"/>
        <v>17281210.129999995</v>
      </c>
      <c r="I6" s="1185">
        <f t="shared" si="2"/>
        <v>13080447.170000002</v>
      </c>
      <c r="J6" s="1185">
        <f t="shared" si="2"/>
        <v>11781457.9</v>
      </c>
      <c r="K6" s="1185">
        <f t="shared" si="2"/>
        <v>20926432.879999999</v>
      </c>
      <c r="L6" s="1185">
        <f t="shared" si="2"/>
        <v>9141828.5</v>
      </c>
      <c r="M6" s="1185">
        <f t="shared" si="2"/>
        <v>6714269.4100000001</v>
      </c>
      <c r="N6" s="1185">
        <f t="shared" si="2"/>
        <v>11382564.130000001</v>
      </c>
      <c r="O6" s="1185">
        <f t="shared" si="2"/>
        <v>7352400.9100000001</v>
      </c>
      <c r="P6" s="1185">
        <f t="shared" si="2"/>
        <v>7342821.8200000003</v>
      </c>
      <c r="Q6" s="1185">
        <f t="shared" si="2"/>
        <v>6148375.0899999999</v>
      </c>
      <c r="R6" s="1185">
        <f t="shared" si="2"/>
        <v>2883699.33</v>
      </c>
      <c r="S6" s="1185">
        <f t="shared" si="2"/>
        <v>1714766.41</v>
      </c>
      <c r="T6" s="1185">
        <f t="shared" si="2"/>
        <v>736570.34</v>
      </c>
      <c r="U6" s="1185">
        <f t="shared" si="1"/>
        <v>169162649.49000001</v>
      </c>
      <c r="V6" s="62"/>
      <c r="W6" s="1193"/>
    </row>
    <row r="7" spans="1:24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7523095</v>
      </c>
      <c r="F7" s="1185">
        <f t="shared" ref="F7:T7" si="3">F8+F9</f>
        <v>4279595</v>
      </c>
      <c r="G7" s="1185">
        <f t="shared" si="3"/>
        <v>4176052</v>
      </c>
      <c r="H7" s="1185">
        <f t="shared" si="3"/>
        <v>4794732</v>
      </c>
      <c r="I7" s="1185">
        <f t="shared" si="3"/>
        <v>4621451</v>
      </c>
      <c r="J7" s="1185">
        <f t="shared" si="3"/>
        <v>3559366</v>
      </c>
      <c r="K7" s="1185">
        <f t="shared" si="3"/>
        <v>6215073</v>
      </c>
      <c r="L7" s="1185">
        <f t="shared" si="3"/>
        <v>3089430</v>
      </c>
      <c r="M7" s="1185">
        <f t="shared" si="3"/>
        <v>2385033</v>
      </c>
      <c r="N7" s="1185">
        <f t="shared" si="3"/>
        <v>3743546</v>
      </c>
      <c r="O7" s="1185">
        <f t="shared" si="3"/>
        <v>2479297</v>
      </c>
      <c r="P7" s="1185">
        <f t="shared" si="3"/>
        <v>2318526</v>
      </c>
      <c r="Q7" s="1185">
        <f t="shared" si="3"/>
        <v>2049612.8</v>
      </c>
      <c r="R7" s="1185">
        <f t="shared" si="3"/>
        <v>886353</v>
      </c>
      <c r="S7" s="1185">
        <f t="shared" si="3"/>
        <v>561754</v>
      </c>
      <c r="T7" s="1185">
        <f t="shared" si="3"/>
        <v>245208</v>
      </c>
      <c r="U7" s="1185">
        <f t="shared" si="1"/>
        <v>52928123.799999997</v>
      </c>
      <c r="V7" s="62"/>
      <c r="W7" s="1193"/>
    </row>
    <row r="8" spans="1:24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3868164</v>
      </c>
      <c r="F8" s="1180">
        <v>2354200</v>
      </c>
      <c r="G8" s="1180">
        <v>2309106</v>
      </c>
      <c r="H8" s="1180">
        <v>2962822</v>
      </c>
      <c r="I8" s="1180">
        <v>2099230</v>
      </c>
      <c r="J8" s="1180">
        <v>1924011</v>
      </c>
      <c r="K8" s="1180">
        <v>3563775.2</v>
      </c>
      <c r="L8" s="1180">
        <v>1693057</v>
      </c>
      <c r="M8" s="1180">
        <v>1251828</v>
      </c>
      <c r="N8" s="1180">
        <v>2168986</v>
      </c>
      <c r="O8" s="1180">
        <v>1441281</v>
      </c>
      <c r="P8" s="1180">
        <v>1356451</v>
      </c>
      <c r="Q8" s="1180">
        <v>1191303</v>
      </c>
      <c r="R8" s="1180">
        <v>510242</v>
      </c>
      <c r="S8" s="1180">
        <v>348579</v>
      </c>
      <c r="T8" s="1180">
        <v>136440</v>
      </c>
      <c r="U8" s="1185">
        <f t="shared" si="1"/>
        <v>29179475.199999999</v>
      </c>
      <c r="V8" s="1192"/>
      <c r="W8" s="1193"/>
    </row>
    <row r="9" spans="1:24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3654931</v>
      </c>
      <c r="F9" s="1180">
        <v>1925395</v>
      </c>
      <c r="G9" s="1180">
        <v>1866946</v>
      </c>
      <c r="H9" s="1180">
        <v>1831910</v>
      </c>
      <c r="I9" s="1180">
        <v>2522221</v>
      </c>
      <c r="J9" s="1180">
        <v>1635355</v>
      </c>
      <c r="K9" s="1180">
        <v>2651297.7999999998</v>
      </c>
      <c r="L9" s="1180">
        <v>1396373</v>
      </c>
      <c r="M9" s="1180">
        <v>1133205</v>
      </c>
      <c r="N9" s="1180">
        <v>1574560</v>
      </c>
      <c r="O9" s="1180">
        <v>1038016</v>
      </c>
      <c r="P9" s="1180">
        <v>962075</v>
      </c>
      <c r="Q9" s="1180">
        <v>858309.8</v>
      </c>
      <c r="R9" s="1180">
        <v>376111</v>
      </c>
      <c r="S9" s="1180">
        <v>213175</v>
      </c>
      <c r="T9" s="1180">
        <v>108768</v>
      </c>
      <c r="U9" s="1185">
        <f t="shared" si="1"/>
        <v>23748648.600000001</v>
      </c>
      <c r="V9" s="62"/>
      <c r="W9" s="1193"/>
    </row>
    <row r="10" spans="1:24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626894</v>
      </c>
      <c r="F10" s="1185">
        <f t="shared" ref="F10:T10" si="4">F11+F12</f>
        <v>381371</v>
      </c>
      <c r="G10" s="1185">
        <f t="shared" si="4"/>
        <v>373191</v>
      </c>
      <c r="H10" s="1185">
        <f t="shared" si="4"/>
        <v>482654</v>
      </c>
      <c r="I10" s="1185">
        <f t="shared" si="4"/>
        <v>354966</v>
      </c>
      <c r="J10" s="1185">
        <f t="shared" si="4"/>
        <v>323485</v>
      </c>
      <c r="K10" s="1185">
        <f t="shared" si="4"/>
        <v>598247</v>
      </c>
      <c r="L10" s="1185">
        <f t="shared" si="4"/>
        <v>289501</v>
      </c>
      <c r="M10" s="1185">
        <f t="shared" si="4"/>
        <v>212112</v>
      </c>
      <c r="N10" s="1185">
        <f t="shared" si="4"/>
        <v>377539</v>
      </c>
      <c r="O10" s="1185">
        <f t="shared" si="4"/>
        <v>243990</v>
      </c>
      <c r="P10" s="1185">
        <f t="shared" si="4"/>
        <v>240743</v>
      </c>
      <c r="Q10" s="1185">
        <f t="shared" si="4"/>
        <v>217801.60000000001</v>
      </c>
      <c r="R10" s="1185">
        <f t="shared" si="4"/>
        <v>88561</v>
      </c>
      <c r="S10" s="1185">
        <f t="shared" si="4"/>
        <v>62205</v>
      </c>
      <c r="T10" s="1185">
        <f t="shared" si="4"/>
        <v>21480</v>
      </c>
      <c r="U10" s="1185">
        <f t="shared" si="1"/>
        <v>4894740.5999999996</v>
      </c>
      <c r="V10" s="62"/>
      <c r="W10" s="1193"/>
    </row>
    <row r="11" spans="1:24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9574</v>
      </c>
      <c r="F11" s="1180">
        <v>4731</v>
      </c>
      <c r="G11" s="1180">
        <v>5351</v>
      </c>
      <c r="H11" s="1180">
        <v>4374</v>
      </c>
      <c r="I11" s="1180">
        <v>6926</v>
      </c>
      <c r="J11" s="1180">
        <v>4925</v>
      </c>
      <c r="K11" s="1180">
        <v>6887</v>
      </c>
      <c r="L11" s="1180">
        <v>4381</v>
      </c>
      <c r="M11" s="1180">
        <v>3552</v>
      </c>
      <c r="N11" s="1180">
        <v>4859</v>
      </c>
      <c r="O11" s="1180">
        <v>3310</v>
      </c>
      <c r="P11" s="1180">
        <v>2703</v>
      </c>
      <c r="Q11" s="1180">
        <v>21561.599999999999</v>
      </c>
      <c r="R11" s="1180">
        <v>1001</v>
      </c>
      <c r="S11" s="1180">
        <v>605</v>
      </c>
      <c r="T11" s="1180">
        <v>360</v>
      </c>
      <c r="U11" s="1185">
        <f t="shared" si="1"/>
        <v>85100.6</v>
      </c>
      <c r="V11" s="62"/>
      <c r="W11" s="1193"/>
    </row>
    <row r="12" spans="1:24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617320</v>
      </c>
      <c r="F12" s="1185">
        <f t="shared" ref="F12:T12" si="5">F13</f>
        <v>376640</v>
      </c>
      <c r="G12" s="1185">
        <f t="shared" si="5"/>
        <v>367840</v>
      </c>
      <c r="H12" s="1185">
        <f t="shared" si="5"/>
        <v>478280</v>
      </c>
      <c r="I12" s="1185">
        <f t="shared" si="5"/>
        <v>348040</v>
      </c>
      <c r="J12" s="1185">
        <f t="shared" si="5"/>
        <v>318560</v>
      </c>
      <c r="K12" s="1185">
        <f t="shared" si="5"/>
        <v>591360</v>
      </c>
      <c r="L12" s="1185">
        <f t="shared" si="5"/>
        <v>285120</v>
      </c>
      <c r="M12" s="1185">
        <f t="shared" si="5"/>
        <v>208560</v>
      </c>
      <c r="N12" s="1185">
        <f t="shared" si="5"/>
        <v>372680</v>
      </c>
      <c r="O12" s="1185">
        <f t="shared" si="5"/>
        <v>240680</v>
      </c>
      <c r="P12" s="1185">
        <f t="shared" si="5"/>
        <v>238040</v>
      </c>
      <c r="Q12" s="1185">
        <f t="shared" si="5"/>
        <v>196240</v>
      </c>
      <c r="R12" s="1185">
        <f t="shared" si="5"/>
        <v>87560</v>
      </c>
      <c r="S12" s="1185">
        <f t="shared" si="5"/>
        <v>61600</v>
      </c>
      <c r="T12" s="1185">
        <f t="shared" si="5"/>
        <v>21120</v>
      </c>
      <c r="U12" s="1185">
        <f t="shared" si="1"/>
        <v>4809640</v>
      </c>
      <c r="V12" s="62"/>
      <c r="W12" s="1193"/>
    </row>
    <row r="13" spans="1:24" ht="21.9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617320</v>
      </c>
      <c r="F13" s="1180">
        <v>376640</v>
      </c>
      <c r="G13" s="1180">
        <v>367840</v>
      </c>
      <c r="H13" s="1180">
        <v>478280</v>
      </c>
      <c r="I13" s="1180">
        <v>348040</v>
      </c>
      <c r="J13" s="1180">
        <v>318560</v>
      </c>
      <c r="K13" s="1180">
        <v>591360</v>
      </c>
      <c r="L13" s="1180">
        <v>285120</v>
      </c>
      <c r="M13" s="1180">
        <v>208560</v>
      </c>
      <c r="N13" s="1180">
        <v>372680</v>
      </c>
      <c r="O13" s="1180">
        <v>240680</v>
      </c>
      <c r="P13" s="1180">
        <v>238040</v>
      </c>
      <c r="Q13" s="1180">
        <v>196240</v>
      </c>
      <c r="R13" s="1180">
        <v>87560</v>
      </c>
      <c r="S13" s="1180">
        <v>61600</v>
      </c>
      <c r="T13" s="1180">
        <v>21120</v>
      </c>
      <c r="U13" s="1185">
        <f t="shared" si="1"/>
        <v>4809640</v>
      </c>
      <c r="V13" s="62"/>
      <c r="W13" s="1193"/>
    </row>
    <row r="14" spans="1:24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233043.05</v>
      </c>
      <c r="F14" s="1185">
        <f t="shared" ref="F14:T14" si="6">F15+F16</f>
        <v>132039.23000000001</v>
      </c>
      <c r="G14" s="1185">
        <f t="shared" si="6"/>
        <v>154941.95000000001</v>
      </c>
      <c r="H14" s="1185">
        <f t="shared" si="6"/>
        <v>192271.39</v>
      </c>
      <c r="I14" s="1185">
        <f t="shared" si="6"/>
        <v>131306.28</v>
      </c>
      <c r="J14" s="1185">
        <f t="shared" si="6"/>
        <v>124380.08</v>
      </c>
      <c r="K14" s="1185">
        <f t="shared" si="6"/>
        <v>224601.93</v>
      </c>
      <c r="L14" s="1185">
        <f t="shared" si="6"/>
        <v>99187.56</v>
      </c>
      <c r="M14" s="1185">
        <f t="shared" si="6"/>
        <v>60800.869999999995</v>
      </c>
      <c r="N14" s="1185">
        <f t="shared" si="6"/>
        <v>127013.75</v>
      </c>
      <c r="O14" s="1185">
        <f t="shared" si="6"/>
        <v>82748.19</v>
      </c>
      <c r="P14" s="1185">
        <f t="shared" si="6"/>
        <v>83001.67</v>
      </c>
      <c r="Q14" s="1185">
        <f t="shared" si="6"/>
        <v>66845.279999999999</v>
      </c>
      <c r="R14" s="1185">
        <f t="shared" si="6"/>
        <v>33748.479999999996</v>
      </c>
      <c r="S14" s="1185">
        <f t="shared" si="6"/>
        <v>19841.03</v>
      </c>
      <c r="T14" s="1185">
        <f t="shared" si="6"/>
        <v>7266.02</v>
      </c>
      <c r="U14" s="1185">
        <f t="shared" si="1"/>
        <v>1773036.7600000002</v>
      </c>
      <c r="V14" s="62"/>
      <c r="W14" s="1193"/>
    </row>
    <row r="15" spans="1:24" ht="21.9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80677.3</v>
      </c>
      <c r="F15" s="1180">
        <v>37276.239999999998</v>
      </c>
      <c r="G15" s="1180">
        <v>64814.33</v>
      </c>
      <c r="H15" s="1180">
        <v>79137.399999999994</v>
      </c>
      <c r="I15" s="1180">
        <v>50700.47</v>
      </c>
      <c r="J15" s="1180">
        <v>48035.25</v>
      </c>
      <c r="K15" s="1180">
        <v>86750.25</v>
      </c>
      <c r="L15" s="1180">
        <v>38309.08</v>
      </c>
      <c r="M15" s="1180">
        <v>17156.669999999998</v>
      </c>
      <c r="N15" s="1180">
        <v>49055.34</v>
      </c>
      <c r="O15" s="1180">
        <v>33935.71</v>
      </c>
      <c r="P15" s="1180">
        <v>32057.13</v>
      </c>
      <c r="Q15" s="1180">
        <v>25824.2</v>
      </c>
      <c r="R15" s="1180">
        <v>15056.98</v>
      </c>
      <c r="S15" s="1180">
        <v>7673.09</v>
      </c>
      <c r="T15" s="1180">
        <v>2051.15</v>
      </c>
      <c r="U15" s="1185">
        <f t="shared" si="1"/>
        <v>668510.58999999985</v>
      </c>
      <c r="V15" s="62"/>
      <c r="W15" s="1193">
        <v>1104886.28</v>
      </c>
      <c r="X15" s="1193">
        <f>U15-W15</f>
        <v>-436375.69000000018</v>
      </c>
    </row>
    <row r="16" spans="1:24" ht="21.9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152365.75</v>
      </c>
      <c r="F16" s="1180">
        <v>94762.99</v>
      </c>
      <c r="G16" s="1180">
        <v>90127.62</v>
      </c>
      <c r="H16" s="1180">
        <v>113133.99</v>
      </c>
      <c r="I16" s="1180">
        <v>80605.81</v>
      </c>
      <c r="J16" s="1180">
        <v>76344.83</v>
      </c>
      <c r="K16" s="1180">
        <v>137851.68</v>
      </c>
      <c r="L16" s="1180">
        <v>60878.48</v>
      </c>
      <c r="M16" s="1180">
        <v>43644.2</v>
      </c>
      <c r="N16" s="1180">
        <v>77958.41</v>
      </c>
      <c r="O16" s="1180">
        <v>48812.480000000003</v>
      </c>
      <c r="P16" s="1180">
        <v>50944.54</v>
      </c>
      <c r="Q16" s="1180">
        <v>41021.08</v>
      </c>
      <c r="R16" s="1180">
        <v>18691.5</v>
      </c>
      <c r="S16" s="1180">
        <v>12167.94</v>
      </c>
      <c r="T16" s="1180">
        <v>5214.87</v>
      </c>
      <c r="U16" s="1185">
        <f t="shared" si="1"/>
        <v>1104526.17</v>
      </c>
      <c r="V16" s="62"/>
      <c r="W16" s="1193">
        <v>1104886.28</v>
      </c>
      <c r="X16" s="1193">
        <f>U16-W16</f>
        <v>-360.11000000010245</v>
      </c>
    </row>
    <row r="17" spans="1:24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2982073</v>
      </c>
      <c r="F17" s="1185">
        <f t="shared" ref="F17:T17" si="7">F18+F19+F20+F21</f>
        <v>2123743</v>
      </c>
      <c r="G17" s="1185">
        <f t="shared" si="7"/>
        <v>1701559</v>
      </c>
      <c r="H17" s="1185">
        <f t="shared" si="7"/>
        <v>2548294</v>
      </c>
      <c r="I17" s="1185">
        <f t="shared" si="7"/>
        <v>1187373.75</v>
      </c>
      <c r="J17" s="1185">
        <f t="shared" si="7"/>
        <v>1469331.25</v>
      </c>
      <c r="K17" s="1185">
        <f t="shared" si="7"/>
        <v>2481399.5</v>
      </c>
      <c r="L17" s="1185">
        <f t="shared" si="7"/>
        <v>601348</v>
      </c>
      <c r="M17" s="1185">
        <f t="shared" si="7"/>
        <v>457616</v>
      </c>
      <c r="N17" s="1185">
        <f t="shared" si="7"/>
        <v>734640</v>
      </c>
      <c r="O17" s="1185">
        <f t="shared" si="7"/>
        <v>529220</v>
      </c>
      <c r="P17" s="1185">
        <f t="shared" si="7"/>
        <v>517524</v>
      </c>
      <c r="Q17" s="1185">
        <f t="shared" si="7"/>
        <v>472004</v>
      </c>
      <c r="R17" s="1185">
        <f t="shared" si="7"/>
        <v>344624</v>
      </c>
      <c r="S17" s="1185">
        <f t="shared" si="7"/>
        <v>70000</v>
      </c>
      <c r="T17" s="1185">
        <f t="shared" si="7"/>
        <v>24000</v>
      </c>
      <c r="U17" s="1185">
        <f t="shared" si="1"/>
        <v>18244749.5</v>
      </c>
      <c r="V17" s="62"/>
      <c r="W17" s="1193"/>
    </row>
    <row r="18" spans="1:24" ht="21.9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180"/>
      <c r="U18" s="1185">
        <f t="shared" si="1"/>
        <v>0</v>
      </c>
      <c r="V18" s="62"/>
      <c r="W18" s="1193"/>
    </row>
    <row r="19" spans="1:24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676576</v>
      </c>
      <c r="F19" s="1180">
        <v>598184</v>
      </c>
      <c r="G19" s="1180">
        <v>261288</v>
      </c>
      <c r="H19" s="1180">
        <v>307452</v>
      </c>
      <c r="I19" s="1180">
        <v>251632</v>
      </c>
      <c r="J19" s="1180">
        <v>513264</v>
      </c>
      <c r="K19" s="1180">
        <v>612304</v>
      </c>
      <c r="L19" s="1180">
        <v>276348</v>
      </c>
      <c r="M19" s="1180">
        <v>214616</v>
      </c>
      <c r="N19" s="1180">
        <v>308640</v>
      </c>
      <c r="O19" s="1180">
        <v>255720</v>
      </c>
      <c r="P19" s="1180">
        <v>244024</v>
      </c>
      <c r="Q19" s="1180">
        <v>241504</v>
      </c>
      <c r="R19" s="1180">
        <v>244624</v>
      </c>
      <c r="S19" s="1180"/>
      <c r="T19" s="1180"/>
      <c r="U19" s="1185">
        <f t="shared" si="1"/>
        <v>5006176</v>
      </c>
      <c r="V19" s="62"/>
      <c r="W19" s="1193"/>
    </row>
    <row r="20" spans="1:24" ht="21.9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707000</v>
      </c>
      <c r="F20" s="1180">
        <v>430000</v>
      </c>
      <c r="G20" s="1180">
        <v>418000</v>
      </c>
      <c r="H20" s="1180">
        <v>549500</v>
      </c>
      <c r="I20" s="1180">
        <v>395500</v>
      </c>
      <c r="J20" s="1180">
        <v>371500</v>
      </c>
      <c r="K20" s="1180">
        <v>690000</v>
      </c>
      <c r="L20" s="1180">
        <v>325000</v>
      </c>
      <c r="M20" s="1180">
        <v>243000</v>
      </c>
      <c r="N20" s="1180">
        <v>426000</v>
      </c>
      <c r="O20" s="1180">
        <v>273500</v>
      </c>
      <c r="P20" s="1180">
        <v>273500</v>
      </c>
      <c r="Q20" s="1180">
        <v>230500</v>
      </c>
      <c r="R20" s="1180">
        <v>100000</v>
      </c>
      <c r="S20" s="1180">
        <v>70000</v>
      </c>
      <c r="T20" s="1180">
        <v>24000</v>
      </c>
      <c r="U20" s="1185">
        <f t="shared" si="1"/>
        <v>5527000</v>
      </c>
      <c r="V20" s="62"/>
      <c r="W20" s="1193"/>
    </row>
    <row r="21" spans="1:24" ht="21.9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1598497</v>
      </c>
      <c r="F21" s="1180">
        <v>1095559</v>
      </c>
      <c r="G21" s="1180">
        <v>1022271</v>
      </c>
      <c r="H21" s="1180">
        <v>1691342</v>
      </c>
      <c r="I21" s="1180">
        <v>540241.75</v>
      </c>
      <c r="J21" s="1180">
        <v>584567.25</v>
      </c>
      <c r="K21" s="1180">
        <v>1179095.5</v>
      </c>
      <c r="L21" s="1180"/>
      <c r="M21" s="1180"/>
      <c r="N21" s="1180"/>
      <c r="O21" s="1180"/>
      <c r="P21" s="1180"/>
      <c r="Q21" s="1180"/>
      <c r="R21" s="1180"/>
      <c r="S21" s="1180"/>
      <c r="T21" s="1180"/>
      <c r="U21" s="1185">
        <f t="shared" si="1"/>
        <v>7711573.5</v>
      </c>
      <c r="V21" s="62"/>
      <c r="W21" s="1193"/>
    </row>
    <row r="22" spans="1:24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3194333.79</v>
      </c>
      <c r="F22" s="1185">
        <f t="shared" ref="F22:T22" si="8">F23+F24</f>
        <v>1955714.46</v>
      </c>
      <c r="G22" s="1185">
        <f t="shared" si="8"/>
        <v>1851764.4400000002</v>
      </c>
      <c r="H22" s="1185">
        <f t="shared" si="8"/>
        <v>2211399.17</v>
      </c>
      <c r="I22" s="1185">
        <f t="shared" si="8"/>
        <v>1627182.66</v>
      </c>
      <c r="J22" s="1185">
        <f t="shared" si="8"/>
        <v>1552544.52</v>
      </c>
      <c r="K22" s="1185">
        <f t="shared" si="8"/>
        <v>2821509.68</v>
      </c>
      <c r="L22" s="1185">
        <f t="shared" si="8"/>
        <v>1272555.7400000002</v>
      </c>
      <c r="M22" s="1185">
        <f t="shared" si="8"/>
        <v>884129.41999999993</v>
      </c>
      <c r="N22" s="1185">
        <f t="shared" si="8"/>
        <v>1548143.46</v>
      </c>
      <c r="O22" s="1185">
        <f t="shared" si="8"/>
        <v>973946.4</v>
      </c>
      <c r="P22" s="1185">
        <f t="shared" si="8"/>
        <v>1007146.71</v>
      </c>
      <c r="Q22" s="1185">
        <f t="shared" si="8"/>
        <v>812851.18</v>
      </c>
      <c r="R22" s="1185">
        <f t="shared" si="8"/>
        <v>367807.03</v>
      </c>
      <c r="S22" s="1185">
        <f t="shared" si="8"/>
        <v>238619.81</v>
      </c>
      <c r="T22" s="1185">
        <f t="shared" si="8"/>
        <v>113796.73000000001</v>
      </c>
      <c r="U22" s="1185">
        <f t="shared" si="1"/>
        <v>22433445.199999999</v>
      </c>
      <c r="V22" s="62"/>
      <c r="W22" s="1193"/>
    </row>
    <row r="23" spans="1:24" ht="21.9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2742547.21</v>
      </c>
      <c r="F23" s="1180">
        <v>1705696.46</v>
      </c>
      <c r="G23" s="1180">
        <v>1622260.36</v>
      </c>
      <c r="H23" s="1180">
        <v>2036369.17</v>
      </c>
      <c r="I23" s="1180">
        <v>1450871.7</v>
      </c>
      <c r="J23" s="1180">
        <v>1374193.56</v>
      </c>
      <c r="K23" s="1180">
        <v>2481330.7200000002</v>
      </c>
      <c r="L23" s="1180">
        <v>1095785.3600000001</v>
      </c>
      <c r="M23" s="1180">
        <v>785587.97</v>
      </c>
      <c r="N23" s="1180">
        <v>1403213.46</v>
      </c>
      <c r="O23" s="1180">
        <v>878606.4</v>
      </c>
      <c r="P23" s="1180">
        <v>916986.71</v>
      </c>
      <c r="Q23" s="1180">
        <v>738371.18</v>
      </c>
      <c r="R23" s="1180">
        <v>336447.03</v>
      </c>
      <c r="S23" s="1180">
        <v>219019.81</v>
      </c>
      <c r="T23" s="1180">
        <v>93866.96</v>
      </c>
      <c r="U23" s="1185">
        <f t="shared" si="1"/>
        <v>19881154.060000002</v>
      </c>
      <c r="V23" s="62"/>
      <c r="W23" s="1193">
        <v>19887953.140000001</v>
      </c>
      <c r="X23" s="1193">
        <f>U23-W23</f>
        <v>-6799.0799999982119</v>
      </c>
    </row>
    <row r="24" spans="1:24" ht="21.9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451786.58</v>
      </c>
      <c r="F24" s="1185">
        <f t="shared" ref="F24:T24" si="9">F25+F26</f>
        <v>250018</v>
      </c>
      <c r="G24" s="1185">
        <f t="shared" si="9"/>
        <v>229504.08000000002</v>
      </c>
      <c r="H24" s="1185">
        <f t="shared" si="9"/>
        <v>175030</v>
      </c>
      <c r="I24" s="1185">
        <f t="shared" si="9"/>
        <v>176310.96</v>
      </c>
      <c r="J24" s="1185">
        <f t="shared" si="9"/>
        <v>178350.96</v>
      </c>
      <c r="K24" s="1185">
        <f t="shared" si="9"/>
        <v>340178.96</v>
      </c>
      <c r="L24" s="1185">
        <f t="shared" si="9"/>
        <v>176770.38</v>
      </c>
      <c r="M24" s="1185">
        <f t="shared" si="9"/>
        <v>98541.45</v>
      </c>
      <c r="N24" s="1185">
        <f t="shared" si="9"/>
        <v>144930</v>
      </c>
      <c r="O24" s="1185">
        <f t="shared" si="9"/>
        <v>95340</v>
      </c>
      <c r="P24" s="1185">
        <f t="shared" si="9"/>
        <v>90160</v>
      </c>
      <c r="Q24" s="1185">
        <f>Q25+Q26</f>
        <v>74480</v>
      </c>
      <c r="R24" s="1185">
        <f t="shared" si="9"/>
        <v>31360</v>
      </c>
      <c r="S24" s="1185">
        <f t="shared" si="9"/>
        <v>19600</v>
      </c>
      <c r="T24" s="1185">
        <f t="shared" si="9"/>
        <v>19929.77</v>
      </c>
      <c r="U24" s="1185">
        <f t="shared" si="1"/>
        <v>2552291.14</v>
      </c>
      <c r="V24" s="62"/>
      <c r="W24" s="1193"/>
    </row>
    <row r="25" spans="1:24" ht="21.9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v>103456.58</v>
      </c>
      <c r="F25" s="1180">
        <v>25468</v>
      </c>
      <c r="G25" s="1180">
        <v>19819.080000000002</v>
      </c>
      <c r="H25" s="1180">
        <v>2100</v>
      </c>
      <c r="I25" s="1180">
        <v>16910.96</v>
      </c>
      <c r="J25" s="1180">
        <v>9990.9599999999991</v>
      </c>
      <c r="K25" s="1180">
        <v>47878.96</v>
      </c>
      <c r="L25" s="1180">
        <v>45840.38</v>
      </c>
      <c r="M25" s="1180">
        <v>12781.45</v>
      </c>
      <c r="N25" s="1180">
        <v>3500</v>
      </c>
      <c r="O25" s="1180">
        <v>700</v>
      </c>
      <c r="P25" s="1180"/>
      <c r="Q25" s="1180"/>
      <c r="R25" s="1180"/>
      <c r="S25" s="1180">
        <v>0</v>
      </c>
      <c r="T25" s="1180">
        <v>11389.77</v>
      </c>
      <c r="U25" s="1185">
        <f t="shared" si="1"/>
        <v>299836.14</v>
      </c>
      <c r="V25" s="62"/>
      <c r="W25" s="1193"/>
    </row>
    <row r="26" spans="1:24" ht="21.9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348330</v>
      </c>
      <c r="F26" s="1180">
        <v>224550</v>
      </c>
      <c r="G26" s="1180">
        <v>209685</v>
      </c>
      <c r="H26" s="1180">
        <v>172930</v>
      </c>
      <c r="I26" s="1180">
        <v>159400</v>
      </c>
      <c r="J26" s="1180">
        <v>168360</v>
      </c>
      <c r="K26" s="1180">
        <v>292300</v>
      </c>
      <c r="L26" s="1180">
        <v>130930</v>
      </c>
      <c r="M26" s="1180">
        <v>85760</v>
      </c>
      <c r="N26" s="1180">
        <v>141430</v>
      </c>
      <c r="O26" s="1180">
        <v>94640</v>
      </c>
      <c r="P26" s="1180">
        <v>90160</v>
      </c>
      <c r="Q26" s="1180">
        <v>74480</v>
      </c>
      <c r="R26" s="1180">
        <v>31360</v>
      </c>
      <c r="S26" s="1180">
        <v>19600</v>
      </c>
      <c r="T26" s="1180">
        <v>8540</v>
      </c>
      <c r="U26" s="1185">
        <f t="shared" si="1"/>
        <v>2252455</v>
      </c>
      <c r="V26" s="62"/>
      <c r="W26" s="1193"/>
    </row>
    <row r="27" spans="1:24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T27" si="10">E28</f>
        <v>4875636.92</v>
      </c>
      <c r="F27" s="1185">
        <f t="shared" si="10"/>
        <v>3032340.96</v>
      </c>
      <c r="G27" s="1185">
        <f t="shared" si="10"/>
        <v>2884010.24</v>
      </c>
      <c r="H27" s="1185">
        <f t="shared" si="10"/>
        <v>3620202.38</v>
      </c>
      <c r="I27" s="1185">
        <f t="shared" si="10"/>
        <v>2579320.16</v>
      </c>
      <c r="J27" s="1185">
        <f t="shared" si="10"/>
        <v>2443008.15</v>
      </c>
      <c r="K27" s="1185">
        <f t="shared" si="10"/>
        <v>4411254.62</v>
      </c>
      <c r="L27" s="1185">
        <f t="shared" si="10"/>
        <v>1948056.8</v>
      </c>
      <c r="M27" s="1185">
        <f t="shared" si="10"/>
        <v>1396599.27</v>
      </c>
      <c r="N27" s="1185">
        <f t="shared" si="10"/>
        <v>2494593.2799999998</v>
      </c>
      <c r="O27" s="1185">
        <f t="shared" si="10"/>
        <v>1561962.88</v>
      </c>
      <c r="P27" s="1185">
        <f t="shared" si="10"/>
        <v>1630194.88</v>
      </c>
      <c r="Q27" s="1185">
        <f t="shared" si="10"/>
        <v>1312657.81</v>
      </c>
      <c r="R27" s="1185">
        <f t="shared" si="10"/>
        <v>598127.91</v>
      </c>
      <c r="S27" s="1185">
        <f t="shared" si="10"/>
        <v>389369.67</v>
      </c>
      <c r="T27" s="1185">
        <f t="shared" si="10"/>
        <v>166874.37</v>
      </c>
      <c r="U27" s="1185">
        <f t="shared" si="1"/>
        <v>35344210.299999997</v>
      </c>
      <c r="V27" s="62"/>
      <c r="W27" s="1193"/>
    </row>
    <row r="28" spans="1:24" ht="21.9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4875636.92</v>
      </c>
      <c r="F28" s="1180">
        <v>3032340.96</v>
      </c>
      <c r="G28" s="1180">
        <v>2884010.24</v>
      </c>
      <c r="H28" s="1180">
        <v>3620202.38</v>
      </c>
      <c r="I28" s="1180">
        <v>2579320.16</v>
      </c>
      <c r="J28" s="1180">
        <v>2443008.15</v>
      </c>
      <c r="K28" s="1180">
        <v>4411254.62</v>
      </c>
      <c r="L28" s="1180">
        <v>1948056.8</v>
      </c>
      <c r="M28" s="1180">
        <v>1396599.27</v>
      </c>
      <c r="N28" s="1180">
        <v>2494593.2799999998</v>
      </c>
      <c r="O28" s="1180">
        <v>1561962.88</v>
      </c>
      <c r="P28" s="1180">
        <v>1630194.88</v>
      </c>
      <c r="Q28" s="1180">
        <v>1312657.81</v>
      </c>
      <c r="R28" s="1180">
        <v>598127.91</v>
      </c>
      <c r="S28" s="1180">
        <v>389369.67</v>
      </c>
      <c r="T28" s="1180">
        <v>166874.37</v>
      </c>
      <c r="U28" s="1185">
        <f t="shared" si="1"/>
        <v>35344210.299999997</v>
      </c>
      <c r="V28" s="62"/>
      <c r="W28" s="1193">
        <v>35356361.140000001</v>
      </c>
      <c r="X28" s="1193">
        <f>U28-W28</f>
        <v>-12150.840000003576</v>
      </c>
    </row>
    <row r="29" spans="1:24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T29" si="11">E30</f>
        <v>2437819.83</v>
      </c>
      <c r="F29" s="1185">
        <f t="shared" si="11"/>
        <v>1516170.48</v>
      </c>
      <c r="G29" s="1185">
        <f t="shared" si="11"/>
        <v>1442005.12</v>
      </c>
      <c r="H29" s="1185">
        <f t="shared" si="11"/>
        <v>1810101.19</v>
      </c>
      <c r="I29" s="1185">
        <f t="shared" si="11"/>
        <v>1438893.32</v>
      </c>
      <c r="J29" s="1185">
        <f t="shared" si="11"/>
        <v>1221503.8999999999</v>
      </c>
      <c r="K29" s="1185">
        <f t="shared" si="11"/>
        <v>2205627.15</v>
      </c>
      <c r="L29" s="1185">
        <f t="shared" si="11"/>
        <v>974028.4</v>
      </c>
      <c r="M29" s="1185">
        <f t="shared" si="11"/>
        <v>698299.85</v>
      </c>
      <c r="N29" s="1185">
        <f t="shared" si="11"/>
        <v>1247296.6399999999</v>
      </c>
      <c r="O29" s="1185">
        <f t="shared" si="11"/>
        <v>780981.44</v>
      </c>
      <c r="P29" s="1185">
        <f t="shared" si="11"/>
        <v>815097.56</v>
      </c>
      <c r="Q29" s="1185">
        <f t="shared" si="11"/>
        <v>627044.42000000004</v>
      </c>
      <c r="R29" s="1185">
        <f t="shared" si="11"/>
        <v>299063.90999999997</v>
      </c>
      <c r="S29" s="1185">
        <f t="shared" si="11"/>
        <v>194683.9</v>
      </c>
      <c r="T29" s="1185">
        <f t="shared" si="11"/>
        <v>83437.22</v>
      </c>
      <c r="U29" s="1185">
        <f t="shared" si="1"/>
        <v>17792054.329999998</v>
      </c>
      <c r="V29" s="62"/>
      <c r="W29" s="1193"/>
    </row>
    <row r="30" spans="1:24" ht="21.9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2437819.83</v>
      </c>
      <c r="F30" s="1180">
        <v>1516170.48</v>
      </c>
      <c r="G30" s="1180">
        <v>1442005.12</v>
      </c>
      <c r="H30" s="1180">
        <v>1810101.19</v>
      </c>
      <c r="I30" s="1180">
        <v>1438893.32</v>
      </c>
      <c r="J30" s="1180">
        <v>1221503.8999999999</v>
      </c>
      <c r="K30" s="1180">
        <v>2205627.15</v>
      </c>
      <c r="L30" s="1180">
        <v>974028.4</v>
      </c>
      <c r="M30" s="1180">
        <v>698299.85</v>
      </c>
      <c r="N30" s="1180">
        <v>1247296.6399999999</v>
      </c>
      <c r="O30" s="1180">
        <v>780981.44</v>
      </c>
      <c r="P30" s="1180">
        <v>815097.56</v>
      </c>
      <c r="Q30" s="1180">
        <v>627044.42000000004</v>
      </c>
      <c r="R30" s="1180">
        <v>299063.90999999997</v>
      </c>
      <c r="S30" s="1180">
        <v>194683.9</v>
      </c>
      <c r="T30" s="1180">
        <v>83437.22</v>
      </c>
      <c r="U30" s="1185">
        <f t="shared" si="1"/>
        <v>17792054.329999998</v>
      </c>
      <c r="V30" s="62"/>
      <c r="W30" s="1193">
        <v>17678180.579999998</v>
      </c>
      <c r="X30" s="1193">
        <f>U30-W30</f>
        <v>113873.75</v>
      </c>
    </row>
    <row r="31" spans="1:24" ht="21.9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2120416</v>
      </c>
      <c r="F31" s="1180">
        <v>1327513</v>
      </c>
      <c r="G31" s="1180">
        <v>1258483</v>
      </c>
      <c r="H31" s="1180">
        <v>1594056</v>
      </c>
      <c r="I31" s="1180">
        <v>1116954</v>
      </c>
      <c r="J31" s="1180">
        <v>1066339</v>
      </c>
      <c r="K31" s="1180">
        <v>1928720</v>
      </c>
      <c r="L31" s="1180">
        <v>847721</v>
      </c>
      <c r="M31" s="1180">
        <v>604179</v>
      </c>
      <c r="N31" s="1180">
        <v>1086792</v>
      </c>
      <c r="O31" s="1180">
        <v>681755</v>
      </c>
      <c r="P31" s="1180">
        <v>712088</v>
      </c>
      <c r="Q31" s="1180">
        <v>575558</v>
      </c>
      <c r="R31" s="1180">
        <v>260914</v>
      </c>
      <c r="S31" s="1180">
        <v>175293</v>
      </c>
      <c r="T31" s="1180">
        <v>73008</v>
      </c>
      <c r="U31" s="1185">
        <f t="shared" si="1"/>
        <v>15429789</v>
      </c>
      <c r="V31" s="62"/>
      <c r="W31" s="1193">
        <v>15468408</v>
      </c>
      <c r="X31" s="1193">
        <f>U31-W31</f>
        <v>-38619</v>
      </c>
    </row>
    <row r="32" spans="1:24" ht="21.9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43000</v>
      </c>
      <c r="F32" s="1180">
        <v>24500</v>
      </c>
      <c r="G32" s="1180">
        <v>24500</v>
      </c>
      <c r="H32" s="1180">
        <v>27500</v>
      </c>
      <c r="I32" s="1180">
        <v>23000</v>
      </c>
      <c r="J32" s="1180">
        <v>21500</v>
      </c>
      <c r="K32" s="1180">
        <v>40000</v>
      </c>
      <c r="L32" s="1180">
        <v>20000</v>
      </c>
      <c r="M32" s="1180">
        <v>15500</v>
      </c>
      <c r="N32" s="1180">
        <v>23000</v>
      </c>
      <c r="O32" s="1180">
        <v>18500</v>
      </c>
      <c r="P32" s="1180">
        <v>18500</v>
      </c>
      <c r="Q32" s="1180">
        <v>14000</v>
      </c>
      <c r="R32" s="1180">
        <v>4500</v>
      </c>
      <c r="S32" s="1180">
        <v>3000</v>
      </c>
      <c r="T32" s="1180">
        <v>1500</v>
      </c>
      <c r="U32" s="1185">
        <f t="shared" si="1"/>
        <v>322500</v>
      </c>
      <c r="V32" s="62"/>
      <c r="W32" s="1193"/>
    </row>
    <row r="33" spans="1:23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3087165</v>
      </c>
      <c r="F33" s="1185">
        <f t="shared" ref="F33:T33" si="12">F34+F36+F38</f>
        <v>800610</v>
      </c>
      <c r="G33" s="1185">
        <f t="shared" si="12"/>
        <v>816555</v>
      </c>
      <c r="H33" s="1185">
        <f t="shared" si="12"/>
        <v>21180</v>
      </c>
      <c r="I33" s="1185">
        <f t="shared" si="12"/>
        <v>1119235</v>
      </c>
      <c r="J33" s="1185">
        <f t="shared" si="12"/>
        <v>627635</v>
      </c>
      <c r="K33" s="1185">
        <f t="shared" si="12"/>
        <v>498765</v>
      </c>
      <c r="L33" s="1185">
        <f t="shared" si="12"/>
        <v>480445</v>
      </c>
      <c r="M33" s="1185">
        <f t="shared" si="12"/>
        <v>221135</v>
      </c>
      <c r="N33" s="1185">
        <f t="shared" si="12"/>
        <v>152460</v>
      </c>
      <c r="O33" s="1185">
        <f t="shared" si="12"/>
        <v>102480</v>
      </c>
      <c r="P33" s="1185">
        <f t="shared" si="12"/>
        <v>4320</v>
      </c>
      <c r="Q33" s="1185">
        <f t="shared" si="12"/>
        <v>2700</v>
      </c>
      <c r="R33" s="1185">
        <f t="shared" si="12"/>
        <v>900</v>
      </c>
      <c r="S33" s="1185">
        <f t="shared" si="12"/>
        <v>720</v>
      </c>
      <c r="T33" s="1185">
        <f t="shared" si="12"/>
        <v>85200</v>
      </c>
      <c r="U33" s="1185">
        <f t="shared" si="1"/>
        <v>8021505</v>
      </c>
      <c r="V33" s="62"/>
      <c r="W33" s="1193"/>
    </row>
    <row r="34" spans="1:23" ht="21.9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3081195</v>
      </c>
      <c r="F34" s="1185">
        <f t="shared" ref="F34:T34" si="13">F35</f>
        <v>795810</v>
      </c>
      <c r="G34" s="1185">
        <f t="shared" si="13"/>
        <v>813225</v>
      </c>
      <c r="H34" s="1185">
        <f t="shared" si="13"/>
        <v>15780</v>
      </c>
      <c r="I34" s="1185">
        <f t="shared" si="13"/>
        <v>1118185</v>
      </c>
      <c r="J34" s="1185">
        <f t="shared" si="13"/>
        <v>626795</v>
      </c>
      <c r="K34" s="1185">
        <f t="shared" si="13"/>
        <v>495555</v>
      </c>
      <c r="L34" s="1185">
        <f t="shared" si="13"/>
        <v>476125</v>
      </c>
      <c r="M34" s="1185">
        <f t="shared" si="13"/>
        <v>217805</v>
      </c>
      <c r="N34" s="1185">
        <f t="shared" si="13"/>
        <v>149220</v>
      </c>
      <c r="O34" s="1185">
        <f t="shared" si="13"/>
        <v>100320</v>
      </c>
      <c r="P34" s="1185">
        <f t="shared" si="13"/>
        <v>0</v>
      </c>
      <c r="Q34" s="1185">
        <f t="shared" si="13"/>
        <v>0</v>
      </c>
      <c r="R34" s="1185">
        <f t="shared" si="13"/>
        <v>0</v>
      </c>
      <c r="S34" s="1185">
        <f t="shared" si="13"/>
        <v>0</v>
      </c>
      <c r="T34" s="1185">
        <f t="shared" si="13"/>
        <v>85200</v>
      </c>
      <c r="U34" s="1185">
        <f t="shared" si="1"/>
        <v>7975215</v>
      </c>
      <c r="V34" s="62"/>
      <c r="W34" s="1193"/>
    </row>
    <row r="35" spans="1:23" ht="21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3081195</v>
      </c>
      <c r="F35" s="1180">
        <v>795810</v>
      </c>
      <c r="G35" s="1180">
        <v>813225</v>
      </c>
      <c r="H35" s="1180">
        <v>15780</v>
      </c>
      <c r="I35" s="1180">
        <v>1118185</v>
      </c>
      <c r="J35" s="1180">
        <v>626795</v>
      </c>
      <c r="K35" s="1180">
        <v>495555</v>
      </c>
      <c r="L35" s="1180">
        <v>476125</v>
      </c>
      <c r="M35" s="1180">
        <v>217805</v>
      </c>
      <c r="N35" s="1180">
        <v>149220</v>
      </c>
      <c r="O35" s="1180">
        <v>100320</v>
      </c>
      <c r="P35" s="1180"/>
      <c r="Q35" s="1180"/>
      <c r="R35" s="1180"/>
      <c r="S35" s="1180"/>
      <c r="T35" s="1180">
        <v>85200</v>
      </c>
      <c r="U35" s="1185">
        <f t="shared" si="1"/>
        <v>7975215</v>
      </c>
      <c r="V35" s="62"/>
      <c r="W35" s="1193"/>
    </row>
    <row r="36" spans="1:23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5970</v>
      </c>
      <c r="F36" s="1185">
        <f t="shared" ref="F36:T36" si="14">F37</f>
        <v>4800</v>
      </c>
      <c r="G36" s="1185">
        <f t="shared" si="14"/>
        <v>3330</v>
      </c>
      <c r="H36" s="1185">
        <f t="shared" si="14"/>
        <v>5400</v>
      </c>
      <c r="I36" s="1185">
        <f t="shared" si="14"/>
        <v>1050</v>
      </c>
      <c r="J36" s="1185">
        <f t="shared" si="14"/>
        <v>840</v>
      </c>
      <c r="K36" s="1185">
        <f t="shared" si="14"/>
        <v>3210</v>
      </c>
      <c r="L36" s="1185">
        <f t="shared" si="14"/>
        <v>4320</v>
      </c>
      <c r="M36" s="1185">
        <f t="shared" si="14"/>
        <v>3330</v>
      </c>
      <c r="N36" s="1185">
        <f t="shared" si="14"/>
        <v>3240</v>
      </c>
      <c r="O36" s="1185">
        <f t="shared" si="14"/>
        <v>2160</v>
      </c>
      <c r="P36" s="1185">
        <f t="shared" si="14"/>
        <v>4320</v>
      </c>
      <c r="Q36" s="1185">
        <f t="shared" si="14"/>
        <v>2700</v>
      </c>
      <c r="R36" s="1185">
        <f t="shared" si="14"/>
        <v>900</v>
      </c>
      <c r="S36" s="1185">
        <f t="shared" si="14"/>
        <v>720</v>
      </c>
      <c r="T36" s="1185">
        <f t="shared" si="14"/>
        <v>0</v>
      </c>
      <c r="U36" s="1185">
        <f t="shared" si="1"/>
        <v>46290</v>
      </c>
      <c r="V36" s="62"/>
      <c r="W36" s="1193"/>
    </row>
    <row r="37" spans="1:23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5970</v>
      </c>
      <c r="F37" s="1180">
        <v>4800</v>
      </c>
      <c r="G37" s="1180">
        <v>3330</v>
      </c>
      <c r="H37" s="1180">
        <v>5400</v>
      </c>
      <c r="I37" s="1180">
        <v>1050</v>
      </c>
      <c r="J37" s="1180">
        <v>840</v>
      </c>
      <c r="K37" s="1180">
        <v>3210</v>
      </c>
      <c r="L37" s="1180">
        <v>4320</v>
      </c>
      <c r="M37" s="1180">
        <v>3330</v>
      </c>
      <c r="N37" s="1180">
        <v>3240</v>
      </c>
      <c r="O37" s="1180">
        <v>2160</v>
      </c>
      <c r="P37" s="1180">
        <v>4320</v>
      </c>
      <c r="Q37" s="1180">
        <v>2700</v>
      </c>
      <c r="R37" s="1180">
        <v>900</v>
      </c>
      <c r="S37" s="1180">
        <v>720</v>
      </c>
      <c r="T37" s="1180"/>
      <c r="U37" s="1185">
        <f t="shared" ref="U37:U68" si="15">SUM(E37:T37)</f>
        <v>46290</v>
      </c>
      <c r="V37" s="62"/>
      <c r="W37" s="1193"/>
    </row>
    <row r="38" spans="1:23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T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185">
        <f t="shared" si="16"/>
        <v>0</v>
      </c>
      <c r="K38" s="1185">
        <f t="shared" si="16"/>
        <v>0</v>
      </c>
      <c r="L38" s="1185">
        <f t="shared" si="16"/>
        <v>0</v>
      </c>
      <c r="M38" s="1185">
        <f t="shared" si="16"/>
        <v>0</v>
      </c>
      <c r="N38" s="1185">
        <f t="shared" si="16"/>
        <v>0</v>
      </c>
      <c r="O38" s="1185">
        <f t="shared" si="16"/>
        <v>0</v>
      </c>
      <c r="P38" s="1185">
        <f t="shared" si="16"/>
        <v>0</v>
      </c>
      <c r="Q38" s="1185">
        <f t="shared" si="16"/>
        <v>0</v>
      </c>
      <c r="R38" s="1185">
        <f t="shared" si="16"/>
        <v>0</v>
      </c>
      <c r="S38" s="1185">
        <f t="shared" si="16"/>
        <v>0</v>
      </c>
      <c r="T38" s="1185">
        <f t="shared" si="16"/>
        <v>0</v>
      </c>
      <c r="U38" s="1185">
        <f t="shared" si="15"/>
        <v>0</v>
      </c>
      <c r="V38" s="62"/>
      <c r="W38" s="1193"/>
    </row>
    <row r="39" spans="1:23" ht="21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180"/>
      <c r="U39" s="1185">
        <f t="shared" si="15"/>
        <v>0</v>
      </c>
      <c r="V39" s="62"/>
      <c r="W39" s="1193"/>
    </row>
    <row r="40" spans="1:23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T40" si="17">E41+E43+E45+E47+E49+E52+E54+E56+E60</f>
        <v>8463019.6400000006</v>
      </c>
      <c r="F40" s="1185">
        <f t="shared" si="17"/>
        <v>5191013.79</v>
      </c>
      <c r="G40" s="1185">
        <f t="shared" si="17"/>
        <v>5378485.3099999996</v>
      </c>
      <c r="H40" s="1185">
        <f t="shared" si="17"/>
        <v>6839529.0999999996</v>
      </c>
      <c r="I40" s="1185">
        <f t="shared" si="17"/>
        <v>4277693.1899999995</v>
      </c>
      <c r="J40" s="1185">
        <f t="shared" si="17"/>
        <v>3271560.9099999997</v>
      </c>
      <c r="K40" s="1185">
        <f t="shared" si="17"/>
        <v>7442834.1399999997</v>
      </c>
      <c r="L40" s="1185">
        <f t="shared" si="17"/>
        <v>2970612.13</v>
      </c>
      <c r="M40" s="1185">
        <f t="shared" si="17"/>
        <v>2000373.9000000001</v>
      </c>
      <c r="N40" s="1185">
        <f t="shared" si="17"/>
        <v>3998484.7899999996</v>
      </c>
      <c r="O40" s="1185">
        <f t="shared" si="17"/>
        <v>2189199.7999999998</v>
      </c>
      <c r="P40" s="1185">
        <f t="shared" si="17"/>
        <v>2369419.6</v>
      </c>
      <c r="Q40" s="1185">
        <f t="shared" si="17"/>
        <v>2059252.79</v>
      </c>
      <c r="R40" s="1185">
        <f t="shared" si="17"/>
        <v>1136039</v>
      </c>
      <c r="S40" s="1185">
        <f t="shared" si="17"/>
        <v>1118269</v>
      </c>
      <c r="T40" s="1185">
        <f t="shared" si="17"/>
        <v>148216</v>
      </c>
      <c r="U40" s="1185">
        <f t="shared" si="15"/>
        <v>58854003.089999989</v>
      </c>
      <c r="V40" s="62"/>
      <c r="W40" s="1193"/>
    </row>
    <row r="41" spans="1:23" ht="21.95" customHeight="1">
      <c r="A41" s="66" t="s">
        <v>99</v>
      </c>
      <c r="B41" s="61" t="s">
        <v>100</v>
      </c>
      <c r="C41" s="61"/>
      <c r="D41" s="62" t="s">
        <v>101</v>
      </c>
      <c r="E41" s="1180">
        <v>5990790</v>
      </c>
      <c r="F41" s="1180">
        <v>4042075</v>
      </c>
      <c r="G41" s="1180">
        <v>4043200</v>
      </c>
      <c r="H41" s="1180">
        <v>5583850</v>
      </c>
      <c r="I41" s="1180">
        <v>3072710</v>
      </c>
      <c r="J41" s="1180">
        <v>2373795</v>
      </c>
      <c r="K41" s="1180">
        <v>5787875</v>
      </c>
      <c r="L41" s="1180">
        <v>2152140</v>
      </c>
      <c r="M41" s="1180">
        <v>1468580</v>
      </c>
      <c r="N41" s="1180">
        <v>3010140</v>
      </c>
      <c r="O41" s="1180">
        <v>1587280</v>
      </c>
      <c r="P41" s="1180">
        <v>1730280</v>
      </c>
      <c r="Q41" s="1180">
        <v>1522820</v>
      </c>
      <c r="R41" s="1180">
        <v>858000</v>
      </c>
      <c r="S41" s="1180">
        <v>858000</v>
      </c>
      <c r="T41" s="1180">
        <v>89600</v>
      </c>
      <c r="U41" s="1185">
        <f t="shared" si="15"/>
        <v>44171135</v>
      </c>
      <c r="V41" s="62"/>
      <c r="W41" s="1193"/>
    </row>
    <row r="42" spans="1:23" ht="21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249383.25</v>
      </c>
      <c r="F42" s="1180">
        <v>202103.75</v>
      </c>
      <c r="G42" s="1180">
        <v>202160</v>
      </c>
      <c r="H42" s="1180">
        <v>279192.5</v>
      </c>
      <c r="I42" s="1180">
        <v>153635.5</v>
      </c>
      <c r="J42" s="1180">
        <v>118689.75</v>
      </c>
      <c r="K42" s="1180">
        <v>289393.75</v>
      </c>
      <c r="L42" s="1180">
        <v>73787.5</v>
      </c>
      <c r="M42" s="1180">
        <v>65278</v>
      </c>
      <c r="N42" s="1180">
        <v>123122.5</v>
      </c>
      <c r="O42" s="1180">
        <v>63777</v>
      </c>
      <c r="P42" s="1180">
        <v>69783</v>
      </c>
      <c r="Q42" s="1180">
        <v>71708</v>
      </c>
      <c r="R42" s="1180">
        <v>33533.5</v>
      </c>
      <c r="S42" s="1180">
        <v>19805.5</v>
      </c>
      <c r="T42" s="1180">
        <v>4480</v>
      </c>
      <c r="U42" s="1185">
        <f t="shared" si="15"/>
        <v>2019833.5</v>
      </c>
      <c r="V42" s="62"/>
      <c r="W42" s="1193"/>
    </row>
    <row r="43" spans="1:23" ht="21.95" customHeight="1">
      <c r="A43" s="66" t="s">
        <v>106</v>
      </c>
      <c r="B43" s="61" t="s">
        <v>107</v>
      </c>
      <c r="C43" s="61"/>
      <c r="D43" s="62"/>
      <c r="E43" s="1185">
        <f>E44</f>
        <v>48000</v>
      </c>
      <c r="F43" s="1185">
        <f t="shared" ref="F43:T43" si="18">F44</f>
        <v>28800</v>
      </c>
      <c r="G43" s="1185">
        <f t="shared" si="18"/>
        <v>28000</v>
      </c>
      <c r="H43" s="1185">
        <f t="shared" si="18"/>
        <v>36800</v>
      </c>
      <c r="I43" s="1185">
        <f t="shared" si="18"/>
        <v>26400</v>
      </c>
      <c r="J43" s="1185">
        <f t="shared" si="18"/>
        <v>24800</v>
      </c>
      <c r="K43" s="1185">
        <f t="shared" si="18"/>
        <v>46000</v>
      </c>
      <c r="L43" s="1185">
        <f t="shared" si="18"/>
        <v>22000</v>
      </c>
      <c r="M43" s="1185">
        <f t="shared" si="18"/>
        <v>16400</v>
      </c>
      <c r="N43" s="1185">
        <f t="shared" si="18"/>
        <v>28400</v>
      </c>
      <c r="O43" s="1185">
        <f t="shared" si="18"/>
        <v>18400</v>
      </c>
      <c r="P43" s="1185">
        <f t="shared" si="18"/>
        <v>18400</v>
      </c>
      <c r="Q43" s="1185">
        <f t="shared" si="18"/>
        <v>15600</v>
      </c>
      <c r="R43" s="1185">
        <f t="shared" si="18"/>
        <v>6800</v>
      </c>
      <c r="S43" s="1185">
        <f t="shared" si="18"/>
        <v>4800</v>
      </c>
      <c r="T43" s="1185">
        <f t="shared" si="18"/>
        <v>1600</v>
      </c>
      <c r="U43" s="1185">
        <f t="shared" si="15"/>
        <v>371200</v>
      </c>
      <c r="V43" s="62"/>
      <c r="W43" s="1193"/>
    </row>
    <row r="44" spans="1:23" ht="21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48000</v>
      </c>
      <c r="F44" s="1180">
        <v>28800</v>
      </c>
      <c r="G44" s="1180">
        <v>28000</v>
      </c>
      <c r="H44" s="1180">
        <v>36800</v>
      </c>
      <c r="I44" s="1180">
        <v>26400</v>
      </c>
      <c r="J44" s="1180">
        <v>24800</v>
      </c>
      <c r="K44" s="1180">
        <v>46000</v>
      </c>
      <c r="L44" s="1180">
        <v>22000</v>
      </c>
      <c r="M44" s="1180">
        <v>16400</v>
      </c>
      <c r="N44" s="1180">
        <v>28400</v>
      </c>
      <c r="O44" s="1180">
        <v>18400</v>
      </c>
      <c r="P44" s="1180">
        <v>18400</v>
      </c>
      <c r="Q44" s="1180">
        <v>15600</v>
      </c>
      <c r="R44" s="1180">
        <v>6800</v>
      </c>
      <c r="S44" s="1180">
        <v>4800</v>
      </c>
      <c r="T44" s="1180">
        <v>1600</v>
      </c>
      <c r="U44" s="1185">
        <f t="shared" si="15"/>
        <v>371200</v>
      </c>
      <c r="V44" s="62"/>
      <c r="W44" s="1193"/>
    </row>
    <row r="45" spans="1:23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369110.55</v>
      </c>
      <c r="F45" s="1185">
        <f t="shared" ref="F45:T45" si="19">F46</f>
        <v>184792.2</v>
      </c>
      <c r="G45" s="1185">
        <f t="shared" si="19"/>
        <v>344669.55</v>
      </c>
      <c r="H45" s="1185">
        <f t="shared" si="19"/>
        <v>259299.6</v>
      </c>
      <c r="I45" s="1185">
        <f t="shared" si="19"/>
        <v>164731.20000000001</v>
      </c>
      <c r="J45" s="1185">
        <f t="shared" si="19"/>
        <v>98189.25</v>
      </c>
      <c r="K45" s="1185">
        <f t="shared" si="19"/>
        <v>310345.8</v>
      </c>
      <c r="L45" s="1185">
        <f t="shared" si="19"/>
        <v>141067.5</v>
      </c>
      <c r="M45" s="1185">
        <f t="shared" si="19"/>
        <v>69733.350000000006</v>
      </c>
      <c r="N45" s="1185">
        <f t="shared" si="19"/>
        <v>227811.15</v>
      </c>
      <c r="O45" s="1185">
        <f t="shared" si="19"/>
        <v>128985.9</v>
      </c>
      <c r="P45" s="1185">
        <f t="shared" si="19"/>
        <v>177441.15</v>
      </c>
      <c r="Q45" s="1185">
        <f t="shared" si="19"/>
        <v>119210.85</v>
      </c>
      <c r="R45" s="1185">
        <f t="shared" si="19"/>
        <v>85861.8</v>
      </c>
      <c r="S45" s="1185">
        <f t="shared" si="19"/>
        <v>114450</v>
      </c>
      <c r="T45" s="1185">
        <f t="shared" si="19"/>
        <v>0</v>
      </c>
      <c r="U45" s="1185">
        <f t="shared" si="15"/>
        <v>2795699.85</v>
      </c>
      <c r="V45" s="62"/>
      <c r="W45" s="1193"/>
    </row>
    <row r="46" spans="1:23" ht="21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369110.55</v>
      </c>
      <c r="F46" s="1180">
        <v>184792.2</v>
      </c>
      <c r="G46" s="1180">
        <v>344669.55</v>
      </c>
      <c r="H46" s="1180">
        <v>259299.6</v>
      </c>
      <c r="I46" s="1180">
        <v>164731.20000000001</v>
      </c>
      <c r="J46" s="1180">
        <v>98189.25</v>
      </c>
      <c r="K46" s="1180">
        <v>310345.8</v>
      </c>
      <c r="L46" s="1180">
        <v>141067.5</v>
      </c>
      <c r="M46" s="1180">
        <v>69733.350000000006</v>
      </c>
      <c r="N46" s="1180">
        <v>227811.15</v>
      </c>
      <c r="O46" s="1180">
        <v>128985.9</v>
      </c>
      <c r="P46" s="1180">
        <v>177441.15</v>
      </c>
      <c r="Q46" s="1180">
        <v>119210.85</v>
      </c>
      <c r="R46" s="1180">
        <v>85861.8</v>
      </c>
      <c r="S46" s="1180">
        <v>114450</v>
      </c>
      <c r="T46" s="1180"/>
      <c r="U46" s="1185">
        <f t="shared" si="15"/>
        <v>2795699.85</v>
      </c>
      <c r="V46" s="62"/>
      <c r="W46" s="1193"/>
    </row>
    <row r="47" spans="1:23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105904</v>
      </c>
      <c r="F47" s="1185">
        <f t="shared" ref="F47:T47" si="20">F48</f>
        <v>28240</v>
      </c>
      <c r="G47" s="1185">
        <f t="shared" si="20"/>
        <v>76487.600000000006</v>
      </c>
      <c r="H47" s="1185">
        <f t="shared" si="20"/>
        <v>70433.600000000006</v>
      </c>
      <c r="I47" s="1185">
        <f t="shared" si="20"/>
        <v>76688</v>
      </c>
      <c r="J47" s="1185">
        <f t="shared" si="20"/>
        <v>31192</v>
      </c>
      <c r="K47" s="1185">
        <f t="shared" si="20"/>
        <v>97640</v>
      </c>
      <c r="L47" s="1185">
        <f t="shared" si="20"/>
        <v>33144</v>
      </c>
      <c r="M47" s="1185">
        <f t="shared" si="20"/>
        <v>19888</v>
      </c>
      <c r="N47" s="1185">
        <f t="shared" si="20"/>
        <v>42522.8</v>
      </c>
      <c r="O47" s="1185">
        <f t="shared" si="20"/>
        <v>28344</v>
      </c>
      <c r="P47" s="1185">
        <f t="shared" si="20"/>
        <v>34789.599999999999</v>
      </c>
      <c r="Q47" s="1185">
        <f t="shared" si="20"/>
        <v>45420.800000000003</v>
      </c>
      <c r="R47" s="1185">
        <f t="shared" si="20"/>
        <v>15715.2</v>
      </c>
      <c r="S47" s="1185">
        <f t="shared" si="20"/>
        <v>21436</v>
      </c>
      <c r="T47" s="1185">
        <f t="shared" si="20"/>
        <v>0</v>
      </c>
      <c r="U47" s="1185">
        <f t="shared" si="15"/>
        <v>727845.6</v>
      </c>
      <c r="V47" s="62"/>
      <c r="W47" s="1193"/>
    </row>
    <row r="48" spans="1:23" ht="21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105904</v>
      </c>
      <c r="F48" s="1180">
        <v>28240</v>
      </c>
      <c r="G48" s="1180">
        <v>76487.600000000006</v>
      </c>
      <c r="H48" s="1180">
        <v>70433.600000000006</v>
      </c>
      <c r="I48" s="1180">
        <v>76688</v>
      </c>
      <c r="J48" s="1180">
        <v>31192</v>
      </c>
      <c r="K48" s="1180">
        <v>97640</v>
      </c>
      <c r="L48" s="1180">
        <v>33144</v>
      </c>
      <c r="M48" s="1180">
        <v>19888</v>
      </c>
      <c r="N48" s="1180">
        <v>42522.8</v>
      </c>
      <c r="O48" s="1180">
        <v>28344</v>
      </c>
      <c r="P48" s="1180">
        <v>34789.599999999999</v>
      </c>
      <c r="Q48" s="1180">
        <v>45420.800000000003</v>
      </c>
      <c r="R48" s="1180">
        <v>15715.2</v>
      </c>
      <c r="S48" s="1180">
        <v>21436</v>
      </c>
      <c r="T48" s="1180"/>
      <c r="U48" s="1185">
        <f t="shared" si="15"/>
        <v>727845.6</v>
      </c>
      <c r="V48" s="62"/>
      <c r="W48" s="1193"/>
    </row>
    <row r="49" spans="1:23" ht="21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1212480</v>
      </c>
      <c r="F49" s="1185">
        <f t="shared" ref="F49:T49" si="21">F50+F51</f>
        <v>493200</v>
      </c>
      <c r="G49" s="1185">
        <f t="shared" si="21"/>
        <v>482040</v>
      </c>
      <c r="H49" s="1185">
        <f t="shared" si="21"/>
        <v>399960</v>
      </c>
      <c r="I49" s="1185">
        <f t="shared" si="21"/>
        <v>555840</v>
      </c>
      <c r="J49" s="1185">
        <f t="shared" si="21"/>
        <v>412560</v>
      </c>
      <c r="K49" s="1185">
        <f t="shared" si="21"/>
        <v>610200</v>
      </c>
      <c r="L49" s="1185">
        <f t="shared" si="21"/>
        <v>343800</v>
      </c>
      <c r="M49" s="1185">
        <f t="shared" si="21"/>
        <v>228960</v>
      </c>
      <c r="N49" s="1185">
        <f t="shared" si="21"/>
        <v>345600</v>
      </c>
      <c r="O49" s="1185">
        <f t="shared" si="21"/>
        <v>221040</v>
      </c>
      <c r="P49" s="1185">
        <f t="shared" si="21"/>
        <v>196920</v>
      </c>
      <c r="Q49" s="1185">
        <f t="shared" si="21"/>
        <v>165960</v>
      </c>
      <c r="R49" s="1185">
        <f t="shared" si="21"/>
        <v>72000</v>
      </c>
      <c r="S49" s="1185">
        <f t="shared" si="21"/>
        <v>50400</v>
      </c>
      <c r="T49" s="1185">
        <f t="shared" si="21"/>
        <v>34560</v>
      </c>
      <c r="U49" s="1185">
        <f t="shared" si="15"/>
        <v>5825520</v>
      </c>
      <c r="V49" s="62"/>
      <c r="W49" s="1193"/>
    </row>
    <row r="50" spans="1:23" ht="21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517680</v>
      </c>
      <c r="F50" s="1180">
        <v>309600</v>
      </c>
      <c r="G50" s="1180">
        <v>300960</v>
      </c>
      <c r="H50" s="1180">
        <v>395640</v>
      </c>
      <c r="I50" s="1180">
        <v>284760</v>
      </c>
      <c r="J50" s="1180">
        <v>267480</v>
      </c>
      <c r="K50" s="1180">
        <v>496800</v>
      </c>
      <c r="L50" s="1180">
        <v>234000</v>
      </c>
      <c r="M50" s="1180">
        <v>174960</v>
      </c>
      <c r="N50" s="1180">
        <v>306720</v>
      </c>
      <c r="O50" s="1180">
        <v>196920</v>
      </c>
      <c r="P50" s="1180">
        <v>196920</v>
      </c>
      <c r="Q50" s="1180">
        <v>165960</v>
      </c>
      <c r="R50" s="1180">
        <v>72000</v>
      </c>
      <c r="S50" s="1180">
        <v>50400</v>
      </c>
      <c r="T50" s="1180">
        <v>17280</v>
      </c>
      <c r="U50" s="1185">
        <f t="shared" si="15"/>
        <v>3988080</v>
      </c>
      <c r="V50" s="62"/>
      <c r="W50" s="1193"/>
    </row>
    <row r="51" spans="1:23" ht="21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694800</v>
      </c>
      <c r="F51" s="1180">
        <v>183600</v>
      </c>
      <c r="G51" s="1180">
        <v>181080</v>
      </c>
      <c r="H51" s="1180">
        <v>4320</v>
      </c>
      <c r="I51" s="1180">
        <v>271080</v>
      </c>
      <c r="J51" s="1180">
        <v>145080</v>
      </c>
      <c r="K51" s="1180">
        <v>113400</v>
      </c>
      <c r="L51" s="1180">
        <v>109800</v>
      </c>
      <c r="M51" s="1180">
        <v>54000</v>
      </c>
      <c r="N51" s="1180">
        <v>38880</v>
      </c>
      <c r="O51" s="1180">
        <v>24120</v>
      </c>
      <c r="P51" s="1180"/>
      <c r="Q51" s="1180"/>
      <c r="R51" s="1180"/>
      <c r="S51" s="1180"/>
      <c r="T51" s="1180">
        <v>17280</v>
      </c>
      <c r="U51" s="1185">
        <f t="shared" si="15"/>
        <v>1837440</v>
      </c>
      <c r="V51" s="62"/>
      <c r="W51" s="1193"/>
    </row>
    <row r="52" spans="1:23" ht="21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622035.43000000005</v>
      </c>
      <c r="F52" s="1185">
        <f t="shared" ref="F52:T52" si="22">F53</f>
        <v>376995.43</v>
      </c>
      <c r="G52" s="1185">
        <f t="shared" si="22"/>
        <v>358686.86</v>
      </c>
      <c r="H52" s="1185">
        <f t="shared" si="22"/>
        <v>452535.9</v>
      </c>
      <c r="I52" s="1185">
        <f t="shared" si="22"/>
        <v>332297.09999999998</v>
      </c>
      <c r="J52" s="1185">
        <f t="shared" si="22"/>
        <v>309366.86</v>
      </c>
      <c r="K52" s="1185">
        <f t="shared" si="22"/>
        <v>551406.72</v>
      </c>
      <c r="L52" s="1185">
        <f t="shared" si="22"/>
        <v>243877.71</v>
      </c>
      <c r="M52" s="1185">
        <f t="shared" si="22"/>
        <v>179684.57</v>
      </c>
      <c r="N52" s="1185">
        <f t="shared" si="22"/>
        <v>311810.84000000003</v>
      </c>
      <c r="O52" s="1185">
        <f t="shared" si="22"/>
        <v>195249.9</v>
      </c>
      <c r="P52" s="1185">
        <f t="shared" si="22"/>
        <v>205038.85</v>
      </c>
      <c r="Q52" s="1185">
        <f t="shared" si="22"/>
        <v>160841.14000000001</v>
      </c>
      <c r="R52" s="1185">
        <f t="shared" si="22"/>
        <v>74762</v>
      </c>
      <c r="S52" s="1185">
        <f t="shared" si="22"/>
        <v>50083</v>
      </c>
      <c r="T52" s="1185">
        <f t="shared" si="22"/>
        <v>20856</v>
      </c>
      <c r="U52" s="1185">
        <f t="shared" si="15"/>
        <v>4445528.3099999996</v>
      </c>
      <c r="V52" s="62"/>
      <c r="W52" s="1193"/>
    </row>
    <row r="53" spans="1:23" ht="21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622035.43000000005</v>
      </c>
      <c r="F53" s="1180">
        <v>376995.43</v>
      </c>
      <c r="G53" s="1180">
        <v>358686.86</v>
      </c>
      <c r="H53" s="1180">
        <v>452535.9</v>
      </c>
      <c r="I53" s="1180">
        <v>332297.09999999998</v>
      </c>
      <c r="J53" s="1180">
        <v>309366.86</v>
      </c>
      <c r="K53" s="1180">
        <v>551406.72</v>
      </c>
      <c r="L53" s="1180">
        <v>243877.71</v>
      </c>
      <c r="M53" s="1180">
        <v>179684.57</v>
      </c>
      <c r="N53" s="1180">
        <v>311810.84000000003</v>
      </c>
      <c r="O53" s="1180">
        <v>195249.9</v>
      </c>
      <c r="P53" s="1180">
        <v>205038.85</v>
      </c>
      <c r="Q53" s="1180">
        <v>160841.14000000001</v>
      </c>
      <c r="R53" s="1180">
        <v>74762</v>
      </c>
      <c r="S53" s="1180">
        <v>50083</v>
      </c>
      <c r="T53" s="1180">
        <v>20856</v>
      </c>
      <c r="U53" s="1185">
        <f t="shared" si="15"/>
        <v>4445528.3099999996</v>
      </c>
      <c r="V53" s="62"/>
      <c r="W53" s="1193"/>
    </row>
    <row r="54" spans="1:23" ht="21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26999.66</v>
      </c>
      <c r="F54" s="1185">
        <f t="shared" ref="F54:T54" si="23">F55</f>
        <v>14911.16</v>
      </c>
      <c r="G54" s="1185">
        <f t="shared" si="23"/>
        <v>23201.3</v>
      </c>
      <c r="H54" s="1185">
        <f t="shared" si="23"/>
        <v>0</v>
      </c>
      <c r="I54" s="1185">
        <f t="shared" si="23"/>
        <v>20626.89</v>
      </c>
      <c r="J54" s="1185">
        <f t="shared" si="23"/>
        <v>5057.8</v>
      </c>
      <c r="K54" s="1185">
        <f t="shared" si="23"/>
        <v>11766.62</v>
      </c>
      <c r="L54" s="1185">
        <f t="shared" si="23"/>
        <v>21132.92</v>
      </c>
      <c r="M54" s="1185">
        <f t="shared" si="23"/>
        <v>9227.98</v>
      </c>
      <c r="N54" s="1185">
        <f t="shared" si="23"/>
        <v>0</v>
      </c>
      <c r="O54" s="1185">
        <f t="shared" si="23"/>
        <v>0</v>
      </c>
      <c r="P54" s="1185">
        <f t="shared" si="23"/>
        <v>0</v>
      </c>
      <c r="Q54" s="1185">
        <f t="shared" si="23"/>
        <v>0</v>
      </c>
      <c r="R54" s="1185">
        <f t="shared" si="23"/>
        <v>0</v>
      </c>
      <c r="S54" s="1185">
        <f t="shared" si="23"/>
        <v>0</v>
      </c>
      <c r="T54" s="1185">
        <f t="shared" si="23"/>
        <v>0</v>
      </c>
      <c r="U54" s="1185">
        <f t="shared" si="15"/>
        <v>132924.32999999999</v>
      </c>
      <c r="V54" s="62"/>
      <c r="W54" s="1193"/>
    </row>
    <row r="55" spans="1:23" ht="21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26999.66</v>
      </c>
      <c r="F55" s="1180">
        <v>14911.16</v>
      </c>
      <c r="G55" s="1180">
        <v>23201.3</v>
      </c>
      <c r="H55" s="1180"/>
      <c r="I55" s="1180">
        <v>20626.89</v>
      </c>
      <c r="J55" s="1180">
        <v>5057.8</v>
      </c>
      <c r="K55" s="1180">
        <v>11766.62</v>
      </c>
      <c r="L55" s="1180">
        <v>21132.92</v>
      </c>
      <c r="M55" s="1180">
        <v>9227.98</v>
      </c>
      <c r="N55" s="1180"/>
      <c r="O55" s="1180"/>
      <c r="P55" s="1180"/>
      <c r="Q55" s="1180"/>
      <c r="R55" s="1180"/>
      <c r="S55" s="1180"/>
      <c r="T55" s="1180"/>
      <c r="U55" s="1185">
        <f t="shared" si="15"/>
        <v>132924.32999999999</v>
      </c>
      <c r="V55" s="62"/>
      <c r="W55" s="1193"/>
    </row>
    <row r="56" spans="1:23" ht="21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67700</v>
      </c>
      <c r="F56" s="1185">
        <f t="shared" ref="F56:T56" si="24">F57+F59</f>
        <v>22000</v>
      </c>
      <c r="G56" s="1185">
        <f t="shared" si="24"/>
        <v>22200</v>
      </c>
      <c r="H56" s="1185">
        <f t="shared" si="24"/>
        <v>4650</v>
      </c>
      <c r="I56" s="1185">
        <f t="shared" si="24"/>
        <v>28400</v>
      </c>
      <c r="J56" s="1185">
        <f t="shared" si="24"/>
        <v>16600</v>
      </c>
      <c r="K56" s="1185">
        <f t="shared" si="24"/>
        <v>17600</v>
      </c>
      <c r="L56" s="1185">
        <f t="shared" si="24"/>
        <v>13450</v>
      </c>
      <c r="M56" s="1185">
        <f t="shared" si="24"/>
        <v>7900</v>
      </c>
      <c r="N56" s="1185">
        <f t="shared" si="24"/>
        <v>7400</v>
      </c>
      <c r="O56" s="1185">
        <f t="shared" si="24"/>
        <v>6300</v>
      </c>
      <c r="P56" s="1185">
        <f t="shared" si="24"/>
        <v>2950</v>
      </c>
      <c r="Q56" s="1185">
        <f t="shared" si="24"/>
        <v>3200</v>
      </c>
      <c r="R56" s="1185">
        <f t="shared" si="24"/>
        <v>2500</v>
      </c>
      <c r="S56" s="1185">
        <f t="shared" si="24"/>
        <v>1100</v>
      </c>
      <c r="T56" s="1185">
        <f t="shared" si="24"/>
        <v>1600</v>
      </c>
      <c r="U56" s="1185">
        <f t="shared" si="15"/>
        <v>225550</v>
      </c>
      <c r="V56" s="62"/>
      <c r="W56" s="1193"/>
    </row>
    <row r="57" spans="1:23" ht="21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64400</v>
      </c>
      <c r="F57" s="1185">
        <f t="shared" ref="F57:T57" si="25">F58</f>
        <v>17200</v>
      </c>
      <c r="G57" s="1185">
        <f t="shared" si="25"/>
        <v>16800</v>
      </c>
      <c r="H57" s="1185">
        <f t="shared" si="25"/>
        <v>400</v>
      </c>
      <c r="I57" s="1185">
        <f t="shared" si="25"/>
        <v>25200</v>
      </c>
      <c r="J57" s="1185">
        <f t="shared" si="25"/>
        <v>13600</v>
      </c>
      <c r="K57" s="1185">
        <f t="shared" si="25"/>
        <v>10800</v>
      </c>
      <c r="L57" s="1185">
        <f t="shared" si="25"/>
        <v>10400</v>
      </c>
      <c r="M57" s="1185">
        <f t="shared" si="25"/>
        <v>5200</v>
      </c>
      <c r="N57" s="1185">
        <f t="shared" si="25"/>
        <v>3600</v>
      </c>
      <c r="O57" s="1185">
        <f t="shared" si="25"/>
        <v>2400</v>
      </c>
      <c r="P57" s="1185">
        <f t="shared" si="25"/>
        <v>0</v>
      </c>
      <c r="Q57" s="1185">
        <f t="shared" si="25"/>
        <v>0</v>
      </c>
      <c r="R57" s="1185">
        <f t="shared" si="25"/>
        <v>0</v>
      </c>
      <c r="S57" s="1185">
        <f t="shared" si="25"/>
        <v>0</v>
      </c>
      <c r="T57" s="1185">
        <f t="shared" si="25"/>
        <v>1600</v>
      </c>
      <c r="U57" s="1185">
        <f t="shared" si="15"/>
        <v>171600</v>
      </c>
      <c r="V57" s="62"/>
      <c r="W57" s="1193"/>
    </row>
    <row r="58" spans="1:23" ht="21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64400</v>
      </c>
      <c r="F58" s="1180">
        <v>17200</v>
      </c>
      <c r="G58" s="1180">
        <v>16800</v>
      </c>
      <c r="H58" s="1180">
        <v>400</v>
      </c>
      <c r="I58" s="1180">
        <v>25200</v>
      </c>
      <c r="J58" s="1180">
        <v>13600</v>
      </c>
      <c r="K58" s="1180">
        <v>10800</v>
      </c>
      <c r="L58" s="1180">
        <v>10400</v>
      </c>
      <c r="M58" s="1180">
        <v>5200</v>
      </c>
      <c r="N58" s="1180">
        <v>3600</v>
      </c>
      <c r="O58" s="1180">
        <v>2400</v>
      </c>
      <c r="P58" s="1180"/>
      <c r="Q58" s="1180"/>
      <c r="R58" s="1180"/>
      <c r="S58" s="1180"/>
      <c r="T58" s="1180">
        <v>1600</v>
      </c>
      <c r="U58" s="1185">
        <f t="shared" si="15"/>
        <v>171600</v>
      </c>
      <c r="V58" s="62"/>
      <c r="W58" s="1193"/>
    </row>
    <row r="59" spans="1:23" ht="21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3300</v>
      </c>
      <c r="F59" s="1186">
        <v>4800</v>
      </c>
      <c r="G59" s="1186">
        <v>5400</v>
      </c>
      <c r="H59" s="1186">
        <v>4250</v>
      </c>
      <c r="I59" s="1186">
        <v>3200</v>
      </c>
      <c r="J59" s="1186">
        <v>3000</v>
      </c>
      <c r="K59" s="1186">
        <v>6800</v>
      </c>
      <c r="L59" s="1186">
        <v>3050</v>
      </c>
      <c r="M59" s="1186">
        <v>2700</v>
      </c>
      <c r="N59" s="1186">
        <v>3800</v>
      </c>
      <c r="O59" s="1186">
        <v>3900</v>
      </c>
      <c r="P59" s="1186">
        <v>2950</v>
      </c>
      <c r="Q59" s="1186">
        <v>3200</v>
      </c>
      <c r="R59" s="1186">
        <v>2500</v>
      </c>
      <c r="S59" s="1186">
        <v>1100</v>
      </c>
      <c r="T59" s="1186"/>
      <c r="U59" s="1185">
        <f t="shared" si="15"/>
        <v>53950</v>
      </c>
      <c r="V59" s="62"/>
      <c r="W59" s="1193"/>
    </row>
    <row r="60" spans="1:23" ht="21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20000</v>
      </c>
      <c r="F60" s="1185">
        <f t="shared" ref="F60:T60" si="26">F61</f>
        <v>0</v>
      </c>
      <c r="G60" s="1185">
        <f t="shared" si="26"/>
        <v>0</v>
      </c>
      <c r="H60" s="1185">
        <f t="shared" si="26"/>
        <v>32000</v>
      </c>
      <c r="I60" s="1185">
        <f t="shared" si="26"/>
        <v>0</v>
      </c>
      <c r="J60" s="1185">
        <f t="shared" si="26"/>
        <v>0</v>
      </c>
      <c r="K60" s="1185">
        <f t="shared" si="26"/>
        <v>10000</v>
      </c>
      <c r="L60" s="1185">
        <f t="shared" si="26"/>
        <v>0</v>
      </c>
      <c r="M60" s="1185">
        <f t="shared" si="26"/>
        <v>0</v>
      </c>
      <c r="N60" s="1185">
        <f t="shared" si="26"/>
        <v>24800</v>
      </c>
      <c r="O60" s="1185">
        <f t="shared" si="26"/>
        <v>3600</v>
      </c>
      <c r="P60" s="1185">
        <f t="shared" si="26"/>
        <v>3600</v>
      </c>
      <c r="Q60" s="1185">
        <f t="shared" si="26"/>
        <v>26200</v>
      </c>
      <c r="R60" s="1185">
        <f t="shared" si="26"/>
        <v>20400</v>
      </c>
      <c r="S60" s="1185">
        <f t="shared" si="26"/>
        <v>18000</v>
      </c>
      <c r="T60" s="1185">
        <f t="shared" si="26"/>
        <v>0</v>
      </c>
      <c r="U60" s="1185">
        <f t="shared" si="15"/>
        <v>158600</v>
      </c>
      <c r="V60" s="62"/>
      <c r="W60" s="1193"/>
    </row>
    <row r="61" spans="1:23" ht="21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>
        <v>20000</v>
      </c>
      <c r="F61" s="1179"/>
      <c r="G61" s="1179"/>
      <c r="H61" s="1179">
        <v>32000</v>
      </c>
      <c r="I61" s="1179"/>
      <c r="J61" s="1179"/>
      <c r="K61" s="1179">
        <v>10000</v>
      </c>
      <c r="L61" s="1179"/>
      <c r="M61" s="1179"/>
      <c r="N61" s="1179">
        <v>24800</v>
      </c>
      <c r="O61" s="1179">
        <v>3600</v>
      </c>
      <c r="P61" s="1179">
        <v>3600</v>
      </c>
      <c r="Q61" s="1179">
        <v>26200</v>
      </c>
      <c r="R61" s="1179">
        <v>20400</v>
      </c>
      <c r="S61" s="1179">
        <v>18000</v>
      </c>
      <c r="T61" s="1179"/>
      <c r="U61" s="1185">
        <f t="shared" si="15"/>
        <v>158600</v>
      </c>
      <c r="V61" s="1187"/>
      <c r="W61" s="1193"/>
    </row>
    <row r="62" spans="1:23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5">
        <f t="shared" si="15"/>
        <v>0</v>
      </c>
      <c r="V62" s="1189"/>
      <c r="W62" s="1193"/>
    </row>
    <row r="63" spans="1:23" ht="21.9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117</v>
      </c>
      <c r="F63" s="1198">
        <f t="shared" ref="F63:T63" si="27">F64+F65+F66+F67</f>
        <v>71</v>
      </c>
      <c r="G63" s="1198">
        <f t="shared" si="27"/>
        <v>71</v>
      </c>
      <c r="H63" s="1198">
        <f t="shared" si="27"/>
        <v>95</v>
      </c>
      <c r="I63" s="1198">
        <f t="shared" si="27"/>
        <v>66</v>
      </c>
      <c r="J63" s="1198">
        <f t="shared" si="27"/>
        <v>61</v>
      </c>
      <c r="K63" s="1198">
        <f t="shared" si="27"/>
        <v>115</v>
      </c>
      <c r="L63" s="1198">
        <f t="shared" si="27"/>
        <v>53</v>
      </c>
      <c r="M63" s="1198">
        <f t="shared" si="27"/>
        <v>40</v>
      </c>
      <c r="N63" s="1198">
        <f t="shared" si="27"/>
        <v>71</v>
      </c>
      <c r="O63" s="1198">
        <f t="shared" si="27"/>
        <v>44</v>
      </c>
      <c r="P63" s="1198">
        <f t="shared" si="27"/>
        <v>45</v>
      </c>
      <c r="Q63" s="1198">
        <f t="shared" si="27"/>
        <v>39</v>
      </c>
      <c r="R63" s="1198">
        <f t="shared" si="27"/>
        <v>18</v>
      </c>
      <c r="S63" s="1198">
        <f t="shared" si="27"/>
        <v>14</v>
      </c>
      <c r="T63" s="1198">
        <f t="shared" si="27"/>
        <v>4</v>
      </c>
      <c r="U63" s="1198">
        <f t="shared" si="15"/>
        <v>924</v>
      </c>
      <c r="V63" s="62"/>
      <c r="W63" s="1193"/>
    </row>
    <row r="64" spans="1:23" ht="21.95" customHeight="1">
      <c r="A64" s="66" t="s">
        <v>148</v>
      </c>
      <c r="B64" s="1199" t="s">
        <v>149</v>
      </c>
      <c r="C64" s="1199"/>
      <c r="D64" s="62"/>
      <c r="E64" s="1190">
        <v>55</v>
      </c>
      <c r="F64" s="1190">
        <v>71</v>
      </c>
      <c r="G64" s="1190">
        <v>71</v>
      </c>
      <c r="H64" s="1190">
        <v>95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8">
        <f t="shared" si="15"/>
        <v>292</v>
      </c>
      <c r="V64" s="62"/>
      <c r="W64" s="1193"/>
    </row>
    <row r="65" spans="1:23" ht="21.95" customHeight="1">
      <c r="A65" s="66" t="s">
        <v>150</v>
      </c>
      <c r="B65" s="1199" t="s">
        <v>151</v>
      </c>
      <c r="C65" s="1199"/>
      <c r="D65" s="62"/>
      <c r="E65" s="1190">
        <v>62</v>
      </c>
      <c r="F65" s="1190"/>
      <c r="G65" s="1190"/>
      <c r="H65" s="1190"/>
      <c r="I65" s="1190">
        <v>66</v>
      </c>
      <c r="J65" s="1190">
        <v>61</v>
      </c>
      <c r="K65" s="1190">
        <v>115</v>
      </c>
      <c r="L65" s="1190"/>
      <c r="M65" s="1190"/>
      <c r="N65" s="1190"/>
      <c r="O65" s="1190"/>
      <c r="P65" s="1190"/>
      <c r="Q65" s="1190"/>
      <c r="R65" s="1190"/>
      <c r="S65" s="1190"/>
      <c r="T65" s="1190"/>
      <c r="U65" s="1198">
        <f t="shared" si="15"/>
        <v>304</v>
      </c>
      <c r="V65" s="62"/>
      <c r="W65" s="1193"/>
    </row>
    <row r="66" spans="1:23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>
        <v>53</v>
      </c>
      <c r="M66" s="1190">
        <v>40</v>
      </c>
      <c r="N66" s="1190">
        <v>71</v>
      </c>
      <c r="O66" s="1190">
        <v>44</v>
      </c>
      <c r="P66" s="1190">
        <v>45</v>
      </c>
      <c r="Q66" s="1190">
        <v>39</v>
      </c>
      <c r="R66" s="1190">
        <v>18</v>
      </c>
      <c r="S66" s="1190">
        <v>14</v>
      </c>
      <c r="T66" s="1190"/>
      <c r="U66" s="1198">
        <f t="shared" si="15"/>
        <v>324</v>
      </c>
      <c r="V66" s="62"/>
      <c r="W66" s="1193"/>
    </row>
    <row r="67" spans="1:23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/>
      <c r="T67" s="1190">
        <v>4</v>
      </c>
      <c r="U67" s="1198">
        <f t="shared" si="15"/>
        <v>4</v>
      </c>
      <c r="V67" s="62"/>
      <c r="W67" s="1193"/>
    </row>
    <row r="68" spans="1:23" ht="21.9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1436</v>
      </c>
      <c r="F68" s="1198">
        <f t="shared" ref="F68:T68" si="28">F69+F70+F71+F72</f>
        <v>1080</v>
      </c>
      <c r="G68" s="1198">
        <f t="shared" si="28"/>
        <v>1127</v>
      </c>
      <c r="H68" s="1198">
        <f t="shared" si="28"/>
        <v>1505</v>
      </c>
      <c r="I68" s="1198">
        <f t="shared" si="28"/>
        <v>998</v>
      </c>
      <c r="J68" s="1198">
        <f t="shared" si="28"/>
        <v>766</v>
      </c>
      <c r="K68" s="1198">
        <f t="shared" si="28"/>
        <v>1824</v>
      </c>
      <c r="L68" s="1198">
        <f t="shared" si="28"/>
        <v>477</v>
      </c>
      <c r="M68" s="1198">
        <f t="shared" si="28"/>
        <v>424</v>
      </c>
      <c r="N68" s="1198">
        <f t="shared" si="28"/>
        <v>828</v>
      </c>
      <c r="O68" s="1198">
        <f t="shared" si="28"/>
        <v>421</v>
      </c>
      <c r="P68" s="1198">
        <f t="shared" si="28"/>
        <v>453</v>
      </c>
      <c r="Q68" s="1198">
        <f t="shared" si="28"/>
        <v>474</v>
      </c>
      <c r="R68" s="1198">
        <f t="shared" si="28"/>
        <v>229</v>
      </c>
      <c r="S68" s="1198">
        <f t="shared" si="28"/>
        <v>127</v>
      </c>
      <c r="T68" s="1198">
        <f t="shared" si="28"/>
        <v>0</v>
      </c>
      <c r="U68" s="1198">
        <f t="shared" si="15"/>
        <v>12169</v>
      </c>
      <c r="V68" s="62"/>
      <c r="W68" s="1193"/>
    </row>
    <row r="69" spans="1:23" ht="21.95" customHeight="1">
      <c r="A69" s="66" t="s">
        <v>158</v>
      </c>
      <c r="B69" s="1199" t="s">
        <v>149</v>
      </c>
      <c r="C69" s="1199"/>
      <c r="D69" s="62"/>
      <c r="E69" s="1190">
        <v>637</v>
      </c>
      <c r="F69" s="1190">
        <v>1080</v>
      </c>
      <c r="G69" s="1190">
        <v>1127</v>
      </c>
      <c r="H69" s="1190">
        <v>1505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8">
        <f t="shared" ref="U69:U75" si="29">SUM(E69:T69)</f>
        <v>4349</v>
      </c>
      <c r="V69" s="62"/>
      <c r="W69" s="1193"/>
    </row>
    <row r="70" spans="1:23" ht="21.95" customHeight="1">
      <c r="A70" s="66" t="s">
        <v>159</v>
      </c>
      <c r="B70" s="1199" t="s">
        <v>151</v>
      </c>
      <c r="C70" s="1199"/>
      <c r="D70" s="62"/>
      <c r="E70" s="1190">
        <v>799</v>
      </c>
      <c r="F70" s="1190"/>
      <c r="G70" s="1190"/>
      <c r="H70" s="1190"/>
      <c r="I70" s="1190">
        <v>998</v>
      </c>
      <c r="J70" s="1190">
        <v>766</v>
      </c>
      <c r="K70" s="1190">
        <v>1824</v>
      </c>
      <c r="L70" s="1190"/>
      <c r="M70" s="1190"/>
      <c r="N70" s="1190"/>
      <c r="O70" s="1190"/>
      <c r="P70" s="1190"/>
      <c r="Q70" s="1190"/>
      <c r="R70" s="1190"/>
      <c r="S70" s="1190"/>
      <c r="T70" s="1190"/>
      <c r="U70" s="1198">
        <f t="shared" si="29"/>
        <v>4387</v>
      </c>
      <c r="V70" s="62"/>
      <c r="W70" s="1193"/>
    </row>
    <row r="71" spans="1:23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>
        <v>477</v>
      </c>
      <c r="M71" s="1190">
        <v>424</v>
      </c>
      <c r="N71" s="1190">
        <v>828</v>
      </c>
      <c r="O71" s="1190">
        <v>421</v>
      </c>
      <c r="P71" s="1190">
        <v>453</v>
      </c>
      <c r="Q71" s="1190">
        <v>474</v>
      </c>
      <c r="R71" s="1190">
        <v>229</v>
      </c>
      <c r="S71" s="1190">
        <v>127</v>
      </c>
      <c r="T71" s="1190"/>
      <c r="U71" s="1198">
        <f t="shared" si="29"/>
        <v>3433</v>
      </c>
      <c r="V71" s="62"/>
      <c r="W71" s="1193"/>
    </row>
    <row r="72" spans="1:23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8">
        <f t="shared" si="29"/>
        <v>0</v>
      </c>
      <c r="V72" s="62"/>
      <c r="W72" s="1193"/>
    </row>
    <row r="73" spans="1:23" ht="21.95" customHeight="1">
      <c r="A73" s="66" t="s">
        <v>162</v>
      </c>
      <c r="B73" s="61" t="s">
        <v>3122</v>
      </c>
      <c r="C73" s="61"/>
      <c r="D73" s="62"/>
      <c r="E73" s="1190">
        <v>163</v>
      </c>
      <c r="F73" s="1190">
        <v>42</v>
      </c>
      <c r="G73" s="1190">
        <v>42</v>
      </c>
      <c r="H73" s="1190">
        <v>1</v>
      </c>
      <c r="I73" s="1190">
        <v>62</v>
      </c>
      <c r="J73" s="1190">
        <v>34</v>
      </c>
      <c r="K73" s="1190">
        <v>26</v>
      </c>
      <c r="L73" s="1190">
        <v>26</v>
      </c>
      <c r="M73" s="1190">
        <v>13</v>
      </c>
      <c r="N73" s="1190">
        <v>9</v>
      </c>
      <c r="O73" s="1190">
        <v>6</v>
      </c>
      <c r="P73" s="1190"/>
      <c r="Q73" s="1190"/>
      <c r="R73" s="1190"/>
      <c r="S73" s="1190"/>
      <c r="T73" s="1190">
        <v>4</v>
      </c>
      <c r="U73" s="1198">
        <f t="shared" si="29"/>
        <v>428</v>
      </c>
      <c r="V73" s="62"/>
      <c r="W73" s="1193"/>
    </row>
    <row r="74" spans="1:23" ht="21.95" customHeight="1">
      <c r="A74" s="66" t="s">
        <v>3011</v>
      </c>
      <c r="B74" s="1199" t="s">
        <v>3123</v>
      </c>
      <c r="C74" s="1199"/>
      <c r="D74" s="67"/>
      <c r="E74" s="1180">
        <v>24607.37</v>
      </c>
      <c r="F74" s="1180">
        <v>12319.48</v>
      </c>
      <c r="G74" s="1180">
        <v>22977.97</v>
      </c>
      <c r="H74" s="1180">
        <v>17286.64</v>
      </c>
      <c r="I74" s="1180">
        <v>10982.08</v>
      </c>
      <c r="J74" s="1180">
        <v>6545.95</v>
      </c>
      <c r="K74" s="1180">
        <v>20689.72</v>
      </c>
      <c r="L74" s="1180">
        <v>9404.5</v>
      </c>
      <c r="M74" s="1180">
        <v>4648.8900000000003</v>
      </c>
      <c r="N74" s="1180">
        <v>15187.41</v>
      </c>
      <c r="O74" s="1180">
        <v>8599.06</v>
      </c>
      <c r="P74" s="1180">
        <v>11829.41</v>
      </c>
      <c r="Q74" s="1180">
        <v>7947.39</v>
      </c>
      <c r="R74" s="1180">
        <v>5724.12</v>
      </c>
      <c r="S74" s="1180">
        <v>7630</v>
      </c>
      <c r="T74" s="1180"/>
      <c r="U74" s="1185">
        <f t="shared" si="29"/>
        <v>186379.99</v>
      </c>
      <c r="V74" s="62"/>
      <c r="W74" s="1193"/>
    </row>
    <row r="75" spans="1:23" ht="21.95" customHeight="1">
      <c r="A75" s="66" t="s">
        <v>3012</v>
      </c>
      <c r="B75" s="1199" t="s">
        <v>3124</v>
      </c>
      <c r="C75" s="1199"/>
      <c r="D75" s="67"/>
      <c r="E75" s="1180">
        <v>13238</v>
      </c>
      <c r="F75" s="1180">
        <v>3530</v>
      </c>
      <c r="G75" s="1180">
        <v>9560.9500000000007</v>
      </c>
      <c r="H75" s="1180">
        <v>8804.2000000000007</v>
      </c>
      <c r="I75" s="1180">
        <v>9586</v>
      </c>
      <c r="J75" s="1180">
        <v>3899</v>
      </c>
      <c r="K75" s="1180">
        <v>12205</v>
      </c>
      <c r="L75" s="1180">
        <v>4143</v>
      </c>
      <c r="M75" s="1180">
        <v>2486</v>
      </c>
      <c r="N75" s="1180">
        <v>5315.35</v>
      </c>
      <c r="O75" s="1180">
        <v>3543</v>
      </c>
      <c r="P75" s="1180">
        <v>4348.7</v>
      </c>
      <c r="Q75" s="1180">
        <v>5677.6</v>
      </c>
      <c r="R75" s="1180">
        <v>1964.4</v>
      </c>
      <c r="S75" s="1180">
        <v>2679.5</v>
      </c>
      <c r="T75" s="1180"/>
      <c r="U75" s="1185">
        <f t="shared" si="29"/>
        <v>90980.7</v>
      </c>
      <c r="V75" s="62"/>
      <c r="W75" s="1193"/>
    </row>
    <row r="81" spans="5:20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</sheetData>
  <protectedRanges>
    <protectedRange password="E9C1" sqref="D31 C32 A6:D7 B8:D30 Q3:R4 U6:V75 B33:D75 A8:A75 A3:P5 Q5:S5 T3:V5" name="区域1_1"/>
    <protectedRange password="E9C1" sqref="B31:C31 B32" name="区域1_1_1"/>
    <protectedRange password="E9C1" sqref="D32" name="区域1_2"/>
  </protectedRanges>
  <mergeCells count="7">
    <mergeCell ref="A1:V1"/>
    <mergeCell ref="A3:A4"/>
    <mergeCell ref="B3:B4"/>
    <mergeCell ref="C3:C4"/>
    <mergeCell ref="D3:D4"/>
    <mergeCell ref="U3:U4"/>
    <mergeCell ref="V3:V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T81"/>
  <sheetViews>
    <sheetView topLeftCell="B1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J14" sqref="J14"/>
    </sheetView>
  </sheetViews>
  <sheetFormatPr defaultRowHeight="11.25"/>
  <cols>
    <col min="1" max="1" width="5.75" style="21" hidden="1" customWidth="1"/>
    <col min="2" max="2" width="22.75" style="3" customWidth="1"/>
    <col min="3" max="3" width="0" style="3" hidden="1" customWidth="1"/>
    <col min="4" max="4" width="0" style="1178" hidden="1" customWidth="1"/>
    <col min="5" max="5" width="13.125" style="3" customWidth="1"/>
    <col min="6" max="6" width="13.375" style="3" customWidth="1"/>
    <col min="7" max="7" width="12.125" style="3" customWidth="1"/>
    <col min="8" max="8" width="12.375" style="3" customWidth="1"/>
    <col min="9" max="9" width="11.5" style="3" customWidth="1"/>
    <col min="10" max="10" width="11.875" style="3" customWidth="1"/>
    <col min="11" max="11" width="11.5" style="3" customWidth="1"/>
    <col min="12" max="12" width="11.25" style="3" customWidth="1"/>
    <col min="13" max="13" width="11.125" style="3" customWidth="1"/>
    <col min="14" max="14" width="12.25" style="3" customWidth="1"/>
    <col min="15" max="15" width="12" style="3" customWidth="1"/>
    <col min="16" max="16" width="11.625" style="3" customWidth="1"/>
    <col min="17" max="17" width="12.5" style="3" customWidth="1"/>
    <col min="18" max="18" width="10.625" style="3" hidden="1" customWidth="1"/>
    <col min="19" max="19" width="9" style="3"/>
    <col min="20" max="20" width="9.75" style="3" bestFit="1" customWidth="1"/>
    <col min="21" max="16384" width="9" style="3"/>
  </cols>
  <sheetData>
    <row r="1" spans="1:20" ht="24.95" customHeight="1">
      <c r="A1" s="1362" t="s">
        <v>3164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</row>
    <row r="2" spans="1:20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257" t="s">
        <v>3247</v>
      </c>
      <c r="R2" s="1177"/>
    </row>
    <row r="3" spans="1:20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3165</v>
      </c>
      <c r="F3" s="1191" t="s">
        <v>3166</v>
      </c>
      <c r="G3" s="1191" t="s">
        <v>3167</v>
      </c>
      <c r="H3" s="1191" t="s">
        <v>3168</v>
      </c>
      <c r="I3" s="1191" t="s">
        <v>3169</v>
      </c>
      <c r="J3" s="1191" t="s">
        <v>3170</v>
      </c>
      <c r="K3" s="1191" t="s">
        <v>3171</v>
      </c>
      <c r="L3" s="1191" t="s">
        <v>3172</v>
      </c>
      <c r="M3" s="1191" t="s">
        <v>3173</v>
      </c>
      <c r="N3" s="1191" t="s">
        <v>3174</v>
      </c>
      <c r="O3" s="1191" t="s">
        <v>3175</v>
      </c>
      <c r="P3" s="1191" t="s">
        <v>3176</v>
      </c>
      <c r="Q3" s="1611" t="s">
        <v>17</v>
      </c>
      <c r="R3" s="1611" t="s">
        <v>18</v>
      </c>
    </row>
    <row r="4" spans="1:20" ht="24.95" customHeight="1">
      <c r="A4" s="1610"/>
      <c r="B4" s="1610"/>
      <c r="C4" s="1610"/>
      <c r="D4" s="1610"/>
      <c r="E4" s="1191" t="s">
        <v>3083</v>
      </c>
      <c r="F4" s="1191" t="s">
        <v>3083</v>
      </c>
      <c r="G4" s="1191" t="s">
        <v>3177</v>
      </c>
      <c r="H4" s="1191" t="s">
        <v>3096</v>
      </c>
      <c r="I4" s="1191" t="s">
        <v>3081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3081</v>
      </c>
      <c r="P4" s="1191" t="s">
        <v>3082</v>
      </c>
      <c r="Q4" s="1612"/>
      <c r="R4" s="1612"/>
    </row>
    <row r="5" spans="1:20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P5" si="0">E6+E33+E40</f>
        <v>42061468.159999996</v>
      </c>
      <c r="F5" s="1185">
        <f t="shared" si="0"/>
        <v>28942521.139999997</v>
      </c>
      <c r="G5" s="1185">
        <f t="shared" si="0"/>
        <v>22089864.809999999</v>
      </c>
      <c r="H5" s="1185">
        <f t="shared" si="0"/>
        <v>41191025.350000001</v>
      </c>
      <c r="I5" s="1185">
        <f t="shared" si="0"/>
        <v>5358434.7200000007</v>
      </c>
      <c r="J5" s="1185">
        <f t="shared" si="0"/>
        <v>5823801.1299999999</v>
      </c>
      <c r="K5" s="1185">
        <f t="shared" si="0"/>
        <v>4913161.38</v>
      </c>
      <c r="L5" s="1185">
        <f t="shared" si="0"/>
        <v>5437945.0800000001</v>
      </c>
      <c r="M5" s="1185">
        <f t="shared" si="0"/>
        <v>6752754.9800000004</v>
      </c>
      <c r="N5" s="1185">
        <f t="shared" si="0"/>
        <v>4910200.76</v>
      </c>
      <c r="O5" s="1185">
        <f t="shared" si="0"/>
        <v>9466068.379999999</v>
      </c>
      <c r="P5" s="1185">
        <f t="shared" si="0"/>
        <v>2475847.44</v>
      </c>
      <c r="Q5" s="1201">
        <f t="shared" ref="Q5:Q68" si="1">SUM(E5:P5)</f>
        <v>179423093.32999998</v>
      </c>
      <c r="R5" s="62"/>
    </row>
    <row r="6" spans="1:20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29850041.259999998</v>
      </c>
      <c r="F6" s="1185">
        <f t="shared" ref="F6:P6" si="2">F7+F10+F14+F17+F22+F27+F29+F31+F32</f>
        <v>20524722.339999996</v>
      </c>
      <c r="G6" s="1185">
        <f t="shared" si="2"/>
        <v>15459292.059999999</v>
      </c>
      <c r="H6" s="1185">
        <f t="shared" si="2"/>
        <v>29916230.23</v>
      </c>
      <c r="I6" s="1185">
        <f t="shared" si="2"/>
        <v>4124342.1000000006</v>
      </c>
      <c r="J6" s="1185">
        <f t="shared" si="2"/>
        <v>4225786.04</v>
      </c>
      <c r="K6" s="1185">
        <f t="shared" si="2"/>
        <v>3661441.46</v>
      </c>
      <c r="L6" s="1185">
        <f t="shared" si="2"/>
        <v>3893708.2</v>
      </c>
      <c r="M6" s="1185">
        <f t="shared" si="2"/>
        <v>5212276.9800000004</v>
      </c>
      <c r="N6" s="1185">
        <f t="shared" si="2"/>
        <v>3679774.06</v>
      </c>
      <c r="O6" s="1185">
        <f t="shared" si="2"/>
        <v>6923418.96</v>
      </c>
      <c r="P6" s="1185">
        <f t="shared" si="2"/>
        <v>1830303.44</v>
      </c>
      <c r="Q6" s="1201">
        <f t="shared" si="1"/>
        <v>129301337.13</v>
      </c>
      <c r="R6" s="62"/>
    </row>
    <row r="7" spans="1:20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10178491</v>
      </c>
      <c r="F7" s="1185">
        <f t="shared" ref="F7:N7" si="3">F8+F9</f>
        <v>5521244.3600000003</v>
      </c>
      <c r="G7" s="1185">
        <f t="shared" si="3"/>
        <v>4013113</v>
      </c>
      <c r="H7" s="1185">
        <f t="shared" si="3"/>
        <v>8769976</v>
      </c>
      <c r="I7" s="1185">
        <f t="shared" si="3"/>
        <v>1268778.1000000001</v>
      </c>
      <c r="J7" s="1185">
        <f t="shared" si="3"/>
        <v>1243142</v>
      </c>
      <c r="K7" s="1185">
        <f t="shared" si="3"/>
        <v>1096068</v>
      </c>
      <c r="L7" s="1185">
        <f t="shared" si="3"/>
        <v>1193097</v>
      </c>
      <c r="M7" s="1185">
        <f t="shared" si="3"/>
        <v>1831521</v>
      </c>
      <c r="N7" s="1185">
        <f t="shared" si="3"/>
        <v>1203049</v>
      </c>
      <c r="O7" s="1185">
        <f>O8+O9</f>
        <v>2352770</v>
      </c>
      <c r="P7" s="1185">
        <f>P8+P9</f>
        <v>640019</v>
      </c>
      <c r="Q7" s="1201">
        <f t="shared" si="1"/>
        <v>39311268.460000001</v>
      </c>
      <c r="R7" s="62"/>
    </row>
    <row r="8" spans="1:20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4722096</v>
      </c>
      <c r="F8" s="1180">
        <v>3471240</v>
      </c>
      <c r="G8" s="1180">
        <v>2546342</v>
      </c>
      <c r="H8" s="1180">
        <v>5022521</v>
      </c>
      <c r="I8" s="1180">
        <v>762951.6</v>
      </c>
      <c r="J8" s="1180">
        <v>813299</v>
      </c>
      <c r="K8" s="1180">
        <v>680212</v>
      </c>
      <c r="L8" s="1180">
        <v>714318</v>
      </c>
      <c r="M8" s="1180">
        <f>679572+69289*3</f>
        <v>887439</v>
      </c>
      <c r="N8" s="1180">
        <v>692543</v>
      </c>
      <c r="O8" s="1180">
        <v>1431440</v>
      </c>
      <c r="P8" s="1180">
        <v>311648</v>
      </c>
      <c r="Q8" s="1201">
        <f t="shared" si="1"/>
        <v>22056049.600000001</v>
      </c>
      <c r="R8" s="1192"/>
    </row>
    <row r="9" spans="1:20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5456395</v>
      </c>
      <c r="F9" s="1180">
        <v>2050004.36</v>
      </c>
      <c r="G9" s="1180">
        <v>1466771</v>
      </c>
      <c r="H9" s="1180">
        <v>3747455</v>
      </c>
      <c r="I9" s="1180">
        <v>505826.5</v>
      </c>
      <c r="J9" s="1180">
        <v>429843</v>
      </c>
      <c r="K9" s="1180">
        <v>415856</v>
      </c>
      <c r="L9" s="1180">
        <v>478779</v>
      </c>
      <c r="M9" s="1180">
        <f>725775+72769*3</f>
        <v>944082</v>
      </c>
      <c r="N9" s="1180">
        <v>510506</v>
      </c>
      <c r="O9" s="1180">
        <v>921330</v>
      </c>
      <c r="P9" s="1180">
        <v>328371</v>
      </c>
      <c r="Q9" s="1201">
        <f t="shared" si="1"/>
        <v>17255218.859999999</v>
      </c>
      <c r="R9" s="62"/>
    </row>
    <row r="10" spans="1:20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762819</v>
      </c>
      <c r="F10" s="1185">
        <f t="shared" ref="F10:P10" si="4">F11+F12</f>
        <v>591068</v>
      </c>
      <c r="G10" s="1185">
        <f t="shared" si="4"/>
        <v>432773</v>
      </c>
      <c r="H10" s="1185">
        <f t="shared" si="4"/>
        <v>878754</v>
      </c>
      <c r="I10" s="1185">
        <f t="shared" si="4"/>
        <v>124953</v>
      </c>
      <c r="J10" s="1185">
        <f t="shared" si="4"/>
        <v>146205</v>
      </c>
      <c r="K10" s="1185">
        <f t="shared" si="4"/>
        <v>128724</v>
      </c>
      <c r="L10" s="1185">
        <f t="shared" si="4"/>
        <v>123880</v>
      </c>
      <c r="M10" s="1185">
        <f t="shared" si="4"/>
        <v>151738</v>
      </c>
      <c r="N10" s="1185">
        <f t="shared" si="4"/>
        <v>116514</v>
      </c>
      <c r="O10" s="1185">
        <f t="shared" si="4"/>
        <v>242817</v>
      </c>
      <c r="P10" s="1185">
        <f t="shared" si="4"/>
        <v>53556</v>
      </c>
      <c r="Q10" s="1201">
        <f t="shared" si="1"/>
        <v>3753801</v>
      </c>
      <c r="R10" s="62"/>
    </row>
    <row r="11" spans="1:20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14526</v>
      </c>
      <c r="F11" s="1180">
        <v>4108</v>
      </c>
      <c r="G11" s="1180">
        <v>3333</v>
      </c>
      <c r="H11" s="1180">
        <v>9754</v>
      </c>
      <c r="I11" s="1180">
        <v>1393</v>
      </c>
      <c r="J11" s="1180">
        <v>805</v>
      </c>
      <c r="K11" s="1180">
        <v>7284</v>
      </c>
      <c r="L11" s="1180">
        <v>1380</v>
      </c>
      <c r="M11" s="1180">
        <f>2226+244*3</f>
        <v>2958</v>
      </c>
      <c r="N11" s="1180">
        <v>1674</v>
      </c>
      <c r="O11" s="1180">
        <v>2857</v>
      </c>
      <c r="P11" s="1180">
        <v>756</v>
      </c>
      <c r="Q11" s="1201">
        <f t="shared" si="1"/>
        <v>50828</v>
      </c>
      <c r="R11" s="62"/>
    </row>
    <row r="12" spans="1:20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748293</v>
      </c>
      <c r="F12" s="1185">
        <f t="shared" ref="F12:P12" si="5">F13</f>
        <v>586960</v>
      </c>
      <c r="G12" s="1185">
        <f t="shared" si="5"/>
        <v>429440</v>
      </c>
      <c r="H12" s="1185">
        <f t="shared" si="5"/>
        <v>869000</v>
      </c>
      <c r="I12" s="1185">
        <f t="shared" si="5"/>
        <v>123560</v>
      </c>
      <c r="J12" s="1185">
        <f t="shared" si="5"/>
        <v>145400</v>
      </c>
      <c r="K12" s="1185">
        <f t="shared" si="5"/>
        <v>121440</v>
      </c>
      <c r="L12" s="1185">
        <f t="shared" si="5"/>
        <v>122500</v>
      </c>
      <c r="M12" s="1185">
        <f t="shared" si="5"/>
        <v>148780</v>
      </c>
      <c r="N12" s="1185">
        <f t="shared" si="5"/>
        <v>114840</v>
      </c>
      <c r="O12" s="1185">
        <f t="shared" si="5"/>
        <v>239960</v>
      </c>
      <c r="P12" s="1185">
        <f t="shared" si="5"/>
        <v>52800</v>
      </c>
      <c r="Q12" s="1201">
        <f t="shared" si="1"/>
        <v>3702973</v>
      </c>
      <c r="R12" s="62"/>
    </row>
    <row r="13" spans="1:20" ht="15.9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748293</v>
      </c>
      <c r="F13" s="1180">
        <v>586960</v>
      </c>
      <c r="G13" s="1180">
        <v>429440</v>
      </c>
      <c r="H13" s="1180">
        <v>869000</v>
      </c>
      <c r="I13" s="1180">
        <v>123560</v>
      </c>
      <c r="J13" s="1180">
        <v>145400</v>
      </c>
      <c r="K13" s="1180">
        <v>121440</v>
      </c>
      <c r="L13" s="1180">
        <v>122500</v>
      </c>
      <c r="M13" s="1180">
        <f>111820+12320*3</f>
        <v>148780</v>
      </c>
      <c r="N13" s="1180">
        <v>114840</v>
      </c>
      <c r="O13" s="1180">
        <v>239960</v>
      </c>
      <c r="P13" s="1180">
        <v>52800</v>
      </c>
      <c r="Q13" s="1201">
        <f t="shared" si="1"/>
        <v>3702973</v>
      </c>
      <c r="R13" s="62"/>
    </row>
    <row r="14" spans="1:20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321830.36</v>
      </c>
      <c r="F14" s="1185">
        <f t="shared" ref="F14:P14" si="6">F15+F16</f>
        <v>214183.82</v>
      </c>
      <c r="G14" s="1185">
        <f t="shared" si="6"/>
        <v>147753.49999999994</v>
      </c>
      <c r="H14" s="1185">
        <f t="shared" si="6"/>
        <v>330100</v>
      </c>
      <c r="I14" s="1185">
        <f t="shared" si="6"/>
        <v>39426.939999999995</v>
      </c>
      <c r="J14" s="1185">
        <f t="shared" si="6"/>
        <v>44085.21</v>
      </c>
      <c r="K14" s="1185">
        <f t="shared" si="6"/>
        <v>34474.03</v>
      </c>
      <c r="L14" s="1185">
        <f t="shared" si="6"/>
        <v>42685.4</v>
      </c>
      <c r="M14" s="1185">
        <f t="shared" si="6"/>
        <v>59986.979999999996</v>
      </c>
      <c r="N14" s="1185">
        <f t="shared" si="6"/>
        <v>40892.06</v>
      </c>
      <c r="O14" s="1185">
        <f t="shared" si="6"/>
        <v>73240.47</v>
      </c>
      <c r="P14" s="1185">
        <f t="shared" si="6"/>
        <v>21014.97</v>
      </c>
      <c r="Q14" s="1201">
        <f t="shared" si="1"/>
        <v>1369673.7399999998</v>
      </c>
      <c r="R14" s="62"/>
    </row>
    <row r="15" spans="1:20" ht="15.9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131952.07</v>
      </c>
      <c r="F15" s="1180">
        <v>71275.69</v>
      </c>
      <c r="G15" s="1180">
        <v>41725.310000000012</v>
      </c>
      <c r="H15" s="1180">
        <v>127486.97</v>
      </c>
      <c r="I15" s="1180">
        <v>11128.5</v>
      </c>
      <c r="J15" s="1180">
        <v>15197.77</v>
      </c>
      <c r="K15" s="1180">
        <v>9733.89</v>
      </c>
      <c r="L15" s="1180">
        <v>16626.72</v>
      </c>
      <c r="M15" s="1180">
        <f>3121.2*4+13418.68</f>
        <v>25903.48</v>
      </c>
      <c r="N15" s="1180">
        <v>17249.560000000001</v>
      </c>
      <c r="O15" s="1180">
        <v>28289.42</v>
      </c>
      <c r="P15" s="1180">
        <v>8110.05</v>
      </c>
      <c r="Q15" s="1201">
        <f t="shared" si="1"/>
        <v>504679.43</v>
      </c>
      <c r="R15" s="62"/>
      <c r="T15" s="23"/>
    </row>
    <row r="16" spans="1:20" ht="15.9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189878.29</v>
      </c>
      <c r="F16" s="1180">
        <v>142908.13</v>
      </c>
      <c r="G16" s="1180">
        <v>106028.18999999994</v>
      </c>
      <c r="H16" s="1180">
        <v>202613.03</v>
      </c>
      <c r="I16" s="1180">
        <v>28298.439999999995</v>
      </c>
      <c r="J16" s="1180">
        <v>28887.439999999999</v>
      </c>
      <c r="K16" s="1180">
        <v>24740.14</v>
      </c>
      <c r="L16" s="1180">
        <v>26058.68</v>
      </c>
      <c r="M16" s="1180">
        <f>2601*4+23679.5</f>
        <v>34083.5</v>
      </c>
      <c r="N16" s="1180">
        <v>23642.5</v>
      </c>
      <c r="O16" s="1180">
        <v>44951.05</v>
      </c>
      <c r="P16" s="1180">
        <v>12904.92</v>
      </c>
      <c r="Q16" s="1201">
        <f t="shared" si="1"/>
        <v>864994.31</v>
      </c>
      <c r="R16" s="62"/>
      <c r="T16" s="23"/>
    </row>
    <row r="17" spans="1:20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2738894</v>
      </c>
      <c r="F17" s="1185">
        <f t="shared" ref="F17:P17" si="7">F18+F19+F20+F21</f>
        <v>2492280.5</v>
      </c>
      <c r="G17" s="1185">
        <f t="shared" si="7"/>
        <v>2186603.5</v>
      </c>
      <c r="H17" s="1185">
        <f t="shared" si="7"/>
        <v>3290091.25</v>
      </c>
      <c r="I17" s="1185">
        <f t="shared" si="7"/>
        <v>391289</v>
      </c>
      <c r="J17" s="1185">
        <f t="shared" si="7"/>
        <v>412300</v>
      </c>
      <c r="K17" s="1185">
        <f t="shared" si="7"/>
        <v>370756</v>
      </c>
      <c r="L17" s="1185">
        <f t="shared" si="7"/>
        <v>392344</v>
      </c>
      <c r="M17" s="1185">
        <f t="shared" si="7"/>
        <v>403216</v>
      </c>
      <c r="N17" s="1185">
        <f t="shared" si="7"/>
        <v>372456</v>
      </c>
      <c r="O17" s="1185">
        <f t="shared" si="7"/>
        <v>545672</v>
      </c>
      <c r="P17" s="1185">
        <f t="shared" si="7"/>
        <v>60000</v>
      </c>
      <c r="Q17" s="1201">
        <f t="shared" si="1"/>
        <v>13655902.25</v>
      </c>
      <c r="R17" s="62"/>
    </row>
    <row r="18" spans="1:20" ht="15.9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201">
        <f t="shared" si="1"/>
        <v>0</v>
      </c>
      <c r="R18" s="62"/>
    </row>
    <row r="19" spans="1:20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593800-720</f>
        <v>593080</v>
      </c>
      <c r="F19" s="1180">
        <v>118385</v>
      </c>
      <c r="G19" s="1180">
        <v>263288</v>
      </c>
      <c r="H19" s="1180">
        <v>737248</v>
      </c>
      <c r="I19" s="1180">
        <v>237789</v>
      </c>
      <c r="J19" s="1180">
        <v>246844</v>
      </c>
      <c r="K19" s="1180">
        <v>232756</v>
      </c>
      <c r="L19" s="1180">
        <v>247844</v>
      </c>
      <c r="M19" s="1180">
        <v>233716</v>
      </c>
      <c r="N19" s="1180">
        <f>245556-3600</f>
        <v>241956</v>
      </c>
      <c r="O19" s="1180">
        <v>256672</v>
      </c>
      <c r="P19" s="1180"/>
      <c r="Q19" s="1201">
        <f t="shared" si="1"/>
        <v>3409578</v>
      </c>
      <c r="R19" s="62"/>
    </row>
    <row r="20" spans="1:20" ht="15.9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855500</v>
      </c>
      <c r="F20" s="1180">
        <v>679500</v>
      </c>
      <c r="G20" s="1180">
        <v>492500</v>
      </c>
      <c r="H20" s="1180">
        <v>1003000</v>
      </c>
      <c r="I20" s="1180">
        <v>153500</v>
      </c>
      <c r="J20" s="1180">
        <v>165456</v>
      </c>
      <c r="K20" s="1180">
        <v>138000</v>
      </c>
      <c r="L20" s="1180">
        <v>144500</v>
      </c>
      <c r="M20" s="1180">
        <f>28*500*3+127500</f>
        <v>169500</v>
      </c>
      <c r="N20" s="1180">
        <v>130500</v>
      </c>
      <c r="O20" s="1180">
        <v>289000</v>
      </c>
      <c r="P20" s="1180">
        <v>60000</v>
      </c>
      <c r="Q20" s="1201">
        <f t="shared" si="1"/>
        <v>4280956</v>
      </c>
      <c r="R20" s="62"/>
    </row>
    <row r="21" spans="1:20" ht="15.9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1290314</v>
      </c>
      <c r="F21" s="1180">
        <v>1694395.5</v>
      </c>
      <c r="G21" s="1180">
        <v>1430815.5</v>
      </c>
      <c r="H21" s="1180">
        <v>1549843.25</v>
      </c>
      <c r="I21" s="1180"/>
      <c r="J21" s="1180"/>
      <c r="K21" s="1180"/>
      <c r="L21" s="1180"/>
      <c r="M21" s="1180"/>
      <c r="N21" s="1180"/>
      <c r="O21" s="1180"/>
      <c r="P21" s="1180"/>
      <c r="Q21" s="1201">
        <f t="shared" si="1"/>
        <v>5965368.25</v>
      </c>
      <c r="R21" s="62"/>
    </row>
    <row r="22" spans="1:20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4032955.66</v>
      </c>
      <c r="F22" s="1185">
        <f t="shared" ref="F22:P22" si="8">F23+F24</f>
        <v>2791625.94</v>
      </c>
      <c r="G22" s="1185">
        <f t="shared" si="8"/>
        <v>2070684.4</v>
      </c>
      <c r="H22" s="1185">
        <f t="shared" si="8"/>
        <v>4021549.54</v>
      </c>
      <c r="I22" s="1185">
        <f t="shared" si="8"/>
        <v>573841.3600000001</v>
      </c>
      <c r="J22" s="1185">
        <f t="shared" si="8"/>
        <v>578630.94999999995</v>
      </c>
      <c r="K22" s="1185">
        <f t="shared" si="8"/>
        <v>490401.04</v>
      </c>
      <c r="L22" s="1185">
        <f t="shared" si="8"/>
        <v>519381.52</v>
      </c>
      <c r="M22" s="1185">
        <f t="shared" si="8"/>
        <v>682714</v>
      </c>
      <c r="N22" s="1185">
        <f t="shared" si="8"/>
        <v>472555</v>
      </c>
      <c r="O22" s="1185">
        <f t="shared" si="8"/>
        <v>909659.45</v>
      </c>
      <c r="P22" s="1185">
        <f t="shared" si="8"/>
        <v>255260.90999999997</v>
      </c>
      <c r="Q22" s="1201">
        <f t="shared" si="1"/>
        <v>17399259.769999996</v>
      </c>
      <c r="R22" s="62"/>
    </row>
    <row r="23" spans="1:20" ht="15.9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3417808.66</v>
      </c>
      <c r="F23" s="1180">
        <v>2572286.14</v>
      </c>
      <c r="G23" s="1180">
        <v>1910564.4</v>
      </c>
      <c r="H23" s="1180">
        <v>3646958.54</v>
      </c>
      <c r="I23" s="1180">
        <v>509371.36000000004</v>
      </c>
      <c r="J23" s="1180">
        <v>519970.95</v>
      </c>
      <c r="K23" s="1180">
        <v>449461.04</v>
      </c>
      <c r="L23" s="1180">
        <v>470746.52</v>
      </c>
      <c r="M23" s="1180">
        <v>613503</v>
      </c>
      <c r="N23" s="1180">
        <v>425565</v>
      </c>
      <c r="O23" s="1180">
        <v>809099.45</v>
      </c>
      <c r="P23" s="1180">
        <v>232287.35999999999</v>
      </c>
      <c r="Q23" s="1201">
        <f t="shared" si="1"/>
        <v>15577622.419999998</v>
      </c>
      <c r="R23" s="62"/>
      <c r="T23" s="23"/>
    </row>
    <row r="24" spans="1:20" ht="15.9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615147</v>
      </c>
      <c r="F24" s="1185">
        <f t="shared" ref="F24:P24" si="9">F25+F26</f>
        <v>219339.8</v>
      </c>
      <c r="G24" s="1185">
        <f t="shared" si="9"/>
        <v>160120</v>
      </c>
      <c r="H24" s="1185">
        <f t="shared" si="9"/>
        <v>374591</v>
      </c>
      <c r="I24" s="1185">
        <f t="shared" si="9"/>
        <v>64470</v>
      </c>
      <c r="J24" s="1185">
        <f t="shared" si="9"/>
        <v>58660</v>
      </c>
      <c r="K24" s="1185">
        <f t="shared" si="9"/>
        <v>40940</v>
      </c>
      <c r="L24" s="1185">
        <f t="shared" si="9"/>
        <v>48635</v>
      </c>
      <c r="M24" s="1185">
        <f t="shared" si="9"/>
        <v>69211</v>
      </c>
      <c r="N24" s="1185">
        <f t="shared" si="9"/>
        <v>46990</v>
      </c>
      <c r="O24" s="1185">
        <f t="shared" si="9"/>
        <v>100560</v>
      </c>
      <c r="P24" s="1185">
        <f t="shared" si="9"/>
        <v>22973.55</v>
      </c>
      <c r="Q24" s="1201">
        <f t="shared" si="1"/>
        <v>1821637.35</v>
      </c>
      <c r="R24" s="62"/>
    </row>
    <row r="25" spans="1:20" ht="15.9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>
        <v>134387</v>
      </c>
      <c r="F25" s="1180">
        <v>1079.8</v>
      </c>
      <c r="G25" s="1180"/>
      <c r="H25" s="1180">
        <v>17896</v>
      </c>
      <c r="I25" s="1180">
        <v>10000</v>
      </c>
      <c r="J25" s="1180">
        <v>8820</v>
      </c>
      <c r="K25" s="1180"/>
      <c r="L25" s="1180"/>
      <c r="M25" s="1180">
        <f>1400+1400+1451</f>
        <v>4251</v>
      </c>
      <c r="N25" s="1180"/>
      <c r="O25" s="1180"/>
      <c r="P25" s="1180">
        <v>223.55</v>
      </c>
      <c r="Q25" s="1201">
        <f t="shared" si="1"/>
        <v>176657.34999999998</v>
      </c>
      <c r="R25" s="62"/>
    </row>
    <row r="26" spans="1:20" ht="15.9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480760</v>
      </c>
      <c r="F26" s="1180">
        <v>218260</v>
      </c>
      <c r="G26" s="1180">
        <v>160120</v>
      </c>
      <c r="H26" s="1180">
        <v>356695</v>
      </c>
      <c r="I26" s="1180">
        <v>54470</v>
      </c>
      <c r="J26" s="1180">
        <v>49840</v>
      </c>
      <c r="K26" s="1180">
        <v>40940</v>
      </c>
      <c r="L26" s="1180">
        <v>48635</v>
      </c>
      <c r="M26" s="1180">
        <v>64960</v>
      </c>
      <c r="N26" s="1180">
        <v>46990</v>
      </c>
      <c r="O26" s="1180">
        <v>100560</v>
      </c>
      <c r="P26" s="1180">
        <v>22750</v>
      </c>
      <c r="Q26" s="1201">
        <f t="shared" si="1"/>
        <v>1644980</v>
      </c>
      <c r="R26" s="62"/>
    </row>
    <row r="27" spans="1:20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P27" si="10">E28</f>
        <v>6076104.1600000001</v>
      </c>
      <c r="F27" s="1185">
        <f t="shared" si="10"/>
        <v>4572939.8</v>
      </c>
      <c r="G27" s="1185">
        <f t="shared" si="10"/>
        <v>3392838.439999999</v>
      </c>
      <c r="H27" s="1185">
        <f t="shared" si="10"/>
        <v>6483464.96</v>
      </c>
      <c r="I27" s="1185">
        <f t="shared" si="10"/>
        <v>905548.95999999985</v>
      </c>
      <c r="J27" s="1185">
        <f t="shared" si="10"/>
        <v>924392.51</v>
      </c>
      <c r="K27" s="1185">
        <f t="shared" si="10"/>
        <v>791681.51</v>
      </c>
      <c r="L27" s="1185">
        <f t="shared" si="10"/>
        <v>833645.5199999999</v>
      </c>
      <c r="M27" s="1185">
        <f t="shared" si="10"/>
        <v>1090672</v>
      </c>
      <c r="N27" s="1185">
        <f t="shared" si="10"/>
        <v>756560</v>
      </c>
      <c r="O27" s="1185">
        <f t="shared" si="10"/>
        <v>1438387.36</v>
      </c>
      <c r="P27" s="1185">
        <f t="shared" si="10"/>
        <v>412955.04</v>
      </c>
      <c r="Q27" s="1201">
        <f t="shared" si="1"/>
        <v>27679190.260000002</v>
      </c>
      <c r="R27" s="62"/>
    </row>
    <row r="28" spans="1:20" ht="15.9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6076104.1600000001</v>
      </c>
      <c r="F28" s="1180">
        <v>4572939.8</v>
      </c>
      <c r="G28" s="1180">
        <v>3392838.439999999</v>
      </c>
      <c r="H28" s="1180">
        <v>6483464.96</v>
      </c>
      <c r="I28" s="1180">
        <v>905548.95999999985</v>
      </c>
      <c r="J28" s="1180">
        <v>924392.51</v>
      </c>
      <c r="K28" s="1180">
        <v>791681.51</v>
      </c>
      <c r="L28" s="1180">
        <v>833645.5199999999</v>
      </c>
      <c r="M28" s="1180">
        <f>83232*4+757744</f>
        <v>1090672</v>
      </c>
      <c r="N28" s="1180">
        <v>756560</v>
      </c>
      <c r="O28" s="1180">
        <v>1438387.36</v>
      </c>
      <c r="P28" s="1180">
        <v>412955.04</v>
      </c>
      <c r="Q28" s="1201">
        <f t="shared" si="1"/>
        <v>27679190.260000002</v>
      </c>
      <c r="R28" s="62"/>
      <c r="T28" s="23"/>
    </row>
    <row r="29" spans="1:20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P29" si="11">E30</f>
        <v>3038052.08</v>
      </c>
      <c r="F29" s="1185">
        <f t="shared" si="11"/>
        <v>2286469.92</v>
      </c>
      <c r="G29" s="1185">
        <f t="shared" si="11"/>
        <v>1696419.2199999995</v>
      </c>
      <c r="H29" s="1185">
        <f t="shared" si="11"/>
        <v>3241732.48</v>
      </c>
      <c r="I29" s="1185">
        <f t="shared" si="11"/>
        <v>417989.74</v>
      </c>
      <c r="J29" s="1185">
        <f t="shared" si="11"/>
        <v>462196.37</v>
      </c>
      <c r="K29" s="1185">
        <f t="shared" si="11"/>
        <v>395840.88</v>
      </c>
      <c r="L29" s="1185">
        <f t="shared" si="11"/>
        <v>416877.76</v>
      </c>
      <c r="M29" s="1185">
        <f t="shared" si="11"/>
        <v>545336</v>
      </c>
      <c r="N29" s="1185">
        <f t="shared" si="11"/>
        <v>378280</v>
      </c>
      <c r="O29" s="1185">
        <f t="shared" si="11"/>
        <v>719193.68</v>
      </c>
      <c r="P29" s="1185">
        <f t="shared" si="11"/>
        <v>206477.52</v>
      </c>
      <c r="Q29" s="1201">
        <f t="shared" si="1"/>
        <v>13804865.649999999</v>
      </c>
      <c r="R29" s="62"/>
    </row>
    <row r="30" spans="1:20" ht="15.9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3038052.08</v>
      </c>
      <c r="F30" s="1180">
        <v>2286469.92</v>
      </c>
      <c r="G30" s="1180">
        <v>1696419.2199999995</v>
      </c>
      <c r="H30" s="1180">
        <v>3241732.48</v>
      </c>
      <c r="I30" s="1180">
        <f>452774.48-34784.74</f>
        <v>417989.74</v>
      </c>
      <c r="J30" s="1180">
        <v>462196.37</v>
      </c>
      <c r="K30" s="1180">
        <v>395840.88</v>
      </c>
      <c r="L30" s="1180">
        <f>868589.74-451711.98</f>
        <v>416877.76</v>
      </c>
      <c r="M30" s="1180">
        <f>41616*4+378872</f>
        <v>545336</v>
      </c>
      <c r="N30" s="1180">
        <f>823075.77-444795.77</f>
        <v>378280</v>
      </c>
      <c r="O30" s="1180">
        <v>719193.68</v>
      </c>
      <c r="P30" s="1180">
        <v>206477.52</v>
      </c>
      <c r="Q30" s="1201">
        <f t="shared" si="1"/>
        <v>13804865.649999999</v>
      </c>
      <c r="R30" s="62"/>
      <c r="T30" s="23"/>
    </row>
    <row r="31" spans="1:20" ht="15.9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2649895</v>
      </c>
      <c r="F31" s="1180">
        <v>2016410</v>
      </c>
      <c r="G31" s="1180">
        <v>1494607</v>
      </c>
      <c r="H31" s="1180">
        <v>2832562</v>
      </c>
      <c r="I31" s="1180">
        <v>395015</v>
      </c>
      <c r="J31" s="1180">
        <v>407334</v>
      </c>
      <c r="K31" s="1180">
        <v>347496</v>
      </c>
      <c r="L31" s="1180">
        <v>365797</v>
      </c>
      <c r="M31" s="1180">
        <f>36414*3+330351</f>
        <v>439593</v>
      </c>
      <c r="N31" s="1180">
        <v>331968</v>
      </c>
      <c r="O31" s="1180">
        <v>623179</v>
      </c>
      <c r="P31" s="1180">
        <v>179520</v>
      </c>
      <c r="Q31" s="1201">
        <f t="shared" si="1"/>
        <v>12083376</v>
      </c>
      <c r="R31" s="62"/>
      <c r="T31" s="23"/>
    </row>
    <row r="32" spans="1:20" ht="15.9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51000</v>
      </c>
      <c r="F32" s="1180">
        <v>38500</v>
      </c>
      <c r="G32" s="1180">
        <v>24500</v>
      </c>
      <c r="H32" s="1180">
        <v>68000</v>
      </c>
      <c r="I32" s="1180">
        <v>7500</v>
      </c>
      <c r="J32" s="1180">
        <v>7500</v>
      </c>
      <c r="K32" s="1180">
        <v>6000</v>
      </c>
      <c r="L32" s="1180">
        <v>6000</v>
      </c>
      <c r="M32" s="1180">
        <v>7500</v>
      </c>
      <c r="N32" s="1180">
        <v>7500</v>
      </c>
      <c r="O32" s="1180">
        <v>18500</v>
      </c>
      <c r="P32" s="1180">
        <v>1500</v>
      </c>
      <c r="Q32" s="1201">
        <f t="shared" si="1"/>
        <v>244000</v>
      </c>
      <c r="R32" s="62"/>
    </row>
    <row r="33" spans="1:18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3278775</v>
      </c>
      <c r="F33" s="1185">
        <f t="shared" ref="F33:P33" si="12">F34+F36+F38</f>
        <v>33210</v>
      </c>
      <c r="G33" s="1185">
        <f t="shared" si="12"/>
        <v>36690</v>
      </c>
      <c r="H33" s="1185">
        <f t="shared" si="12"/>
        <v>526635</v>
      </c>
      <c r="I33" s="1185">
        <f t="shared" si="12"/>
        <v>240</v>
      </c>
      <c r="J33" s="1185">
        <f t="shared" si="12"/>
        <v>360</v>
      </c>
      <c r="K33" s="1185">
        <f t="shared" si="12"/>
        <v>2520</v>
      </c>
      <c r="L33" s="1185">
        <f t="shared" si="12"/>
        <v>11205</v>
      </c>
      <c r="M33" s="1185">
        <f t="shared" si="12"/>
        <v>251565</v>
      </c>
      <c r="N33" s="1185">
        <f t="shared" si="12"/>
        <v>35580</v>
      </c>
      <c r="O33" s="1185">
        <f t="shared" si="12"/>
        <v>1440</v>
      </c>
      <c r="P33" s="1185">
        <f t="shared" si="12"/>
        <v>220080</v>
      </c>
      <c r="Q33" s="1201">
        <f t="shared" si="1"/>
        <v>4398300</v>
      </c>
      <c r="R33" s="62"/>
    </row>
    <row r="34" spans="1:18" ht="15.95" customHeight="1">
      <c r="A34" s="66" t="s">
        <v>85</v>
      </c>
      <c r="B34" s="61" t="s">
        <v>3109</v>
      </c>
      <c r="C34" s="61" t="s">
        <v>87</v>
      </c>
      <c r="D34" s="62" t="s">
        <v>3148</v>
      </c>
      <c r="E34" s="1185">
        <f>E35</f>
        <v>3274825</v>
      </c>
      <c r="F34" s="1185">
        <f t="shared" ref="F34:P34" si="13">F35</f>
        <v>32280</v>
      </c>
      <c r="G34" s="1185">
        <f t="shared" si="13"/>
        <v>35280</v>
      </c>
      <c r="H34" s="1185">
        <f t="shared" si="13"/>
        <v>521595</v>
      </c>
      <c r="I34" s="1185">
        <f t="shared" si="13"/>
        <v>0</v>
      </c>
      <c r="J34" s="1185">
        <f t="shared" si="13"/>
        <v>0</v>
      </c>
      <c r="K34" s="1185">
        <f t="shared" si="13"/>
        <v>0</v>
      </c>
      <c r="L34" s="1185">
        <f t="shared" si="13"/>
        <v>9765</v>
      </c>
      <c r="M34" s="1185">
        <f t="shared" si="13"/>
        <v>250665</v>
      </c>
      <c r="N34" s="1185">
        <f t="shared" si="13"/>
        <v>34740</v>
      </c>
      <c r="O34" s="1185">
        <f t="shared" si="13"/>
        <v>0</v>
      </c>
      <c r="P34" s="1185">
        <f t="shared" si="13"/>
        <v>219360</v>
      </c>
      <c r="Q34" s="1201">
        <f t="shared" si="1"/>
        <v>4378510</v>
      </c>
      <c r="R34" s="62"/>
    </row>
    <row r="35" spans="1:18" ht="15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f>3001380+273445</f>
        <v>3274825</v>
      </c>
      <c r="F35" s="1180">
        <v>32280</v>
      </c>
      <c r="G35" s="1180">
        <v>35280</v>
      </c>
      <c r="H35" s="1180">
        <v>521595</v>
      </c>
      <c r="I35" s="1180"/>
      <c r="J35" s="1180"/>
      <c r="K35" s="1180"/>
      <c r="L35" s="1180">
        <f>1085*9</f>
        <v>9765</v>
      </c>
      <c r="M35" s="1180">
        <f>21160*3+187185</f>
        <v>250665</v>
      </c>
      <c r="N35" s="1180">
        <v>34740</v>
      </c>
      <c r="O35" s="1180"/>
      <c r="P35" s="1180">
        <v>219360</v>
      </c>
      <c r="Q35" s="1201">
        <f t="shared" si="1"/>
        <v>4378510</v>
      </c>
      <c r="R35" s="62"/>
    </row>
    <row r="36" spans="1:18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3950</v>
      </c>
      <c r="F36" s="1185">
        <f t="shared" ref="F36:P36" si="14">F37</f>
        <v>930</v>
      </c>
      <c r="G36" s="1185">
        <f t="shared" si="14"/>
        <v>1410</v>
      </c>
      <c r="H36" s="1185">
        <f t="shared" si="14"/>
        <v>5040</v>
      </c>
      <c r="I36" s="1185">
        <f t="shared" si="14"/>
        <v>240</v>
      </c>
      <c r="J36" s="1185">
        <f t="shared" si="14"/>
        <v>360</v>
      </c>
      <c r="K36" s="1185">
        <f t="shared" si="14"/>
        <v>2520</v>
      </c>
      <c r="L36" s="1185">
        <f t="shared" si="14"/>
        <v>1440</v>
      </c>
      <c r="M36" s="1185">
        <f t="shared" si="14"/>
        <v>900</v>
      </c>
      <c r="N36" s="1185">
        <f t="shared" si="14"/>
        <v>840</v>
      </c>
      <c r="O36" s="1185">
        <f t="shared" si="14"/>
        <v>1440</v>
      </c>
      <c r="P36" s="1185">
        <f t="shared" si="14"/>
        <v>720</v>
      </c>
      <c r="Q36" s="1201">
        <f t="shared" si="1"/>
        <v>19790</v>
      </c>
      <c r="R36" s="62"/>
    </row>
    <row r="37" spans="1:18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3950</v>
      </c>
      <c r="F37" s="1180">
        <v>930</v>
      </c>
      <c r="G37" s="1180">
        <v>1410</v>
      </c>
      <c r="H37" s="1180">
        <v>5040</v>
      </c>
      <c r="I37" s="1180">
        <v>240</v>
      </c>
      <c r="J37" s="1180">
        <v>360</v>
      </c>
      <c r="K37" s="1180">
        <v>2520</v>
      </c>
      <c r="L37" s="1180">
        <v>1440</v>
      </c>
      <c r="M37" s="1180">
        <f>780+60+60</f>
        <v>900</v>
      </c>
      <c r="N37" s="1180">
        <v>840</v>
      </c>
      <c r="O37" s="1180">
        <v>1440</v>
      </c>
      <c r="P37" s="1180">
        <v>720</v>
      </c>
      <c r="Q37" s="1201">
        <f t="shared" si="1"/>
        <v>19790</v>
      </c>
      <c r="R37" s="62"/>
    </row>
    <row r="38" spans="1:18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P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201">
        <f t="shared" si="1"/>
        <v>0</v>
      </c>
      <c r="R38" s="62"/>
    </row>
    <row r="39" spans="1:18" ht="15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201">
        <f t="shared" si="1"/>
        <v>0</v>
      </c>
      <c r="R39" s="62"/>
    </row>
    <row r="40" spans="1:18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P40" si="16">E41+E43+E45+E47+E49+E52+E54+E56+E60</f>
        <v>8932651.9000000004</v>
      </c>
      <c r="F40" s="1185">
        <f t="shared" si="16"/>
        <v>8384588.7999999998</v>
      </c>
      <c r="G40" s="1185">
        <f t="shared" si="16"/>
        <v>6593882.75</v>
      </c>
      <c r="H40" s="1185">
        <f t="shared" si="16"/>
        <v>10748160.119999999</v>
      </c>
      <c r="I40" s="1185">
        <f t="shared" si="16"/>
        <v>1233852.6199999999</v>
      </c>
      <c r="J40" s="1185">
        <f t="shared" si="16"/>
        <v>1597655.09</v>
      </c>
      <c r="K40" s="1185">
        <f t="shared" si="16"/>
        <v>1249199.9200000002</v>
      </c>
      <c r="L40" s="1185">
        <f t="shared" si="16"/>
        <v>1533031.88</v>
      </c>
      <c r="M40" s="1185">
        <f t="shared" si="16"/>
        <v>1288913</v>
      </c>
      <c r="N40" s="1185">
        <f t="shared" si="16"/>
        <v>1194846.7</v>
      </c>
      <c r="O40" s="1185">
        <f t="shared" si="16"/>
        <v>2541209.42</v>
      </c>
      <c r="P40" s="1185">
        <f t="shared" si="16"/>
        <v>425464</v>
      </c>
      <c r="Q40" s="1201">
        <f t="shared" si="1"/>
        <v>45723456.20000001</v>
      </c>
      <c r="R40" s="62"/>
    </row>
    <row r="41" spans="1:18" ht="15.95" customHeight="1">
      <c r="A41" s="66" t="s">
        <v>99</v>
      </c>
      <c r="B41" s="61" t="s">
        <v>100</v>
      </c>
      <c r="C41" s="61"/>
      <c r="D41" s="62" t="s">
        <v>101</v>
      </c>
      <c r="E41" s="1180">
        <v>6173070</v>
      </c>
      <c r="F41" s="1180">
        <f>(1191/2*3210+1231/2*3210)+(727/2*3850+784/2*3850)+(10000-3210)*2+(10000-3850)*1</f>
        <v>6815715</v>
      </c>
      <c r="G41" s="1180">
        <v>5421550</v>
      </c>
      <c r="H41" s="1180">
        <v>8293405</v>
      </c>
      <c r="I41" s="1180">
        <v>858000</v>
      </c>
      <c r="J41" s="1180">
        <v>1181170</v>
      </c>
      <c r="K41" s="1180">
        <v>872280</v>
      </c>
      <c r="L41" s="1180">
        <v>1165440</v>
      </c>
      <c r="M41" s="1180">
        <v>865140</v>
      </c>
      <c r="N41" s="1180">
        <v>865140</v>
      </c>
      <c r="O41" s="1180">
        <v>1884730</v>
      </c>
      <c r="P41" s="1180">
        <f>22400*10</f>
        <v>224000</v>
      </c>
      <c r="Q41" s="1201">
        <f t="shared" si="1"/>
        <v>34619640</v>
      </c>
      <c r="R41" s="62"/>
    </row>
    <row r="42" spans="1:18" ht="15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f>E41*0.05</f>
        <v>308653.5</v>
      </c>
      <c r="F42" s="1180">
        <f>F41*0.05</f>
        <v>340785.75</v>
      </c>
      <c r="G42" s="1180">
        <v>271077.5</v>
      </c>
      <c r="H42" s="1180">
        <v>414670.25</v>
      </c>
      <c r="I42" s="1180">
        <v>38538.5</v>
      </c>
      <c r="J42" s="1180">
        <v>59058.5</v>
      </c>
      <c r="K42" s="1180">
        <v>38394.5</v>
      </c>
      <c r="L42" s="1180">
        <v>58272</v>
      </c>
      <c r="M42" s="1180">
        <v>37680</v>
      </c>
      <c r="N42" s="1180">
        <v>34748.5</v>
      </c>
      <c r="O42" s="1180">
        <v>81509.5</v>
      </c>
      <c r="P42" s="1180">
        <f>224000*0.05</f>
        <v>11200</v>
      </c>
      <c r="Q42" s="1201">
        <f t="shared" si="1"/>
        <v>1694588.5</v>
      </c>
      <c r="R42" s="62"/>
    </row>
    <row r="43" spans="1:18" ht="15.95" customHeight="1">
      <c r="A43" s="66" t="s">
        <v>106</v>
      </c>
      <c r="B43" s="61" t="s">
        <v>107</v>
      </c>
      <c r="C43" s="61"/>
      <c r="D43" s="62"/>
      <c r="E43" s="1185">
        <f>E44</f>
        <v>56000</v>
      </c>
      <c r="F43" s="1185">
        <f t="shared" ref="F43:P43" si="17">F44</f>
        <v>45300</v>
      </c>
      <c r="G43" s="1185">
        <f t="shared" si="17"/>
        <v>0</v>
      </c>
      <c r="H43" s="1185">
        <f t="shared" si="17"/>
        <v>0</v>
      </c>
      <c r="I43" s="1185">
        <f t="shared" si="17"/>
        <v>10400</v>
      </c>
      <c r="J43" s="1185">
        <f t="shared" si="17"/>
        <v>11034</v>
      </c>
      <c r="K43" s="1185">
        <f t="shared" si="17"/>
        <v>9200</v>
      </c>
      <c r="L43" s="1185">
        <f t="shared" si="17"/>
        <v>9600</v>
      </c>
      <c r="M43" s="1185">
        <f t="shared" si="17"/>
        <v>11200</v>
      </c>
      <c r="N43" s="1185">
        <f t="shared" si="17"/>
        <v>8800</v>
      </c>
      <c r="O43" s="1185">
        <f t="shared" si="17"/>
        <v>19266</v>
      </c>
      <c r="P43" s="1185">
        <f t="shared" si="17"/>
        <v>4000</v>
      </c>
      <c r="Q43" s="1201">
        <f t="shared" si="1"/>
        <v>184800</v>
      </c>
      <c r="R43" s="62"/>
    </row>
    <row r="44" spans="1:18" ht="15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f>E63*400</f>
        <v>56000</v>
      </c>
      <c r="F44" s="1180">
        <f>1359/12*400</f>
        <v>45300</v>
      </c>
      <c r="G44" s="1180"/>
      <c r="H44" s="1180"/>
      <c r="I44" s="1180">
        <v>10400</v>
      </c>
      <c r="J44" s="1180">
        <v>11034</v>
      </c>
      <c r="K44" s="1180">
        <v>9200</v>
      </c>
      <c r="L44" s="1180">
        <v>9600</v>
      </c>
      <c r="M44" s="1180">
        <f>28*400</f>
        <v>11200</v>
      </c>
      <c r="N44" s="1180">
        <v>8800</v>
      </c>
      <c r="O44" s="1180">
        <v>19266</v>
      </c>
      <c r="P44" s="1180">
        <v>4000</v>
      </c>
      <c r="Q44" s="1201">
        <f t="shared" si="1"/>
        <v>184800</v>
      </c>
      <c r="R44" s="62"/>
    </row>
    <row r="45" spans="1:18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302412.90000000002</v>
      </c>
      <c r="F45" s="1185">
        <f t="shared" ref="F45:P45" si="18">F46</f>
        <v>300871.8</v>
      </c>
      <c r="G45" s="1185">
        <f t="shared" si="18"/>
        <v>278907.75</v>
      </c>
      <c r="H45" s="1185">
        <f t="shared" si="18"/>
        <v>571320</v>
      </c>
      <c r="I45" s="1185">
        <f t="shared" si="18"/>
        <v>85185</v>
      </c>
      <c r="J45" s="1185">
        <f t="shared" si="18"/>
        <v>110250</v>
      </c>
      <c r="K45" s="1185">
        <f t="shared" si="18"/>
        <v>110181.3</v>
      </c>
      <c r="L45" s="1185">
        <f t="shared" si="18"/>
        <v>92082.45</v>
      </c>
      <c r="M45" s="1185">
        <f t="shared" si="18"/>
        <v>71205</v>
      </c>
      <c r="N45" s="1185">
        <f t="shared" si="18"/>
        <v>74342.7</v>
      </c>
      <c r="O45" s="1185">
        <f t="shared" si="18"/>
        <v>173535</v>
      </c>
      <c r="P45" s="1185">
        <f t="shared" si="18"/>
        <v>20325</v>
      </c>
      <c r="Q45" s="1201">
        <f t="shared" si="1"/>
        <v>2190618.9</v>
      </c>
      <c r="R45" s="62"/>
    </row>
    <row r="46" spans="1:18" ht="15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f>E74*15</f>
        <v>302412.90000000002</v>
      </c>
      <c r="F46" s="1180">
        <f>F74*15</f>
        <v>300871.8</v>
      </c>
      <c r="G46" s="1180">
        <v>278907.75</v>
      </c>
      <c r="H46" s="1180">
        <v>571320</v>
      </c>
      <c r="I46" s="1180">
        <f>I74*15</f>
        <v>85185</v>
      </c>
      <c r="J46" s="1180">
        <v>110250</v>
      </c>
      <c r="K46" s="1180">
        <v>110181.3</v>
      </c>
      <c r="L46" s="1180">
        <v>92082.45</v>
      </c>
      <c r="M46" s="1180">
        <f>15*4747</f>
        <v>71205</v>
      </c>
      <c r="N46" s="1180">
        <v>74342.7</v>
      </c>
      <c r="O46" s="1180">
        <v>173535</v>
      </c>
      <c r="P46" s="1180">
        <v>20325</v>
      </c>
      <c r="Q46" s="1201">
        <f t="shared" si="1"/>
        <v>2190618.9</v>
      </c>
      <c r="R46" s="62"/>
    </row>
    <row r="47" spans="1:18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97216</v>
      </c>
      <c r="F47" s="1185">
        <f t="shared" ref="F47:P47" si="19">F48</f>
        <v>112080</v>
      </c>
      <c r="G47" s="1185">
        <f t="shared" si="19"/>
        <v>78250</v>
      </c>
      <c r="H47" s="1185">
        <f t="shared" si="19"/>
        <v>163552</v>
      </c>
      <c r="I47" s="1185">
        <f t="shared" si="19"/>
        <v>20904</v>
      </c>
      <c r="J47" s="1185">
        <f t="shared" si="19"/>
        <v>25792</v>
      </c>
      <c r="K47" s="1185">
        <f t="shared" si="19"/>
        <v>27218.400000000001</v>
      </c>
      <c r="L47" s="1185">
        <f t="shared" si="19"/>
        <v>20616</v>
      </c>
      <c r="M47" s="1185">
        <f t="shared" si="19"/>
        <v>20480</v>
      </c>
      <c r="N47" s="1185">
        <f t="shared" si="19"/>
        <v>15744</v>
      </c>
      <c r="O47" s="1185">
        <f t="shared" si="19"/>
        <v>37800</v>
      </c>
      <c r="P47" s="1185">
        <f t="shared" si="19"/>
        <v>14400</v>
      </c>
      <c r="Q47" s="1201">
        <f t="shared" si="1"/>
        <v>634052.4</v>
      </c>
      <c r="R47" s="62"/>
    </row>
    <row r="48" spans="1:18" ht="15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f>E75*8</f>
        <v>97216</v>
      </c>
      <c r="F48" s="1180">
        <f>F75*8</f>
        <v>112080</v>
      </c>
      <c r="G48" s="1180">
        <v>78250</v>
      </c>
      <c r="H48" s="1180">
        <v>163552</v>
      </c>
      <c r="I48" s="1180">
        <f>I75*8</f>
        <v>20904</v>
      </c>
      <c r="J48" s="1180">
        <v>25792</v>
      </c>
      <c r="K48" s="1180">
        <v>27218.400000000001</v>
      </c>
      <c r="L48" s="1180">
        <v>20616</v>
      </c>
      <c r="M48" s="1180">
        <f>2560*8</f>
        <v>20480</v>
      </c>
      <c r="N48" s="1180">
        <v>15744</v>
      </c>
      <c r="O48" s="1180">
        <v>37800</v>
      </c>
      <c r="P48" s="1180">
        <v>14400</v>
      </c>
      <c r="Q48" s="1201">
        <f t="shared" si="1"/>
        <v>634052.4</v>
      </c>
      <c r="R48" s="62"/>
    </row>
    <row r="49" spans="1:18" ht="15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1405440</v>
      </c>
      <c r="F49" s="1185">
        <f t="shared" ref="F49:P49" si="20">F50+F51</f>
        <v>497880</v>
      </c>
      <c r="G49" s="1185">
        <f t="shared" si="20"/>
        <v>363240</v>
      </c>
      <c r="H49" s="1185">
        <f t="shared" si="20"/>
        <v>855000</v>
      </c>
      <c r="I49" s="1185">
        <f t="shared" si="20"/>
        <v>110520</v>
      </c>
      <c r="J49" s="1185">
        <f t="shared" si="20"/>
        <v>119160</v>
      </c>
      <c r="K49" s="1185">
        <f t="shared" si="20"/>
        <v>99360</v>
      </c>
      <c r="L49" s="1185">
        <f t="shared" si="20"/>
        <v>107280</v>
      </c>
      <c r="M49" s="1185">
        <f t="shared" si="20"/>
        <v>181440</v>
      </c>
      <c r="N49" s="1185">
        <f t="shared" si="20"/>
        <v>102600</v>
      </c>
      <c r="O49" s="1185">
        <f t="shared" si="20"/>
        <v>208080</v>
      </c>
      <c r="P49" s="1185">
        <f t="shared" si="20"/>
        <v>90720</v>
      </c>
      <c r="Q49" s="1201">
        <f t="shared" si="1"/>
        <v>4140720</v>
      </c>
      <c r="R49" s="62"/>
    </row>
    <row r="50" spans="1:18" ht="15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615960</v>
      </c>
      <c r="F50" s="1180">
        <v>489240</v>
      </c>
      <c r="G50" s="1180">
        <v>354600</v>
      </c>
      <c r="H50" s="1180">
        <v>722160</v>
      </c>
      <c r="I50" s="1180">
        <v>110520</v>
      </c>
      <c r="J50" s="1180">
        <v>119160</v>
      </c>
      <c r="K50" s="1180">
        <v>99360</v>
      </c>
      <c r="L50" s="1180">
        <v>104040</v>
      </c>
      <c r="M50" s="1180">
        <f>28*4320+360*3</f>
        <v>122040</v>
      </c>
      <c r="N50" s="1180">
        <v>93960</v>
      </c>
      <c r="O50" s="1180">
        <v>208080</v>
      </c>
      <c r="P50" s="1180">
        <f>10*4320</f>
        <v>43200</v>
      </c>
      <c r="Q50" s="1201">
        <f t="shared" si="1"/>
        <v>3082320</v>
      </c>
      <c r="R50" s="62"/>
    </row>
    <row r="51" spans="1:18" ht="15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789480</v>
      </c>
      <c r="F51" s="1180">
        <v>8640</v>
      </c>
      <c r="G51" s="1180">
        <v>8640</v>
      </c>
      <c r="H51" s="1180">
        <v>132840</v>
      </c>
      <c r="I51" s="1180"/>
      <c r="J51" s="1180"/>
      <c r="K51" s="1180"/>
      <c r="L51" s="1180">
        <v>3240</v>
      </c>
      <c r="M51" s="1180">
        <f>13*4320+360*9</f>
        <v>59400</v>
      </c>
      <c r="N51" s="1180">
        <v>8640</v>
      </c>
      <c r="O51" s="1180"/>
      <c r="P51" s="1180">
        <f>11*4320</f>
        <v>47520</v>
      </c>
      <c r="Q51" s="1201">
        <f t="shared" si="1"/>
        <v>1058400</v>
      </c>
      <c r="R51" s="62"/>
    </row>
    <row r="52" spans="1:18" ht="15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759513</v>
      </c>
      <c r="F52" s="1185">
        <f t="shared" ref="F52:P52" si="21">F53</f>
        <v>571617</v>
      </c>
      <c r="G52" s="1185">
        <f t="shared" si="21"/>
        <v>424105</v>
      </c>
      <c r="H52" s="1185">
        <f t="shared" si="21"/>
        <v>810433.11999999988</v>
      </c>
      <c r="I52" s="1185">
        <f t="shared" si="21"/>
        <v>113193.61999999998</v>
      </c>
      <c r="J52" s="1185">
        <f t="shared" si="21"/>
        <v>115549.09</v>
      </c>
      <c r="K52" s="1185">
        <f t="shared" si="21"/>
        <v>98960.22</v>
      </c>
      <c r="L52" s="1185">
        <f t="shared" si="21"/>
        <v>104513.43</v>
      </c>
      <c r="M52" s="1185">
        <f t="shared" si="21"/>
        <v>125598</v>
      </c>
      <c r="N52" s="1185">
        <f t="shared" si="21"/>
        <v>94570</v>
      </c>
      <c r="O52" s="1185">
        <f t="shared" si="21"/>
        <v>179798.42</v>
      </c>
      <c r="P52" s="1185">
        <f t="shared" si="21"/>
        <v>51619</v>
      </c>
      <c r="Q52" s="1201">
        <f t="shared" si="1"/>
        <v>3449469.9000000004</v>
      </c>
      <c r="R52" s="62"/>
    </row>
    <row r="53" spans="1:18" ht="15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220">
        <v>759513</v>
      </c>
      <c r="F53" s="1220">
        <v>571617</v>
      </c>
      <c r="G53" s="1220">
        <v>424105</v>
      </c>
      <c r="H53" s="1183">
        <v>810433.11999999988</v>
      </c>
      <c r="I53" s="1183">
        <v>113193.61999999998</v>
      </c>
      <c r="J53" s="1183">
        <v>115549.09</v>
      </c>
      <c r="K53" s="1183">
        <v>98960.22</v>
      </c>
      <c r="L53" s="1183">
        <v>104513.43</v>
      </c>
      <c r="M53" s="1183">
        <f>ROUND(M31/0.07*0.02,2)</f>
        <v>125598</v>
      </c>
      <c r="N53" s="1183">
        <v>94570</v>
      </c>
      <c r="O53" s="1183">
        <v>179798.42</v>
      </c>
      <c r="P53" s="1183">
        <v>51619</v>
      </c>
      <c r="Q53" s="1201">
        <f t="shared" si="1"/>
        <v>3449469.9000000004</v>
      </c>
      <c r="R53" s="62"/>
    </row>
    <row r="54" spans="1:18" ht="15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60000</v>
      </c>
      <c r="F54" s="1185">
        <f t="shared" ref="F54:P54" si="22">F55</f>
        <v>0</v>
      </c>
      <c r="G54" s="1185">
        <f t="shared" si="22"/>
        <v>25000</v>
      </c>
      <c r="H54" s="1185">
        <f t="shared" si="22"/>
        <v>0</v>
      </c>
      <c r="I54" s="1185">
        <f t="shared" si="22"/>
        <v>0</v>
      </c>
      <c r="J54" s="1185">
        <f t="shared" si="22"/>
        <v>0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22"/>
        <v>0</v>
      </c>
      <c r="O54" s="1185">
        <f t="shared" si="22"/>
        <v>0</v>
      </c>
      <c r="P54" s="1185">
        <f t="shared" si="22"/>
        <v>0</v>
      </c>
      <c r="Q54" s="1201">
        <f t="shared" si="1"/>
        <v>85000</v>
      </c>
      <c r="R54" s="62"/>
    </row>
    <row r="55" spans="1:18" ht="15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60000</v>
      </c>
      <c r="F55" s="1180"/>
      <c r="G55" s="1180">
        <v>25000</v>
      </c>
      <c r="H55" s="1180"/>
      <c r="I55" s="1180"/>
      <c r="J55" s="1180"/>
      <c r="K55" s="1180"/>
      <c r="L55" s="1180"/>
      <c r="M55" s="1180"/>
      <c r="N55" s="1180"/>
      <c r="O55" s="1180"/>
      <c r="P55" s="1180"/>
      <c r="Q55" s="1201">
        <f t="shared" si="1"/>
        <v>85000</v>
      </c>
      <c r="R55" s="62"/>
    </row>
    <row r="56" spans="1:18" ht="15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79000</v>
      </c>
      <c r="F56" s="1185">
        <f t="shared" ref="F56:P56" si="23">F57+F59</f>
        <v>9125</v>
      </c>
      <c r="G56" s="1185">
        <f t="shared" si="23"/>
        <v>2830</v>
      </c>
      <c r="H56" s="1185">
        <f t="shared" si="23"/>
        <v>22450</v>
      </c>
      <c r="I56" s="1185">
        <f t="shared" si="23"/>
        <v>3650</v>
      </c>
      <c r="J56" s="1185">
        <f t="shared" si="23"/>
        <v>2700</v>
      </c>
      <c r="K56" s="1185">
        <f t="shared" si="23"/>
        <v>0</v>
      </c>
      <c r="L56" s="1185">
        <f t="shared" si="23"/>
        <v>4500</v>
      </c>
      <c r="M56" s="1185">
        <f t="shared" si="23"/>
        <v>6850</v>
      </c>
      <c r="N56" s="1185">
        <f t="shared" si="23"/>
        <v>1650</v>
      </c>
      <c r="O56" s="1185">
        <f t="shared" si="23"/>
        <v>6000</v>
      </c>
      <c r="P56" s="1185">
        <f t="shared" si="23"/>
        <v>4400</v>
      </c>
      <c r="Q56" s="1201">
        <f t="shared" si="1"/>
        <v>143155</v>
      </c>
      <c r="R56" s="62"/>
    </row>
    <row r="57" spans="1:18" ht="15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74000</v>
      </c>
      <c r="F57" s="1185">
        <f t="shared" ref="F57:P57" si="24">F58</f>
        <v>800</v>
      </c>
      <c r="G57" s="1185">
        <f t="shared" si="24"/>
        <v>280</v>
      </c>
      <c r="H57" s="1185">
        <f t="shared" si="24"/>
        <v>12400</v>
      </c>
      <c r="I57" s="1185">
        <f t="shared" si="24"/>
        <v>0</v>
      </c>
      <c r="J57" s="1185">
        <f t="shared" si="24"/>
        <v>0</v>
      </c>
      <c r="K57" s="1185">
        <f t="shared" si="24"/>
        <v>0</v>
      </c>
      <c r="L57" s="1185">
        <f t="shared" si="24"/>
        <v>400</v>
      </c>
      <c r="M57" s="1185">
        <f t="shared" si="24"/>
        <v>5600</v>
      </c>
      <c r="N57" s="1185">
        <f t="shared" si="24"/>
        <v>800</v>
      </c>
      <c r="O57" s="1185">
        <f t="shared" si="24"/>
        <v>0</v>
      </c>
      <c r="P57" s="1185">
        <f t="shared" si="24"/>
        <v>4400</v>
      </c>
      <c r="Q57" s="1201">
        <f t="shared" si="1"/>
        <v>98680</v>
      </c>
      <c r="R57" s="62"/>
    </row>
    <row r="58" spans="1:18" ht="15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f>E73*400</f>
        <v>74000</v>
      </c>
      <c r="F58" s="1180">
        <v>800</v>
      </c>
      <c r="G58" s="1180">
        <v>280</v>
      </c>
      <c r="H58" s="1180">
        <v>12400</v>
      </c>
      <c r="I58" s="1180"/>
      <c r="J58" s="1180"/>
      <c r="K58" s="1180"/>
      <c r="L58" s="1180">
        <v>400</v>
      </c>
      <c r="M58" s="1180">
        <v>5600</v>
      </c>
      <c r="N58" s="1180">
        <v>800</v>
      </c>
      <c r="O58" s="1180"/>
      <c r="P58" s="1180">
        <v>4400</v>
      </c>
      <c r="Q58" s="1201">
        <f t="shared" si="1"/>
        <v>98680</v>
      </c>
      <c r="R58" s="62"/>
    </row>
    <row r="59" spans="1:18" ht="15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5000</v>
      </c>
      <c r="F59" s="1186">
        <v>8325</v>
      </c>
      <c r="G59" s="1186">
        <v>2550</v>
      </c>
      <c r="H59" s="1186">
        <v>10050</v>
      </c>
      <c r="I59" s="1186">
        <v>3650</v>
      </c>
      <c r="J59" s="1186">
        <v>2700</v>
      </c>
      <c r="K59" s="1186"/>
      <c r="L59" s="1186">
        <v>4100</v>
      </c>
      <c r="M59" s="1186">
        <v>1250</v>
      </c>
      <c r="N59" s="1186">
        <v>850</v>
      </c>
      <c r="O59" s="1186">
        <v>6000</v>
      </c>
      <c r="P59" s="1186"/>
      <c r="Q59" s="1201">
        <f t="shared" si="1"/>
        <v>44475</v>
      </c>
      <c r="R59" s="62"/>
    </row>
    <row r="60" spans="1:18" ht="15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P60" si="25">F61</f>
        <v>32000</v>
      </c>
      <c r="G60" s="1185">
        <f t="shared" si="25"/>
        <v>0</v>
      </c>
      <c r="H60" s="1185">
        <f t="shared" si="25"/>
        <v>32000</v>
      </c>
      <c r="I60" s="1185">
        <f t="shared" si="25"/>
        <v>32000</v>
      </c>
      <c r="J60" s="1185">
        <f t="shared" si="25"/>
        <v>32000</v>
      </c>
      <c r="K60" s="1185">
        <f t="shared" si="25"/>
        <v>32000</v>
      </c>
      <c r="L60" s="1185">
        <f t="shared" si="25"/>
        <v>29000</v>
      </c>
      <c r="M60" s="1185">
        <f t="shared" si="25"/>
        <v>7000</v>
      </c>
      <c r="N60" s="1185">
        <f t="shared" si="25"/>
        <v>32000</v>
      </c>
      <c r="O60" s="1185">
        <f t="shared" si="25"/>
        <v>32000</v>
      </c>
      <c r="P60" s="1185">
        <f t="shared" si="25"/>
        <v>16000</v>
      </c>
      <c r="Q60" s="1201">
        <f t="shared" si="1"/>
        <v>276000</v>
      </c>
      <c r="R60" s="62"/>
    </row>
    <row r="61" spans="1:18" ht="15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32000</v>
      </c>
      <c r="G61" s="1179"/>
      <c r="H61" s="1179">
        <v>32000</v>
      </c>
      <c r="I61" s="1179">
        <v>32000</v>
      </c>
      <c r="J61" s="1179">
        <v>32000</v>
      </c>
      <c r="K61" s="1179">
        <v>32000</v>
      </c>
      <c r="L61" s="1179">
        <v>29000</v>
      </c>
      <c r="M61" s="1179">
        <v>7000</v>
      </c>
      <c r="N61" s="1179">
        <v>32000</v>
      </c>
      <c r="O61" s="1179">
        <v>32000</v>
      </c>
      <c r="P61" s="1179">
        <v>16000</v>
      </c>
      <c r="Q61" s="1201">
        <f t="shared" si="1"/>
        <v>276000</v>
      </c>
      <c r="R61" s="1187"/>
    </row>
    <row r="62" spans="1:18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201">
        <f t="shared" si="1"/>
        <v>0</v>
      </c>
      <c r="R62" s="1189"/>
    </row>
    <row r="63" spans="1:18" ht="15.95" customHeight="1">
      <c r="A63" s="66" t="s">
        <v>146</v>
      </c>
      <c r="B63" s="61" t="s">
        <v>147</v>
      </c>
      <c r="C63" s="61"/>
      <c r="D63" s="62" t="s">
        <v>3162</v>
      </c>
      <c r="E63" s="1204">
        <f>E64+E65+E66+E67</f>
        <v>140</v>
      </c>
      <c r="F63" s="1204">
        <f t="shared" ref="F63:P63" si="26">F64+F65+F66+F67</f>
        <v>119</v>
      </c>
      <c r="G63" s="1204">
        <f t="shared" si="26"/>
        <v>88</v>
      </c>
      <c r="H63" s="1204">
        <f t="shared" si="26"/>
        <v>166</v>
      </c>
      <c r="I63" s="1204">
        <f t="shared" si="26"/>
        <v>25</v>
      </c>
      <c r="J63" s="1204">
        <f t="shared" si="26"/>
        <v>27</v>
      </c>
      <c r="K63" s="1204">
        <f t="shared" si="26"/>
        <v>23</v>
      </c>
      <c r="L63" s="1204">
        <f t="shared" si="26"/>
        <v>25</v>
      </c>
      <c r="M63" s="1204">
        <f t="shared" si="26"/>
        <v>28</v>
      </c>
      <c r="N63" s="1204">
        <f t="shared" si="26"/>
        <v>22</v>
      </c>
      <c r="O63" s="1204">
        <f t="shared" si="26"/>
        <v>48</v>
      </c>
      <c r="P63" s="1204">
        <f t="shared" si="26"/>
        <v>10</v>
      </c>
      <c r="Q63" s="1204">
        <f t="shared" si="1"/>
        <v>721</v>
      </c>
      <c r="R63" s="62"/>
    </row>
    <row r="64" spans="1:18" ht="15.95" customHeight="1">
      <c r="A64" s="66" t="s">
        <v>148</v>
      </c>
      <c r="B64" s="1199" t="s">
        <v>149</v>
      </c>
      <c r="C64" s="1199"/>
      <c r="D64" s="62"/>
      <c r="E64" s="1181">
        <v>69</v>
      </c>
      <c r="F64" s="1181">
        <v>49</v>
      </c>
      <c r="G64" s="1181">
        <v>88</v>
      </c>
      <c r="H64" s="1181"/>
      <c r="I64" s="1181"/>
      <c r="J64" s="1181"/>
      <c r="K64" s="1181"/>
      <c r="L64" s="1181"/>
      <c r="M64" s="1181"/>
      <c r="N64" s="1181"/>
      <c r="O64" s="1181"/>
      <c r="P64" s="1181"/>
      <c r="Q64" s="1204">
        <f t="shared" si="1"/>
        <v>206</v>
      </c>
      <c r="R64" s="62"/>
    </row>
    <row r="65" spans="1:18" ht="15.95" customHeight="1">
      <c r="A65" s="66" t="s">
        <v>150</v>
      </c>
      <c r="B65" s="1199" t="s">
        <v>151</v>
      </c>
      <c r="C65" s="1199"/>
      <c r="D65" s="62"/>
      <c r="E65" s="1181">
        <v>71</v>
      </c>
      <c r="F65" s="1181">
        <v>70</v>
      </c>
      <c r="G65" s="1181"/>
      <c r="H65" s="1181">
        <v>166</v>
      </c>
      <c r="I65" s="1181"/>
      <c r="J65" s="1181"/>
      <c r="K65" s="1181"/>
      <c r="L65" s="1181"/>
      <c r="M65" s="1181"/>
      <c r="N65" s="1181"/>
      <c r="O65" s="1181"/>
      <c r="P65" s="1181"/>
      <c r="Q65" s="1204">
        <f t="shared" si="1"/>
        <v>307</v>
      </c>
      <c r="R65" s="62"/>
    </row>
    <row r="66" spans="1:18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>
        <v>25</v>
      </c>
      <c r="J66" s="1181">
        <v>27</v>
      </c>
      <c r="K66" s="1181">
        <v>23</v>
      </c>
      <c r="L66" s="1181">
        <v>25</v>
      </c>
      <c r="M66" s="1181">
        <v>28</v>
      </c>
      <c r="N66" s="1181">
        <v>22</v>
      </c>
      <c r="O66" s="1181">
        <v>48</v>
      </c>
      <c r="P66" s="1181"/>
      <c r="Q66" s="1204">
        <f t="shared" si="1"/>
        <v>198</v>
      </c>
      <c r="R66" s="62"/>
    </row>
    <row r="67" spans="1:18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10</v>
      </c>
      <c r="Q67" s="1204">
        <f t="shared" si="1"/>
        <v>10</v>
      </c>
      <c r="R67" s="62"/>
    </row>
    <row r="68" spans="1:18" ht="15.95" customHeight="1">
      <c r="A68" s="66" t="s">
        <v>156</v>
      </c>
      <c r="B68" s="61" t="s">
        <v>157</v>
      </c>
      <c r="C68" s="61"/>
      <c r="D68" s="62" t="s">
        <v>3163</v>
      </c>
      <c r="E68" s="1204">
        <f>E69+E70+E71+E72</f>
        <v>1746</v>
      </c>
      <c r="F68" s="1204">
        <f t="shared" ref="F68:P68" si="27">F69+F70+F71+F72</f>
        <v>2015</v>
      </c>
      <c r="G68" s="1204">
        <f t="shared" si="27"/>
        <v>1503</v>
      </c>
      <c r="H68" s="1204">
        <f t="shared" si="27"/>
        <v>2631</v>
      </c>
      <c r="I68" s="1204">
        <f t="shared" si="27"/>
        <v>260</v>
      </c>
      <c r="J68" s="1204">
        <f t="shared" si="27"/>
        <v>360</v>
      </c>
      <c r="K68" s="1204">
        <f t="shared" si="27"/>
        <v>279</v>
      </c>
      <c r="L68" s="1204">
        <f t="shared" si="27"/>
        <v>392</v>
      </c>
      <c r="M68" s="1204">
        <f t="shared" si="27"/>
        <v>267</v>
      </c>
      <c r="N68" s="1204">
        <f t="shared" si="27"/>
        <v>256</v>
      </c>
      <c r="O68" s="1204">
        <f t="shared" si="27"/>
        <v>573</v>
      </c>
      <c r="P68" s="1204">
        <f t="shared" si="27"/>
        <v>0</v>
      </c>
      <c r="Q68" s="1204">
        <f t="shared" si="1"/>
        <v>10282</v>
      </c>
      <c r="R68" s="62"/>
    </row>
    <row r="69" spans="1:18" ht="15.95" customHeight="1">
      <c r="A69" s="66" t="s">
        <v>158</v>
      </c>
      <c r="B69" s="1199" t="s">
        <v>149</v>
      </c>
      <c r="C69" s="1199"/>
      <c r="D69" s="62"/>
      <c r="E69" s="1181">
        <v>878</v>
      </c>
      <c r="F69" s="1181">
        <v>784</v>
      </c>
      <c r="G69" s="1181">
        <v>1503</v>
      </c>
      <c r="H69" s="1181"/>
      <c r="I69" s="1181"/>
      <c r="J69" s="1181"/>
      <c r="K69" s="1181"/>
      <c r="L69" s="1181"/>
      <c r="M69" s="1181"/>
      <c r="N69" s="1181"/>
      <c r="O69" s="1181"/>
      <c r="P69" s="1181"/>
      <c r="Q69" s="1204">
        <f t="shared" ref="Q69:Q75" si="28">SUM(E69:P69)</f>
        <v>3165</v>
      </c>
      <c r="R69" s="62"/>
    </row>
    <row r="70" spans="1:18" ht="15.95" customHeight="1">
      <c r="A70" s="66" t="s">
        <v>159</v>
      </c>
      <c r="B70" s="1199" t="s">
        <v>151</v>
      </c>
      <c r="C70" s="1199"/>
      <c r="D70" s="62"/>
      <c r="E70" s="1181">
        <v>868</v>
      </c>
      <c r="F70" s="1181">
        <v>1231</v>
      </c>
      <c r="G70" s="1181"/>
      <c r="H70" s="1181">
        <v>2631</v>
      </c>
      <c r="I70" s="1181"/>
      <c r="J70" s="1181"/>
      <c r="K70" s="1181"/>
      <c r="L70" s="1181"/>
      <c r="M70" s="1181"/>
      <c r="N70" s="1181"/>
      <c r="O70" s="1181"/>
      <c r="P70" s="1181"/>
      <c r="Q70" s="1204">
        <f t="shared" si="28"/>
        <v>4730</v>
      </c>
      <c r="R70" s="62"/>
    </row>
    <row r="71" spans="1:18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>
        <v>260</v>
      </c>
      <c r="J71" s="1181">
        <v>360</v>
      </c>
      <c r="K71" s="1181">
        <v>279</v>
      </c>
      <c r="L71" s="1181">
        <v>392</v>
      </c>
      <c r="M71" s="1181">
        <v>267</v>
      </c>
      <c r="N71" s="1181">
        <v>256</v>
      </c>
      <c r="O71" s="1181">
        <v>573</v>
      </c>
      <c r="P71" s="1181"/>
      <c r="Q71" s="1204">
        <f t="shared" si="28"/>
        <v>2387</v>
      </c>
      <c r="R71" s="62"/>
    </row>
    <row r="72" spans="1:18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204">
        <f t="shared" si="28"/>
        <v>0</v>
      </c>
      <c r="R72" s="62"/>
    </row>
    <row r="73" spans="1:18" ht="15.95" customHeight="1">
      <c r="A73" s="66" t="s">
        <v>162</v>
      </c>
      <c r="B73" s="61" t="s">
        <v>3122</v>
      </c>
      <c r="C73" s="61"/>
      <c r="D73" s="62"/>
      <c r="E73" s="1181">
        <v>185</v>
      </c>
      <c r="F73" s="1181">
        <v>2</v>
      </c>
      <c r="G73" s="1181">
        <v>2</v>
      </c>
      <c r="H73" s="1181">
        <v>31</v>
      </c>
      <c r="I73" s="1181"/>
      <c r="J73" s="1181"/>
      <c r="K73" s="1181"/>
      <c r="L73" s="1181">
        <v>1</v>
      </c>
      <c r="M73" s="1181">
        <v>14</v>
      </c>
      <c r="N73" s="1181">
        <v>2</v>
      </c>
      <c r="O73" s="1181"/>
      <c r="P73" s="1181">
        <v>11</v>
      </c>
      <c r="Q73" s="1204">
        <f t="shared" si="28"/>
        <v>248</v>
      </c>
      <c r="R73" s="62"/>
    </row>
    <row r="74" spans="1:18" ht="15.95" customHeight="1">
      <c r="A74" s="66" t="s">
        <v>3011</v>
      </c>
      <c r="B74" s="1199" t="s">
        <v>3123</v>
      </c>
      <c r="C74" s="1199"/>
      <c r="D74" s="67"/>
      <c r="E74" s="1180">
        <v>20160.86</v>
      </c>
      <c r="F74" s="1180">
        <v>20058.12</v>
      </c>
      <c r="G74" s="1180">
        <v>18593.849999999999</v>
      </c>
      <c r="H74" s="1180">
        <v>38088</v>
      </c>
      <c r="I74" s="1180">
        <v>5679</v>
      </c>
      <c r="J74" s="1180">
        <v>7350</v>
      </c>
      <c r="K74" s="1180">
        <v>7345.42</v>
      </c>
      <c r="L74" s="1180">
        <v>6138.83</v>
      </c>
      <c r="M74" s="1180">
        <v>4747</v>
      </c>
      <c r="N74" s="1180">
        <v>4956.18</v>
      </c>
      <c r="O74" s="1180">
        <v>11569</v>
      </c>
      <c r="P74" s="1180">
        <v>1355</v>
      </c>
      <c r="Q74" s="1201">
        <f t="shared" si="28"/>
        <v>146041.25999999998</v>
      </c>
      <c r="R74" s="62"/>
    </row>
    <row r="75" spans="1:18" ht="15.95" customHeight="1">
      <c r="A75" s="66" t="s">
        <v>3012</v>
      </c>
      <c r="B75" s="1199" t="s">
        <v>3124</v>
      </c>
      <c r="C75" s="1199"/>
      <c r="D75" s="67"/>
      <c r="E75" s="1180">
        <v>12152</v>
      </c>
      <c r="F75" s="1180">
        <v>14010</v>
      </c>
      <c r="G75" s="1180">
        <v>9821</v>
      </c>
      <c r="H75" s="1180">
        <v>20444</v>
      </c>
      <c r="I75" s="1180">
        <v>2613</v>
      </c>
      <c r="J75" s="1180">
        <v>3224</v>
      </c>
      <c r="K75" s="1180">
        <v>3402.3</v>
      </c>
      <c r="L75" s="1180">
        <v>2577</v>
      </c>
      <c r="M75" s="1180">
        <v>2560</v>
      </c>
      <c r="N75" s="1180">
        <v>1968</v>
      </c>
      <c r="O75" s="1180">
        <v>4725</v>
      </c>
      <c r="P75" s="1180">
        <v>1800</v>
      </c>
      <c r="Q75" s="1201">
        <f t="shared" si="28"/>
        <v>79296.3</v>
      </c>
      <c r="R75" s="62"/>
    </row>
    <row r="76" spans="1:18">
      <c r="E76" s="3" t="s">
        <v>3183</v>
      </c>
    </row>
    <row r="81" spans="5:16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</sheetData>
  <protectedRanges>
    <protectedRange password="E9C1" sqref="D31 C32 A6:D7 B8:D30 Q6:R75 B33:D75 A8:A75 A3:R5" name="区域1_1"/>
    <protectedRange password="E9C1" sqref="B31:C31 B32" name="区域1_1_1"/>
    <protectedRange password="E9C1" sqref="D32" name="区域1_2"/>
  </protectedRanges>
  <mergeCells count="7">
    <mergeCell ref="A1:R1"/>
    <mergeCell ref="A3:A4"/>
    <mergeCell ref="B3:B4"/>
    <mergeCell ref="C3:C4"/>
    <mergeCell ref="D3:D4"/>
    <mergeCell ref="Q3:Q4"/>
    <mergeCell ref="R3:R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Q75"/>
  <sheetViews>
    <sheetView topLeftCell="B1" workbookViewId="0">
      <selection activeCell="J50" sqref="J50"/>
    </sheetView>
  </sheetViews>
  <sheetFormatPr defaultRowHeight="11.25"/>
  <cols>
    <col min="1" max="1" width="5.75" style="21" hidden="1" customWidth="1"/>
    <col min="2" max="2" width="33.25" style="3" customWidth="1"/>
    <col min="3" max="3" width="0" style="3" hidden="1" customWidth="1"/>
    <col min="4" max="4" width="9" style="1178" hidden="1" customWidth="1"/>
    <col min="5" max="5" width="13.375" style="3" customWidth="1"/>
    <col min="6" max="6" width="13.75" style="3" customWidth="1"/>
    <col min="7" max="7" width="14.25" style="3" customWidth="1"/>
    <col min="8" max="10" width="13.625" style="3" customWidth="1"/>
    <col min="11" max="11" width="13.125" style="3" customWidth="1"/>
    <col min="12" max="12" width="13.75" style="3" customWidth="1"/>
    <col min="13" max="13" width="14.625" style="3" customWidth="1"/>
    <col min="14" max="14" width="15.625" style="3" customWidth="1"/>
    <col min="15" max="15" width="15.625" style="3" hidden="1" customWidth="1"/>
    <col min="16" max="16384" width="9" style="3"/>
  </cols>
  <sheetData>
    <row r="1" spans="1:17" ht="24.95" customHeight="1">
      <c r="A1" s="1362" t="s">
        <v>3066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</row>
    <row r="2" spans="1:17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257" t="s">
        <v>3247</v>
      </c>
      <c r="O2" s="1184" t="s">
        <v>3000</v>
      </c>
    </row>
    <row r="3" spans="1:17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410</v>
      </c>
      <c r="F3" s="1191" t="s">
        <v>273</v>
      </c>
      <c r="G3" s="1191" t="s">
        <v>405</v>
      </c>
      <c r="H3" s="1191" t="s">
        <v>411</v>
      </c>
      <c r="I3" s="1191" t="s">
        <v>409</v>
      </c>
      <c r="J3" s="1191" t="s">
        <v>407</v>
      </c>
      <c r="K3" s="1191" t="s">
        <v>408</v>
      </c>
      <c r="L3" s="1191" t="s">
        <v>412</v>
      </c>
      <c r="M3" s="1191" t="s">
        <v>406</v>
      </c>
      <c r="N3" s="1611" t="s">
        <v>17</v>
      </c>
      <c r="O3" s="1611" t="s">
        <v>18</v>
      </c>
    </row>
    <row r="4" spans="1:17" ht="24.95" customHeight="1">
      <c r="A4" s="1610"/>
      <c r="B4" s="1610"/>
      <c r="C4" s="1610"/>
      <c r="D4" s="1610"/>
      <c r="E4" s="1191" t="s">
        <v>2371</v>
      </c>
      <c r="F4" s="1191" t="s">
        <v>3071</v>
      </c>
      <c r="G4" s="1191" t="s">
        <v>460</v>
      </c>
      <c r="H4" s="1191" t="s">
        <v>2371</v>
      </c>
      <c r="I4" s="1191" t="s">
        <v>460</v>
      </c>
      <c r="J4" s="1191" t="s">
        <v>2371</v>
      </c>
      <c r="K4" s="1191" t="s">
        <v>460</v>
      </c>
      <c r="L4" s="1191" t="s">
        <v>2371</v>
      </c>
      <c r="M4" s="1191" t="s">
        <v>460</v>
      </c>
      <c r="N4" s="1612"/>
      <c r="O4" s="1612"/>
    </row>
    <row r="5" spans="1:17" ht="15" customHeight="1">
      <c r="A5" s="66" t="s">
        <v>19</v>
      </c>
      <c r="B5" s="61" t="s">
        <v>20</v>
      </c>
      <c r="C5" s="61"/>
      <c r="D5" s="62" t="s">
        <v>21</v>
      </c>
      <c r="E5" s="1185">
        <f t="shared" ref="E5:M5" si="0">E6+E33+E40</f>
        <v>43960712.409999996</v>
      </c>
      <c r="F5" s="1185">
        <f t="shared" si="0"/>
        <v>1680790.04</v>
      </c>
      <c r="G5" s="1185">
        <f t="shared" si="0"/>
        <v>6344018.5999999996</v>
      </c>
      <c r="H5" s="1185">
        <f t="shared" si="0"/>
        <v>32437992.780000001</v>
      </c>
      <c r="I5" s="1185">
        <f t="shared" si="0"/>
        <v>8117161.2200000007</v>
      </c>
      <c r="J5" s="1185">
        <f t="shared" si="0"/>
        <v>41335985.530000001</v>
      </c>
      <c r="K5" s="1185">
        <f t="shared" si="0"/>
        <v>9217298.6999999993</v>
      </c>
      <c r="L5" s="1185">
        <f t="shared" si="0"/>
        <v>12890665.950000001</v>
      </c>
      <c r="M5" s="1185">
        <f t="shared" si="0"/>
        <v>3744908.07</v>
      </c>
      <c r="N5" s="1201">
        <f t="shared" ref="N5:N68" si="1">SUM(E5:M5)</f>
        <v>159729533.29999998</v>
      </c>
      <c r="O5" s="62"/>
    </row>
    <row r="6" spans="1:17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28786531.649999999</v>
      </c>
      <c r="F6" s="1185">
        <f t="shared" ref="F6:M6" si="2">F7+F10+F14+F17+F22+F27+F29+F31+F32</f>
        <v>1331888.75</v>
      </c>
      <c r="G6" s="1185">
        <f t="shared" si="2"/>
        <v>4841030.17</v>
      </c>
      <c r="H6" s="1185">
        <f t="shared" si="2"/>
        <v>23711918.490000002</v>
      </c>
      <c r="I6" s="1185">
        <f t="shared" si="2"/>
        <v>5875091.3300000001</v>
      </c>
      <c r="J6" s="1185">
        <f t="shared" si="2"/>
        <v>28292482.109999999</v>
      </c>
      <c r="K6" s="1185">
        <f t="shared" si="2"/>
        <v>6805655.5599999996</v>
      </c>
      <c r="L6" s="1185">
        <f t="shared" si="2"/>
        <v>9945811.5500000007</v>
      </c>
      <c r="M6" s="1185">
        <f t="shared" si="2"/>
        <v>1774968.0699999998</v>
      </c>
      <c r="N6" s="1185">
        <f t="shared" si="1"/>
        <v>111365377.67999999</v>
      </c>
      <c r="O6" s="62"/>
    </row>
    <row r="7" spans="1:17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9191200</v>
      </c>
      <c r="F7" s="1185">
        <f t="shared" ref="F7:M7" si="3">F8+F9</f>
        <v>502590</v>
      </c>
      <c r="G7" s="1185">
        <f t="shared" si="3"/>
        <v>1743639</v>
      </c>
      <c r="H7" s="1185">
        <f t="shared" si="3"/>
        <v>7747988</v>
      </c>
      <c r="I7" s="1185">
        <f t="shared" si="3"/>
        <v>1933980</v>
      </c>
      <c r="J7" s="1185">
        <f t="shared" si="3"/>
        <v>8932047</v>
      </c>
      <c r="K7" s="1185">
        <f t="shared" si="3"/>
        <v>2191029</v>
      </c>
      <c r="L7" s="1185">
        <f t="shared" si="3"/>
        <v>3445050</v>
      </c>
      <c r="M7" s="1185">
        <f t="shared" si="3"/>
        <v>562837</v>
      </c>
      <c r="N7" s="1185">
        <f t="shared" si="1"/>
        <v>36250360</v>
      </c>
      <c r="O7" s="62"/>
    </row>
    <row r="8" spans="1:17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4873171</v>
      </c>
      <c r="F8" s="1180">
        <v>220854</v>
      </c>
      <c r="G8" s="1180">
        <v>881123</v>
      </c>
      <c r="H8" s="1180">
        <v>3779059</v>
      </c>
      <c r="I8" s="1180">
        <v>1118202</v>
      </c>
      <c r="J8" s="1180">
        <v>4676673</v>
      </c>
      <c r="K8" s="1180">
        <v>1278414</v>
      </c>
      <c r="L8" s="1180">
        <v>1941064</v>
      </c>
      <c r="M8" s="1180">
        <v>338289</v>
      </c>
      <c r="N8" s="1185">
        <f t="shared" si="1"/>
        <v>19106849</v>
      </c>
      <c r="O8" s="1192"/>
    </row>
    <row r="9" spans="1:17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4318029</v>
      </c>
      <c r="F9" s="1180">
        <v>281736</v>
      </c>
      <c r="G9" s="1180">
        <v>862516</v>
      </c>
      <c r="H9" s="1180">
        <v>3968929</v>
      </c>
      <c r="I9" s="1180">
        <v>815778</v>
      </c>
      <c r="J9" s="1180">
        <v>4255374</v>
      </c>
      <c r="K9" s="1180">
        <v>912615</v>
      </c>
      <c r="L9" s="1180">
        <v>1503986</v>
      </c>
      <c r="M9" s="1180">
        <v>224548</v>
      </c>
      <c r="N9" s="1185">
        <f t="shared" si="1"/>
        <v>17143511</v>
      </c>
      <c r="O9" s="62"/>
    </row>
    <row r="10" spans="1:17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784152</v>
      </c>
      <c r="F10" s="1185">
        <f t="shared" ref="F10:M10" si="4">F11+F12</f>
        <v>36294</v>
      </c>
      <c r="G10" s="1185">
        <f t="shared" si="4"/>
        <v>149564</v>
      </c>
      <c r="H10" s="1185">
        <f t="shared" si="4"/>
        <v>616167</v>
      </c>
      <c r="I10" s="1185">
        <f t="shared" si="4"/>
        <v>192756</v>
      </c>
      <c r="J10" s="1185">
        <f t="shared" si="4"/>
        <v>771574</v>
      </c>
      <c r="K10" s="1185">
        <f t="shared" si="4"/>
        <v>232070</v>
      </c>
      <c r="L10" s="1185">
        <f t="shared" si="4"/>
        <v>322866</v>
      </c>
      <c r="M10" s="1185">
        <f t="shared" si="4"/>
        <v>60978</v>
      </c>
      <c r="N10" s="1185">
        <f t="shared" si="1"/>
        <v>3166421</v>
      </c>
      <c r="O10" s="62"/>
    </row>
    <row r="11" spans="1:17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12392</v>
      </c>
      <c r="F11" s="1180">
        <v>654</v>
      </c>
      <c r="G11" s="1180">
        <v>2604</v>
      </c>
      <c r="H11" s="1180">
        <v>11607</v>
      </c>
      <c r="I11" s="1180">
        <v>2676</v>
      </c>
      <c r="J11" s="1180">
        <v>12134</v>
      </c>
      <c r="K11" s="1180">
        <v>14710</v>
      </c>
      <c r="L11" s="1180">
        <v>4746</v>
      </c>
      <c r="M11" s="1180">
        <v>698</v>
      </c>
      <c r="N11" s="1185">
        <f t="shared" si="1"/>
        <v>62221</v>
      </c>
      <c r="O11" s="62"/>
    </row>
    <row r="12" spans="1:17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771760</v>
      </c>
      <c r="F12" s="1185">
        <f t="shared" ref="F12:M12" si="5">F13</f>
        <v>35640</v>
      </c>
      <c r="G12" s="1185">
        <f t="shared" si="5"/>
        <v>146960</v>
      </c>
      <c r="H12" s="1185">
        <f t="shared" si="5"/>
        <v>604560</v>
      </c>
      <c r="I12" s="1185">
        <f t="shared" si="5"/>
        <v>190080</v>
      </c>
      <c r="J12" s="1185">
        <f t="shared" si="5"/>
        <v>759440</v>
      </c>
      <c r="K12" s="1185">
        <f t="shared" si="5"/>
        <v>217360</v>
      </c>
      <c r="L12" s="1185">
        <f t="shared" si="5"/>
        <v>318120</v>
      </c>
      <c r="M12" s="1185">
        <f t="shared" si="5"/>
        <v>60280</v>
      </c>
      <c r="N12" s="1185">
        <f t="shared" si="1"/>
        <v>3104200</v>
      </c>
      <c r="O12" s="62"/>
    </row>
    <row r="13" spans="1:17" ht="1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771760</v>
      </c>
      <c r="F13" s="1180">
        <v>35640</v>
      </c>
      <c r="G13" s="1180">
        <v>146960</v>
      </c>
      <c r="H13" s="1180">
        <v>604560</v>
      </c>
      <c r="I13" s="1180">
        <v>190080</v>
      </c>
      <c r="J13" s="1180">
        <v>759440</v>
      </c>
      <c r="K13" s="1180">
        <v>217360</v>
      </c>
      <c r="L13" s="1180">
        <v>318120</v>
      </c>
      <c r="M13" s="1180">
        <v>60280</v>
      </c>
      <c r="N13" s="1185">
        <f t="shared" si="1"/>
        <v>3104200</v>
      </c>
      <c r="O13" s="62"/>
    </row>
    <row r="14" spans="1:17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302556.92000000004</v>
      </c>
      <c r="F14" s="1185">
        <f t="shared" ref="F14:M14" si="6">F15+F16</f>
        <v>12596.99</v>
      </c>
      <c r="G14" s="1185">
        <f t="shared" si="6"/>
        <v>42316.05</v>
      </c>
      <c r="H14" s="1185">
        <f t="shared" si="6"/>
        <v>242035.21000000002</v>
      </c>
      <c r="I14" s="1185">
        <f t="shared" si="6"/>
        <v>63343.61</v>
      </c>
      <c r="J14" s="1185">
        <f t="shared" si="6"/>
        <v>292786.36</v>
      </c>
      <c r="K14" s="1185">
        <f t="shared" si="6"/>
        <v>75155.64</v>
      </c>
      <c r="L14" s="1185">
        <f t="shared" si="6"/>
        <v>91652.78</v>
      </c>
      <c r="M14" s="1185">
        <f t="shared" si="6"/>
        <v>13817.95</v>
      </c>
      <c r="N14" s="1185">
        <f t="shared" si="1"/>
        <v>1136261.51</v>
      </c>
      <c r="O14" s="62"/>
    </row>
    <row r="15" spans="1:17" ht="1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116823.1</v>
      </c>
      <c r="F15" s="1180">
        <v>3554.16</v>
      </c>
      <c r="G15" s="1180">
        <v>11950.81</v>
      </c>
      <c r="H15" s="1180">
        <v>93463.76</v>
      </c>
      <c r="I15" s="1180">
        <v>24468.61</v>
      </c>
      <c r="J15" s="1180">
        <v>113076.56</v>
      </c>
      <c r="K15" s="1180">
        <v>29025.09</v>
      </c>
      <c r="L15" s="1180">
        <v>25879.88</v>
      </c>
      <c r="M15" s="1180">
        <v>3698.5</v>
      </c>
      <c r="N15" s="1185">
        <f t="shared" si="1"/>
        <v>421940.47000000003</v>
      </c>
      <c r="O15" s="62"/>
      <c r="Q15" s="24"/>
    </row>
    <row r="16" spans="1:17" ht="1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185733.82</v>
      </c>
      <c r="F16" s="1180">
        <v>9042.83</v>
      </c>
      <c r="G16" s="1180">
        <v>30365.24</v>
      </c>
      <c r="H16" s="1180">
        <v>148571.45000000001</v>
      </c>
      <c r="I16" s="1180">
        <v>38875</v>
      </c>
      <c r="J16" s="1180">
        <v>179709.8</v>
      </c>
      <c r="K16" s="1180">
        <v>46130.55</v>
      </c>
      <c r="L16" s="1180">
        <v>65772.899999999994</v>
      </c>
      <c r="M16" s="1180">
        <v>10119.450000000001</v>
      </c>
      <c r="N16" s="1185">
        <f t="shared" si="1"/>
        <v>714321.03999999992</v>
      </c>
      <c r="O16" s="62"/>
      <c r="Q16" s="24"/>
    </row>
    <row r="17" spans="1:17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3206035</v>
      </c>
      <c r="F17" s="1185">
        <f t="shared" ref="F17:M17" si="7">F18+F19+F20+F21</f>
        <v>40500</v>
      </c>
      <c r="G17" s="1185">
        <f t="shared" si="7"/>
        <v>403836</v>
      </c>
      <c r="H17" s="1185">
        <f t="shared" si="7"/>
        <v>2894546.5</v>
      </c>
      <c r="I17" s="1185">
        <f t="shared" si="7"/>
        <v>464104</v>
      </c>
      <c r="J17" s="1185">
        <f t="shared" si="7"/>
        <v>3548873.75</v>
      </c>
      <c r="K17" s="1185">
        <f t="shared" si="7"/>
        <v>499304</v>
      </c>
      <c r="L17" s="1185">
        <f t="shared" si="7"/>
        <v>648256</v>
      </c>
      <c r="M17" s="1185">
        <f t="shared" si="7"/>
        <v>292552</v>
      </c>
      <c r="N17" s="1185">
        <f t="shared" si="1"/>
        <v>11998007.25</v>
      </c>
      <c r="O17" s="62"/>
    </row>
    <row r="18" spans="1:17" ht="1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5">
        <f t="shared" si="1"/>
        <v>0</v>
      </c>
      <c r="O18" s="62"/>
    </row>
    <row r="19" spans="1:17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376848</v>
      </c>
      <c r="F19" s="1180"/>
      <c r="G19" s="1180">
        <v>236836</v>
      </c>
      <c r="H19" s="1180">
        <v>566388</v>
      </c>
      <c r="I19" s="1180">
        <v>248104</v>
      </c>
      <c r="J19" s="1180">
        <v>695308</v>
      </c>
      <c r="K19" s="1180">
        <v>246304</v>
      </c>
      <c r="L19" s="1180">
        <v>286756</v>
      </c>
      <c r="M19" s="1180">
        <v>224052</v>
      </c>
      <c r="N19" s="1185">
        <f t="shared" si="1"/>
        <v>2880596</v>
      </c>
      <c r="O19" s="62"/>
    </row>
    <row r="20" spans="1:17" ht="1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877000</v>
      </c>
      <c r="F20" s="1180">
        <v>40500</v>
      </c>
      <c r="G20" s="1180">
        <v>167000</v>
      </c>
      <c r="H20" s="1180">
        <v>688000</v>
      </c>
      <c r="I20" s="1180">
        <v>216000</v>
      </c>
      <c r="J20" s="1180">
        <v>862500</v>
      </c>
      <c r="K20" s="1180">
        <v>253000</v>
      </c>
      <c r="L20" s="1180">
        <v>361500</v>
      </c>
      <c r="M20" s="1180">
        <v>68500</v>
      </c>
      <c r="N20" s="1185">
        <f t="shared" si="1"/>
        <v>3534000</v>
      </c>
      <c r="O20" s="62"/>
    </row>
    <row r="21" spans="1:17" ht="1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1952187</v>
      </c>
      <c r="F21" s="1180"/>
      <c r="G21" s="1180"/>
      <c r="H21" s="1180">
        <v>1640158.5</v>
      </c>
      <c r="I21" s="1180"/>
      <c r="J21" s="1180">
        <v>1991065.75</v>
      </c>
      <c r="K21" s="1180"/>
      <c r="L21" s="1180"/>
      <c r="M21" s="1180"/>
      <c r="N21" s="1185">
        <f t="shared" si="1"/>
        <v>5583411.25</v>
      </c>
      <c r="O21" s="62"/>
    </row>
    <row r="22" spans="1:17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3743407.4099999997</v>
      </c>
      <c r="F22" s="1185">
        <f t="shared" ref="F22:M22" si="8">F23+F24</f>
        <v>179764.89</v>
      </c>
      <c r="G22" s="1185">
        <f t="shared" si="8"/>
        <v>608105.75</v>
      </c>
      <c r="H22" s="1185">
        <f t="shared" si="8"/>
        <v>2960209.09</v>
      </c>
      <c r="I22" s="1185">
        <f t="shared" si="8"/>
        <v>795660.12</v>
      </c>
      <c r="J22" s="1185">
        <f t="shared" si="8"/>
        <v>3569462.27</v>
      </c>
      <c r="K22" s="1185">
        <f t="shared" si="8"/>
        <v>919687.46</v>
      </c>
      <c r="L22" s="1185">
        <f t="shared" si="8"/>
        <v>1335090.29</v>
      </c>
      <c r="M22" s="1185">
        <f t="shared" si="8"/>
        <v>194718.19</v>
      </c>
      <c r="N22" s="1185">
        <f t="shared" si="1"/>
        <v>14306105.469999997</v>
      </c>
      <c r="O22" s="62"/>
    </row>
    <row r="23" spans="1:17" ht="1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3343205.05</v>
      </c>
      <c r="F23" s="1180">
        <v>162769.89000000001</v>
      </c>
      <c r="G23" s="1180">
        <v>546573.82999999996</v>
      </c>
      <c r="H23" s="1180">
        <v>2673341.31</v>
      </c>
      <c r="I23" s="1180">
        <v>699735.2</v>
      </c>
      <c r="J23" s="1180">
        <v>3234772.27</v>
      </c>
      <c r="K23" s="1180">
        <v>830347.46</v>
      </c>
      <c r="L23" s="1180">
        <v>1183904.97</v>
      </c>
      <c r="M23" s="1180">
        <v>182148.19</v>
      </c>
      <c r="N23" s="1185">
        <f t="shared" si="1"/>
        <v>12856798.170000002</v>
      </c>
      <c r="O23" s="62"/>
      <c r="Q23" s="24"/>
    </row>
    <row r="24" spans="1:17" ht="1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400202.36</v>
      </c>
      <c r="F24" s="1185">
        <f t="shared" ref="F24:M24" si="9">F25+F26</f>
        <v>16995</v>
      </c>
      <c r="G24" s="1185">
        <f t="shared" si="9"/>
        <v>61531.92</v>
      </c>
      <c r="H24" s="1185">
        <f t="shared" si="9"/>
        <v>286867.78000000003</v>
      </c>
      <c r="I24" s="1185">
        <f t="shared" si="9"/>
        <v>95924.92</v>
      </c>
      <c r="J24" s="1185">
        <f t="shared" si="9"/>
        <v>334690</v>
      </c>
      <c r="K24" s="1185">
        <f t="shared" si="9"/>
        <v>89340</v>
      </c>
      <c r="L24" s="1185">
        <f t="shared" si="9"/>
        <v>151185.32</v>
      </c>
      <c r="M24" s="1185">
        <f t="shared" si="9"/>
        <v>12570</v>
      </c>
      <c r="N24" s="1185">
        <f t="shared" si="1"/>
        <v>1449307.3</v>
      </c>
      <c r="O24" s="62"/>
    </row>
    <row r="25" spans="1:17" ht="1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f>11002.36+700</f>
        <v>11702.36</v>
      </c>
      <c r="F25" s="1180"/>
      <c r="G25" s="1180">
        <v>16.920000000000002</v>
      </c>
      <c r="H25" s="1180">
        <v>7397.78</v>
      </c>
      <c r="I25" s="1180">
        <v>13889.92</v>
      </c>
      <c r="J25" s="1180">
        <v>2800</v>
      </c>
      <c r="K25" s="1180"/>
      <c r="L25" s="1180">
        <v>19635.32</v>
      </c>
      <c r="M25" s="1180"/>
      <c r="N25" s="1185">
        <f t="shared" si="1"/>
        <v>55442.3</v>
      </c>
      <c r="O25" s="62"/>
    </row>
    <row r="26" spans="1:17" ht="1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388500</v>
      </c>
      <c r="F26" s="1180">
        <v>16995</v>
      </c>
      <c r="G26" s="1180">
        <v>61515</v>
      </c>
      <c r="H26" s="1180">
        <v>279470</v>
      </c>
      <c r="I26" s="1180">
        <v>82035</v>
      </c>
      <c r="J26" s="1180">
        <v>331890</v>
      </c>
      <c r="K26" s="1180">
        <v>89340</v>
      </c>
      <c r="L26" s="1180">
        <v>131550</v>
      </c>
      <c r="M26" s="1180">
        <v>12570</v>
      </c>
      <c r="N26" s="1185">
        <f t="shared" si="1"/>
        <v>1393865</v>
      </c>
      <c r="O26" s="62"/>
    </row>
    <row r="27" spans="1:17" ht="1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M27" si="10">E28</f>
        <v>5943474.8799999999</v>
      </c>
      <c r="F27" s="1185">
        <f t="shared" si="10"/>
        <v>289368.57</v>
      </c>
      <c r="G27" s="1185">
        <f t="shared" si="10"/>
        <v>971686.31</v>
      </c>
      <c r="H27" s="1185">
        <f t="shared" si="10"/>
        <v>4753945.4000000004</v>
      </c>
      <c r="I27" s="1185">
        <f t="shared" si="10"/>
        <v>1243970.3999999999</v>
      </c>
      <c r="J27" s="1185">
        <f t="shared" si="10"/>
        <v>5743841.7599999998</v>
      </c>
      <c r="K27" s="1185">
        <f t="shared" si="10"/>
        <v>1488972.99</v>
      </c>
      <c r="L27" s="1185">
        <f t="shared" si="10"/>
        <v>2104718.86</v>
      </c>
      <c r="M27" s="1185">
        <f t="shared" si="10"/>
        <v>323818.69</v>
      </c>
      <c r="N27" s="1185">
        <f t="shared" si="1"/>
        <v>22863797.859999999</v>
      </c>
      <c r="O27" s="62"/>
    </row>
    <row r="28" spans="1:17" ht="1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5943474.8799999999</v>
      </c>
      <c r="F28" s="1180">
        <v>289368.57</v>
      </c>
      <c r="G28" s="1180">
        <v>971686.31</v>
      </c>
      <c r="H28" s="1180">
        <v>4753945.4000000004</v>
      </c>
      <c r="I28" s="1180">
        <v>1243970.3999999999</v>
      </c>
      <c r="J28" s="1180">
        <v>5743841.7599999998</v>
      </c>
      <c r="K28" s="1180">
        <v>1488972.99</v>
      </c>
      <c r="L28" s="1180">
        <v>2104718.86</v>
      </c>
      <c r="M28" s="1180">
        <v>323818.69</v>
      </c>
      <c r="N28" s="1185">
        <f t="shared" si="1"/>
        <v>22863797.859999999</v>
      </c>
      <c r="O28" s="62"/>
      <c r="Q28" s="24"/>
    </row>
    <row r="29" spans="1:17" ht="1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M29" si="11">E30</f>
        <v>2971737.44</v>
      </c>
      <c r="F29" s="1185">
        <f t="shared" si="11"/>
        <v>144684.29999999999</v>
      </c>
      <c r="G29" s="1185">
        <f t="shared" si="11"/>
        <v>485843.06</v>
      </c>
      <c r="H29" s="1185">
        <f t="shared" si="11"/>
        <v>2379903.29</v>
      </c>
      <c r="I29" s="1185">
        <f t="shared" si="11"/>
        <v>621985.19999999995</v>
      </c>
      <c r="J29" s="1185">
        <f t="shared" si="11"/>
        <v>2868667.97</v>
      </c>
      <c r="K29" s="1185">
        <f t="shared" si="11"/>
        <v>738086.47</v>
      </c>
      <c r="L29" s="1185">
        <f t="shared" si="11"/>
        <v>1052389.6200000001</v>
      </c>
      <c r="M29" s="1185">
        <f t="shared" si="11"/>
        <v>161909.24</v>
      </c>
      <c r="N29" s="1185">
        <f t="shared" si="1"/>
        <v>11425206.590000002</v>
      </c>
      <c r="O29" s="62"/>
    </row>
    <row r="30" spans="1:17" ht="1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2971737.44</v>
      </c>
      <c r="F30" s="1180">
        <v>144684.29999999999</v>
      </c>
      <c r="G30" s="1180">
        <v>485843.06</v>
      </c>
      <c r="H30" s="1180">
        <v>2379903.29</v>
      </c>
      <c r="I30" s="1180">
        <v>621985.19999999995</v>
      </c>
      <c r="J30" s="1180">
        <v>2868667.97</v>
      </c>
      <c r="K30" s="1180">
        <v>738086.47</v>
      </c>
      <c r="L30" s="1180">
        <v>1052389.6200000001</v>
      </c>
      <c r="M30" s="1180">
        <v>161909.24</v>
      </c>
      <c r="N30" s="1185">
        <f t="shared" si="1"/>
        <v>11425206.590000002</v>
      </c>
      <c r="O30" s="62"/>
      <c r="Q30" s="24"/>
    </row>
    <row r="31" spans="1:17" ht="1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2592968</v>
      </c>
      <c r="F31" s="1180">
        <v>124590</v>
      </c>
      <c r="G31" s="1180">
        <v>427040</v>
      </c>
      <c r="H31" s="1180">
        <v>2075624</v>
      </c>
      <c r="I31" s="1180">
        <v>545292</v>
      </c>
      <c r="J31" s="1180">
        <v>2514229</v>
      </c>
      <c r="K31" s="1180">
        <v>645850</v>
      </c>
      <c r="L31" s="1180">
        <v>924288</v>
      </c>
      <c r="M31" s="1180">
        <v>164337</v>
      </c>
      <c r="N31" s="1185">
        <f t="shared" si="1"/>
        <v>10014218</v>
      </c>
      <c r="O31" s="62"/>
      <c r="Q31" s="24"/>
    </row>
    <row r="32" spans="1:17" ht="1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51000</v>
      </c>
      <c r="F32" s="1180">
        <v>1500</v>
      </c>
      <c r="G32" s="1180">
        <v>9000</v>
      </c>
      <c r="H32" s="1180">
        <v>41500</v>
      </c>
      <c r="I32" s="1180">
        <v>14000</v>
      </c>
      <c r="J32" s="1180">
        <v>51000</v>
      </c>
      <c r="K32" s="1180">
        <v>15500</v>
      </c>
      <c r="L32" s="1180">
        <v>21500</v>
      </c>
      <c r="M32" s="1180">
        <v>0</v>
      </c>
      <c r="N32" s="1185">
        <f t="shared" si="1"/>
        <v>205000</v>
      </c>
      <c r="O32" s="62"/>
    </row>
    <row r="33" spans="1:15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3156735</v>
      </c>
      <c r="F33" s="1185">
        <f t="shared" ref="F33:M33" si="12">F34+F36+F38</f>
        <v>57240</v>
      </c>
      <c r="G33" s="1185">
        <f t="shared" si="12"/>
        <v>184440</v>
      </c>
      <c r="H33" s="1185">
        <f t="shared" si="12"/>
        <v>1839430</v>
      </c>
      <c r="I33" s="1185">
        <f t="shared" si="12"/>
        <v>259620</v>
      </c>
      <c r="J33" s="1185">
        <f t="shared" si="12"/>
        <v>2289480</v>
      </c>
      <c r="K33" s="1185">
        <f t="shared" si="12"/>
        <v>42470</v>
      </c>
      <c r="L33" s="1185">
        <f t="shared" si="12"/>
        <v>234370</v>
      </c>
      <c r="M33" s="1185">
        <f t="shared" si="12"/>
        <v>120</v>
      </c>
      <c r="N33" s="1185">
        <f t="shared" si="1"/>
        <v>8063905</v>
      </c>
      <c r="O33" s="62"/>
    </row>
    <row r="34" spans="1:15" ht="1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3153495</v>
      </c>
      <c r="F34" s="1185">
        <f t="shared" ref="F34:M34" si="13">F35</f>
        <v>57240</v>
      </c>
      <c r="G34" s="1185">
        <f t="shared" si="13"/>
        <v>184440</v>
      </c>
      <c r="H34" s="1185">
        <f t="shared" si="13"/>
        <v>1834780</v>
      </c>
      <c r="I34" s="1185">
        <f t="shared" si="13"/>
        <v>256380</v>
      </c>
      <c r="J34" s="1185">
        <f t="shared" si="13"/>
        <v>2285400</v>
      </c>
      <c r="K34" s="1185">
        <f t="shared" si="13"/>
        <v>41030</v>
      </c>
      <c r="L34" s="1185">
        <f t="shared" si="13"/>
        <v>231550</v>
      </c>
      <c r="M34" s="1185">
        <f t="shared" si="13"/>
        <v>0</v>
      </c>
      <c r="N34" s="1185">
        <f t="shared" si="1"/>
        <v>8044315</v>
      </c>
      <c r="O34" s="62"/>
    </row>
    <row r="35" spans="1:15" ht="1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3153495</v>
      </c>
      <c r="F35" s="1180">
        <v>57240</v>
      </c>
      <c r="G35" s="1180">
        <v>184440</v>
      </c>
      <c r="H35" s="1180">
        <f>1534780+300000</f>
        <v>1834780</v>
      </c>
      <c r="I35" s="1180">
        <v>256380</v>
      </c>
      <c r="J35" s="1180">
        <v>2285400</v>
      </c>
      <c r="K35" s="1180">
        <v>41030</v>
      </c>
      <c r="L35" s="1180">
        <v>231550</v>
      </c>
      <c r="M35" s="1180"/>
      <c r="N35" s="1185">
        <f t="shared" si="1"/>
        <v>8044315</v>
      </c>
      <c r="O35" s="62"/>
    </row>
    <row r="36" spans="1:15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3240</v>
      </c>
      <c r="F36" s="1185">
        <f t="shared" ref="F36:M36" si="14">F37</f>
        <v>0</v>
      </c>
      <c r="G36" s="1185">
        <f t="shared" si="14"/>
        <v>0</v>
      </c>
      <c r="H36" s="1185">
        <f t="shared" si="14"/>
        <v>4650</v>
      </c>
      <c r="I36" s="1185">
        <f t="shared" si="14"/>
        <v>3240</v>
      </c>
      <c r="J36" s="1185">
        <f t="shared" si="14"/>
        <v>4080</v>
      </c>
      <c r="K36" s="1185">
        <f t="shared" si="14"/>
        <v>1440</v>
      </c>
      <c r="L36" s="1185">
        <f t="shared" si="14"/>
        <v>2820</v>
      </c>
      <c r="M36" s="1185">
        <f t="shared" si="14"/>
        <v>120</v>
      </c>
      <c r="N36" s="1185">
        <f t="shared" si="1"/>
        <v>19590</v>
      </c>
      <c r="O36" s="62"/>
    </row>
    <row r="37" spans="1:15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3240</v>
      </c>
      <c r="F37" s="1180"/>
      <c r="G37" s="1180"/>
      <c r="H37" s="1180">
        <v>4650</v>
      </c>
      <c r="I37" s="1180">
        <v>3240</v>
      </c>
      <c r="J37" s="1180">
        <v>4080</v>
      </c>
      <c r="K37" s="1180">
        <v>1440</v>
      </c>
      <c r="L37" s="1180">
        <v>2820</v>
      </c>
      <c r="M37" s="1180">
        <v>120</v>
      </c>
      <c r="N37" s="1185">
        <f t="shared" si="1"/>
        <v>19590</v>
      </c>
      <c r="O37" s="62"/>
    </row>
    <row r="38" spans="1:15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M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"/>
        <v>0</v>
      </c>
      <c r="O38" s="62"/>
    </row>
    <row r="39" spans="1:15" ht="1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5">
        <f t="shared" si="1"/>
        <v>0</v>
      </c>
      <c r="O39" s="62"/>
    </row>
    <row r="40" spans="1:15" ht="1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M40" si="16">E41+E43+E45+E47+E49+E52+E54+E56+E60</f>
        <v>12017445.76</v>
      </c>
      <c r="F40" s="1185">
        <f t="shared" si="16"/>
        <v>291661.28999999998</v>
      </c>
      <c r="G40" s="1185">
        <f t="shared" si="16"/>
        <v>1318548.43</v>
      </c>
      <c r="H40" s="1185">
        <f t="shared" si="16"/>
        <v>6886644.29</v>
      </c>
      <c r="I40" s="1185">
        <f t="shared" si="16"/>
        <v>1982449.8900000001</v>
      </c>
      <c r="J40" s="1185">
        <f t="shared" si="16"/>
        <v>10754023.42</v>
      </c>
      <c r="K40" s="1185">
        <f t="shared" si="16"/>
        <v>2369173.14</v>
      </c>
      <c r="L40" s="1185">
        <f t="shared" si="16"/>
        <v>2710484.4</v>
      </c>
      <c r="M40" s="1185">
        <f t="shared" si="16"/>
        <v>1969820</v>
      </c>
      <c r="N40" s="1185">
        <f t="shared" si="1"/>
        <v>40300250.619999997</v>
      </c>
      <c r="O40" s="62"/>
    </row>
    <row r="41" spans="1:15" ht="15" customHeight="1">
      <c r="A41" s="66" t="s">
        <v>99</v>
      </c>
      <c r="B41" s="61" t="s">
        <v>100</v>
      </c>
      <c r="C41" s="61"/>
      <c r="D41" s="62" t="s">
        <v>101</v>
      </c>
      <c r="E41" s="1180">
        <v>9345295</v>
      </c>
      <c r="F41" s="1180">
        <v>156800</v>
      </c>
      <c r="G41" s="1180">
        <v>898030</v>
      </c>
      <c r="H41" s="1180">
        <v>5073385</v>
      </c>
      <c r="I41" s="1180">
        <v>1422850</v>
      </c>
      <c r="J41" s="1180">
        <v>8259515</v>
      </c>
      <c r="K41" s="1180">
        <v>1723140</v>
      </c>
      <c r="L41" s="1180">
        <v>1981930</v>
      </c>
      <c r="M41" s="1180">
        <v>1716000</v>
      </c>
      <c r="N41" s="1185">
        <f t="shared" si="1"/>
        <v>30576945</v>
      </c>
      <c r="O41" s="62"/>
    </row>
    <row r="42" spans="1:15" ht="1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467264.75</v>
      </c>
      <c r="F42" s="1180">
        <v>7840</v>
      </c>
      <c r="G42" s="1180">
        <v>44901.5</v>
      </c>
      <c r="H42" s="1180">
        <v>253669.25</v>
      </c>
      <c r="I42" s="1180">
        <v>59631</v>
      </c>
      <c r="J42" s="1180">
        <v>412975.75</v>
      </c>
      <c r="K42" s="1180">
        <v>71070.5</v>
      </c>
      <c r="L42" s="1180">
        <v>99096.5</v>
      </c>
      <c r="M42" s="1180">
        <v>28385.5</v>
      </c>
      <c r="N42" s="1185">
        <f t="shared" si="1"/>
        <v>1444834.75</v>
      </c>
      <c r="O42" s="62"/>
    </row>
    <row r="43" spans="1:15" ht="15" customHeight="1">
      <c r="A43" s="66" t="s">
        <v>106</v>
      </c>
      <c r="B43" s="61" t="s">
        <v>107</v>
      </c>
      <c r="C43" s="61"/>
      <c r="D43" s="62"/>
      <c r="E43" s="1185">
        <f>E44</f>
        <v>58400</v>
      </c>
      <c r="F43" s="1185">
        <f t="shared" ref="F43:M43" si="17">F44</f>
        <v>2800</v>
      </c>
      <c r="G43" s="1185">
        <f t="shared" si="17"/>
        <v>11600</v>
      </c>
      <c r="H43" s="1185">
        <f t="shared" si="17"/>
        <v>46000</v>
      </c>
      <c r="I43" s="1185">
        <f t="shared" si="17"/>
        <v>14400</v>
      </c>
      <c r="J43" s="1185">
        <f t="shared" si="17"/>
        <v>57600</v>
      </c>
      <c r="K43" s="1185">
        <f t="shared" si="17"/>
        <v>17200</v>
      </c>
      <c r="L43" s="1185">
        <f t="shared" si="17"/>
        <v>24000</v>
      </c>
      <c r="M43" s="1185">
        <f t="shared" si="17"/>
        <v>4560</v>
      </c>
      <c r="N43" s="1185">
        <f t="shared" si="1"/>
        <v>236560</v>
      </c>
      <c r="O43" s="62"/>
    </row>
    <row r="44" spans="1:15" ht="15" customHeight="1">
      <c r="A44" s="66">
        <v>56</v>
      </c>
      <c r="B44" s="61" t="s">
        <v>109</v>
      </c>
      <c r="C44" s="61" t="s">
        <v>27</v>
      </c>
      <c r="D44" s="67" t="s">
        <v>3152</v>
      </c>
      <c r="E44" s="1180">
        <v>58400</v>
      </c>
      <c r="F44" s="1180">
        <v>2800</v>
      </c>
      <c r="G44" s="1180">
        <v>11600</v>
      </c>
      <c r="H44" s="1180">
        <v>46000</v>
      </c>
      <c r="I44" s="1180">
        <v>14400</v>
      </c>
      <c r="J44" s="1180">
        <v>57600</v>
      </c>
      <c r="K44" s="1180">
        <v>17200</v>
      </c>
      <c r="L44" s="1180">
        <v>24000</v>
      </c>
      <c r="M44" s="1180">
        <v>4560</v>
      </c>
      <c r="N44" s="1185">
        <f t="shared" si="1"/>
        <v>236560</v>
      </c>
      <c r="O44" s="62"/>
    </row>
    <row r="45" spans="1:15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281524.05</v>
      </c>
      <c r="F45" s="1185">
        <f t="shared" ref="F45:M45" si="18">F46</f>
        <v>0</v>
      </c>
      <c r="G45" s="1185">
        <f t="shared" si="18"/>
        <v>64068.6</v>
      </c>
      <c r="H45" s="1185">
        <f t="shared" si="18"/>
        <v>174225</v>
      </c>
      <c r="I45" s="1185">
        <f t="shared" si="18"/>
        <v>97749.75</v>
      </c>
      <c r="J45" s="1185">
        <f t="shared" si="18"/>
        <v>371567.5</v>
      </c>
      <c r="K45" s="1185">
        <f t="shared" si="18"/>
        <v>162938.4</v>
      </c>
      <c r="L45" s="1185">
        <f t="shared" si="18"/>
        <v>58073.4</v>
      </c>
      <c r="M45" s="1185">
        <f t="shared" si="18"/>
        <v>93315</v>
      </c>
      <c r="N45" s="1185">
        <f t="shared" si="1"/>
        <v>1303461.6999999997</v>
      </c>
      <c r="O45" s="62"/>
    </row>
    <row r="46" spans="1:15" ht="1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281524.05</v>
      </c>
      <c r="F46" s="1180"/>
      <c r="G46" s="1180">
        <v>64068.6</v>
      </c>
      <c r="H46" s="1180">
        <v>174225</v>
      </c>
      <c r="I46" s="1180">
        <v>97749.75</v>
      </c>
      <c r="J46" s="1180">
        <f>436567.5-65000</f>
        <v>371567.5</v>
      </c>
      <c r="K46" s="1180">
        <v>162938.4</v>
      </c>
      <c r="L46" s="1180">
        <v>58073.4</v>
      </c>
      <c r="M46" s="1180">
        <f>118315-25000</f>
        <v>93315</v>
      </c>
      <c r="N46" s="1185">
        <f t="shared" si="1"/>
        <v>1303461.6999999997</v>
      </c>
      <c r="O46" s="62"/>
    </row>
    <row r="47" spans="1:15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144000</v>
      </c>
      <c r="F47" s="1185">
        <f t="shared" ref="F47:M47" si="19">F48</f>
        <v>28739</v>
      </c>
      <c r="G47" s="1185">
        <f t="shared" si="19"/>
        <v>23898.400000000001</v>
      </c>
      <c r="H47" s="1185">
        <f t="shared" si="19"/>
        <v>96000</v>
      </c>
      <c r="I47" s="1185">
        <f t="shared" si="19"/>
        <v>37600</v>
      </c>
      <c r="J47" s="1185">
        <f t="shared" si="19"/>
        <v>100900.8</v>
      </c>
      <c r="K47" s="1185">
        <f t="shared" si="19"/>
        <v>50073.599999999999</v>
      </c>
      <c r="L47" s="1185">
        <f t="shared" si="19"/>
        <v>33100</v>
      </c>
      <c r="M47" s="1185">
        <f t="shared" si="19"/>
        <v>27672</v>
      </c>
      <c r="N47" s="1185">
        <f t="shared" si="1"/>
        <v>541983.80000000005</v>
      </c>
      <c r="O47" s="62"/>
    </row>
    <row r="48" spans="1:15" ht="1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144000</v>
      </c>
      <c r="F48" s="1180">
        <v>28739</v>
      </c>
      <c r="G48" s="1180">
        <v>23898.400000000001</v>
      </c>
      <c r="H48" s="1180">
        <v>96000</v>
      </c>
      <c r="I48" s="1180">
        <v>37600</v>
      </c>
      <c r="J48" s="1180">
        <v>100900.8</v>
      </c>
      <c r="K48" s="1180">
        <v>50073.599999999999</v>
      </c>
      <c r="L48" s="1180">
        <v>33100</v>
      </c>
      <c r="M48" s="1180">
        <v>27672</v>
      </c>
      <c r="N48" s="1185">
        <f t="shared" si="1"/>
        <v>541983.80000000005</v>
      </c>
      <c r="O48" s="62"/>
    </row>
    <row r="49" spans="1:15" ht="1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1355400</v>
      </c>
      <c r="F49" s="1185">
        <f t="shared" ref="F49:M49" si="20">F50+F51</f>
        <v>45360</v>
      </c>
      <c r="G49" s="1185">
        <f t="shared" si="20"/>
        <v>167760</v>
      </c>
      <c r="H49" s="1185">
        <f t="shared" si="20"/>
        <v>856080</v>
      </c>
      <c r="I49" s="1185">
        <f t="shared" si="20"/>
        <v>216000</v>
      </c>
      <c r="J49" s="1185">
        <f t="shared" si="20"/>
        <v>1150560</v>
      </c>
      <c r="K49" s="1185">
        <f t="shared" si="20"/>
        <v>194400</v>
      </c>
      <c r="L49" s="1185">
        <f t="shared" si="20"/>
        <v>317160</v>
      </c>
      <c r="M49" s="1185">
        <f t="shared" si="20"/>
        <v>49320</v>
      </c>
      <c r="N49" s="1185">
        <f t="shared" si="1"/>
        <v>4352040</v>
      </c>
      <c r="O49" s="62"/>
    </row>
    <row r="50" spans="1:15" ht="1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631440</v>
      </c>
      <c r="F50" s="1180">
        <v>30240</v>
      </c>
      <c r="G50" s="1180">
        <v>120240</v>
      </c>
      <c r="H50" s="1180">
        <v>501120</v>
      </c>
      <c r="I50" s="1180">
        <v>155520</v>
      </c>
      <c r="J50" s="1180">
        <v>621360</v>
      </c>
      <c r="K50" s="1180">
        <v>182160</v>
      </c>
      <c r="L50" s="1180">
        <v>260280</v>
      </c>
      <c r="M50" s="1180">
        <v>49320</v>
      </c>
      <c r="N50" s="1185">
        <f t="shared" si="1"/>
        <v>2551680</v>
      </c>
      <c r="O50" s="62"/>
    </row>
    <row r="51" spans="1:15" ht="1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723960</v>
      </c>
      <c r="F51" s="1180">
        <v>15120</v>
      </c>
      <c r="G51" s="1180">
        <v>47520</v>
      </c>
      <c r="H51" s="1180">
        <v>354960</v>
      </c>
      <c r="I51" s="1180">
        <v>60480</v>
      </c>
      <c r="J51" s="1180">
        <v>529200</v>
      </c>
      <c r="K51" s="1180">
        <v>12240</v>
      </c>
      <c r="L51" s="1180">
        <v>56880</v>
      </c>
      <c r="M51" s="1180"/>
      <c r="N51" s="1185">
        <f t="shared" si="1"/>
        <v>1800360</v>
      </c>
      <c r="O51" s="62"/>
    </row>
    <row r="52" spans="1:15" ht="1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743574.86</v>
      </c>
      <c r="F52" s="1185">
        <f t="shared" ref="F52:M52" si="21">F53</f>
        <v>37762.29</v>
      </c>
      <c r="G52" s="1185">
        <f t="shared" si="21"/>
        <v>116691.43</v>
      </c>
      <c r="H52" s="1185">
        <f t="shared" si="21"/>
        <v>595714.29</v>
      </c>
      <c r="I52" s="1185">
        <f t="shared" si="21"/>
        <v>154025.14000000001</v>
      </c>
      <c r="J52" s="1185">
        <f t="shared" si="21"/>
        <v>726144</v>
      </c>
      <c r="K52" s="1185">
        <f t="shared" si="21"/>
        <v>187121.14</v>
      </c>
      <c r="L52" s="1185">
        <f t="shared" si="21"/>
        <v>257496</v>
      </c>
      <c r="M52" s="1185">
        <f t="shared" si="21"/>
        <v>46953</v>
      </c>
      <c r="N52" s="1185">
        <f t="shared" si="1"/>
        <v>2865482.1500000004</v>
      </c>
      <c r="O52" s="62"/>
    </row>
    <row r="53" spans="1:15" ht="1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743574.86</v>
      </c>
      <c r="F53" s="1180">
        <v>37762.29</v>
      </c>
      <c r="G53" s="1180">
        <v>116691.43</v>
      </c>
      <c r="H53" s="1180">
        <v>595714.29</v>
      </c>
      <c r="I53" s="1180">
        <v>154025.14000000001</v>
      </c>
      <c r="J53" s="1180">
        <v>726144</v>
      </c>
      <c r="K53" s="1180">
        <v>187121.14</v>
      </c>
      <c r="L53" s="1180">
        <v>257496</v>
      </c>
      <c r="M53" s="1180">
        <v>46953</v>
      </c>
      <c r="N53" s="1185">
        <f t="shared" si="1"/>
        <v>2865482.1500000004</v>
      </c>
      <c r="O53" s="62"/>
    </row>
    <row r="54" spans="1:15" ht="1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18701.849999999999</v>
      </c>
      <c r="F54" s="1185">
        <f t="shared" ref="F54:M54" si="22">F55</f>
        <v>0</v>
      </c>
      <c r="G54" s="1185">
        <f t="shared" si="22"/>
        <v>0</v>
      </c>
      <c r="H54" s="1185">
        <f t="shared" si="22"/>
        <v>9290</v>
      </c>
      <c r="I54" s="1185">
        <f t="shared" si="22"/>
        <v>0</v>
      </c>
      <c r="J54" s="1185">
        <f t="shared" si="22"/>
        <v>33166.120000000003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1"/>
        <v>61157.97</v>
      </c>
      <c r="O54" s="62"/>
    </row>
    <row r="55" spans="1:15" ht="1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18701.849999999999</v>
      </c>
      <c r="F55" s="1180"/>
      <c r="G55" s="1180"/>
      <c r="H55" s="1180">
        <v>9290</v>
      </c>
      <c r="I55" s="1180"/>
      <c r="J55" s="1180">
        <v>33166.120000000003</v>
      </c>
      <c r="K55" s="1180"/>
      <c r="L55" s="1180"/>
      <c r="M55" s="1180"/>
      <c r="N55" s="1185">
        <f t="shared" si="1"/>
        <v>61157.97</v>
      </c>
      <c r="O55" s="62"/>
    </row>
    <row r="56" spans="1:15" ht="1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70550</v>
      </c>
      <c r="F56" s="1185">
        <f t="shared" ref="F56:M56" si="23">F57+F59</f>
        <v>1600</v>
      </c>
      <c r="G56" s="1185">
        <f t="shared" si="23"/>
        <v>4500</v>
      </c>
      <c r="H56" s="1185">
        <f t="shared" si="23"/>
        <v>35950</v>
      </c>
      <c r="I56" s="1185">
        <f t="shared" si="23"/>
        <v>7825</v>
      </c>
      <c r="J56" s="1185">
        <f t="shared" si="23"/>
        <v>54570</v>
      </c>
      <c r="K56" s="1185">
        <f t="shared" si="23"/>
        <v>2300</v>
      </c>
      <c r="L56" s="1185">
        <f t="shared" si="23"/>
        <v>6725</v>
      </c>
      <c r="M56" s="1185">
        <f t="shared" si="23"/>
        <v>0</v>
      </c>
      <c r="N56" s="1185">
        <f t="shared" si="1"/>
        <v>184020</v>
      </c>
      <c r="O56" s="62"/>
    </row>
    <row r="57" spans="1:15" ht="1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67200</v>
      </c>
      <c r="F57" s="1185">
        <f t="shared" ref="F57:M57" si="24">F58</f>
        <v>1600</v>
      </c>
      <c r="G57" s="1185">
        <f t="shared" si="24"/>
        <v>4400</v>
      </c>
      <c r="H57" s="1185">
        <f t="shared" si="24"/>
        <v>32800</v>
      </c>
      <c r="I57" s="1185">
        <f t="shared" si="24"/>
        <v>5600</v>
      </c>
      <c r="J57" s="1185">
        <f t="shared" si="24"/>
        <v>49000</v>
      </c>
      <c r="K57" s="1185">
        <f t="shared" si="24"/>
        <v>1200</v>
      </c>
      <c r="L57" s="1185">
        <f t="shared" si="24"/>
        <v>5200</v>
      </c>
      <c r="M57" s="1185">
        <f t="shared" si="24"/>
        <v>0</v>
      </c>
      <c r="N57" s="1185">
        <f t="shared" si="1"/>
        <v>167000</v>
      </c>
      <c r="O57" s="62"/>
    </row>
    <row r="58" spans="1:15" ht="1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67200</v>
      </c>
      <c r="F58" s="1180">
        <v>1600</v>
      </c>
      <c r="G58" s="1180">
        <v>4400</v>
      </c>
      <c r="H58" s="1180">
        <v>32800</v>
      </c>
      <c r="I58" s="1180">
        <v>5600</v>
      </c>
      <c r="J58" s="1180">
        <v>49000</v>
      </c>
      <c r="K58" s="1180">
        <v>1200</v>
      </c>
      <c r="L58" s="1180">
        <v>5200</v>
      </c>
      <c r="M58" s="1180"/>
      <c r="N58" s="1185">
        <f t="shared" si="1"/>
        <v>167000</v>
      </c>
      <c r="O58" s="62"/>
    </row>
    <row r="59" spans="1:15" ht="1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3350</v>
      </c>
      <c r="F59" s="1186"/>
      <c r="G59" s="1186">
        <v>100</v>
      </c>
      <c r="H59" s="1186">
        <v>3150</v>
      </c>
      <c r="I59" s="1186">
        <v>2225</v>
      </c>
      <c r="J59" s="1186">
        <v>5570</v>
      </c>
      <c r="K59" s="1186">
        <v>1100</v>
      </c>
      <c r="L59" s="1186">
        <v>1525</v>
      </c>
      <c r="M59" s="1186"/>
      <c r="N59" s="1185">
        <f t="shared" si="1"/>
        <v>17020</v>
      </c>
      <c r="O59" s="62"/>
    </row>
    <row r="60" spans="1:15" ht="1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M60" si="25">F61</f>
        <v>18600</v>
      </c>
      <c r="G60" s="1185">
        <f t="shared" si="25"/>
        <v>32000</v>
      </c>
      <c r="H60" s="1185">
        <f t="shared" si="25"/>
        <v>0</v>
      </c>
      <c r="I60" s="1185">
        <f t="shared" si="25"/>
        <v>32000</v>
      </c>
      <c r="J60" s="1185">
        <f t="shared" si="25"/>
        <v>0</v>
      </c>
      <c r="K60" s="1185">
        <f t="shared" si="25"/>
        <v>32000</v>
      </c>
      <c r="L60" s="1185">
        <f t="shared" si="25"/>
        <v>32000</v>
      </c>
      <c r="M60" s="1185">
        <f t="shared" si="25"/>
        <v>32000</v>
      </c>
      <c r="N60" s="1185">
        <f t="shared" si="1"/>
        <v>178600</v>
      </c>
      <c r="O60" s="62"/>
    </row>
    <row r="61" spans="1:15" ht="1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18600</v>
      </c>
      <c r="G61" s="1179">
        <v>32000</v>
      </c>
      <c r="H61" s="1179"/>
      <c r="I61" s="1179">
        <v>32000</v>
      </c>
      <c r="J61" s="1179"/>
      <c r="K61" s="1179">
        <v>32000</v>
      </c>
      <c r="L61" s="1179">
        <v>32000</v>
      </c>
      <c r="M61" s="1179">
        <v>32000</v>
      </c>
      <c r="N61" s="1185">
        <f t="shared" si="1"/>
        <v>178600</v>
      </c>
      <c r="O61" s="1187"/>
    </row>
    <row r="62" spans="1:15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5">
        <f t="shared" si="1"/>
        <v>0</v>
      </c>
      <c r="O62" s="1189"/>
    </row>
    <row r="63" spans="1:15" ht="1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148</v>
      </c>
      <c r="F63" s="1198">
        <f t="shared" ref="F63:M63" si="26">F64+F65+F66+F67</f>
        <v>7</v>
      </c>
      <c r="G63" s="1198">
        <f t="shared" si="26"/>
        <v>29</v>
      </c>
      <c r="H63" s="1198">
        <f t="shared" si="26"/>
        <v>114</v>
      </c>
      <c r="I63" s="1198">
        <f t="shared" si="26"/>
        <v>36</v>
      </c>
      <c r="J63" s="1198">
        <f t="shared" si="26"/>
        <v>144</v>
      </c>
      <c r="K63" s="1198">
        <f t="shared" si="26"/>
        <v>42</v>
      </c>
      <c r="L63" s="1198">
        <f t="shared" si="26"/>
        <v>61</v>
      </c>
      <c r="M63" s="1198">
        <f t="shared" si="26"/>
        <v>19</v>
      </c>
      <c r="N63" s="1198">
        <f t="shared" si="1"/>
        <v>600</v>
      </c>
      <c r="O63" s="62"/>
    </row>
    <row r="64" spans="1:15" ht="15" customHeight="1">
      <c r="A64" s="66" t="s">
        <v>148</v>
      </c>
      <c r="B64" s="1199" t="s">
        <v>149</v>
      </c>
      <c r="C64" s="1199"/>
      <c r="D64" s="62"/>
      <c r="E64" s="1190">
        <v>71</v>
      </c>
      <c r="F64" s="1190"/>
      <c r="G64" s="1190"/>
      <c r="H64" s="1190">
        <v>53</v>
      </c>
      <c r="I64" s="1190"/>
      <c r="J64" s="1190">
        <v>66</v>
      </c>
      <c r="K64" s="1190"/>
      <c r="L64" s="1190"/>
      <c r="M64" s="1190"/>
      <c r="N64" s="1198">
        <f t="shared" si="1"/>
        <v>190</v>
      </c>
      <c r="O64" s="62"/>
    </row>
    <row r="65" spans="1:15" ht="15" customHeight="1">
      <c r="A65" s="66" t="s">
        <v>150</v>
      </c>
      <c r="B65" s="1199" t="s">
        <v>151</v>
      </c>
      <c r="C65" s="1199"/>
      <c r="D65" s="62"/>
      <c r="E65" s="1190">
        <v>77</v>
      </c>
      <c r="F65" s="1190"/>
      <c r="G65" s="1190"/>
      <c r="H65" s="1190">
        <v>61</v>
      </c>
      <c r="I65" s="1190"/>
      <c r="J65" s="1190">
        <v>78</v>
      </c>
      <c r="K65" s="1190"/>
      <c r="L65" s="1190"/>
      <c r="M65" s="1190"/>
      <c r="N65" s="1198">
        <f t="shared" si="1"/>
        <v>216</v>
      </c>
      <c r="O65" s="62"/>
    </row>
    <row r="66" spans="1:15" ht="1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>
        <v>29</v>
      </c>
      <c r="H66" s="1190"/>
      <c r="I66" s="1190">
        <v>36</v>
      </c>
      <c r="J66" s="1190"/>
      <c r="K66" s="1190">
        <v>42</v>
      </c>
      <c r="L66" s="1190">
        <v>61</v>
      </c>
      <c r="M66" s="1190">
        <v>19</v>
      </c>
      <c r="N66" s="1198">
        <f t="shared" si="1"/>
        <v>187</v>
      </c>
      <c r="O66" s="62"/>
    </row>
    <row r="67" spans="1:15" ht="15" customHeight="1">
      <c r="A67" s="66" t="s">
        <v>154</v>
      </c>
      <c r="B67" s="1199" t="s">
        <v>155</v>
      </c>
      <c r="C67" s="1199"/>
      <c r="D67" s="62"/>
      <c r="E67" s="1190"/>
      <c r="F67" s="1190">
        <v>7</v>
      </c>
      <c r="G67" s="1190"/>
      <c r="H67" s="1190"/>
      <c r="I67" s="1190"/>
      <c r="J67" s="1190"/>
      <c r="K67" s="1190"/>
      <c r="L67" s="1190"/>
      <c r="M67" s="1190"/>
      <c r="N67" s="1198">
        <f t="shared" si="1"/>
        <v>7</v>
      </c>
      <c r="O67" s="62"/>
    </row>
    <row r="68" spans="1:15" ht="1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2886</v>
      </c>
      <c r="F68" s="1198">
        <f t="shared" ref="F68:M68" si="27">F69+F70+F71+F72</f>
        <v>0</v>
      </c>
      <c r="G68" s="1198">
        <f t="shared" si="27"/>
        <v>307</v>
      </c>
      <c r="H68" s="1198">
        <f t="shared" si="27"/>
        <v>1417</v>
      </c>
      <c r="I68" s="1198">
        <f t="shared" si="27"/>
        <v>413</v>
      </c>
      <c r="J68" s="1198">
        <f t="shared" si="27"/>
        <v>2417</v>
      </c>
      <c r="K68" s="1198">
        <f t="shared" si="27"/>
        <v>463</v>
      </c>
      <c r="L68" s="1198">
        <f t="shared" si="27"/>
        <v>644</v>
      </c>
      <c r="M68" s="1198">
        <f t="shared" si="27"/>
        <v>312</v>
      </c>
      <c r="N68" s="1198">
        <f t="shared" si="1"/>
        <v>8859</v>
      </c>
      <c r="O68" s="62"/>
    </row>
    <row r="69" spans="1:15" ht="15" customHeight="1">
      <c r="A69" s="66" t="s">
        <v>158</v>
      </c>
      <c r="B69" s="1199" t="s">
        <v>149</v>
      </c>
      <c r="C69" s="1199"/>
      <c r="D69" s="62"/>
      <c r="E69" s="1190">
        <v>1099</v>
      </c>
      <c r="F69" s="1190"/>
      <c r="G69" s="1190"/>
      <c r="H69" s="1190">
        <v>706</v>
      </c>
      <c r="I69" s="1190"/>
      <c r="J69" s="1190">
        <v>1097</v>
      </c>
      <c r="K69" s="1190"/>
      <c r="L69" s="1190"/>
      <c r="M69" s="1190"/>
      <c r="N69" s="1198">
        <f t="shared" ref="N69:N75" si="28">SUM(E69:M69)</f>
        <v>2902</v>
      </c>
      <c r="O69" s="62"/>
    </row>
    <row r="70" spans="1:15" ht="15" customHeight="1">
      <c r="A70" s="66" t="s">
        <v>159</v>
      </c>
      <c r="B70" s="1199" t="s">
        <v>151</v>
      </c>
      <c r="C70" s="1199"/>
      <c r="D70" s="62"/>
      <c r="E70" s="1190">
        <v>1787</v>
      </c>
      <c r="F70" s="1190"/>
      <c r="G70" s="1190"/>
      <c r="H70" s="1190">
        <v>711</v>
      </c>
      <c r="I70" s="1190"/>
      <c r="J70" s="1190">
        <v>1320</v>
      </c>
      <c r="K70" s="1190"/>
      <c r="L70" s="1190"/>
      <c r="M70" s="1190"/>
      <c r="N70" s="1198">
        <f t="shared" si="28"/>
        <v>3818</v>
      </c>
      <c r="O70" s="62"/>
    </row>
    <row r="71" spans="1:15" ht="1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>
        <v>307</v>
      </c>
      <c r="H71" s="1190"/>
      <c r="I71" s="1190">
        <v>413</v>
      </c>
      <c r="J71" s="1190"/>
      <c r="K71" s="1190">
        <v>463</v>
      </c>
      <c r="L71" s="1190">
        <v>644</v>
      </c>
      <c r="M71" s="1190">
        <v>312</v>
      </c>
      <c r="N71" s="1198">
        <f t="shared" si="28"/>
        <v>2139</v>
      </c>
      <c r="O71" s="62"/>
    </row>
    <row r="72" spans="1:15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8">
        <f t="shared" si="28"/>
        <v>0</v>
      </c>
      <c r="O72" s="62"/>
    </row>
    <row r="73" spans="1:15" ht="15" customHeight="1">
      <c r="A73" s="66" t="s">
        <v>162</v>
      </c>
      <c r="B73" s="61" t="s">
        <v>3122</v>
      </c>
      <c r="C73" s="61"/>
      <c r="D73" s="62"/>
      <c r="E73" s="1190">
        <v>171</v>
      </c>
      <c r="F73" s="1190">
        <v>4</v>
      </c>
      <c r="G73" s="1190">
        <v>11</v>
      </c>
      <c r="H73" s="1190">
        <v>82</v>
      </c>
      <c r="I73" s="1190">
        <v>14</v>
      </c>
      <c r="J73" s="1190">
        <v>123</v>
      </c>
      <c r="K73" s="1190">
        <v>3</v>
      </c>
      <c r="L73" s="1190">
        <v>14</v>
      </c>
      <c r="M73" s="1190">
        <v>0</v>
      </c>
      <c r="N73" s="1198">
        <f t="shared" si="28"/>
        <v>422</v>
      </c>
      <c r="O73" s="62"/>
    </row>
    <row r="74" spans="1:15" ht="15" customHeight="1">
      <c r="A74" s="66" t="s">
        <v>3011</v>
      </c>
      <c r="B74" s="1199" t="s">
        <v>3123</v>
      </c>
      <c r="C74" s="1199"/>
      <c r="D74" s="67"/>
      <c r="E74" s="1180">
        <v>18768.27</v>
      </c>
      <c r="F74" s="1180">
        <v>2216</v>
      </c>
      <c r="G74" s="1180">
        <v>4271.24</v>
      </c>
      <c r="H74" s="1180">
        <v>11615</v>
      </c>
      <c r="I74" s="1180">
        <v>6516.65</v>
      </c>
      <c r="J74" s="1180">
        <v>29104.5</v>
      </c>
      <c r="K74" s="1180">
        <v>10862.56</v>
      </c>
      <c r="L74" s="1180">
        <v>7862.42</v>
      </c>
      <c r="M74" s="1180">
        <v>7998</v>
      </c>
      <c r="N74" s="1185">
        <f t="shared" si="28"/>
        <v>99214.64</v>
      </c>
      <c r="O74" s="62"/>
    </row>
    <row r="75" spans="1:15" ht="15" customHeight="1">
      <c r="A75" s="66" t="s">
        <v>3012</v>
      </c>
      <c r="B75" s="1199" t="s">
        <v>3124</v>
      </c>
      <c r="C75" s="1199"/>
      <c r="D75" s="67"/>
      <c r="E75" s="1180">
        <v>18000</v>
      </c>
      <c r="F75" s="1180">
        <v>6252</v>
      </c>
      <c r="G75" s="1180">
        <v>2987.3</v>
      </c>
      <c r="H75" s="1180">
        <v>12000</v>
      </c>
      <c r="I75" s="1180">
        <v>4700</v>
      </c>
      <c r="J75" s="1180">
        <v>12612.6</v>
      </c>
      <c r="K75" s="1180">
        <v>6259.2</v>
      </c>
      <c r="L75" s="1180">
        <v>4137.5</v>
      </c>
      <c r="M75" s="1180">
        <v>3459</v>
      </c>
      <c r="N75" s="1185">
        <f t="shared" si="28"/>
        <v>70407.600000000006</v>
      </c>
      <c r="O75" s="62"/>
    </row>
  </sheetData>
  <protectedRanges>
    <protectedRange password="E9C1" sqref="D31 C32 A6:D7 B8:D30 N6:O75 B33:D75 A8:A75 A3:O5" name="区域1_1"/>
    <protectedRange password="E9C1" sqref="B31:C31 B32" name="区域1_1_1"/>
    <protectedRange password="E9C1" sqref="D32" name="区域1_2"/>
  </protectedRanges>
  <mergeCells count="7">
    <mergeCell ref="A1:O1"/>
    <mergeCell ref="A3:A4"/>
    <mergeCell ref="B3:B4"/>
    <mergeCell ref="C3:C4"/>
    <mergeCell ref="D3:D4"/>
    <mergeCell ref="N3:N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355" t="s">
        <v>830</v>
      </c>
      <c r="B1" s="1356"/>
      <c r="C1" s="1356"/>
      <c r="D1" s="1356"/>
      <c r="E1" s="1356"/>
      <c r="F1" s="1356"/>
      <c r="G1" s="1356"/>
      <c r="H1" s="1356"/>
      <c r="I1" s="1356"/>
      <c r="J1" s="1356"/>
      <c r="K1" s="1356"/>
      <c r="L1" s="1356"/>
      <c r="M1" s="1356"/>
      <c r="N1" s="1356"/>
      <c r="O1" s="1356"/>
      <c r="P1" s="1356"/>
      <c r="Q1" s="1356"/>
    </row>
    <row r="2" spans="1:17" ht="4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359" t="s">
        <v>17</v>
      </c>
    </row>
    <row r="3" spans="1:17">
      <c r="A3" s="1360"/>
      <c r="B3" s="1360"/>
      <c r="C3" s="1360"/>
      <c r="D3" s="1360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360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W84"/>
  <sheetViews>
    <sheetView topLeftCell="B1" workbookViewId="0">
      <pane xSplit="3" ySplit="4" topLeftCell="E6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" style="21" hidden="1" customWidth="1"/>
    <col min="2" max="2" width="25.875" style="3" customWidth="1"/>
    <col min="3" max="3" width="0" style="3" hidden="1" customWidth="1"/>
    <col min="4" max="4" width="0" style="1243" hidden="1" customWidth="1"/>
    <col min="5" max="5" width="12.75" style="3" customWidth="1"/>
    <col min="6" max="6" width="12.25" style="3" customWidth="1"/>
    <col min="7" max="7" width="13.125" style="3" customWidth="1"/>
    <col min="8" max="8" width="13.25" style="3" customWidth="1"/>
    <col min="9" max="9" width="12.5" style="3" customWidth="1"/>
    <col min="10" max="10" width="12.875" style="3" customWidth="1"/>
    <col min="11" max="11" width="12.25" style="3" customWidth="1"/>
    <col min="12" max="13" width="12.375" style="3" customWidth="1"/>
    <col min="14" max="14" width="12.75" style="3" customWidth="1"/>
    <col min="15" max="15" width="11.75" style="3" customWidth="1"/>
    <col min="16" max="16" width="11.625" style="3" customWidth="1"/>
    <col min="17" max="17" width="12.875" style="3" customWidth="1"/>
    <col min="18" max="18" width="11.875" style="3" customWidth="1"/>
    <col min="19" max="19" width="12.375" style="3" customWidth="1"/>
    <col min="20" max="20" width="15.625" style="3" customWidth="1"/>
    <col min="21" max="21" width="15.625" style="3" hidden="1" customWidth="1"/>
    <col min="22" max="22" width="9" style="3"/>
    <col min="23" max="23" width="9.75" style="23" bestFit="1" customWidth="1"/>
    <col min="24" max="16384" width="9" style="3"/>
  </cols>
  <sheetData>
    <row r="1" spans="1:21" ht="24.95" customHeight="1">
      <c r="A1" s="1362" t="s">
        <v>3068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  <c r="U1" s="1362"/>
    </row>
    <row r="2" spans="1:21" ht="20.100000000000001" customHeight="1">
      <c r="A2" s="1242"/>
      <c r="B2" s="1242"/>
      <c r="C2" s="1242"/>
      <c r="D2" s="1242"/>
      <c r="E2" s="1242"/>
      <c r="F2" s="1242"/>
      <c r="G2" s="1242"/>
      <c r="H2" s="1242"/>
      <c r="I2" s="1242"/>
      <c r="J2" s="1242"/>
      <c r="K2" s="1242"/>
      <c r="L2" s="1242"/>
      <c r="M2" s="1242"/>
      <c r="N2" s="1242"/>
      <c r="O2" s="1242"/>
      <c r="P2" s="1242"/>
      <c r="Q2" s="1242"/>
      <c r="R2" s="1242"/>
      <c r="S2" s="1242"/>
      <c r="T2" s="1257" t="s">
        <v>3247</v>
      </c>
      <c r="U2" s="1184" t="s">
        <v>3000</v>
      </c>
    </row>
    <row r="3" spans="1:21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176</v>
      </c>
      <c r="F3" s="1191" t="s">
        <v>177</v>
      </c>
      <c r="G3" s="1191" t="s">
        <v>178</v>
      </c>
      <c r="H3" s="1191" t="s">
        <v>179</v>
      </c>
      <c r="I3" s="1191" t="s">
        <v>180</v>
      </c>
      <c r="J3" s="1191" t="s">
        <v>181</v>
      </c>
      <c r="K3" s="1191" t="s">
        <v>182</v>
      </c>
      <c r="L3" s="1191" t="s">
        <v>183</v>
      </c>
      <c r="M3" s="1191" t="s">
        <v>184</v>
      </c>
      <c r="N3" s="1191" t="s">
        <v>185</v>
      </c>
      <c r="O3" s="1191" t="s">
        <v>186</v>
      </c>
      <c r="P3" s="1191" t="s">
        <v>187</v>
      </c>
      <c r="Q3" s="1191" t="s">
        <v>416</v>
      </c>
      <c r="R3" s="1191" t="s">
        <v>417</v>
      </c>
      <c r="S3" s="1191" t="s">
        <v>418</v>
      </c>
      <c r="T3" s="1611" t="s">
        <v>17</v>
      </c>
      <c r="U3" s="1611" t="s">
        <v>18</v>
      </c>
    </row>
    <row r="4" spans="1:21" ht="24.95" customHeight="1">
      <c r="A4" s="1610"/>
      <c r="B4" s="1610"/>
      <c r="C4" s="1610"/>
      <c r="D4" s="1610"/>
      <c r="E4" s="1191" t="s">
        <v>3177</v>
      </c>
      <c r="F4" s="1191" t="s">
        <v>3177</v>
      </c>
      <c r="G4" s="1191" t="s">
        <v>3096</v>
      </c>
      <c r="H4" s="1191" t="s">
        <v>3096</v>
      </c>
      <c r="I4" s="1191" t="s">
        <v>3096</v>
      </c>
      <c r="J4" s="1191" t="s">
        <v>3096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3083</v>
      </c>
      <c r="P4" s="1191" t="s">
        <v>3082</v>
      </c>
      <c r="Q4" s="1191" t="s">
        <v>3081</v>
      </c>
      <c r="R4" s="1191" t="s">
        <v>3177</v>
      </c>
      <c r="S4" s="1191" t="s">
        <v>3081</v>
      </c>
      <c r="T4" s="1612"/>
      <c r="U4" s="1612"/>
    </row>
    <row r="5" spans="1:21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S5" si="0">E6+E33+E40</f>
        <v>33767273.159999996</v>
      </c>
      <c r="F5" s="1185">
        <f t="shared" si="0"/>
        <v>20167935.599999998</v>
      </c>
      <c r="G5" s="1185">
        <f t="shared" si="0"/>
        <v>21897873.469999999</v>
      </c>
      <c r="H5" s="1185">
        <f t="shared" si="0"/>
        <v>20959473.460000001</v>
      </c>
      <c r="I5" s="1185">
        <f t="shared" si="0"/>
        <v>45958532.649999999</v>
      </c>
      <c r="J5" s="1185">
        <f t="shared" si="0"/>
        <v>14125465.15</v>
      </c>
      <c r="K5" s="1185">
        <f t="shared" si="0"/>
        <v>12095558.670000002</v>
      </c>
      <c r="L5" s="1185">
        <f t="shared" si="0"/>
        <v>11247702.99</v>
      </c>
      <c r="M5" s="1185">
        <f t="shared" si="0"/>
        <v>9211096.25</v>
      </c>
      <c r="N5" s="1185">
        <f t="shared" si="0"/>
        <v>9456355.3900000006</v>
      </c>
      <c r="O5" s="1185">
        <f t="shared" si="0"/>
        <v>32589020.68</v>
      </c>
      <c r="P5" s="1185">
        <f t="shared" si="0"/>
        <v>1185075.6500000001</v>
      </c>
      <c r="Q5" s="1185">
        <f t="shared" si="0"/>
        <v>3856424.51</v>
      </c>
      <c r="R5" s="1185">
        <f t="shared" si="0"/>
        <v>22046263.779999997</v>
      </c>
      <c r="S5" s="1185">
        <f t="shared" si="0"/>
        <v>6922273.4299999997</v>
      </c>
      <c r="T5" s="1221">
        <f t="shared" ref="T5:T68" si="1">SUM(E5:S5)</f>
        <v>265486324.84000003</v>
      </c>
      <c r="U5" s="62"/>
    </row>
    <row r="6" spans="1:21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23385691.019999996</v>
      </c>
      <c r="F6" s="1185">
        <f t="shared" ref="F6:S6" si="2">F7+F10+F14+F17+F22+F27+F29+F31+F32</f>
        <v>14031494.739999998</v>
      </c>
      <c r="G6" s="1185">
        <f t="shared" si="2"/>
        <v>15413220.469999999</v>
      </c>
      <c r="H6" s="1185">
        <f t="shared" si="2"/>
        <v>15273636.17</v>
      </c>
      <c r="I6" s="1185">
        <f t="shared" si="2"/>
        <v>32955464.619999997</v>
      </c>
      <c r="J6" s="1185">
        <f t="shared" si="2"/>
        <v>10310410.640000001</v>
      </c>
      <c r="K6" s="1185">
        <f t="shared" si="2"/>
        <v>9160320.2100000009</v>
      </c>
      <c r="L6" s="1185">
        <f t="shared" si="2"/>
        <v>7669505.3700000001</v>
      </c>
      <c r="M6" s="1185">
        <f t="shared" si="2"/>
        <v>6686929.3600000003</v>
      </c>
      <c r="N6" s="1185">
        <f t="shared" si="2"/>
        <v>7145688.7300000004</v>
      </c>
      <c r="O6" s="1185">
        <f t="shared" si="2"/>
        <v>23858460.16</v>
      </c>
      <c r="P6" s="1185">
        <f t="shared" si="2"/>
        <v>891469.94000000006</v>
      </c>
      <c r="Q6" s="1185">
        <f t="shared" si="2"/>
        <v>2734244.08</v>
      </c>
      <c r="R6" s="1185">
        <f t="shared" si="2"/>
        <v>15438548.369999997</v>
      </c>
      <c r="S6" s="1185">
        <f t="shared" si="2"/>
        <v>4953285.49</v>
      </c>
      <c r="T6" s="1221">
        <f t="shared" si="1"/>
        <v>189908369.37</v>
      </c>
      <c r="U6" s="62"/>
    </row>
    <row r="7" spans="1:21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6941762</v>
      </c>
      <c r="F7" s="1185">
        <f t="shared" ref="F7:S7" si="3">F8+F9</f>
        <v>4075587</v>
      </c>
      <c r="G7" s="1185">
        <f t="shared" si="3"/>
        <v>4884124</v>
      </c>
      <c r="H7" s="1185">
        <f t="shared" si="3"/>
        <v>5003519</v>
      </c>
      <c r="I7" s="1185">
        <f t="shared" si="3"/>
        <v>9834120.1999999993</v>
      </c>
      <c r="J7" s="1185">
        <f t="shared" si="3"/>
        <v>2972482</v>
      </c>
      <c r="K7" s="1185">
        <f t="shared" si="3"/>
        <v>3118411.44</v>
      </c>
      <c r="L7" s="1185">
        <f t="shared" si="3"/>
        <v>2527594</v>
      </c>
      <c r="M7" s="1185">
        <f t="shared" si="3"/>
        <v>2180258.9900000002</v>
      </c>
      <c r="N7" s="1185">
        <f t="shared" si="3"/>
        <v>2380867.6800000002</v>
      </c>
      <c r="O7" s="1185">
        <f t="shared" si="3"/>
        <v>6954233</v>
      </c>
      <c r="P7" s="1185">
        <f t="shared" si="3"/>
        <v>305197</v>
      </c>
      <c r="Q7" s="1185">
        <f t="shared" si="3"/>
        <v>816131</v>
      </c>
      <c r="R7" s="1185">
        <f t="shared" si="3"/>
        <v>4233183.8</v>
      </c>
      <c r="S7" s="1185">
        <f t="shared" si="3"/>
        <v>1554331.07</v>
      </c>
      <c r="T7" s="1221">
        <f t="shared" si="1"/>
        <v>57781802.18</v>
      </c>
      <c r="U7" s="62"/>
    </row>
    <row r="8" spans="1:21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f>[1]底稿!G2</f>
        <v>3718213</v>
      </c>
      <c r="F8" s="1180">
        <f>[1]底稿!G20-300000</f>
        <v>2123819</v>
      </c>
      <c r="G8" s="1180">
        <f>[1]底稿!G38-100000</f>
        <v>2358016</v>
      </c>
      <c r="H8" s="1180">
        <f>[1]底稿!G57-100000</f>
        <v>2567704</v>
      </c>
      <c r="I8" s="1180">
        <f>[1]底稿!G75-300000</f>
        <v>5577483.4000000004</v>
      </c>
      <c r="J8" s="1180">
        <f>[1]底稿!G93</f>
        <v>1875827</v>
      </c>
      <c r="K8" s="1180">
        <f>[1]底稿!G111</f>
        <v>1670022.44</v>
      </c>
      <c r="L8" s="1180">
        <f>[1]底稿!G129</f>
        <v>1413400</v>
      </c>
      <c r="M8" s="1180">
        <f>[1]底稿!G147</f>
        <v>1296001.99</v>
      </c>
      <c r="N8" s="1180">
        <f>[1]底稿!G166</f>
        <v>1365272</v>
      </c>
      <c r="O8" s="1180">
        <f>[1]底稿!G185-300000</f>
        <v>4120721</v>
      </c>
      <c r="P8" s="1180">
        <f>[1]底稿!G203</f>
        <v>164918</v>
      </c>
      <c r="Q8" s="1180">
        <f>[1]底稿!G222</f>
        <v>517177</v>
      </c>
      <c r="R8" s="1180">
        <f>[1]底稿!G240</f>
        <v>2639804.2999999998</v>
      </c>
      <c r="S8" s="1180">
        <f>[1]底稿!G258</f>
        <v>927131.75</v>
      </c>
      <c r="T8" s="1221">
        <f t="shared" si="1"/>
        <v>32335510.879999999</v>
      </c>
      <c r="U8" s="1192"/>
    </row>
    <row r="9" spans="1:21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f>[1]底稿!G3</f>
        <v>3223549</v>
      </c>
      <c r="F9" s="1180">
        <f>[1]底稿!G21</f>
        <v>1951768</v>
      </c>
      <c r="G9" s="1180">
        <f>[1]底稿!G39</f>
        <v>2526108</v>
      </c>
      <c r="H9" s="1180">
        <f>[1]底稿!G58</f>
        <v>2435815</v>
      </c>
      <c r="I9" s="1180">
        <f>[1]底稿!G76</f>
        <v>4256636.8</v>
      </c>
      <c r="J9" s="1180">
        <f>[1]底稿!G94</f>
        <v>1096655</v>
      </c>
      <c r="K9" s="1180">
        <f>[1]底稿!G112</f>
        <v>1448389</v>
      </c>
      <c r="L9" s="1180">
        <f>[1]底稿!G130</f>
        <v>1114194</v>
      </c>
      <c r="M9" s="1180">
        <f>[1]底稿!G148</f>
        <v>884257</v>
      </c>
      <c r="N9" s="1180">
        <f>[1]底稿!G167</f>
        <v>1015595.68</v>
      </c>
      <c r="O9" s="1180">
        <f>[1]底稿!G186</f>
        <v>2833512</v>
      </c>
      <c r="P9" s="1180">
        <f>[1]底稿!G204</f>
        <v>140279</v>
      </c>
      <c r="Q9" s="1180">
        <f>[1]底稿!G223</f>
        <v>298954</v>
      </c>
      <c r="R9" s="1180">
        <f>[1]底稿!G241</f>
        <v>1593379.5</v>
      </c>
      <c r="S9" s="1180">
        <f>[1]底稿!G259</f>
        <v>627199.32000000007</v>
      </c>
      <c r="T9" s="1221">
        <f t="shared" si="1"/>
        <v>25446291.300000001</v>
      </c>
      <c r="U9" s="62"/>
    </row>
    <row r="10" spans="1:21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592157</v>
      </c>
      <c r="F10" s="1185">
        <f t="shared" ref="F10:S10" si="4">F11+F12</f>
        <v>379885</v>
      </c>
      <c r="G10" s="1185">
        <f t="shared" si="4"/>
        <v>397988</v>
      </c>
      <c r="H10" s="1185">
        <f t="shared" si="4"/>
        <v>433352</v>
      </c>
      <c r="I10" s="1185">
        <f t="shared" si="4"/>
        <v>943195</v>
      </c>
      <c r="J10" s="1185">
        <f t="shared" si="4"/>
        <v>317444</v>
      </c>
      <c r="K10" s="1185">
        <f t="shared" si="4"/>
        <v>290532</v>
      </c>
      <c r="L10" s="1185">
        <f t="shared" si="4"/>
        <v>234890</v>
      </c>
      <c r="M10" s="1185">
        <f t="shared" si="4"/>
        <v>223726.4</v>
      </c>
      <c r="N10" s="1185">
        <f t="shared" si="4"/>
        <v>231153</v>
      </c>
      <c r="O10" s="1185">
        <f t="shared" si="4"/>
        <v>688176</v>
      </c>
      <c r="P10" s="1185">
        <f t="shared" si="4"/>
        <v>26772</v>
      </c>
      <c r="Q10" s="1185">
        <f t="shared" si="4"/>
        <v>92866</v>
      </c>
      <c r="R10" s="1185">
        <f t="shared" si="4"/>
        <v>446093</v>
      </c>
      <c r="S10" s="1185">
        <f t="shared" si="4"/>
        <v>165919</v>
      </c>
      <c r="T10" s="1221">
        <f t="shared" si="1"/>
        <v>5464148.4000000004</v>
      </c>
      <c r="U10" s="62"/>
    </row>
    <row r="11" spans="1:21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f>[1]底稿!G4</f>
        <v>9157</v>
      </c>
      <c r="F11" s="1180">
        <f>[1]底稿!G22</f>
        <v>5445</v>
      </c>
      <c r="G11" s="1180">
        <f>[1]底稿!G40</f>
        <v>7308</v>
      </c>
      <c r="H11" s="1180">
        <f>[1]底稿!G59</f>
        <v>6112</v>
      </c>
      <c r="I11" s="1180">
        <f>[1]底稿!G77</f>
        <v>10915</v>
      </c>
      <c r="J11" s="1180">
        <f>[1]底稿!G95</f>
        <v>2844</v>
      </c>
      <c r="K11" s="1180">
        <f>[1]底稿!G113</f>
        <v>4532</v>
      </c>
      <c r="L11" s="1180">
        <f>[1]底稿!G131</f>
        <v>3350</v>
      </c>
      <c r="M11" s="1180">
        <f>[1]底稿!G149</f>
        <v>7246.4</v>
      </c>
      <c r="N11" s="1180">
        <f>[1]底稿!G168</f>
        <v>3233</v>
      </c>
      <c r="O11" s="1180">
        <f>[1]底稿!G187</f>
        <v>8816</v>
      </c>
      <c r="P11" s="1180">
        <f>[1]底稿!G205</f>
        <v>372</v>
      </c>
      <c r="Q11" s="1180">
        <f>[1]底稿!G224</f>
        <v>906</v>
      </c>
      <c r="R11" s="1180">
        <f>[1]底稿!G242</f>
        <v>2973</v>
      </c>
      <c r="S11" s="1180">
        <f>[1]底稿!G260</f>
        <v>1799</v>
      </c>
      <c r="T11" s="1221">
        <f t="shared" si="1"/>
        <v>75008.399999999994</v>
      </c>
      <c r="U11" s="62"/>
    </row>
    <row r="12" spans="1:21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583000</v>
      </c>
      <c r="F12" s="1185">
        <f t="shared" ref="F12:S12" si="5">F13</f>
        <v>374440</v>
      </c>
      <c r="G12" s="1185">
        <f t="shared" si="5"/>
        <v>390680</v>
      </c>
      <c r="H12" s="1185">
        <f t="shared" si="5"/>
        <v>427240</v>
      </c>
      <c r="I12" s="1185">
        <f t="shared" si="5"/>
        <v>932280</v>
      </c>
      <c r="J12" s="1185">
        <f t="shared" si="5"/>
        <v>314600</v>
      </c>
      <c r="K12" s="1185">
        <f t="shared" si="5"/>
        <v>286000</v>
      </c>
      <c r="L12" s="1185">
        <f t="shared" si="5"/>
        <v>231540</v>
      </c>
      <c r="M12" s="1185">
        <f t="shared" si="5"/>
        <v>216480</v>
      </c>
      <c r="N12" s="1185">
        <f t="shared" si="5"/>
        <v>227920</v>
      </c>
      <c r="O12" s="1185">
        <f t="shared" si="5"/>
        <v>679360</v>
      </c>
      <c r="P12" s="1185">
        <f t="shared" si="5"/>
        <v>26400</v>
      </c>
      <c r="Q12" s="1185">
        <f t="shared" si="5"/>
        <v>91960</v>
      </c>
      <c r="R12" s="1185">
        <f t="shared" si="5"/>
        <v>443120</v>
      </c>
      <c r="S12" s="1185">
        <f t="shared" si="5"/>
        <v>164120</v>
      </c>
      <c r="T12" s="1221">
        <f t="shared" si="1"/>
        <v>5389140</v>
      </c>
      <c r="U12" s="62"/>
    </row>
    <row r="13" spans="1:21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f>[1]底稿!G5</f>
        <v>583000</v>
      </c>
      <c r="F13" s="1180">
        <f>[1]底稿!G23</f>
        <v>374440</v>
      </c>
      <c r="G13" s="1180">
        <f>[1]底稿!G41</f>
        <v>390680</v>
      </c>
      <c r="H13" s="1180">
        <f>[1]底稿!G60</f>
        <v>427240</v>
      </c>
      <c r="I13" s="1180">
        <f>[1]底稿!G78</f>
        <v>932280</v>
      </c>
      <c r="J13" s="1180">
        <f>[1]底稿!G96</f>
        <v>314600</v>
      </c>
      <c r="K13" s="1180">
        <f>[1]底稿!G114</f>
        <v>286000</v>
      </c>
      <c r="L13" s="1180">
        <f>[1]底稿!G132</f>
        <v>231540</v>
      </c>
      <c r="M13" s="1180">
        <f>[1]底稿!G150</f>
        <v>216480</v>
      </c>
      <c r="N13" s="1180">
        <f>[1]底稿!G169</f>
        <v>227920</v>
      </c>
      <c r="O13" s="1180">
        <f>[1]底稿!G188</f>
        <v>679360</v>
      </c>
      <c r="P13" s="1180">
        <f>[1]底稿!G206</f>
        <v>26400</v>
      </c>
      <c r="Q13" s="1180">
        <f>[1]底稿!G225</f>
        <v>91960</v>
      </c>
      <c r="R13" s="1180">
        <f>[1]底稿!G243</f>
        <v>443120</v>
      </c>
      <c r="S13" s="1180">
        <f>[1]底稿!G261</f>
        <v>164120</v>
      </c>
      <c r="T13" s="1221">
        <f t="shared" si="1"/>
        <v>5389140</v>
      </c>
      <c r="U13" s="62"/>
    </row>
    <row r="14" spans="1:21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246164.13</v>
      </c>
      <c r="F14" s="1185">
        <f t="shared" ref="F14:S14" si="6">F15+F16</f>
        <v>130223.92999999998</v>
      </c>
      <c r="G14" s="1185">
        <f t="shared" si="6"/>
        <v>159270.43</v>
      </c>
      <c r="H14" s="1185">
        <f t="shared" si="6"/>
        <v>159338.38999999998</v>
      </c>
      <c r="I14" s="1185">
        <f t="shared" si="6"/>
        <v>356275.3</v>
      </c>
      <c r="J14" s="1185">
        <f t="shared" si="6"/>
        <v>99019.07</v>
      </c>
      <c r="K14" s="1185">
        <f t="shared" si="6"/>
        <v>104006.12999999999</v>
      </c>
      <c r="L14" s="1185">
        <f t="shared" si="6"/>
        <v>86215.15</v>
      </c>
      <c r="M14" s="1185">
        <f t="shared" si="6"/>
        <v>77976.039999999994</v>
      </c>
      <c r="N14" s="1185">
        <f t="shared" si="6"/>
        <v>67607.199999999983</v>
      </c>
      <c r="O14" s="1185">
        <f t="shared" si="6"/>
        <v>247450.22000000003</v>
      </c>
      <c r="P14" s="1185">
        <f t="shared" si="6"/>
        <v>8883.7800000000007</v>
      </c>
      <c r="Q14" s="1185">
        <f t="shared" si="6"/>
        <v>29050.28</v>
      </c>
      <c r="R14" s="1185">
        <f t="shared" si="6"/>
        <v>150707.01</v>
      </c>
      <c r="S14" s="1185">
        <f t="shared" si="6"/>
        <v>46650.42</v>
      </c>
      <c r="T14" s="1221">
        <f t="shared" si="1"/>
        <v>1968837.4799999997</v>
      </c>
      <c r="U14" s="62"/>
    </row>
    <row r="15" spans="1:21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f>[1]底稿!G6</f>
        <v>94925.290000000008</v>
      </c>
      <c r="F15" s="1180">
        <f>[1]底稿!G24</f>
        <v>36631.589999999997</v>
      </c>
      <c r="G15" s="1180">
        <f>[1]底稿!G42</f>
        <v>61510.540000000008</v>
      </c>
      <c r="H15" s="1180">
        <f>[1]底稿!G61</f>
        <v>61522.739999999991</v>
      </c>
      <c r="I15" s="1180">
        <f>[1]底稿!G79</f>
        <v>138470.72999999998</v>
      </c>
      <c r="J15" s="1180">
        <f>[1]底稿!G97</f>
        <v>36532.42</v>
      </c>
      <c r="K15" s="1180">
        <f>[1]底稿!G115</f>
        <v>42675.209999999992</v>
      </c>
      <c r="L15" s="1180">
        <f>[1]底稿!G133</f>
        <v>34053.979999999996</v>
      </c>
      <c r="M15" s="1180">
        <f>[1]底稿!G151</f>
        <v>32553.48</v>
      </c>
      <c r="N15" s="1180">
        <f>[1]底稿!G170</f>
        <v>18950.120000000003</v>
      </c>
      <c r="O15" s="1180">
        <f>[1]底稿!G189</f>
        <v>88736.680000000008</v>
      </c>
      <c r="P15" s="1180">
        <f>[1]底稿!G207</f>
        <v>2507.96</v>
      </c>
      <c r="Q15" s="1180">
        <f>[1]底稿!G226</f>
        <v>11225.140000000001</v>
      </c>
      <c r="R15" s="1180">
        <f>[1]底稿!G244</f>
        <v>43447.3</v>
      </c>
      <c r="S15" s="1180">
        <v>13174.24</v>
      </c>
      <c r="T15" s="1221">
        <f t="shared" si="1"/>
        <v>716917.42</v>
      </c>
      <c r="U15" s="62"/>
    </row>
    <row r="16" spans="1:21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f>[1]底稿!G7</f>
        <v>151238.84</v>
      </c>
      <c r="F16" s="1180">
        <f>[1]底稿!G25</f>
        <v>93592.339999999982</v>
      </c>
      <c r="G16" s="1180">
        <f>[1]底稿!G43</f>
        <v>97759.889999999985</v>
      </c>
      <c r="H16" s="1180">
        <f>[1]底稿!G62</f>
        <v>97815.65</v>
      </c>
      <c r="I16" s="1180">
        <f>[1]底稿!G80</f>
        <v>217804.57</v>
      </c>
      <c r="J16" s="1180">
        <f>[1]底稿!G98</f>
        <v>62486.65</v>
      </c>
      <c r="K16" s="1180">
        <f>[1]底稿!G116</f>
        <v>61330.92</v>
      </c>
      <c r="L16" s="1180">
        <f>[1]底稿!G134</f>
        <v>52161.17</v>
      </c>
      <c r="M16" s="1180">
        <f>[1]底稿!G152</f>
        <v>45422.559999999998</v>
      </c>
      <c r="N16" s="1180">
        <f>[1]底稿!G171</f>
        <v>48657.079999999987</v>
      </c>
      <c r="O16" s="1180">
        <f>[1]底稿!G190</f>
        <v>158713.54</v>
      </c>
      <c r="P16" s="1180">
        <f>[1]底稿!G208</f>
        <v>6375.8200000000006</v>
      </c>
      <c r="Q16" s="1180">
        <f>[1]底稿!G227</f>
        <v>17825.14</v>
      </c>
      <c r="R16" s="1180">
        <f>[1]底稿!G245</f>
        <v>107259.71</v>
      </c>
      <c r="S16" s="1180">
        <v>33476.18</v>
      </c>
      <c r="T16" s="1221">
        <f t="shared" si="1"/>
        <v>1251920.0599999998</v>
      </c>
      <c r="U16" s="62"/>
    </row>
    <row r="17" spans="1:21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3105608.5</v>
      </c>
      <c r="F17" s="1185">
        <f t="shared" ref="F17:S17" si="7">F18+F19+F20+F21</f>
        <v>1785417</v>
      </c>
      <c r="G17" s="1185">
        <f t="shared" si="7"/>
        <v>1854915.5</v>
      </c>
      <c r="H17" s="1185">
        <f t="shared" si="7"/>
        <v>1606402</v>
      </c>
      <c r="I17" s="1185">
        <f t="shared" si="7"/>
        <v>3714508.5</v>
      </c>
      <c r="J17" s="1185">
        <f t="shared" si="7"/>
        <v>1187240</v>
      </c>
      <c r="K17" s="1185">
        <f t="shared" si="7"/>
        <v>585065</v>
      </c>
      <c r="L17" s="1185">
        <f t="shared" si="7"/>
        <v>555164</v>
      </c>
      <c r="M17" s="1185">
        <f t="shared" si="7"/>
        <v>466344</v>
      </c>
      <c r="N17" s="1185">
        <f t="shared" si="7"/>
        <v>518648</v>
      </c>
      <c r="O17" s="1185">
        <f t="shared" si="7"/>
        <v>2949790</v>
      </c>
      <c r="P17" s="1185">
        <f t="shared" si="7"/>
        <v>30000</v>
      </c>
      <c r="Q17" s="1185">
        <f t="shared" si="7"/>
        <v>329216</v>
      </c>
      <c r="R17" s="1185">
        <f t="shared" si="7"/>
        <v>1851644</v>
      </c>
      <c r="S17" s="1185">
        <f t="shared" si="7"/>
        <v>425273</v>
      </c>
      <c r="T17" s="1221">
        <f t="shared" si="1"/>
        <v>20965235.5</v>
      </c>
      <c r="U17" s="62"/>
    </row>
    <row r="18" spans="1:21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221">
        <f t="shared" si="1"/>
        <v>0</v>
      </c>
      <c r="U18" s="62"/>
    </row>
    <row r="19" spans="1:21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734305-46276</f>
        <v>688029</v>
      </c>
      <c r="F19" s="1180">
        <f>279717+595</f>
        <v>280312</v>
      </c>
      <c r="G19" s="1180">
        <v>638020</v>
      </c>
      <c r="H19" s="1180">
        <v>322696</v>
      </c>
      <c r="I19" s="1180">
        <f>732008</f>
        <v>732008</v>
      </c>
      <c r="J19" s="1180">
        <v>260352</v>
      </c>
      <c r="K19" s="1180">
        <v>254665</v>
      </c>
      <c r="L19" s="1180">
        <v>288664</v>
      </c>
      <c r="M19" s="1180">
        <v>216344</v>
      </c>
      <c r="N19" s="1180">
        <v>259648</v>
      </c>
      <c r="O19" s="1180">
        <v>639622</v>
      </c>
      <c r="P19" s="1180"/>
      <c r="Q19" s="1180">
        <f>226566-1850</f>
        <v>224716</v>
      </c>
      <c r="R19" s="1180">
        <v>279932</v>
      </c>
      <c r="S19" s="1180">
        <v>236773</v>
      </c>
      <c r="T19" s="1221">
        <f t="shared" si="1"/>
        <v>5321781</v>
      </c>
      <c r="U19" s="62"/>
    </row>
    <row r="20" spans="1:21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f>[1]底稿!G8</f>
        <v>662500</v>
      </c>
      <c r="F20" s="1180">
        <f>[1]底稿!G26</f>
        <v>381571</v>
      </c>
      <c r="G20" s="1180">
        <f>[1]底稿!G44</f>
        <v>453000</v>
      </c>
      <c r="H20" s="1180">
        <f>[1]底稿!G63</f>
        <v>498000</v>
      </c>
      <c r="I20" s="1180">
        <f>[1]底稿!G81</f>
        <v>1152500</v>
      </c>
      <c r="J20" s="1180">
        <f>[1]底稿!G99</f>
        <v>358200</v>
      </c>
      <c r="K20" s="1180">
        <f>[1]底稿!G117</f>
        <v>330400</v>
      </c>
      <c r="L20" s="1180">
        <f>[1]底稿!G135</f>
        <v>266500</v>
      </c>
      <c r="M20" s="1180">
        <f>[1]底稿!G153</f>
        <v>250000</v>
      </c>
      <c r="N20" s="1180">
        <f>[1]底稿!G172</f>
        <v>259000</v>
      </c>
      <c r="O20" s="1180">
        <f>[1]底稿!G191</f>
        <v>769000</v>
      </c>
      <c r="P20" s="1180">
        <f>[1]底稿!G209</f>
        <v>30000</v>
      </c>
      <c r="Q20" s="1180">
        <f>[1]底稿!G228</f>
        <v>104500</v>
      </c>
      <c r="R20" s="1180">
        <f>[1]底稿!G246</f>
        <v>507500</v>
      </c>
      <c r="S20" s="1180">
        <f>[1]底稿!G264</f>
        <v>188500</v>
      </c>
      <c r="T20" s="1221">
        <f t="shared" si="1"/>
        <v>6211171</v>
      </c>
      <c r="U20" s="62"/>
    </row>
    <row r="21" spans="1:21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1755079.5</v>
      </c>
      <c r="F21" s="1180">
        <v>1123534</v>
      </c>
      <c r="G21" s="1180">
        <v>763895.5</v>
      </c>
      <c r="H21" s="1180">
        <v>785706</v>
      </c>
      <c r="I21" s="1180">
        <v>1830000.5</v>
      </c>
      <c r="J21" s="1180">
        <v>568688</v>
      </c>
      <c r="K21" s="1180"/>
      <c r="L21" s="1180"/>
      <c r="M21" s="1180"/>
      <c r="N21" s="1180"/>
      <c r="O21" s="1180">
        <v>1541168</v>
      </c>
      <c r="P21" s="1180"/>
      <c r="Q21" s="1180"/>
      <c r="R21" s="1180">
        <v>1064212</v>
      </c>
      <c r="S21" s="1180"/>
      <c r="T21" s="1221">
        <f t="shared" si="1"/>
        <v>9432283.5</v>
      </c>
      <c r="U21" s="62"/>
    </row>
    <row r="22" spans="1:21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3103101.3099999996</v>
      </c>
      <c r="F22" s="1185">
        <f t="shared" ref="F22:S22" si="8">F23+F24</f>
        <v>1851563.63</v>
      </c>
      <c r="G22" s="1185">
        <f t="shared" si="8"/>
        <v>2043613.9800000004</v>
      </c>
      <c r="H22" s="1185">
        <f t="shared" si="8"/>
        <v>2005098.4500000004</v>
      </c>
      <c r="I22" s="1185">
        <f t="shared" si="8"/>
        <v>4388911.2</v>
      </c>
      <c r="J22" s="1185">
        <f t="shared" si="8"/>
        <v>1382942.4300000002</v>
      </c>
      <c r="K22" s="1185">
        <f t="shared" si="8"/>
        <v>1242205.9099999999</v>
      </c>
      <c r="L22" s="1185">
        <f t="shared" si="8"/>
        <v>1052035.06</v>
      </c>
      <c r="M22" s="1185">
        <f t="shared" si="8"/>
        <v>897703.12</v>
      </c>
      <c r="N22" s="1185">
        <f t="shared" si="8"/>
        <v>949967.1399999999</v>
      </c>
      <c r="O22" s="1185">
        <f t="shared" si="8"/>
        <v>3135123.39</v>
      </c>
      <c r="P22" s="1185">
        <f t="shared" si="8"/>
        <v>130464.96000000001</v>
      </c>
      <c r="Q22" s="1185">
        <f t="shared" si="8"/>
        <v>356458.16000000003</v>
      </c>
      <c r="R22" s="1185">
        <f t="shared" si="8"/>
        <v>2099404.1799999997</v>
      </c>
      <c r="S22" s="1185">
        <f t="shared" si="8"/>
        <v>671224.54999999993</v>
      </c>
      <c r="T22" s="1221">
        <f t="shared" si="1"/>
        <v>25309817.470000003</v>
      </c>
      <c r="U22" s="62"/>
    </row>
    <row r="23" spans="1:21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f>[1]底稿!G9</f>
        <v>2778648.8599999994</v>
      </c>
      <c r="F23" s="1180">
        <f>[1]底稿!G27</f>
        <v>1645636.22</v>
      </c>
      <c r="G23" s="1180">
        <f>[1]底稿!G45</f>
        <v>1759677.9800000004</v>
      </c>
      <c r="H23" s="1180">
        <f>[1]底稿!G64</f>
        <v>1760640.9000000004</v>
      </c>
      <c r="I23" s="1180">
        <f>[1]底稿!G82</f>
        <v>3998415.86</v>
      </c>
      <c r="J23" s="1180">
        <f>[1]底稿!G100</f>
        <v>1255842.4300000002</v>
      </c>
      <c r="K23" s="1180">
        <f>[1]底稿!G118</f>
        <v>1124653.19</v>
      </c>
      <c r="L23" s="1180">
        <f>[1]底稿!G136</f>
        <v>938889.06</v>
      </c>
      <c r="M23" s="1180">
        <f>[1]底稿!G154</f>
        <v>816603.12</v>
      </c>
      <c r="N23" s="1180">
        <f>[1]底稿!G173</f>
        <v>867197.1399999999</v>
      </c>
      <c r="O23" s="1180">
        <f>[1]底稿!G192</f>
        <v>2856850.0900000003</v>
      </c>
      <c r="P23" s="1180">
        <f>[1]底稿!G210</f>
        <v>114761.32</v>
      </c>
      <c r="Q23" s="1180">
        <f>[1]底稿!G229</f>
        <v>320843.16000000003</v>
      </c>
      <c r="R23" s="1180">
        <f>[1]底稿!G247</f>
        <v>1941684.1799999997</v>
      </c>
      <c r="S23" s="1180">
        <v>602555.68999999994</v>
      </c>
      <c r="T23" s="1221">
        <f t="shared" si="1"/>
        <v>22782899.199999999</v>
      </c>
      <c r="U23" s="62"/>
    </row>
    <row r="24" spans="1:21" ht="21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324452.45</v>
      </c>
      <c r="F24" s="1185">
        <f t="shared" ref="F24:S24" si="9">F25+F26</f>
        <v>205927.41</v>
      </c>
      <c r="G24" s="1185">
        <f t="shared" si="9"/>
        <v>283936</v>
      </c>
      <c r="H24" s="1185">
        <f t="shared" si="9"/>
        <v>244457.55</v>
      </c>
      <c r="I24" s="1185">
        <f t="shared" si="9"/>
        <v>390495.34</v>
      </c>
      <c r="J24" s="1185">
        <f t="shared" si="9"/>
        <v>127100</v>
      </c>
      <c r="K24" s="1185">
        <f t="shared" si="9"/>
        <v>117552.72</v>
      </c>
      <c r="L24" s="1185">
        <f t="shared" si="9"/>
        <v>113146</v>
      </c>
      <c r="M24" s="1185">
        <f t="shared" si="9"/>
        <v>81100</v>
      </c>
      <c r="N24" s="1185">
        <f t="shared" si="9"/>
        <v>82770</v>
      </c>
      <c r="O24" s="1185">
        <f t="shared" si="9"/>
        <v>278273.3</v>
      </c>
      <c r="P24" s="1185">
        <f t="shared" si="9"/>
        <v>15703.64</v>
      </c>
      <c r="Q24" s="1185">
        <f t="shared" si="9"/>
        <v>35615</v>
      </c>
      <c r="R24" s="1185">
        <f t="shared" si="9"/>
        <v>157720</v>
      </c>
      <c r="S24" s="1185">
        <f t="shared" si="9"/>
        <v>68668.86</v>
      </c>
      <c r="T24" s="1221">
        <f t="shared" si="1"/>
        <v>2526918.27</v>
      </c>
      <c r="U24" s="62"/>
    </row>
    <row r="25" spans="1:21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f>[1]底稿!G10</f>
        <v>68352.45</v>
      </c>
      <c r="F25" s="1180">
        <f>[1]底稿!G28</f>
        <v>44857.41</v>
      </c>
      <c r="G25" s="1180">
        <f>[1]底稿!G46</f>
        <v>98546</v>
      </c>
      <c r="H25" s="1180">
        <f>[1]底稿!G65</f>
        <v>58827.55</v>
      </c>
      <c r="I25" s="1180">
        <f>[1]底稿!G83</f>
        <v>18155.34</v>
      </c>
      <c r="J25" s="1180">
        <f>[1]底稿!G101</f>
        <v>1400</v>
      </c>
      <c r="K25" s="1180">
        <f>[1]底稿!G119</f>
        <v>5862.7199999999993</v>
      </c>
      <c r="L25" s="1180">
        <f>[1]底稿!G137</f>
        <v>21376</v>
      </c>
      <c r="M25" s="1180">
        <f>[1]底稿!G155</f>
        <v>0</v>
      </c>
      <c r="N25" s="1180">
        <f>[1]底稿!G174</f>
        <v>0</v>
      </c>
      <c r="O25" s="1180">
        <f>[1]底稿!G193</f>
        <v>7413.3</v>
      </c>
      <c r="P25" s="1180">
        <f>[1]底稿!G211</f>
        <v>1403.64</v>
      </c>
      <c r="Q25" s="1180">
        <f>[1]底稿!G230</f>
        <v>0</v>
      </c>
      <c r="R25" s="1180">
        <f>[1]底稿!G248</f>
        <v>0</v>
      </c>
      <c r="S25" s="1180">
        <f>[1]底稿!G266</f>
        <v>2958.86</v>
      </c>
      <c r="T25" s="1221">
        <f t="shared" si="1"/>
        <v>329153.26999999996</v>
      </c>
      <c r="U25" s="62"/>
    </row>
    <row r="26" spans="1:21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f>[1]底稿!G11</f>
        <v>256100</v>
      </c>
      <c r="F26" s="1180">
        <f>[1]底稿!G29</f>
        <v>161070</v>
      </c>
      <c r="G26" s="1180">
        <f>[1]底稿!G47</f>
        <v>185390</v>
      </c>
      <c r="H26" s="1180">
        <f>[1]底稿!G66</f>
        <v>185630</v>
      </c>
      <c r="I26" s="1180">
        <f>[1]底稿!G84</f>
        <v>372340</v>
      </c>
      <c r="J26" s="1180">
        <f>[1]底稿!G102</f>
        <v>125700</v>
      </c>
      <c r="K26" s="1180">
        <f>[1]底稿!G120</f>
        <v>111690</v>
      </c>
      <c r="L26" s="1180">
        <f>[1]底稿!G138</f>
        <v>91770</v>
      </c>
      <c r="M26" s="1180">
        <f>[1]底稿!G156</f>
        <v>81100</v>
      </c>
      <c r="N26" s="1180">
        <f>[1]底稿!G175</f>
        <v>82770</v>
      </c>
      <c r="O26" s="1180">
        <f>[1]底稿!G194</f>
        <v>270860</v>
      </c>
      <c r="P26" s="1180">
        <f>[1]底稿!G212</f>
        <v>14300</v>
      </c>
      <c r="Q26" s="1180">
        <f>[1]底稿!G231</f>
        <v>35615</v>
      </c>
      <c r="R26" s="1180">
        <f>[1]底稿!G249</f>
        <v>157720</v>
      </c>
      <c r="S26" s="1180">
        <f>[1]底稿!G267</f>
        <v>65710</v>
      </c>
      <c r="T26" s="1221">
        <f t="shared" si="1"/>
        <v>2197765</v>
      </c>
      <c r="U26" s="62"/>
    </row>
    <row r="27" spans="1:21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S27" si="10">E28</f>
        <v>4835058.68</v>
      </c>
      <c r="F27" s="1185">
        <f t="shared" si="10"/>
        <v>2995012.1799999997</v>
      </c>
      <c r="G27" s="1185">
        <f t="shared" si="10"/>
        <v>3114312.1800000006</v>
      </c>
      <c r="H27" s="1185">
        <f t="shared" si="10"/>
        <v>3102568.73</v>
      </c>
      <c r="I27" s="1185">
        <f t="shared" si="10"/>
        <v>7020134.7000000002</v>
      </c>
      <c r="J27" s="1185">
        <f t="shared" si="10"/>
        <v>2225467.7000000002</v>
      </c>
      <c r="K27" s="1185">
        <f t="shared" si="10"/>
        <v>1962593.0200000003</v>
      </c>
      <c r="L27" s="1185">
        <f t="shared" si="10"/>
        <v>1629133.44</v>
      </c>
      <c r="M27" s="1185">
        <f t="shared" si="10"/>
        <v>1450373.67</v>
      </c>
      <c r="N27" s="1185">
        <f t="shared" si="10"/>
        <v>1499123.2700000003</v>
      </c>
      <c r="O27" s="1185">
        <f t="shared" si="10"/>
        <v>5078843.93</v>
      </c>
      <c r="P27" s="1185">
        <f t="shared" si="10"/>
        <v>204019.36</v>
      </c>
      <c r="Q27" s="1185">
        <f t="shared" si="10"/>
        <v>570385.76</v>
      </c>
      <c r="R27" s="1185">
        <f t="shared" si="10"/>
        <v>3460214.88</v>
      </c>
      <c r="S27" s="1185">
        <f t="shared" si="10"/>
        <v>1071206.6599999999</v>
      </c>
      <c r="T27" s="1221">
        <f t="shared" si="1"/>
        <v>40218448.159999996</v>
      </c>
      <c r="U27" s="62"/>
    </row>
    <row r="28" spans="1:21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f>[1]底稿!G12</f>
        <v>4835058.68</v>
      </c>
      <c r="F28" s="1180">
        <f>[1]底稿!G30</f>
        <v>2995012.1799999997</v>
      </c>
      <c r="G28" s="1180">
        <f>[1]底稿!G48</f>
        <v>3114312.1800000006</v>
      </c>
      <c r="H28" s="1180">
        <f>[1]底稿!G67</f>
        <v>3102568.73</v>
      </c>
      <c r="I28" s="1180">
        <f>[1]底稿!G85</f>
        <v>7020134.7000000002</v>
      </c>
      <c r="J28" s="1180">
        <f>[1]底稿!G103</f>
        <v>2225467.7000000002</v>
      </c>
      <c r="K28" s="1180">
        <f>[1]底稿!G121</f>
        <v>1962593.0200000003</v>
      </c>
      <c r="L28" s="1180">
        <f>[1]底稿!G139</f>
        <v>1629133.44</v>
      </c>
      <c r="M28" s="1180">
        <f>[1]底稿!G157</f>
        <v>1450373.67</v>
      </c>
      <c r="N28" s="1180">
        <f>[1]底稿!G176</f>
        <v>1499123.2700000003</v>
      </c>
      <c r="O28" s="1180">
        <f>[1]底稿!G195</f>
        <v>5078843.93</v>
      </c>
      <c r="P28" s="1180">
        <f>[1]底稿!G213</f>
        <v>204019.36</v>
      </c>
      <c r="Q28" s="1180">
        <f>[1]底稿!G232</f>
        <v>570385.76</v>
      </c>
      <c r="R28" s="1180">
        <f>[1]底稿!G250</f>
        <v>3460214.88</v>
      </c>
      <c r="S28" s="1180">
        <v>1071206.6599999999</v>
      </c>
      <c r="T28" s="1221">
        <f t="shared" si="1"/>
        <v>40218448.159999996</v>
      </c>
      <c r="U28" s="62"/>
    </row>
    <row r="29" spans="1:21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S29" si="11">E30</f>
        <v>2419764.4</v>
      </c>
      <c r="F29" s="1185">
        <f t="shared" si="11"/>
        <v>1489720</v>
      </c>
      <c r="G29" s="1185">
        <f t="shared" si="11"/>
        <v>1564158.38</v>
      </c>
      <c r="H29" s="1185">
        <f t="shared" si="11"/>
        <v>1565009.6</v>
      </c>
      <c r="I29" s="1185">
        <f t="shared" si="11"/>
        <v>3520806.72</v>
      </c>
      <c r="J29" s="1185">
        <f t="shared" si="11"/>
        <v>1117391.44</v>
      </c>
      <c r="K29" s="1185">
        <f t="shared" si="11"/>
        <v>981300.7100000002</v>
      </c>
      <c r="L29" s="1185">
        <f t="shared" si="11"/>
        <v>834566.72</v>
      </c>
      <c r="M29" s="1185">
        <f t="shared" si="11"/>
        <v>725135.14</v>
      </c>
      <c r="N29" s="1185">
        <f t="shared" si="11"/>
        <v>799262.44</v>
      </c>
      <c r="O29" s="1185">
        <f t="shared" si="11"/>
        <v>2539421.6200000006</v>
      </c>
      <c r="P29" s="1185">
        <f t="shared" si="11"/>
        <v>95292.84</v>
      </c>
      <c r="Q29" s="1185">
        <f t="shared" si="11"/>
        <v>285192.88</v>
      </c>
      <c r="R29" s="1185">
        <f t="shared" si="11"/>
        <v>1703902.5</v>
      </c>
      <c r="S29" s="1185">
        <f t="shared" si="11"/>
        <v>535181.79</v>
      </c>
      <c r="T29" s="1221">
        <f t="shared" si="1"/>
        <v>20176107.18</v>
      </c>
      <c r="U29" s="62"/>
    </row>
    <row r="30" spans="1:21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f>[1]底稿!G13</f>
        <v>2419764.4</v>
      </c>
      <c r="F30" s="1180">
        <f>[1]底稿!G31</f>
        <v>1489720</v>
      </c>
      <c r="G30" s="1180">
        <f>[1]底稿!G49</f>
        <v>1564158.38</v>
      </c>
      <c r="H30" s="1180">
        <f>[1]底稿!G68</f>
        <v>1565009.6</v>
      </c>
      <c r="I30" s="1180">
        <f>[1]底稿!G86</f>
        <v>3520806.72</v>
      </c>
      <c r="J30" s="1180">
        <f>[1]底稿!G104</f>
        <v>1117391.44</v>
      </c>
      <c r="K30" s="1180">
        <f>[1]底稿!G122</f>
        <v>981300.7100000002</v>
      </c>
      <c r="L30" s="1180">
        <f>[1]底稿!G140</f>
        <v>834566.72</v>
      </c>
      <c r="M30" s="1180">
        <f>[1]底稿!G158</f>
        <v>725135.14</v>
      </c>
      <c r="N30" s="1180">
        <v>799262.44</v>
      </c>
      <c r="O30" s="1180">
        <f>[1]底稿!G196</f>
        <v>2539421.6200000006</v>
      </c>
      <c r="P30" s="1180">
        <f>[1]底稿!G214</f>
        <v>95292.84</v>
      </c>
      <c r="Q30" s="1180">
        <f>[1]底稿!G233</f>
        <v>285192.88</v>
      </c>
      <c r="R30" s="1180">
        <f>[1]底稿!G251</f>
        <v>1703902.5</v>
      </c>
      <c r="S30" s="1180">
        <v>535181.79</v>
      </c>
      <c r="T30" s="1221">
        <f t="shared" si="1"/>
        <v>20176107.18</v>
      </c>
      <c r="U30" s="62"/>
    </row>
    <row r="31" spans="1:21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f>[1]底稿!G14</f>
        <v>2094075</v>
      </c>
      <c r="F31" s="1180">
        <f>[1]底稿!G32</f>
        <v>1301086</v>
      </c>
      <c r="G31" s="1180">
        <f>[1]底稿!G50</f>
        <v>1363838</v>
      </c>
      <c r="H31" s="1180">
        <f>[1]底稿!G69</f>
        <v>1365848</v>
      </c>
      <c r="I31" s="1180">
        <f>[1]底稿!G87</f>
        <v>3102013</v>
      </c>
      <c r="J31" s="1180">
        <f>[1]底稿!G105</f>
        <v>988424</v>
      </c>
      <c r="K31" s="1180">
        <f>[1]底稿!G123</f>
        <v>857706</v>
      </c>
      <c r="L31" s="1180">
        <f>[1]底稿!G141</f>
        <v>734407</v>
      </c>
      <c r="M31" s="1180">
        <f>[1]底稿!G159</f>
        <v>649912</v>
      </c>
      <c r="N31" s="1180">
        <f>[1]底稿!G178</f>
        <v>683560</v>
      </c>
      <c r="O31" s="1180">
        <f>[1]底稿!G197</f>
        <v>2219422</v>
      </c>
      <c r="P31" s="1180">
        <f>[1]底稿!G215</f>
        <v>89340</v>
      </c>
      <c r="Q31" s="1180">
        <f>[1]底稿!G234</f>
        <v>250444</v>
      </c>
      <c r="R31" s="1180">
        <f>[1]底稿!G252</f>
        <v>1464399</v>
      </c>
      <c r="S31" s="1180">
        <f>[1]底稿!G270</f>
        <v>470999</v>
      </c>
      <c r="T31" s="1221">
        <f t="shared" si="1"/>
        <v>17635473</v>
      </c>
      <c r="U31" s="62"/>
    </row>
    <row r="32" spans="1:21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48000</v>
      </c>
      <c r="F32" s="1180">
        <v>23000</v>
      </c>
      <c r="G32" s="1180">
        <v>31000</v>
      </c>
      <c r="H32" s="1180">
        <v>32500</v>
      </c>
      <c r="I32" s="1180">
        <v>75500</v>
      </c>
      <c r="J32" s="1180">
        <v>20000</v>
      </c>
      <c r="K32" s="1180">
        <v>18500</v>
      </c>
      <c r="L32" s="1180">
        <v>15500</v>
      </c>
      <c r="M32" s="1180">
        <v>15500</v>
      </c>
      <c r="N32" s="1180">
        <v>15500</v>
      </c>
      <c r="O32" s="1180">
        <v>46000</v>
      </c>
      <c r="P32" s="1180">
        <v>1500</v>
      </c>
      <c r="Q32" s="1180">
        <v>4500</v>
      </c>
      <c r="R32" s="1180">
        <v>29000</v>
      </c>
      <c r="S32" s="1180">
        <v>12500</v>
      </c>
      <c r="T32" s="1221">
        <f t="shared" si="1"/>
        <v>388500</v>
      </c>
      <c r="U32" s="62"/>
    </row>
    <row r="33" spans="1:21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1778570</v>
      </c>
      <c r="F33" s="1185">
        <f t="shared" ref="F33:S33" si="12">F34+F36+F38</f>
        <v>1099430</v>
      </c>
      <c r="G33" s="1185">
        <f t="shared" si="12"/>
        <v>1360420</v>
      </c>
      <c r="H33" s="1185">
        <f t="shared" si="12"/>
        <v>915940</v>
      </c>
      <c r="I33" s="1185">
        <f t="shared" si="12"/>
        <v>424715</v>
      </c>
      <c r="J33" s="1185">
        <f t="shared" si="12"/>
        <v>2430</v>
      </c>
      <c r="K33" s="1185">
        <f t="shared" si="12"/>
        <v>218580</v>
      </c>
      <c r="L33" s="1185">
        <f t="shared" si="12"/>
        <v>350170</v>
      </c>
      <c r="M33" s="1185">
        <f t="shared" si="12"/>
        <v>99300</v>
      </c>
      <c r="N33" s="1185">
        <f t="shared" si="12"/>
        <v>16260</v>
      </c>
      <c r="O33" s="1185">
        <f t="shared" si="12"/>
        <v>87710</v>
      </c>
      <c r="P33" s="1185">
        <f t="shared" si="12"/>
        <v>78900</v>
      </c>
      <c r="Q33" s="1185">
        <f t="shared" si="12"/>
        <v>90</v>
      </c>
      <c r="R33" s="1185">
        <f t="shared" si="12"/>
        <v>83140</v>
      </c>
      <c r="S33" s="1185">
        <f t="shared" si="12"/>
        <v>187380</v>
      </c>
      <c r="T33" s="1221">
        <f t="shared" si="1"/>
        <v>6703035</v>
      </c>
      <c r="U33" s="62"/>
    </row>
    <row r="34" spans="1:21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1776200</v>
      </c>
      <c r="F34" s="1185">
        <f t="shared" ref="F34:S34" si="13">F35</f>
        <v>1096730</v>
      </c>
      <c r="G34" s="1185">
        <f t="shared" si="13"/>
        <v>1358230</v>
      </c>
      <c r="H34" s="1185">
        <f t="shared" si="13"/>
        <v>913780</v>
      </c>
      <c r="I34" s="1185">
        <f t="shared" si="13"/>
        <v>420245</v>
      </c>
      <c r="J34" s="1185">
        <f t="shared" si="13"/>
        <v>0</v>
      </c>
      <c r="K34" s="1185">
        <f t="shared" si="13"/>
        <v>215340</v>
      </c>
      <c r="L34" s="1185">
        <f t="shared" si="13"/>
        <v>347020</v>
      </c>
      <c r="M34" s="1185">
        <f t="shared" si="13"/>
        <v>95340</v>
      </c>
      <c r="N34" s="1185">
        <f t="shared" si="13"/>
        <v>13020</v>
      </c>
      <c r="O34" s="1185">
        <f t="shared" si="13"/>
        <v>84230</v>
      </c>
      <c r="P34" s="1185">
        <f t="shared" si="13"/>
        <v>78900</v>
      </c>
      <c r="Q34" s="1185">
        <f t="shared" si="13"/>
        <v>0</v>
      </c>
      <c r="R34" s="1185">
        <f t="shared" si="13"/>
        <v>79300</v>
      </c>
      <c r="S34" s="1185">
        <f t="shared" si="13"/>
        <v>186300</v>
      </c>
      <c r="T34" s="1221">
        <f t="shared" si="1"/>
        <v>6664635</v>
      </c>
      <c r="U34" s="62"/>
    </row>
    <row r="35" spans="1:21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f>[1]底稿!G15</f>
        <v>1776200</v>
      </c>
      <c r="F35" s="1180">
        <f>[1]底稿!G33</f>
        <v>1096730</v>
      </c>
      <c r="G35" s="1180">
        <f>[1]底稿!G51</f>
        <v>1358230</v>
      </c>
      <c r="H35" s="1180">
        <f>[1]底稿!G70</f>
        <v>913780</v>
      </c>
      <c r="I35" s="1180">
        <f>[1]底稿!G88</f>
        <v>420245</v>
      </c>
      <c r="J35" s="1180">
        <f>[1]底稿!G106</f>
        <v>0</v>
      </c>
      <c r="K35" s="1180">
        <v>215340</v>
      </c>
      <c r="L35" s="1180">
        <f>[1]底稿!G142</f>
        <v>347020</v>
      </c>
      <c r="M35" s="1180">
        <f>[1]底稿!G160</f>
        <v>95340</v>
      </c>
      <c r="N35" s="1180">
        <f>[1]底稿!G179</f>
        <v>13020</v>
      </c>
      <c r="O35" s="1180">
        <f>[1]底稿!G198</f>
        <v>84230</v>
      </c>
      <c r="P35" s="1180">
        <f>[1]底稿!G216</f>
        <v>78900</v>
      </c>
      <c r="Q35" s="1180">
        <f>[1]底稿!G235</f>
        <v>0</v>
      </c>
      <c r="R35" s="1180">
        <f>[1]底稿!G253</f>
        <v>79300</v>
      </c>
      <c r="S35" s="1180">
        <f>[1]底稿!G271</f>
        <v>186300</v>
      </c>
      <c r="T35" s="1221">
        <f t="shared" si="1"/>
        <v>6664635</v>
      </c>
      <c r="U35" s="62"/>
    </row>
    <row r="36" spans="1:21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2370</v>
      </c>
      <c r="F36" s="1185">
        <f t="shared" ref="F36:S36" si="14">F37</f>
        <v>2700</v>
      </c>
      <c r="G36" s="1185">
        <f t="shared" si="14"/>
        <v>2190</v>
      </c>
      <c r="H36" s="1185">
        <f t="shared" si="14"/>
        <v>2160</v>
      </c>
      <c r="I36" s="1185">
        <f t="shared" si="14"/>
        <v>4470</v>
      </c>
      <c r="J36" s="1185">
        <f t="shared" si="14"/>
        <v>2430</v>
      </c>
      <c r="K36" s="1185">
        <f t="shared" si="14"/>
        <v>3240</v>
      </c>
      <c r="L36" s="1185">
        <f t="shared" si="14"/>
        <v>3150</v>
      </c>
      <c r="M36" s="1185">
        <f t="shared" si="14"/>
        <v>3960</v>
      </c>
      <c r="N36" s="1185">
        <f t="shared" si="14"/>
        <v>3240</v>
      </c>
      <c r="O36" s="1185">
        <f t="shared" si="14"/>
        <v>3480</v>
      </c>
      <c r="P36" s="1185">
        <f t="shared" si="14"/>
        <v>0</v>
      </c>
      <c r="Q36" s="1185">
        <f t="shared" si="14"/>
        <v>90</v>
      </c>
      <c r="R36" s="1185">
        <f t="shared" si="14"/>
        <v>3840</v>
      </c>
      <c r="S36" s="1185">
        <f t="shared" si="14"/>
        <v>1080</v>
      </c>
      <c r="T36" s="1221">
        <f t="shared" si="1"/>
        <v>38400</v>
      </c>
      <c r="U36" s="62"/>
    </row>
    <row r="37" spans="1:21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f>[1]底稿!G16</f>
        <v>2370</v>
      </c>
      <c r="F37" s="1180">
        <f>[1]底稿!G34</f>
        <v>2700</v>
      </c>
      <c r="G37" s="1180">
        <f>[1]底稿!G52</f>
        <v>2190</v>
      </c>
      <c r="H37" s="1180">
        <f>[1]底稿!G71</f>
        <v>2160</v>
      </c>
      <c r="I37" s="1180">
        <f>[1]底稿!G89</f>
        <v>4470</v>
      </c>
      <c r="J37" s="1180">
        <f>[1]底稿!G107</f>
        <v>2430</v>
      </c>
      <c r="K37" s="1180">
        <f>[1]底稿!G125</f>
        <v>3240</v>
      </c>
      <c r="L37" s="1180">
        <f>[1]底稿!G143</f>
        <v>3150</v>
      </c>
      <c r="M37" s="1180">
        <f>[1]底稿!G161</f>
        <v>3960</v>
      </c>
      <c r="N37" s="1180">
        <f>[1]底稿!G180</f>
        <v>3240</v>
      </c>
      <c r="O37" s="1180">
        <f>[1]底稿!G199</f>
        <v>3480</v>
      </c>
      <c r="P37" s="1180">
        <f>[1]底稿!G217</f>
        <v>0</v>
      </c>
      <c r="Q37" s="1180">
        <f>[1]底稿!G236</f>
        <v>90</v>
      </c>
      <c r="R37" s="1180">
        <f>[1]底稿!G254</f>
        <v>3840</v>
      </c>
      <c r="S37" s="1180">
        <f>[1]底稿!G272</f>
        <v>1080</v>
      </c>
      <c r="T37" s="1221">
        <f t="shared" si="1"/>
        <v>38400</v>
      </c>
      <c r="U37" s="62"/>
    </row>
    <row r="38" spans="1:21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S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185">
        <f t="shared" si="15"/>
        <v>0</v>
      </c>
      <c r="R38" s="1185">
        <f t="shared" si="15"/>
        <v>0</v>
      </c>
      <c r="S38" s="1185">
        <f t="shared" si="15"/>
        <v>0</v>
      </c>
      <c r="T38" s="1221">
        <f t="shared" si="1"/>
        <v>0</v>
      </c>
      <c r="U38" s="62"/>
    </row>
    <row r="39" spans="1:21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221">
        <f t="shared" si="1"/>
        <v>0</v>
      </c>
      <c r="U39" s="62"/>
    </row>
    <row r="40" spans="1:21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S40" si="16">E41+E43+E45+E47+E49+E52+E54+E56+E60</f>
        <v>8603012.1400000006</v>
      </c>
      <c r="F40" s="1185">
        <f t="shared" si="16"/>
        <v>5037010.8600000003</v>
      </c>
      <c r="G40" s="1185">
        <f t="shared" si="16"/>
        <v>5124233</v>
      </c>
      <c r="H40" s="1185">
        <f t="shared" si="16"/>
        <v>4769897.29</v>
      </c>
      <c r="I40" s="1185">
        <f t="shared" si="16"/>
        <v>12578353.029999999</v>
      </c>
      <c r="J40" s="1185">
        <f t="shared" si="16"/>
        <v>3812624.51</v>
      </c>
      <c r="K40" s="1185">
        <f t="shared" si="16"/>
        <v>2716658.46</v>
      </c>
      <c r="L40" s="1185">
        <f t="shared" si="16"/>
        <v>3228027.6199999996</v>
      </c>
      <c r="M40" s="1185">
        <f t="shared" si="16"/>
        <v>2424866.89</v>
      </c>
      <c r="N40" s="1185">
        <f t="shared" si="16"/>
        <v>2294406.66</v>
      </c>
      <c r="O40" s="1185">
        <f t="shared" si="16"/>
        <v>8642850.5199999996</v>
      </c>
      <c r="P40" s="1185">
        <f t="shared" si="16"/>
        <v>214705.71</v>
      </c>
      <c r="Q40" s="1185">
        <f t="shared" si="16"/>
        <v>1122090.43</v>
      </c>
      <c r="R40" s="1185">
        <f t="shared" si="16"/>
        <v>6524575.4100000001</v>
      </c>
      <c r="S40" s="1185">
        <f t="shared" si="16"/>
        <v>1781607.94</v>
      </c>
      <c r="T40" s="1221">
        <f t="shared" si="1"/>
        <v>68874920.469999984</v>
      </c>
      <c r="U40" s="62"/>
    </row>
    <row r="41" spans="1:21" ht="21.95" customHeight="1">
      <c r="A41" s="66" t="s">
        <v>99</v>
      </c>
      <c r="B41" s="61" t="s">
        <v>100</v>
      </c>
      <c r="C41" s="61"/>
      <c r="D41" s="62" t="s">
        <v>101</v>
      </c>
      <c r="E41" s="1180">
        <f>'[1]2025中小学生均'!X9</f>
        <v>6298175</v>
      </c>
      <c r="F41" s="1180">
        <f>'[1]2025中小学生均'!X8</f>
        <v>3848400</v>
      </c>
      <c r="G41" s="1180">
        <f>'[1]2025中小学生均'!X5</f>
        <v>3707920</v>
      </c>
      <c r="H41" s="1180">
        <v>3388895</v>
      </c>
      <c r="I41" s="1180">
        <f>'[1]2025中小学生均'!X3+'[1]2025中小学生均'!X4</f>
        <v>10112980</v>
      </c>
      <c r="J41" s="1180">
        <f>'[1]2025中小学生均'!X7</f>
        <v>2976780</v>
      </c>
      <c r="K41" s="1180">
        <f>'[1]2025幼儿园生均'!L6+'[1]2025幼儿园生均'!L7</f>
        <v>1881870</v>
      </c>
      <c r="L41" s="1180">
        <f>'[1]2025幼儿园生均'!L2+'[1]2025幼儿园生均'!L3+'[1]2025幼儿园生均'!L4+'[1]2025幼儿园生均'!L5</f>
        <v>2398070</v>
      </c>
      <c r="M41" s="1180">
        <f>'[1]2025幼儿园生均'!L8+'[1]2025幼儿园生均'!L9</f>
        <v>1751700</v>
      </c>
      <c r="N41" s="1180">
        <f>'[1]2025幼儿园生均'!L10+'[1]2025幼儿园生均'!L11</f>
        <v>1701670</v>
      </c>
      <c r="O41" s="1180">
        <f>'[1]2025中小学生均'!X10</f>
        <v>6804495</v>
      </c>
      <c r="P41" s="1180">
        <v>112000</v>
      </c>
      <c r="Q41" s="1180">
        <f>'[1]2025幼儿园生均'!L14</f>
        <v>858000</v>
      </c>
      <c r="R41" s="1180">
        <v>5387975</v>
      </c>
      <c r="S41" s="1180">
        <f>'[1]2025幼儿园生均'!L12+'[1]2025幼儿园生均'!L13</f>
        <v>1322700</v>
      </c>
      <c r="T41" s="1221">
        <f t="shared" si="1"/>
        <v>52551630</v>
      </c>
      <c r="U41" s="62"/>
    </row>
    <row r="42" spans="1:21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'[1]2025中小学生均'!Y9</f>
        <v>314908.75</v>
      </c>
      <c r="F42" s="1180">
        <f>'[1]2025中小学生均'!Y8</f>
        <v>192420</v>
      </c>
      <c r="G42" s="1180">
        <f>'[1]2025中小学生均'!Y5</f>
        <v>185396</v>
      </c>
      <c r="H42" s="1180">
        <v>169444.75</v>
      </c>
      <c r="I42" s="1180">
        <f>'[1]2025中小学生均'!Y3+'[1]2025中小学生均'!Y4</f>
        <v>505649</v>
      </c>
      <c r="J42" s="1180">
        <f>'[1]2025中小学生均'!Y7</f>
        <v>148839</v>
      </c>
      <c r="K42" s="1180">
        <f>'[1]2025幼儿园生均'!M6+'[1]2025幼儿园生均'!M7</f>
        <v>88945.5</v>
      </c>
      <c r="L42" s="1180">
        <f>'[1]2025幼儿园生均'!M2+'[1]2025幼儿园生均'!M3+'[1]2025幼儿园生均'!M4+'[1]2025幼儿园生均'!M5</f>
        <v>78934</v>
      </c>
      <c r="M42" s="1180">
        <f>'[1]2025幼儿园生均'!M8+'[1]2025幼儿园生均'!M9</f>
        <v>75144</v>
      </c>
      <c r="N42" s="1180">
        <f>'[1]2025幼儿园生均'!M10+'[1]2025幼儿园生均'!M11</f>
        <v>78005</v>
      </c>
      <c r="O42" s="1180">
        <f>'[1]2025中小学生均'!Y10</f>
        <v>340224.75</v>
      </c>
      <c r="P42" s="1180">
        <v>5600</v>
      </c>
      <c r="Q42" s="1180">
        <f>'[1]2025幼儿园生均'!M14</f>
        <v>31746</v>
      </c>
      <c r="R42" s="1180">
        <v>269398.75</v>
      </c>
      <c r="S42" s="1180">
        <f>'[1]2025幼儿园生均'!M12+'[1]2025幼儿园生均'!M13</f>
        <v>53908.5</v>
      </c>
      <c r="T42" s="1221">
        <f t="shared" si="1"/>
        <v>2538564</v>
      </c>
      <c r="U42" s="62"/>
    </row>
    <row r="43" spans="1:21" ht="21.95" customHeight="1">
      <c r="A43" s="66" t="s">
        <v>106</v>
      </c>
      <c r="B43" s="61" t="s">
        <v>107</v>
      </c>
      <c r="C43" s="61"/>
      <c r="D43" s="62"/>
      <c r="E43" s="1185">
        <f>E44</f>
        <v>44000</v>
      </c>
      <c r="F43" s="1185">
        <f t="shared" ref="F43:S43" si="17">F44</f>
        <v>27600</v>
      </c>
      <c r="G43" s="1185">
        <f t="shared" si="17"/>
        <v>29600</v>
      </c>
      <c r="H43" s="1185">
        <f t="shared" si="17"/>
        <v>33200</v>
      </c>
      <c r="I43" s="1185">
        <f t="shared" si="17"/>
        <v>74400</v>
      </c>
      <c r="J43" s="1185">
        <f t="shared" si="17"/>
        <v>23600</v>
      </c>
      <c r="K43" s="1185">
        <f t="shared" si="17"/>
        <v>21600</v>
      </c>
      <c r="L43" s="1185">
        <f t="shared" si="17"/>
        <v>18800</v>
      </c>
      <c r="M43" s="1185">
        <f t="shared" si="17"/>
        <v>17600</v>
      </c>
      <c r="N43" s="1185">
        <f t="shared" si="17"/>
        <v>17600</v>
      </c>
      <c r="O43" s="1185">
        <f t="shared" si="17"/>
        <v>51200</v>
      </c>
      <c r="P43" s="1185">
        <f t="shared" si="17"/>
        <v>2000</v>
      </c>
      <c r="Q43" s="1185">
        <f t="shared" si="17"/>
        <v>7200</v>
      </c>
      <c r="R43" s="1185">
        <f t="shared" si="17"/>
        <v>36000</v>
      </c>
      <c r="S43" s="1185">
        <f t="shared" si="17"/>
        <v>12800</v>
      </c>
      <c r="T43" s="1221">
        <f t="shared" si="1"/>
        <v>417200</v>
      </c>
      <c r="U43" s="62"/>
    </row>
    <row r="44" spans="1:21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E63*400</f>
        <v>44000</v>
      </c>
      <c r="F44" s="1180">
        <f t="shared" ref="F44:S44" si="18">F63*400</f>
        <v>27600</v>
      </c>
      <c r="G44" s="1180">
        <f t="shared" si="18"/>
        <v>29600</v>
      </c>
      <c r="H44" s="1180">
        <f t="shared" si="18"/>
        <v>33200</v>
      </c>
      <c r="I44" s="1180">
        <f t="shared" si="18"/>
        <v>74400</v>
      </c>
      <c r="J44" s="1180">
        <f t="shared" si="18"/>
        <v>23600</v>
      </c>
      <c r="K44" s="1180">
        <f t="shared" si="18"/>
        <v>21600</v>
      </c>
      <c r="L44" s="1180">
        <f t="shared" si="18"/>
        <v>18800</v>
      </c>
      <c r="M44" s="1180">
        <f t="shared" si="18"/>
        <v>17600</v>
      </c>
      <c r="N44" s="1180">
        <f t="shared" si="18"/>
        <v>17600</v>
      </c>
      <c r="O44" s="1180">
        <f t="shared" si="18"/>
        <v>51200</v>
      </c>
      <c r="P44" s="1180">
        <f t="shared" si="18"/>
        <v>2000</v>
      </c>
      <c r="Q44" s="1180">
        <f t="shared" si="18"/>
        <v>7200</v>
      </c>
      <c r="R44" s="1180">
        <f t="shared" si="18"/>
        <v>36000</v>
      </c>
      <c r="S44" s="1180">
        <f t="shared" si="18"/>
        <v>12800</v>
      </c>
      <c r="T44" s="1221">
        <f t="shared" si="1"/>
        <v>417200</v>
      </c>
      <c r="U44" s="62"/>
    </row>
    <row r="45" spans="1:21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489330</v>
      </c>
      <c r="F45" s="1185">
        <f t="shared" ref="F45:S45" si="19">F46</f>
        <v>135690</v>
      </c>
      <c r="G45" s="1185">
        <f t="shared" si="19"/>
        <v>204405</v>
      </c>
      <c r="H45" s="1185">
        <f t="shared" si="19"/>
        <v>268530</v>
      </c>
      <c r="I45" s="1185">
        <f t="shared" si="19"/>
        <v>386583.60000000003</v>
      </c>
      <c r="J45" s="1185">
        <f t="shared" si="19"/>
        <v>196585.65</v>
      </c>
      <c r="K45" s="1185">
        <f t="shared" si="19"/>
        <v>205953.60000000003</v>
      </c>
      <c r="L45" s="1185">
        <f t="shared" si="19"/>
        <v>228626.25</v>
      </c>
      <c r="M45" s="1185">
        <f t="shared" si="19"/>
        <v>172176.15</v>
      </c>
      <c r="N45" s="1185">
        <f t="shared" si="19"/>
        <v>136753.79999999999</v>
      </c>
      <c r="O45" s="1185">
        <f t="shared" si="19"/>
        <v>395674.94999999995</v>
      </c>
      <c r="P45" s="1185">
        <f t="shared" si="19"/>
        <v>34500</v>
      </c>
      <c r="Q45" s="1185">
        <f t="shared" si="19"/>
        <v>65355</v>
      </c>
      <c r="R45" s="1185">
        <f t="shared" si="19"/>
        <v>199268.7</v>
      </c>
      <c r="S45" s="1185">
        <f t="shared" si="19"/>
        <v>59392.800000000003</v>
      </c>
      <c r="T45" s="1221">
        <f t="shared" si="1"/>
        <v>3178825.5</v>
      </c>
      <c r="U45" s="62"/>
    </row>
    <row r="46" spans="1:21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15*E74</f>
        <v>489330</v>
      </c>
      <c r="F46" s="1180">
        <f t="shared" ref="F46:S46" si="20">15*F74</f>
        <v>135690</v>
      </c>
      <c r="G46" s="1180">
        <f t="shared" si="20"/>
        <v>204405</v>
      </c>
      <c r="H46" s="1180">
        <f t="shared" si="20"/>
        <v>268530</v>
      </c>
      <c r="I46" s="1180">
        <f t="shared" si="20"/>
        <v>386583.60000000003</v>
      </c>
      <c r="J46" s="1180">
        <f t="shared" si="20"/>
        <v>196585.65</v>
      </c>
      <c r="K46" s="1180">
        <f t="shared" si="20"/>
        <v>205953.60000000003</v>
      </c>
      <c r="L46" s="1180">
        <f t="shared" si="20"/>
        <v>228626.25</v>
      </c>
      <c r="M46" s="1180">
        <f t="shared" si="20"/>
        <v>172176.15</v>
      </c>
      <c r="N46" s="1180">
        <f t="shared" si="20"/>
        <v>136753.79999999999</v>
      </c>
      <c r="O46" s="1180">
        <f t="shared" si="20"/>
        <v>395674.94999999995</v>
      </c>
      <c r="P46" s="1180">
        <f t="shared" si="20"/>
        <v>34500</v>
      </c>
      <c r="Q46" s="1180">
        <f t="shared" si="20"/>
        <v>65355</v>
      </c>
      <c r="R46" s="1180">
        <f t="shared" si="20"/>
        <v>199268.7</v>
      </c>
      <c r="S46" s="1180">
        <f t="shared" si="20"/>
        <v>59392.800000000003</v>
      </c>
      <c r="T46" s="1221">
        <f t="shared" si="1"/>
        <v>3178825.5</v>
      </c>
      <c r="U46" s="62"/>
    </row>
    <row r="47" spans="1:21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238592</v>
      </c>
      <c r="F47" s="1185">
        <f t="shared" ref="F47:S47" si="21">F48</f>
        <v>69296</v>
      </c>
      <c r="G47" s="1185">
        <f t="shared" si="21"/>
        <v>64000</v>
      </c>
      <c r="H47" s="1185">
        <f t="shared" si="21"/>
        <v>64000</v>
      </c>
      <c r="I47" s="1185">
        <f t="shared" si="21"/>
        <v>126840</v>
      </c>
      <c r="J47" s="1185">
        <f t="shared" si="21"/>
        <v>37352</v>
      </c>
      <c r="K47" s="1185">
        <f t="shared" si="21"/>
        <v>51136</v>
      </c>
      <c r="L47" s="1185">
        <f t="shared" si="21"/>
        <v>53540.800000000003</v>
      </c>
      <c r="M47" s="1185">
        <f t="shared" si="21"/>
        <v>52681.599999999999</v>
      </c>
      <c r="N47" s="1185">
        <f t="shared" si="21"/>
        <v>24480</v>
      </c>
      <c r="O47" s="1185">
        <f t="shared" si="21"/>
        <v>138080</v>
      </c>
      <c r="P47" s="1185">
        <f t="shared" si="21"/>
        <v>0</v>
      </c>
      <c r="Q47" s="1185">
        <f t="shared" si="21"/>
        <v>12040</v>
      </c>
      <c r="R47" s="1185">
        <f t="shared" si="21"/>
        <v>54272</v>
      </c>
      <c r="S47" s="1185">
        <f t="shared" si="21"/>
        <v>32104</v>
      </c>
      <c r="T47" s="1221">
        <f t="shared" si="1"/>
        <v>1018414.4</v>
      </c>
      <c r="U47" s="62"/>
    </row>
    <row r="48" spans="1:21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8*E75</f>
        <v>238592</v>
      </c>
      <c r="F48" s="1180">
        <f t="shared" ref="F48:S48" si="22">8*F75</f>
        <v>69296</v>
      </c>
      <c r="G48" s="1180">
        <f t="shared" si="22"/>
        <v>64000</v>
      </c>
      <c r="H48" s="1180">
        <f t="shared" si="22"/>
        <v>64000</v>
      </c>
      <c r="I48" s="1180">
        <f t="shared" si="22"/>
        <v>126840</v>
      </c>
      <c r="J48" s="1180">
        <f t="shared" si="22"/>
        <v>37352</v>
      </c>
      <c r="K48" s="1180">
        <f t="shared" si="22"/>
        <v>51136</v>
      </c>
      <c r="L48" s="1180">
        <f t="shared" si="22"/>
        <v>53540.800000000003</v>
      </c>
      <c r="M48" s="1180">
        <f t="shared" si="22"/>
        <v>52681.599999999999</v>
      </c>
      <c r="N48" s="1180">
        <f t="shared" si="22"/>
        <v>24480</v>
      </c>
      <c r="O48" s="1180">
        <f t="shared" si="22"/>
        <v>138080</v>
      </c>
      <c r="P48" s="1180">
        <f t="shared" si="22"/>
        <v>0</v>
      </c>
      <c r="Q48" s="1180">
        <f t="shared" si="22"/>
        <v>12040</v>
      </c>
      <c r="R48" s="1180">
        <f t="shared" si="22"/>
        <v>54272</v>
      </c>
      <c r="S48" s="1180">
        <f t="shared" si="22"/>
        <v>32104</v>
      </c>
      <c r="T48" s="1221">
        <f t="shared" si="1"/>
        <v>1018414.4</v>
      </c>
      <c r="U48" s="62"/>
    </row>
    <row r="49" spans="1:21" ht="21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867960</v>
      </c>
      <c r="F49" s="1185">
        <f t="shared" ref="F49:S49" si="23">F50+F51</f>
        <v>547560</v>
      </c>
      <c r="G49" s="1185">
        <f t="shared" si="23"/>
        <v>663120</v>
      </c>
      <c r="H49" s="1185">
        <f t="shared" si="23"/>
        <v>580680</v>
      </c>
      <c r="I49" s="1185">
        <f t="shared" si="23"/>
        <v>911160</v>
      </c>
      <c r="J49" s="1185">
        <f t="shared" si="23"/>
        <v>257400</v>
      </c>
      <c r="K49" s="1185">
        <f t="shared" si="23"/>
        <v>289440</v>
      </c>
      <c r="L49" s="1185">
        <f t="shared" si="23"/>
        <v>281160</v>
      </c>
      <c r="M49" s="1185">
        <f t="shared" si="23"/>
        <v>205920</v>
      </c>
      <c r="N49" s="1185">
        <f t="shared" si="23"/>
        <v>190800</v>
      </c>
      <c r="O49" s="1185">
        <f t="shared" si="23"/>
        <v>578880</v>
      </c>
      <c r="P49" s="1185">
        <f t="shared" si="23"/>
        <v>38880</v>
      </c>
      <c r="Q49" s="1185">
        <f t="shared" si="23"/>
        <v>75240</v>
      </c>
      <c r="R49" s="1185">
        <f t="shared" si="23"/>
        <v>392760</v>
      </c>
      <c r="S49" s="1185">
        <f t="shared" si="23"/>
        <v>183240</v>
      </c>
      <c r="T49" s="1221">
        <f t="shared" si="1"/>
        <v>6064200</v>
      </c>
      <c r="U49" s="62"/>
    </row>
    <row r="50" spans="1:21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112*4320+(-18)*360</f>
        <v>477360</v>
      </c>
      <c r="F50" s="1180">
        <f>72*4320+(-21)*360</f>
        <v>303480</v>
      </c>
      <c r="G50" s="1180">
        <f>77*4320+(-18)*360</f>
        <v>326160</v>
      </c>
      <c r="H50" s="1180">
        <f>85*4320+(-19)*360</f>
        <v>360360</v>
      </c>
      <c r="I50" s="1180">
        <f>189*4320+(-38)*360</f>
        <v>802800</v>
      </c>
      <c r="J50" s="1180">
        <f>60*4320+(-5)*360</f>
        <v>257400</v>
      </c>
      <c r="K50" s="1180">
        <f>55*4320+(-12)*360</f>
        <v>233280</v>
      </c>
      <c r="L50" s="1180">
        <f>44*4320+5*360</f>
        <v>191880</v>
      </c>
      <c r="M50" s="1180">
        <f>40*4320+20*360</f>
        <v>180000</v>
      </c>
      <c r="N50" s="1180">
        <f>43*4320+2*360</f>
        <v>186480</v>
      </c>
      <c r="O50" s="1180">
        <f>129*4320+(-10)*360</f>
        <v>553680</v>
      </c>
      <c r="P50" s="1180">
        <f>5*4320</f>
        <v>21600</v>
      </c>
      <c r="Q50" s="1180">
        <f>17*4320+5*360</f>
        <v>75240</v>
      </c>
      <c r="R50" s="1180">
        <f>84*4320+11*360</f>
        <v>366840</v>
      </c>
      <c r="S50" s="1180">
        <f>31*4320+5*360</f>
        <v>135720</v>
      </c>
      <c r="T50" s="1221">
        <f t="shared" si="1"/>
        <v>4472280</v>
      </c>
      <c r="U50" s="62"/>
    </row>
    <row r="51" spans="1:21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91*4320+(-7)*360</f>
        <v>390600</v>
      </c>
      <c r="F51" s="1180">
        <f>54*4320+30*360</f>
        <v>244080</v>
      </c>
      <c r="G51" s="1180">
        <f>77*4320+12*360</f>
        <v>336960</v>
      </c>
      <c r="H51" s="1180">
        <f>50*4320+12*360</f>
        <v>220320</v>
      </c>
      <c r="I51" s="1180">
        <f>22*4320+37*360</f>
        <v>108360</v>
      </c>
      <c r="J51" s="1180"/>
      <c r="K51" s="1180">
        <f>12*4320+12*360</f>
        <v>56160</v>
      </c>
      <c r="L51" s="1180">
        <f>20*4320+8*360</f>
        <v>89280</v>
      </c>
      <c r="M51" s="1180">
        <f>6*4320</f>
        <v>25920</v>
      </c>
      <c r="N51" s="1180">
        <f>1*4320</f>
        <v>4320</v>
      </c>
      <c r="O51" s="1180">
        <f>5*4320+10*360</f>
        <v>25200</v>
      </c>
      <c r="P51" s="1180">
        <f>4*4320</f>
        <v>17280</v>
      </c>
      <c r="Q51" s="1180"/>
      <c r="R51" s="1180">
        <f>5*4320+12*360</f>
        <v>25920</v>
      </c>
      <c r="S51" s="1180">
        <f>11*4320</f>
        <v>47520</v>
      </c>
      <c r="T51" s="1221">
        <f t="shared" si="1"/>
        <v>1591920</v>
      </c>
      <c r="U51" s="62"/>
    </row>
    <row r="52" spans="1:21" ht="21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598307.14</v>
      </c>
      <c r="F52" s="1185">
        <f t="shared" ref="F52:S52" si="24">F53</f>
        <v>371738.86</v>
      </c>
      <c r="G52" s="1185">
        <f t="shared" si="24"/>
        <v>389668</v>
      </c>
      <c r="H52" s="1185">
        <f t="shared" si="24"/>
        <v>390242.29</v>
      </c>
      <c r="I52" s="1185">
        <f t="shared" si="24"/>
        <v>886289.43</v>
      </c>
      <c r="J52" s="1185">
        <f t="shared" si="24"/>
        <v>282406.86</v>
      </c>
      <c r="K52" s="1185">
        <f t="shared" si="24"/>
        <v>245058.86</v>
      </c>
      <c r="L52" s="1185">
        <f t="shared" si="24"/>
        <v>209830.57</v>
      </c>
      <c r="M52" s="1185">
        <f t="shared" si="24"/>
        <v>185689.14</v>
      </c>
      <c r="N52" s="1185">
        <f t="shared" si="24"/>
        <v>195302.86</v>
      </c>
      <c r="O52" s="1185">
        <f t="shared" si="24"/>
        <v>634120.56999999995</v>
      </c>
      <c r="P52" s="1185">
        <f t="shared" si="24"/>
        <v>25525.71</v>
      </c>
      <c r="Q52" s="1185">
        <f t="shared" si="24"/>
        <v>71555.429999999993</v>
      </c>
      <c r="R52" s="1185">
        <f t="shared" si="24"/>
        <v>418399.71</v>
      </c>
      <c r="S52" s="1185">
        <f t="shared" si="24"/>
        <v>134571.14000000001</v>
      </c>
      <c r="T52" s="1221">
        <f t="shared" si="1"/>
        <v>5038706.5699999994</v>
      </c>
      <c r="U52" s="62"/>
    </row>
    <row r="53" spans="1:21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23">
        <f>ROUND(E31/0.07*0.02,2)</f>
        <v>598307.14</v>
      </c>
      <c r="F53" s="1223">
        <f>ROUND(F31/0.07*0.02,2)</f>
        <v>371738.86</v>
      </c>
      <c r="G53" s="1223">
        <f>G31/0.07*0.02</f>
        <v>389668</v>
      </c>
      <c r="H53" s="1223">
        <f t="shared" ref="H53:S53" si="25">ROUND(H31/0.07*0.02,2)</f>
        <v>390242.29</v>
      </c>
      <c r="I53" s="1223">
        <f t="shared" si="25"/>
        <v>886289.43</v>
      </c>
      <c r="J53" s="1223">
        <f t="shared" si="25"/>
        <v>282406.86</v>
      </c>
      <c r="K53" s="1223">
        <f t="shared" si="25"/>
        <v>245058.86</v>
      </c>
      <c r="L53" s="1223">
        <f t="shared" si="25"/>
        <v>209830.57</v>
      </c>
      <c r="M53" s="1223">
        <f t="shared" si="25"/>
        <v>185689.14</v>
      </c>
      <c r="N53" s="1223">
        <f t="shared" si="25"/>
        <v>195302.86</v>
      </c>
      <c r="O53" s="1223">
        <f t="shared" si="25"/>
        <v>634120.56999999995</v>
      </c>
      <c r="P53" s="1223">
        <f t="shared" si="25"/>
        <v>25525.71</v>
      </c>
      <c r="Q53" s="1223">
        <f t="shared" si="25"/>
        <v>71555.429999999993</v>
      </c>
      <c r="R53" s="1223">
        <f t="shared" si="25"/>
        <v>418399.71</v>
      </c>
      <c r="S53" s="1223">
        <f t="shared" si="25"/>
        <v>134571.14000000001</v>
      </c>
      <c r="T53" s="1221">
        <f t="shared" si="1"/>
        <v>5038706.5699999994</v>
      </c>
      <c r="U53" s="62"/>
    </row>
    <row r="54" spans="1:21" ht="21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26798</v>
      </c>
      <c r="F54" s="1185">
        <f t="shared" ref="F54:S54" si="26">F55</f>
        <v>12176</v>
      </c>
      <c r="G54" s="1185">
        <f t="shared" si="26"/>
        <v>32000</v>
      </c>
      <c r="H54" s="1185">
        <f t="shared" si="26"/>
        <v>19000</v>
      </c>
      <c r="I54" s="1185">
        <f t="shared" si="26"/>
        <v>62000</v>
      </c>
      <c r="J54" s="1185">
        <f t="shared" si="26"/>
        <v>0</v>
      </c>
      <c r="K54" s="1185">
        <f t="shared" si="26"/>
        <v>15000</v>
      </c>
      <c r="L54" s="1185">
        <f t="shared" si="26"/>
        <v>25000</v>
      </c>
      <c r="M54" s="1185">
        <f t="shared" si="26"/>
        <v>0</v>
      </c>
      <c r="N54" s="1185">
        <f t="shared" si="26"/>
        <v>0</v>
      </c>
      <c r="O54" s="1185">
        <f t="shared" si="26"/>
        <v>28000</v>
      </c>
      <c r="P54" s="1185">
        <f t="shared" si="26"/>
        <v>200</v>
      </c>
      <c r="Q54" s="1185">
        <f t="shared" si="26"/>
        <v>0</v>
      </c>
      <c r="R54" s="1185">
        <f t="shared" si="26"/>
        <v>0</v>
      </c>
      <c r="S54" s="1185">
        <f t="shared" si="26"/>
        <v>0</v>
      </c>
      <c r="T54" s="1221">
        <f t="shared" si="1"/>
        <v>220174</v>
      </c>
      <c r="U54" s="62"/>
    </row>
    <row r="55" spans="1:21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222">
        <v>26798</v>
      </c>
      <c r="F55" s="1222">
        <v>12176</v>
      </c>
      <c r="G55" s="1222">
        <v>32000</v>
      </c>
      <c r="H55" s="1222">
        <v>19000</v>
      </c>
      <c r="I55" s="1222">
        <v>62000</v>
      </c>
      <c r="J55" s="1222"/>
      <c r="K55" s="1222">
        <v>15000</v>
      </c>
      <c r="L55" s="1222">
        <v>25000</v>
      </c>
      <c r="M55" s="1222"/>
      <c r="N55" s="1222"/>
      <c r="O55" s="1222">
        <v>28000</v>
      </c>
      <c r="P55" s="1222">
        <v>200</v>
      </c>
      <c r="Q55" s="1222"/>
      <c r="R55" s="1222"/>
      <c r="S55" s="1222"/>
      <c r="T55" s="1221">
        <f t="shared" si="1"/>
        <v>220174</v>
      </c>
      <c r="U55" s="62"/>
    </row>
    <row r="56" spans="1:21" ht="21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39850</v>
      </c>
      <c r="F56" s="1185">
        <f t="shared" ref="F56:S56" si="27">F57+F59</f>
        <v>24550</v>
      </c>
      <c r="G56" s="1185">
        <f t="shared" si="27"/>
        <v>33520</v>
      </c>
      <c r="H56" s="1185">
        <f t="shared" si="27"/>
        <v>25350</v>
      </c>
      <c r="I56" s="1185">
        <f t="shared" si="27"/>
        <v>18100</v>
      </c>
      <c r="J56" s="1185">
        <f t="shared" si="27"/>
        <v>6500</v>
      </c>
      <c r="K56" s="1185">
        <f t="shared" si="27"/>
        <v>6600</v>
      </c>
      <c r="L56" s="1185">
        <f t="shared" si="27"/>
        <v>13000</v>
      </c>
      <c r="M56" s="1185">
        <f t="shared" si="27"/>
        <v>7100</v>
      </c>
      <c r="N56" s="1185">
        <f t="shared" si="27"/>
        <v>1800</v>
      </c>
      <c r="O56" s="1185">
        <f t="shared" si="27"/>
        <v>12400</v>
      </c>
      <c r="P56" s="1185">
        <f t="shared" si="27"/>
        <v>1600</v>
      </c>
      <c r="Q56" s="1185">
        <f t="shared" si="27"/>
        <v>700</v>
      </c>
      <c r="R56" s="1185">
        <f t="shared" si="27"/>
        <v>3900</v>
      </c>
      <c r="S56" s="1185">
        <f t="shared" si="27"/>
        <v>5600</v>
      </c>
      <c r="T56" s="1221">
        <f t="shared" si="1"/>
        <v>200570</v>
      </c>
      <c r="U56" s="62"/>
    </row>
    <row r="57" spans="1:21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36000</v>
      </c>
      <c r="F57" s="1185">
        <f t="shared" ref="F57:S57" si="28">F58</f>
        <v>22800</v>
      </c>
      <c r="G57" s="1185">
        <f t="shared" si="28"/>
        <v>31600</v>
      </c>
      <c r="H57" s="1185">
        <f t="shared" si="28"/>
        <v>20800</v>
      </c>
      <c r="I57" s="1185">
        <f t="shared" si="28"/>
        <v>10400</v>
      </c>
      <c r="J57" s="1185">
        <f t="shared" si="28"/>
        <v>0</v>
      </c>
      <c r="K57" s="1185">
        <f t="shared" si="28"/>
        <v>5600</v>
      </c>
      <c r="L57" s="1185">
        <f t="shared" si="28"/>
        <v>8400</v>
      </c>
      <c r="M57" s="1185">
        <f t="shared" si="28"/>
        <v>2400</v>
      </c>
      <c r="N57" s="1185">
        <f t="shared" si="28"/>
        <v>400</v>
      </c>
      <c r="O57" s="1185">
        <f t="shared" si="28"/>
        <v>2400</v>
      </c>
      <c r="P57" s="1185">
        <f t="shared" si="28"/>
        <v>1600</v>
      </c>
      <c r="Q57" s="1185">
        <f t="shared" si="28"/>
        <v>0</v>
      </c>
      <c r="R57" s="1185">
        <f t="shared" si="28"/>
        <v>2800</v>
      </c>
      <c r="S57" s="1185">
        <f t="shared" si="28"/>
        <v>4400</v>
      </c>
      <c r="T57" s="1221">
        <f t="shared" si="1"/>
        <v>149600</v>
      </c>
      <c r="U57" s="62"/>
    </row>
    <row r="58" spans="1:21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-1*400+91*400</f>
        <v>36000</v>
      </c>
      <c r="F58" s="1180">
        <f>3*400+54*400</f>
        <v>22800</v>
      </c>
      <c r="G58" s="1180">
        <f>2*400+77*400</f>
        <v>31600</v>
      </c>
      <c r="H58" s="1180">
        <f>2*400+50*400</f>
        <v>20800</v>
      </c>
      <c r="I58" s="1180">
        <f>4*400+22*400</f>
        <v>10400</v>
      </c>
      <c r="J58" s="1180"/>
      <c r="K58" s="1180">
        <f>12*400+2*400</f>
        <v>5600</v>
      </c>
      <c r="L58" s="1180">
        <f>20*400+1*400</f>
        <v>8400</v>
      </c>
      <c r="M58" s="1180">
        <f>6*400</f>
        <v>2400</v>
      </c>
      <c r="N58" s="1180">
        <v>400</v>
      </c>
      <c r="O58" s="1180">
        <f>5*400+1*400</f>
        <v>2400</v>
      </c>
      <c r="P58" s="1180">
        <f>4*400</f>
        <v>1600</v>
      </c>
      <c r="Q58" s="1180"/>
      <c r="R58" s="1180">
        <f>5*400+2*400</f>
        <v>2800</v>
      </c>
      <c r="S58" s="1180">
        <f>11*400</f>
        <v>4400</v>
      </c>
      <c r="T58" s="1221">
        <f t="shared" si="1"/>
        <v>149600</v>
      </c>
      <c r="U58" s="62"/>
    </row>
    <row r="59" spans="1:21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f>[1]底稿!G17</f>
        <v>3850</v>
      </c>
      <c r="F59" s="1186">
        <f>[1]底稿!G35</f>
        <v>1750</v>
      </c>
      <c r="G59" s="1186">
        <f>[1]底稿!G53</f>
        <v>1920</v>
      </c>
      <c r="H59" s="1186">
        <f>[1]底稿!G72</f>
        <v>4550</v>
      </c>
      <c r="I59" s="1186">
        <f>[1]底稿!G90</f>
        <v>7700</v>
      </c>
      <c r="J59" s="1186">
        <f>[1]底稿!G108</f>
        <v>6500</v>
      </c>
      <c r="K59" s="1186">
        <f>[1]底稿!G126</f>
        <v>1000</v>
      </c>
      <c r="L59" s="1186">
        <f>[1]底稿!G144</f>
        <v>4600</v>
      </c>
      <c r="M59" s="1186">
        <f>[1]底稿!G162</f>
        <v>4700</v>
      </c>
      <c r="N59" s="1186">
        <f>[1]底稿!G181</f>
        <v>1400</v>
      </c>
      <c r="O59" s="1186">
        <f>[1]底稿!G200</f>
        <v>10000</v>
      </c>
      <c r="P59" s="1186">
        <f>[1]底稿!G218</f>
        <v>0</v>
      </c>
      <c r="Q59" s="1186">
        <f>[1]底稿!G237</f>
        <v>700</v>
      </c>
      <c r="R59" s="1186">
        <f>[1]底稿!G255</f>
        <v>1100</v>
      </c>
      <c r="S59" s="1186">
        <f>[1]底稿!G273</f>
        <v>1200</v>
      </c>
      <c r="T59" s="1221">
        <f t="shared" si="1"/>
        <v>50970</v>
      </c>
      <c r="U59" s="62"/>
    </row>
    <row r="60" spans="1:21" ht="21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S60" si="29">F61</f>
        <v>0</v>
      </c>
      <c r="G60" s="1185">
        <f t="shared" si="29"/>
        <v>0</v>
      </c>
      <c r="H60" s="1185">
        <f t="shared" si="29"/>
        <v>0</v>
      </c>
      <c r="I60" s="1185">
        <f t="shared" si="29"/>
        <v>0</v>
      </c>
      <c r="J60" s="1185">
        <f t="shared" si="29"/>
        <v>32000</v>
      </c>
      <c r="K60" s="1185">
        <f t="shared" si="29"/>
        <v>0</v>
      </c>
      <c r="L60" s="1185">
        <f t="shared" si="29"/>
        <v>0</v>
      </c>
      <c r="M60" s="1185">
        <f t="shared" si="29"/>
        <v>32000</v>
      </c>
      <c r="N60" s="1185">
        <f t="shared" si="29"/>
        <v>26000</v>
      </c>
      <c r="O60" s="1185">
        <f t="shared" si="29"/>
        <v>0</v>
      </c>
      <c r="P60" s="1185">
        <f t="shared" si="29"/>
        <v>0</v>
      </c>
      <c r="Q60" s="1185">
        <f t="shared" si="29"/>
        <v>32000</v>
      </c>
      <c r="R60" s="1185">
        <f t="shared" si="29"/>
        <v>32000</v>
      </c>
      <c r="S60" s="1185">
        <f t="shared" si="29"/>
        <v>31200</v>
      </c>
      <c r="T60" s="1221">
        <f t="shared" si="1"/>
        <v>185200</v>
      </c>
      <c r="U60" s="62"/>
    </row>
    <row r="61" spans="1:21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/>
      <c r="G61" s="1179"/>
      <c r="H61" s="1179"/>
      <c r="I61" s="1179"/>
      <c r="J61" s="1179">
        <v>32000</v>
      </c>
      <c r="K61" s="1179"/>
      <c r="L61" s="1179"/>
      <c r="M61" s="1179">
        <v>32000</v>
      </c>
      <c r="N61" s="1179">
        <v>26000</v>
      </c>
      <c r="O61" s="1179"/>
      <c r="P61" s="1179"/>
      <c r="Q61" s="1179">
        <v>32000</v>
      </c>
      <c r="R61" s="1179">
        <v>32000</v>
      </c>
      <c r="S61" s="1179">
        <v>31200</v>
      </c>
      <c r="T61" s="1221">
        <f t="shared" si="1"/>
        <v>185200</v>
      </c>
      <c r="U61" s="1187"/>
    </row>
    <row r="62" spans="1:21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224">
        <f t="shared" si="1"/>
        <v>0</v>
      </c>
      <c r="U62" s="1189"/>
    </row>
    <row r="63" spans="1:21" ht="21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110</v>
      </c>
      <c r="F63" s="1204">
        <f t="shared" ref="F63:S63" si="30">F64+F65+F66+F67</f>
        <v>69</v>
      </c>
      <c r="G63" s="1204">
        <f t="shared" si="30"/>
        <v>74</v>
      </c>
      <c r="H63" s="1204">
        <f t="shared" si="30"/>
        <v>83</v>
      </c>
      <c r="I63" s="1204">
        <f t="shared" si="30"/>
        <v>186</v>
      </c>
      <c r="J63" s="1204">
        <f t="shared" si="30"/>
        <v>59</v>
      </c>
      <c r="K63" s="1204">
        <f t="shared" si="30"/>
        <v>54</v>
      </c>
      <c r="L63" s="1204">
        <f t="shared" si="30"/>
        <v>47</v>
      </c>
      <c r="M63" s="1204">
        <f t="shared" si="30"/>
        <v>44</v>
      </c>
      <c r="N63" s="1204">
        <f t="shared" si="30"/>
        <v>44</v>
      </c>
      <c r="O63" s="1204">
        <f t="shared" si="30"/>
        <v>128</v>
      </c>
      <c r="P63" s="1204">
        <f t="shared" si="30"/>
        <v>5</v>
      </c>
      <c r="Q63" s="1204">
        <f t="shared" si="30"/>
        <v>18</v>
      </c>
      <c r="R63" s="1204">
        <f t="shared" si="30"/>
        <v>90</v>
      </c>
      <c r="S63" s="1204">
        <f t="shared" si="30"/>
        <v>32</v>
      </c>
      <c r="T63" s="1204">
        <f t="shared" si="1"/>
        <v>1043</v>
      </c>
      <c r="U63" s="62"/>
    </row>
    <row r="64" spans="1:21" ht="21.95" customHeight="1">
      <c r="A64" s="66" t="s">
        <v>148</v>
      </c>
      <c r="B64" s="1199" t="s">
        <v>149</v>
      </c>
      <c r="C64" s="1199"/>
      <c r="D64" s="62"/>
      <c r="E64" s="1181">
        <v>110</v>
      </c>
      <c r="F64" s="1181">
        <v>69</v>
      </c>
      <c r="G64" s="1181"/>
      <c r="H64" s="1181"/>
      <c r="I64" s="1181"/>
      <c r="J64" s="1181"/>
      <c r="K64" s="1181"/>
      <c r="L64" s="1181"/>
      <c r="M64" s="1181"/>
      <c r="N64" s="1181"/>
      <c r="O64" s="1181">
        <v>63</v>
      </c>
      <c r="P64" s="1181"/>
      <c r="Q64" s="1181"/>
      <c r="R64" s="1181">
        <v>90</v>
      </c>
      <c r="S64" s="1181"/>
      <c r="T64" s="1204">
        <f t="shared" si="1"/>
        <v>332</v>
      </c>
      <c r="U64" s="62"/>
    </row>
    <row r="65" spans="1:21" ht="21.95" customHeight="1">
      <c r="A65" s="66" t="s">
        <v>150</v>
      </c>
      <c r="B65" s="1199" t="s">
        <v>151</v>
      </c>
      <c r="C65" s="1199"/>
      <c r="D65" s="62"/>
      <c r="E65" s="1181"/>
      <c r="F65" s="1181"/>
      <c r="G65" s="1181">
        <v>74</v>
      </c>
      <c r="H65" s="1181">
        <v>83</v>
      </c>
      <c r="I65" s="1181">
        <v>186</v>
      </c>
      <c r="J65" s="1181">
        <v>59</v>
      </c>
      <c r="K65" s="1181"/>
      <c r="L65" s="1181"/>
      <c r="M65" s="1181"/>
      <c r="N65" s="1181"/>
      <c r="O65" s="1181">
        <v>65</v>
      </c>
      <c r="P65" s="1181"/>
      <c r="Q65" s="1181"/>
      <c r="R65" s="1181"/>
      <c r="S65" s="1181"/>
      <c r="T65" s="1204">
        <f t="shared" si="1"/>
        <v>467</v>
      </c>
      <c r="U65" s="62"/>
    </row>
    <row r="66" spans="1:21" ht="21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/>
      <c r="J66" s="1181"/>
      <c r="K66" s="1181">
        <v>54</v>
      </c>
      <c r="L66" s="1181">
        <v>47</v>
      </c>
      <c r="M66" s="1181">
        <v>44</v>
      </c>
      <c r="N66" s="1181">
        <v>44</v>
      </c>
      <c r="O66" s="1181"/>
      <c r="P66" s="1181"/>
      <c r="Q66" s="1181">
        <v>18</v>
      </c>
      <c r="R66" s="1181"/>
      <c r="S66" s="1181">
        <v>32</v>
      </c>
      <c r="T66" s="1204">
        <f t="shared" si="1"/>
        <v>239</v>
      </c>
      <c r="U66" s="62"/>
    </row>
    <row r="67" spans="1:21" ht="21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5</v>
      </c>
      <c r="Q67" s="1181"/>
      <c r="R67" s="1181"/>
      <c r="S67" s="1181"/>
      <c r="T67" s="1204">
        <f t="shared" si="1"/>
        <v>5</v>
      </c>
      <c r="U67" s="62"/>
    </row>
    <row r="68" spans="1:21" ht="21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1773</v>
      </c>
      <c r="F68" s="1204">
        <f t="shared" ref="F68:S68" si="31">F69+F70+F71+F72</f>
        <v>1028</v>
      </c>
      <c r="G68" s="1204">
        <f t="shared" si="31"/>
        <v>1215</v>
      </c>
      <c r="H68" s="1204">
        <f t="shared" si="31"/>
        <v>1064</v>
      </c>
      <c r="I68" s="1204">
        <f t="shared" si="31"/>
        <v>3078</v>
      </c>
      <c r="J68" s="1204">
        <f t="shared" si="31"/>
        <v>950</v>
      </c>
      <c r="K68" s="1204">
        <f t="shared" si="31"/>
        <v>560</v>
      </c>
      <c r="L68" s="1204">
        <f t="shared" si="31"/>
        <v>578</v>
      </c>
      <c r="M68" s="1204">
        <f t="shared" si="31"/>
        <v>513</v>
      </c>
      <c r="N68" s="1204">
        <f t="shared" si="31"/>
        <v>528</v>
      </c>
      <c r="O68" s="1204">
        <f t="shared" si="31"/>
        <v>2003</v>
      </c>
      <c r="P68" s="1204">
        <f t="shared" si="31"/>
        <v>0</v>
      </c>
      <c r="Q68" s="1204">
        <f t="shared" si="31"/>
        <v>205</v>
      </c>
      <c r="R68" s="1204">
        <f t="shared" si="31"/>
        <v>1485</v>
      </c>
      <c r="S68" s="1204">
        <f t="shared" si="31"/>
        <v>341</v>
      </c>
      <c r="T68" s="1204">
        <f t="shared" si="1"/>
        <v>15321</v>
      </c>
      <c r="U68" s="62"/>
    </row>
    <row r="69" spans="1:21" ht="21.95" customHeight="1">
      <c r="A69" s="66" t="s">
        <v>158</v>
      </c>
      <c r="B69" s="1199" t="s">
        <v>149</v>
      </c>
      <c r="C69" s="1199"/>
      <c r="D69" s="62"/>
      <c r="E69" s="1181">
        <v>1773</v>
      </c>
      <c r="F69" s="1181">
        <v>1028</v>
      </c>
      <c r="G69" s="1181"/>
      <c r="H69" s="1181"/>
      <c r="I69" s="1181"/>
      <c r="J69" s="1181"/>
      <c r="K69" s="1181"/>
      <c r="L69" s="1181"/>
      <c r="M69" s="1181"/>
      <c r="N69" s="1181"/>
      <c r="O69" s="1181">
        <v>908</v>
      </c>
      <c r="P69" s="1181"/>
      <c r="Q69" s="1181"/>
      <c r="R69" s="1181">
        <v>1485</v>
      </c>
      <c r="S69" s="1181"/>
      <c r="T69" s="1204">
        <f t="shared" ref="T69:T75" si="32">SUM(E69:S69)</f>
        <v>5194</v>
      </c>
      <c r="U69" s="62"/>
    </row>
    <row r="70" spans="1:21" ht="21.95" customHeight="1">
      <c r="A70" s="66" t="s">
        <v>159</v>
      </c>
      <c r="B70" s="1199" t="s">
        <v>151</v>
      </c>
      <c r="C70" s="1199"/>
      <c r="D70" s="62"/>
      <c r="E70" s="1181"/>
      <c r="F70" s="1181"/>
      <c r="G70" s="1181">
        <v>1215</v>
      </c>
      <c r="H70" s="1181">
        <v>1064</v>
      </c>
      <c r="I70" s="1181">
        <v>3078</v>
      </c>
      <c r="J70" s="1181">
        <v>950</v>
      </c>
      <c r="K70" s="1181"/>
      <c r="L70" s="1181"/>
      <c r="M70" s="1181"/>
      <c r="N70" s="1181"/>
      <c r="O70" s="1181">
        <v>1095</v>
      </c>
      <c r="P70" s="1181"/>
      <c r="Q70" s="1181"/>
      <c r="R70" s="1181"/>
      <c r="S70" s="1181"/>
      <c r="T70" s="1204">
        <f t="shared" si="32"/>
        <v>7402</v>
      </c>
      <c r="U70" s="62"/>
    </row>
    <row r="71" spans="1:21" ht="21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/>
      <c r="J71" s="1181"/>
      <c r="K71" s="1181">
        <v>560</v>
      </c>
      <c r="L71" s="1181">
        <v>578</v>
      </c>
      <c r="M71" s="1181">
        <v>513</v>
      </c>
      <c r="N71" s="1181">
        <v>528</v>
      </c>
      <c r="O71" s="1181"/>
      <c r="P71" s="1181"/>
      <c r="Q71" s="1181">
        <v>205</v>
      </c>
      <c r="R71" s="1181"/>
      <c r="S71" s="1181">
        <v>341</v>
      </c>
      <c r="T71" s="1204">
        <f t="shared" si="32"/>
        <v>2725</v>
      </c>
      <c r="U71" s="62"/>
    </row>
    <row r="72" spans="1:21" ht="21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204">
        <f t="shared" si="32"/>
        <v>0</v>
      </c>
      <c r="U72" s="62"/>
    </row>
    <row r="73" spans="1:21" ht="21.95" customHeight="1">
      <c r="A73" s="66" t="s">
        <v>162</v>
      </c>
      <c r="B73" s="61" t="s">
        <v>218</v>
      </c>
      <c r="C73" s="61"/>
      <c r="D73" s="62"/>
      <c r="E73" s="1181">
        <v>90</v>
      </c>
      <c r="F73" s="1181">
        <v>57</v>
      </c>
      <c r="G73" s="1181">
        <v>79</v>
      </c>
      <c r="H73" s="1181">
        <v>51</v>
      </c>
      <c r="I73" s="1181">
        <v>26</v>
      </c>
      <c r="J73" s="1181"/>
      <c r="K73" s="1181">
        <v>13</v>
      </c>
      <c r="L73" s="1181">
        <v>21</v>
      </c>
      <c r="M73" s="1181">
        <v>6</v>
      </c>
      <c r="N73" s="1181">
        <v>1</v>
      </c>
      <c r="O73" s="1181">
        <v>6</v>
      </c>
      <c r="P73" s="1181">
        <v>4</v>
      </c>
      <c r="Q73" s="1181"/>
      <c r="R73" s="1181">
        <v>7</v>
      </c>
      <c r="S73" s="1181">
        <v>11</v>
      </c>
      <c r="T73" s="1204">
        <f t="shared" si="32"/>
        <v>372</v>
      </c>
      <c r="U73" s="62"/>
    </row>
    <row r="74" spans="1:21" ht="21.95" customHeight="1">
      <c r="A74" s="66" t="s">
        <v>3011</v>
      </c>
      <c r="B74" s="1199" t="s">
        <v>219</v>
      </c>
      <c r="C74" s="1199"/>
      <c r="D74" s="67"/>
      <c r="E74" s="1180">
        <v>32622</v>
      </c>
      <c r="F74" s="1180">
        <v>9046</v>
      </c>
      <c r="G74" s="1180">
        <v>13627</v>
      </c>
      <c r="H74" s="1180">
        <v>17902</v>
      </c>
      <c r="I74" s="1180">
        <v>25772.240000000002</v>
      </c>
      <c r="J74" s="1180">
        <v>13105.71</v>
      </c>
      <c r="K74" s="1180">
        <f>10602.95+3127.29</f>
        <v>13730.240000000002</v>
      </c>
      <c r="L74" s="1180">
        <f>6627.96+9667-2106.42+1053.21</f>
        <v>15241.75</v>
      </c>
      <c r="M74" s="1180">
        <v>11478.41</v>
      </c>
      <c r="N74" s="1180">
        <v>9116.92</v>
      </c>
      <c r="O74" s="1180">
        <f>14906.88/2+18924.89</f>
        <v>26378.329999999998</v>
      </c>
      <c r="P74" s="1180">
        <v>2300</v>
      </c>
      <c r="Q74" s="1180">
        <v>4357</v>
      </c>
      <c r="R74" s="1180">
        <v>13284.58</v>
      </c>
      <c r="S74" s="1180">
        <f>2564.98+1394.54</f>
        <v>3959.52</v>
      </c>
      <c r="T74" s="1221">
        <f t="shared" si="32"/>
        <v>211921.69999999998</v>
      </c>
      <c r="U74" s="62"/>
    </row>
    <row r="75" spans="1:21" ht="21.95" customHeight="1">
      <c r="A75" s="66" t="s">
        <v>3012</v>
      </c>
      <c r="B75" s="1199" t="s">
        <v>220</v>
      </c>
      <c r="C75" s="1199"/>
      <c r="D75" s="67"/>
      <c r="E75" s="1180">
        <v>29824</v>
      </c>
      <c r="F75" s="1180">
        <v>8662</v>
      </c>
      <c r="G75" s="1180">
        <v>8000</v>
      </c>
      <c r="H75" s="1180">
        <v>8000</v>
      </c>
      <c r="I75" s="1180">
        <v>15855</v>
      </c>
      <c r="J75" s="1180">
        <v>4669</v>
      </c>
      <c r="K75" s="1180">
        <f>4900+1492</f>
        <v>6392</v>
      </c>
      <c r="L75" s="1180">
        <f>4663.8+2548.8-1040+520</f>
        <v>6692.6</v>
      </c>
      <c r="M75" s="1180">
        <v>6585.2</v>
      </c>
      <c r="N75" s="1180">
        <v>3060</v>
      </c>
      <c r="O75" s="1180">
        <f>7600/2+13460</f>
        <v>17260</v>
      </c>
      <c r="P75" s="1180"/>
      <c r="Q75" s="1180">
        <v>1505</v>
      </c>
      <c r="R75" s="1180">
        <v>6784</v>
      </c>
      <c r="S75" s="1180">
        <v>4013</v>
      </c>
      <c r="T75" s="1221">
        <f t="shared" si="32"/>
        <v>127301.8</v>
      </c>
      <c r="U75" s="62"/>
    </row>
    <row r="77" spans="1:21">
      <c r="B77" s="3" t="s">
        <v>3067</v>
      </c>
    </row>
    <row r="84" spans="5:19"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</sheetData>
  <protectedRanges>
    <protectedRange password="E9C1" sqref="D31 C32 A6:D7 B8:D30 T6:U75 B33:D75 A8:A75 A3:U5" name="区域1_1"/>
    <protectedRange password="E9C1" sqref="B31:C31 B32" name="区域1_1_1"/>
    <protectedRange password="E9C1" sqref="D32" name="区域1_2"/>
  </protectedRanges>
  <mergeCells count="7">
    <mergeCell ref="A1:U1"/>
    <mergeCell ref="A3:A4"/>
    <mergeCell ref="B3:B4"/>
    <mergeCell ref="C3:C4"/>
    <mergeCell ref="D3:D4"/>
    <mergeCell ref="T3:T4"/>
    <mergeCell ref="U3:U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S81"/>
  <sheetViews>
    <sheetView topLeftCell="B1" workbookViewId="0">
      <pane xSplit="3" ySplit="4" topLeftCell="E62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.125" style="21" hidden="1" customWidth="1"/>
    <col min="2" max="2" width="32" style="3" customWidth="1"/>
    <col min="3" max="3" width="0" style="3" hidden="1" customWidth="1"/>
    <col min="4" max="4" width="0.125" style="1178" hidden="1" customWidth="1"/>
    <col min="5" max="5" width="12.625" style="3" customWidth="1"/>
    <col min="6" max="6" width="13.25" style="3" customWidth="1"/>
    <col min="7" max="7" width="12.625" style="3" customWidth="1"/>
    <col min="8" max="8" width="12.25" style="3" customWidth="1"/>
    <col min="9" max="9" width="12.375" style="3" customWidth="1"/>
    <col min="10" max="10" width="13" style="3" customWidth="1"/>
    <col min="11" max="11" width="11.875" style="3" customWidth="1"/>
    <col min="12" max="12" width="12.125" style="3" customWidth="1"/>
    <col min="13" max="13" width="11.375" style="3" customWidth="1"/>
    <col min="14" max="14" width="11.875" style="3" customWidth="1"/>
    <col min="15" max="15" width="10.625" style="3" customWidth="1"/>
    <col min="16" max="16" width="13.5" style="3" customWidth="1"/>
    <col min="17" max="17" width="10.625" style="3" hidden="1" customWidth="1"/>
    <col min="18" max="16384" width="9" style="3"/>
  </cols>
  <sheetData>
    <row r="1" spans="1:19" ht="24.95" customHeight="1">
      <c r="A1" s="1362" t="s">
        <v>3184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</row>
    <row r="2" spans="1:19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257" t="s">
        <v>3247</v>
      </c>
      <c r="Q2" s="1177"/>
    </row>
    <row r="3" spans="1:19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188</v>
      </c>
      <c r="F3" s="1191" t="s">
        <v>189</v>
      </c>
      <c r="G3" s="1191" t="s">
        <v>3185</v>
      </c>
      <c r="H3" s="1191" t="s">
        <v>3069</v>
      </c>
      <c r="I3" s="1191" t="s">
        <v>190</v>
      </c>
      <c r="J3" s="1191" t="s">
        <v>191</v>
      </c>
      <c r="K3" s="1191" t="s">
        <v>192</v>
      </c>
      <c r="L3" s="1191" t="s">
        <v>193</v>
      </c>
      <c r="M3" s="1191" t="s">
        <v>194</v>
      </c>
      <c r="N3" s="1191" t="s">
        <v>3070</v>
      </c>
      <c r="O3" s="1191" t="s">
        <v>187</v>
      </c>
      <c r="P3" s="1611" t="s">
        <v>17</v>
      </c>
      <c r="Q3" s="1611" t="s">
        <v>18</v>
      </c>
    </row>
    <row r="4" spans="1:19" ht="24.95" customHeight="1">
      <c r="A4" s="1610"/>
      <c r="B4" s="1610"/>
      <c r="C4" s="1610"/>
      <c r="D4" s="1610"/>
      <c r="E4" s="1191" t="s">
        <v>3177</v>
      </c>
      <c r="F4" s="1191" t="s">
        <v>3177</v>
      </c>
      <c r="G4" s="1191" t="s">
        <v>3083</v>
      </c>
      <c r="H4" s="1191" t="s">
        <v>3096</v>
      </c>
      <c r="I4" s="1191" t="s">
        <v>3096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3082</v>
      </c>
      <c r="P4" s="1612"/>
      <c r="Q4" s="1612"/>
    </row>
    <row r="5" spans="1:19" ht="16.5" customHeight="1">
      <c r="A5" s="66" t="s">
        <v>19</v>
      </c>
      <c r="B5" s="61" t="s">
        <v>20</v>
      </c>
      <c r="C5" s="61"/>
      <c r="D5" s="62" t="s">
        <v>21</v>
      </c>
      <c r="E5" s="1185">
        <f t="shared" ref="E5:O5" si="0">E6+E33+E40</f>
        <v>19931344.5</v>
      </c>
      <c r="F5" s="1185">
        <f t="shared" si="0"/>
        <v>16519290.85</v>
      </c>
      <c r="G5" s="1185">
        <f t="shared" si="0"/>
        <v>26897924.449999999</v>
      </c>
      <c r="H5" s="1185">
        <f t="shared" si="0"/>
        <v>17134567.649999999</v>
      </c>
      <c r="I5" s="1185">
        <f t="shared" si="0"/>
        <v>22753274</v>
      </c>
      <c r="J5" s="1185">
        <f t="shared" si="0"/>
        <v>10971000</v>
      </c>
      <c r="K5" s="1185">
        <f t="shared" si="0"/>
        <v>9074295.75</v>
      </c>
      <c r="L5" s="1185">
        <f t="shared" si="0"/>
        <v>8519894.5999999996</v>
      </c>
      <c r="M5" s="1185">
        <f t="shared" si="0"/>
        <v>9530062.25</v>
      </c>
      <c r="N5" s="1185">
        <f t="shared" si="0"/>
        <v>2253828.4</v>
      </c>
      <c r="O5" s="1185">
        <f t="shared" si="0"/>
        <v>519265</v>
      </c>
      <c r="P5" s="1185">
        <f t="shared" ref="P5:P68" si="1">SUM(E5:O5)</f>
        <v>144104747.44999999</v>
      </c>
      <c r="Q5" s="62"/>
    </row>
    <row r="6" spans="1:19" ht="16.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13873715.5</v>
      </c>
      <c r="F6" s="1185">
        <f t="shared" ref="F6:O6" si="2">F7+F10+F14+F17+F22+F27+F29+F31+F32</f>
        <v>11854189.5</v>
      </c>
      <c r="G6" s="1185">
        <f t="shared" si="2"/>
        <v>20164531.25</v>
      </c>
      <c r="H6" s="1185">
        <f t="shared" si="2"/>
        <v>12379291.5</v>
      </c>
      <c r="I6" s="1185">
        <f t="shared" si="2"/>
        <v>14997798</v>
      </c>
      <c r="J6" s="1185">
        <f t="shared" si="2"/>
        <v>8302382</v>
      </c>
      <c r="K6" s="1185">
        <f t="shared" si="2"/>
        <v>6892047</v>
      </c>
      <c r="L6" s="1185">
        <f t="shared" si="2"/>
        <v>5982528</v>
      </c>
      <c r="M6" s="1185">
        <f t="shared" si="2"/>
        <v>7367521</v>
      </c>
      <c r="N6" s="1185">
        <f t="shared" si="2"/>
        <v>1187882</v>
      </c>
      <c r="O6" s="1185">
        <f t="shared" si="2"/>
        <v>412765</v>
      </c>
      <c r="P6" s="1185">
        <f t="shared" si="1"/>
        <v>103414650.75</v>
      </c>
      <c r="Q6" s="62"/>
    </row>
    <row r="7" spans="1:19" ht="16.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4236060</v>
      </c>
      <c r="F7" s="1185">
        <f t="shared" ref="F7:O7" si="3">F8+F9</f>
        <v>3527950</v>
      </c>
      <c r="G7" s="1185">
        <f t="shared" si="3"/>
        <v>6474380</v>
      </c>
      <c r="H7" s="1185">
        <f t="shared" si="3"/>
        <v>3931770</v>
      </c>
      <c r="I7" s="1185">
        <f t="shared" si="3"/>
        <v>4837670</v>
      </c>
      <c r="J7" s="1185">
        <f t="shared" si="3"/>
        <v>2754910</v>
      </c>
      <c r="K7" s="1185">
        <f t="shared" si="3"/>
        <v>2276050</v>
      </c>
      <c r="L7" s="1185">
        <f t="shared" si="3"/>
        <v>1970610</v>
      </c>
      <c r="M7" s="1185">
        <f t="shared" si="3"/>
        <v>2458480</v>
      </c>
      <c r="N7" s="1185">
        <f t="shared" si="3"/>
        <v>337550</v>
      </c>
      <c r="O7" s="1185">
        <f t="shared" si="3"/>
        <v>150320</v>
      </c>
      <c r="P7" s="1185">
        <f t="shared" si="1"/>
        <v>32955750</v>
      </c>
      <c r="Q7" s="62"/>
    </row>
    <row r="8" spans="1:19" ht="16.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2276115</v>
      </c>
      <c r="F8" s="1180">
        <v>1930820</v>
      </c>
      <c r="G8" s="1180">
        <v>3258840</v>
      </c>
      <c r="H8" s="1180">
        <v>2051020</v>
      </c>
      <c r="I8" s="1180">
        <v>2582160</v>
      </c>
      <c r="J8" s="1180">
        <v>1583330</v>
      </c>
      <c r="K8" s="1180">
        <v>1291530</v>
      </c>
      <c r="L8" s="1180">
        <v>1102850</v>
      </c>
      <c r="M8" s="1180">
        <v>1352330</v>
      </c>
      <c r="N8" s="1180">
        <v>196680</v>
      </c>
      <c r="O8" s="1180">
        <v>78360</v>
      </c>
      <c r="P8" s="1185">
        <f t="shared" si="1"/>
        <v>17704035</v>
      </c>
      <c r="Q8" s="1192"/>
    </row>
    <row r="9" spans="1:19" ht="16.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1959945</v>
      </c>
      <c r="F9" s="1180">
        <v>1597130</v>
      </c>
      <c r="G9" s="1180">
        <v>3215540</v>
      </c>
      <c r="H9" s="1180">
        <v>1880750</v>
      </c>
      <c r="I9" s="1180">
        <v>2255510</v>
      </c>
      <c r="J9" s="1180">
        <v>1171580</v>
      </c>
      <c r="K9" s="1180">
        <v>984520</v>
      </c>
      <c r="L9" s="1180">
        <v>867760</v>
      </c>
      <c r="M9" s="1180">
        <v>1106150</v>
      </c>
      <c r="N9" s="1180">
        <v>140870</v>
      </c>
      <c r="O9" s="1180">
        <v>71960</v>
      </c>
      <c r="P9" s="1185">
        <f t="shared" si="1"/>
        <v>15251715</v>
      </c>
      <c r="Q9" s="62"/>
    </row>
    <row r="10" spans="1:19" ht="16.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353000</v>
      </c>
      <c r="F10" s="1185">
        <f t="shared" ref="F10:O10" si="4">F11+F12</f>
        <v>292600</v>
      </c>
      <c r="G10" s="1185">
        <f t="shared" si="4"/>
        <v>522780</v>
      </c>
      <c r="H10" s="1185">
        <f t="shared" si="4"/>
        <v>341313</v>
      </c>
      <c r="I10" s="1185">
        <f t="shared" si="4"/>
        <v>423304</v>
      </c>
      <c r="J10" s="1185">
        <f t="shared" si="4"/>
        <v>274900</v>
      </c>
      <c r="K10" s="1185">
        <f t="shared" si="4"/>
        <v>219870</v>
      </c>
      <c r="L10" s="1185">
        <f t="shared" si="4"/>
        <v>187570</v>
      </c>
      <c r="M10" s="1185">
        <f t="shared" si="4"/>
        <v>224138</v>
      </c>
      <c r="N10" s="1185">
        <f t="shared" si="4"/>
        <v>32576</v>
      </c>
      <c r="O10" s="1185">
        <f t="shared" si="4"/>
        <v>12062</v>
      </c>
      <c r="P10" s="1185">
        <f t="shared" si="1"/>
        <v>2884113</v>
      </c>
      <c r="Q10" s="62"/>
    </row>
    <row r="11" spans="1:19" ht="16.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5400</v>
      </c>
      <c r="F11" s="1180">
        <v>4400</v>
      </c>
      <c r="G11" s="1180">
        <v>8860</v>
      </c>
      <c r="H11" s="1180">
        <v>5593</v>
      </c>
      <c r="I11" s="1180">
        <v>6184</v>
      </c>
      <c r="J11" s="1180">
        <v>3420</v>
      </c>
      <c r="K11" s="1180">
        <v>2950</v>
      </c>
      <c r="L11" s="1180">
        <v>2770</v>
      </c>
      <c r="M11" s="1180">
        <v>3698</v>
      </c>
      <c r="N11" s="1180">
        <v>456</v>
      </c>
      <c r="O11" s="1180">
        <v>182</v>
      </c>
      <c r="P11" s="1185">
        <f t="shared" si="1"/>
        <v>43913</v>
      </c>
      <c r="Q11" s="62"/>
    </row>
    <row r="12" spans="1:19" ht="16.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347600</v>
      </c>
      <c r="F12" s="1185">
        <f t="shared" ref="F12:O12" si="5">F13</f>
        <v>288200</v>
      </c>
      <c r="G12" s="1185">
        <f t="shared" si="5"/>
        <v>513920</v>
      </c>
      <c r="H12" s="1185">
        <f t="shared" si="5"/>
        <v>335720</v>
      </c>
      <c r="I12" s="1185">
        <f t="shared" si="5"/>
        <v>417120</v>
      </c>
      <c r="J12" s="1185">
        <f t="shared" si="5"/>
        <v>271480</v>
      </c>
      <c r="K12" s="1185">
        <f t="shared" si="5"/>
        <v>216920</v>
      </c>
      <c r="L12" s="1185">
        <f t="shared" si="5"/>
        <v>184800</v>
      </c>
      <c r="M12" s="1185">
        <f t="shared" si="5"/>
        <v>220440</v>
      </c>
      <c r="N12" s="1185">
        <f t="shared" si="5"/>
        <v>32120</v>
      </c>
      <c r="O12" s="1185">
        <f t="shared" si="5"/>
        <v>11880</v>
      </c>
      <c r="P12" s="1185">
        <f t="shared" si="1"/>
        <v>2840200</v>
      </c>
      <c r="Q12" s="62"/>
    </row>
    <row r="13" spans="1:19" ht="16.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347600</v>
      </c>
      <c r="F13" s="1180">
        <v>288200</v>
      </c>
      <c r="G13" s="1180">
        <v>513920</v>
      </c>
      <c r="H13" s="1180">
        <v>335720</v>
      </c>
      <c r="I13" s="1180">
        <v>417120</v>
      </c>
      <c r="J13" s="1180">
        <v>271480</v>
      </c>
      <c r="K13" s="1180">
        <v>216920</v>
      </c>
      <c r="L13" s="1180">
        <v>184800</v>
      </c>
      <c r="M13" s="1180">
        <v>220440</v>
      </c>
      <c r="N13" s="1180">
        <v>32120</v>
      </c>
      <c r="O13" s="1180">
        <v>11880</v>
      </c>
      <c r="P13" s="1185">
        <f t="shared" si="1"/>
        <v>2840200</v>
      </c>
      <c r="Q13" s="62"/>
    </row>
    <row r="14" spans="1:19" ht="16.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146750</v>
      </c>
      <c r="F14" s="1185">
        <f t="shared" ref="F14:O14" si="6">F15+F16</f>
        <v>133605</v>
      </c>
      <c r="G14" s="1185">
        <f t="shared" si="6"/>
        <v>211970</v>
      </c>
      <c r="H14" s="1185">
        <f t="shared" si="6"/>
        <v>127000</v>
      </c>
      <c r="I14" s="1185">
        <f t="shared" si="6"/>
        <v>163800</v>
      </c>
      <c r="J14" s="1185">
        <f t="shared" si="6"/>
        <v>81970</v>
      </c>
      <c r="K14" s="1185">
        <f t="shared" si="6"/>
        <v>76060</v>
      </c>
      <c r="L14" s="1185">
        <f t="shared" si="6"/>
        <v>72680</v>
      </c>
      <c r="M14" s="1185">
        <f t="shared" si="6"/>
        <v>84320</v>
      </c>
      <c r="N14" s="1185">
        <f t="shared" si="6"/>
        <v>12330</v>
      </c>
      <c r="O14" s="1185">
        <f t="shared" si="6"/>
        <v>4513</v>
      </c>
      <c r="P14" s="1185">
        <f t="shared" si="1"/>
        <v>1114998</v>
      </c>
      <c r="Q14" s="62"/>
    </row>
    <row r="15" spans="1:19" ht="16.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57010</v>
      </c>
      <c r="F15" s="1180">
        <v>55350</v>
      </c>
      <c r="G15" s="1180">
        <v>82280</v>
      </c>
      <c r="H15" s="1180">
        <v>45000</v>
      </c>
      <c r="I15" s="1180">
        <v>65340</v>
      </c>
      <c r="J15" s="1180">
        <v>24010</v>
      </c>
      <c r="K15" s="1180">
        <v>29730</v>
      </c>
      <c r="L15" s="1180">
        <v>32830</v>
      </c>
      <c r="M15" s="1180">
        <v>34650</v>
      </c>
      <c r="N15" s="1180">
        <v>4620</v>
      </c>
      <c r="O15" s="1180">
        <v>1538</v>
      </c>
      <c r="P15" s="1185">
        <f t="shared" si="1"/>
        <v>432358</v>
      </c>
      <c r="Q15" s="62"/>
      <c r="S15" s="24"/>
    </row>
    <row r="16" spans="1:19" ht="16.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89740</v>
      </c>
      <c r="F16" s="1180">
        <v>78255</v>
      </c>
      <c r="G16" s="1180">
        <v>129690</v>
      </c>
      <c r="H16" s="1180">
        <v>82000</v>
      </c>
      <c r="I16" s="1180">
        <v>98460</v>
      </c>
      <c r="J16" s="1180">
        <v>57960</v>
      </c>
      <c r="K16" s="1180">
        <v>46330</v>
      </c>
      <c r="L16" s="1180">
        <v>39850</v>
      </c>
      <c r="M16" s="1180">
        <v>49670</v>
      </c>
      <c r="N16" s="1180">
        <v>7710</v>
      </c>
      <c r="O16" s="1180">
        <v>2975</v>
      </c>
      <c r="P16" s="1185">
        <f t="shared" si="1"/>
        <v>682640</v>
      </c>
      <c r="Q16" s="62"/>
      <c r="S16" s="24"/>
    </row>
    <row r="17" spans="1:19" ht="16.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1894270.5</v>
      </c>
      <c r="F17" s="1185">
        <f t="shared" ref="F17:O17" si="7">F18+F19+F20+F21</f>
        <v>1639674.5</v>
      </c>
      <c r="G17" s="1185">
        <f t="shared" si="7"/>
        <v>2354316.25</v>
      </c>
      <c r="H17" s="1185">
        <f t="shared" si="7"/>
        <v>1228578.5</v>
      </c>
      <c r="I17" s="1185">
        <f t="shared" si="7"/>
        <v>1437674</v>
      </c>
      <c r="J17" s="1185">
        <f t="shared" si="7"/>
        <v>559792</v>
      </c>
      <c r="K17" s="1185">
        <f t="shared" si="7"/>
        <v>521576</v>
      </c>
      <c r="L17" s="1185">
        <f t="shared" si="7"/>
        <v>497572</v>
      </c>
      <c r="M17" s="1185">
        <f t="shared" si="7"/>
        <v>533116</v>
      </c>
      <c r="N17" s="1185">
        <f t="shared" si="7"/>
        <v>247056</v>
      </c>
      <c r="O17" s="1185">
        <f t="shared" si="7"/>
        <v>13500</v>
      </c>
      <c r="P17" s="1185">
        <f t="shared" si="1"/>
        <v>10927125.75</v>
      </c>
      <c r="Q17" s="62"/>
    </row>
    <row r="18" spans="1:19" ht="16.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5">
        <f t="shared" si="1"/>
        <v>0</v>
      </c>
      <c r="Q18" s="62"/>
    </row>
    <row r="19" spans="1:19" ht="16.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456904</v>
      </c>
      <c r="F19" s="1180">
        <v>254392</v>
      </c>
      <c r="G19" s="1180">
        <v>243692</v>
      </c>
      <c r="H19" s="1180">
        <v>259587</v>
      </c>
      <c r="I19" s="1180">
        <v>337856</v>
      </c>
      <c r="J19" s="1180">
        <v>250792</v>
      </c>
      <c r="K19" s="1180">
        <v>268076</v>
      </c>
      <c r="L19" s="1180">
        <v>287572</v>
      </c>
      <c r="M19" s="1180">
        <v>276616</v>
      </c>
      <c r="N19" s="1180">
        <v>210556</v>
      </c>
      <c r="O19" s="1180"/>
      <c r="P19" s="1185">
        <f t="shared" si="1"/>
        <v>2846043</v>
      </c>
      <c r="Q19" s="62"/>
    </row>
    <row r="20" spans="1:19" ht="16.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384000</v>
      </c>
      <c r="F20" s="1180">
        <v>328000</v>
      </c>
      <c r="G20" s="1180">
        <v>600500</v>
      </c>
      <c r="H20" s="1180">
        <v>386500</v>
      </c>
      <c r="I20" s="1180">
        <v>473500</v>
      </c>
      <c r="J20" s="1180">
        <v>309000</v>
      </c>
      <c r="K20" s="1180">
        <v>253500</v>
      </c>
      <c r="L20" s="1180">
        <v>210000</v>
      </c>
      <c r="M20" s="1180">
        <v>256500</v>
      </c>
      <c r="N20" s="1180">
        <v>36500</v>
      </c>
      <c r="O20" s="1180">
        <v>13500</v>
      </c>
      <c r="P20" s="1185">
        <f t="shared" si="1"/>
        <v>3251500</v>
      </c>
      <c r="Q20" s="62"/>
    </row>
    <row r="21" spans="1:19" ht="16.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1053366.5</v>
      </c>
      <c r="F21" s="1180">
        <v>1057282.5</v>
      </c>
      <c r="G21" s="1180">
        <v>1510124.25</v>
      </c>
      <c r="H21" s="1180">
        <v>582491.5</v>
      </c>
      <c r="I21" s="1180">
        <v>626318</v>
      </c>
      <c r="J21" s="1180"/>
      <c r="K21" s="1180"/>
      <c r="L21" s="1180"/>
      <c r="M21" s="1180"/>
      <c r="N21" s="1180"/>
      <c r="O21" s="1180"/>
      <c r="P21" s="1185">
        <f t="shared" si="1"/>
        <v>4829582.75</v>
      </c>
      <c r="Q21" s="62"/>
    </row>
    <row r="22" spans="1:19" ht="16.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1764745</v>
      </c>
      <c r="F22" s="1185">
        <f t="shared" ref="F22:O22" si="8">F23+F24</f>
        <v>1611230</v>
      </c>
      <c r="G22" s="1185">
        <f t="shared" si="8"/>
        <v>2560555</v>
      </c>
      <c r="H22" s="1185">
        <f t="shared" si="8"/>
        <v>1632670</v>
      </c>
      <c r="I22" s="1185">
        <f t="shared" si="8"/>
        <v>1978550</v>
      </c>
      <c r="J22" s="1185">
        <f t="shared" si="8"/>
        <v>1131580</v>
      </c>
      <c r="K22" s="1185">
        <f t="shared" si="8"/>
        <v>925365</v>
      </c>
      <c r="L22" s="1185">
        <f t="shared" si="8"/>
        <v>796455</v>
      </c>
      <c r="M22" s="1185">
        <f t="shared" si="8"/>
        <v>991985</v>
      </c>
      <c r="N22" s="1185">
        <f t="shared" si="8"/>
        <v>131730</v>
      </c>
      <c r="O22" s="1185">
        <f t="shared" si="8"/>
        <v>51770</v>
      </c>
      <c r="P22" s="1185">
        <f t="shared" si="1"/>
        <v>13576635</v>
      </c>
      <c r="Q22" s="62"/>
    </row>
    <row r="23" spans="1:19" ht="16.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1584370</v>
      </c>
      <c r="F23" s="1180">
        <v>1477555</v>
      </c>
      <c r="G23" s="1180">
        <v>2326610</v>
      </c>
      <c r="H23" s="1180">
        <v>1476850</v>
      </c>
      <c r="I23" s="1180">
        <v>1774210</v>
      </c>
      <c r="J23" s="1180">
        <v>1012290</v>
      </c>
      <c r="K23" s="1180">
        <v>831230</v>
      </c>
      <c r="L23" s="1180">
        <v>712140</v>
      </c>
      <c r="M23" s="1180">
        <v>893520</v>
      </c>
      <c r="N23" s="1180">
        <v>123350</v>
      </c>
      <c r="O23" s="1180">
        <v>51770</v>
      </c>
      <c r="P23" s="1185">
        <f t="shared" si="1"/>
        <v>12263895</v>
      </c>
      <c r="Q23" s="62"/>
      <c r="S23" s="24"/>
    </row>
    <row r="24" spans="1:19" ht="16.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180375</v>
      </c>
      <c r="F24" s="1185">
        <f t="shared" ref="F24:O24" si="9">F25+F26</f>
        <v>133675</v>
      </c>
      <c r="G24" s="1185">
        <f t="shared" si="9"/>
        <v>233945</v>
      </c>
      <c r="H24" s="1185">
        <f t="shared" si="9"/>
        <v>155820</v>
      </c>
      <c r="I24" s="1185">
        <f t="shared" si="9"/>
        <v>204340</v>
      </c>
      <c r="J24" s="1185">
        <f t="shared" si="9"/>
        <v>119290</v>
      </c>
      <c r="K24" s="1185">
        <f t="shared" si="9"/>
        <v>94135</v>
      </c>
      <c r="L24" s="1185">
        <f t="shared" si="9"/>
        <v>84315</v>
      </c>
      <c r="M24" s="1185">
        <f t="shared" si="9"/>
        <v>98465</v>
      </c>
      <c r="N24" s="1185">
        <f t="shared" si="9"/>
        <v>8380</v>
      </c>
      <c r="O24" s="1185">
        <f t="shared" si="9"/>
        <v>0</v>
      </c>
      <c r="P24" s="1185">
        <f t="shared" si="1"/>
        <v>1312740</v>
      </c>
      <c r="Q24" s="62"/>
    </row>
    <row r="25" spans="1:19" ht="16.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/>
      <c r="F25" s="1180"/>
      <c r="G25" s="1180">
        <v>2100</v>
      </c>
      <c r="H25" s="1180"/>
      <c r="I25" s="1180"/>
      <c r="J25" s="1180"/>
      <c r="K25" s="1180"/>
      <c r="L25" s="1180">
        <v>1400</v>
      </c>
      <c r="M25" s="1180">
        <v>2100</v>
      </c>
      <c r="N25" s="1180"/>
      <c r="O25" s="1180"/>
      <c r="P25" s="1185">
        <f t="shared" si="1"/>
        <v>5600</v>
      </c>
      <c r="Q25" s="62"/>
    </row>
    <row r="26" spans="1:19" ht="16.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180375</v>
      </c>
      <c r="F26" s="1180">
        <v>133675</v>
      </c>
      <c r="G26" s="1180">
        <v>231845</v>
      </c>
      <c r="H26" s="1180">
        <v>155820</v>
      </c>
      <c r="I26" s="1180">
        <v>204340</v>
      </c>
      <c r="J26" s="1180">
        <v>119290</v>
      </c>
      <c r="K26" s="1180">
        <v>94135</v>
      </c>
      <c r="L26" s="1180">
        <v>82915</v>
      </c>
      <c r="M26" s="1180">
        <v>96365</v>
      </c>
      <c r="N26" s="1180">
        <v>8380</v>
      </c>
      <c r="O26" s="1180"/>
      <c r="P26" s="1185">
        <f t="shared" si="1"/>
        <v>1307140</v>
      </c>
      <c r="Q26" s="62"/>
    </row>
    <row r="27" spans="1:19" ht="16.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O27" si="10">E28</f>
        <v>2812770</v>
      </c>
      <c r="F27" s="1185">
        <f t="shared" si="10"/>
        <v>2389850</v>
      </c>
      <c r="G27" s="1185">
        <f t="shared" si="10"/>
        <v>4134860</v>
      </c>
      <c r="H27" s="1185">
        <f t="shared" si="10"/>
        <v>2607550</v>
      </c>
      <c r="I27" s="1185">
        <f t="shared" si="10"/>
        <v>3158590</v>
      </c>
      <c r="J27" s="1185">
        <f t="shared" si="10"/>
        <v>1795750</v>
      </c>
      <c r="K27" s="1185">
        <f t="shared" si="10"/>
        <v>1474550</v>
      </c>
      <c r="L27" s="1185">
        <f t="shared" si="10"/>
        <v>1265590</v>
      </c>
      <c r="M27" s="1185">
        <f t="shared" si="10"/>
        <v>1583590</v>
      </c>
      <c r="N27" s="1185">
        <f t="shared" si="10"/>
        <v>226570</v>
      </c>
      <c r="O27" s="1185">
        <f t="shared" si="10"/>
        <v>92630</v>
      </c>
      <c r="P27" s="1185">
        <f t="shared" si="1"/>
        <v>21542300</v>
      </c>
      <c r="Q27" s="62"/>
    </row>
    <row r="28" spans="1:19" ht="16.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2812770</v>
      </c>
      <c r="F28" s="1180">
        <v>2389850</v>
      </c>
      <c r="G28" s="1180">
        <v>4134860</v>
      </c>
      <c r="H28" s="1180">
        <v>2607550</v>
      </c>
      <c r="I28" s="1180">
        <v>3158590</v>
      </c>
      <c r="J28" s="1180">
        <v>1795750</v>
      </c>
      <c r="K28" s="1180">
        <v>1474550</v>
      </c>
      <c r="L28" s="1180">
        <v>1265590</v>
      </c>
      <c r="M28" s="1180">
        <v>1583590</v>
      </c>
      <c r="N28" s="1180">
        <v>226570</v>
      </c>
      <c r="O28" s="1180">
        <v>92630</v>
      </c>
      <c r="P28" s="1185">
        <f t="shared" si="1"/>
        <v>21542300</v>
      </c>
      <c r="Q28" s="62"/>
      <c r="S28" s="24"/>
    </row>
    <row r="29" spans="1:19" ht="16.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O29" si="11">E30</f>
        <v>1408880</v>
      </c>
      <c r="F29" s="1185">
        <f t="shared" si="11"/>
        <v>1198525</v>
      </c>
      <c r="G29" s="1185">
        <f t="shared" si="11"/>
        <v>2067930</v>
      </c>
      <c r="H29" s="1185">
        <f t="shared" si="11"/>
        <v>1330750</v>
      </c>
      <c r="I29" s="1185">
        <f t="shared" si="11"/>
        <v>1579290</v>
      </c>
      <c r="J29" s="1185">
        <f t="shared" si="11"/>
        <v>898380</v>
      </c>
      <c r="K29" s="1185">
        <f t="shared" si="11"/>
        <v>738751</v>
      </c>
      <c r="L29" s="1185">
        <f t="shared" si="11"/>
        <v>631991</v>
      </c>
      <c r="M29" s="1185">
        <f t="shared" si="11"/>
        <v>790682</v>
      </c>
      <c r="N29" s="1185">
        <f t="shared" si="11"/>
        <v>108540</v>
      </c>
      <c r="O29" s="1185">
        <f t="shared" si="11"/>
        <v>46820</v>
      </c>
      <c r="P29" s="1185">
        <f t="shared" si="1"/>
        <v>10800539</v>
      </c>
      <c r="Q29" s="62"/>
    </row>
    <row r="30" spans="1:19" ht="16.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1408880</v>
      </c>
      <c r="F30" s="1180">
        <v>1198525</v>
      </c>
      <c r="G30" s="1180">
        <v>2067930</v>
      </c>
      <c r="H30" s="1180">
        <v>1330750</v>
      </c>
      <c r="I30" s="1180">
        <v>1579290</v>
      </c>
      <c r="J30" s="1180">
        <f>898380</f>
        <v>898380</v>
      </c>
      <c r="K30" s="1180">
        <v>738751</v>
      </c>
      <c r="L30" s="1180">
        <v>631991</v>
      </c>
      <c r="M30" s="1180">
        <v>790682</v>
      </c>
      <c r="N30" s="1180">
        <v>108540</v>
      </c>
      <c r="O30" s="1180">
        <v>46820</v>
      </c>
      <c r="P30" s="1185">
        <f t="shared" si="1"/>
        <v>10800539</v>
      </c>
      <c r="Q30" s="62"/>
      <c r="S30" s="24"/>
    </row>
    <row r="31" spans="1:19" ht="16.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1232740</v>
      </c>
      <c r="F31" s="1180">
        <v>1042255</v>
      </c>
      <c r="G31" s="1180">
        <v>1803740</v>
      </c>
      <c r="H31" s="1180">
        <v>1156660</v>
      </c>
      <c r="I31" s="1180">
        <v>1386420</v>
      </c>
      <c r="J31" s="1180">
        <v>785100</v>
      </c>
      <c r="K31" s="1180">
        <v>641325</v>
      </c>
      <c r="L31" s="1180">
        <v>544560</v>
      </c>
      <c r="M31" s="1180">
        <v>684210</v>
      </c>
      <c r="N31" s="1180">
        <v>91530</v>
      </c>
      <c r="O31" s="1180">
        <v>41150</v>
      </c>
      <c r="P31" s="1185">
        <f t="shared" si="1"/>
        <v>9409690</v>
      </c>
      <c r="Q31" s="62"/>
      <c r="S31" s="24"/>
    </row>
    <row r="32" spans="1:19" ht="16.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24500</v>
      </c>
      <c r="F32" s="1180">
        <v>18500</v>
      </c>
      <c r="G32" s="1180">
        <v>34000</v>
      </c>
      <c r="H32" s="1180">
        <v>23000</v>
      </c>
      <c r="I32" s="1180">
        <v>32500</v>
      </c>
      <c r="J32" s="1180">
        <v>20000</v>
      </c>
      <c r="K32" s="1180">
        <v>18500</v>
      </c>
      <c r="L32" s="1180">
        <v>15500</v>
      </c>
      <c r="M32" s="1180">
        <v>17000</v>
      </c>
      <c r="N32" s="1180"/>
      <c r="O32" s="1180"/>
      <c r="P32" s="1185">
        <f t="shared" si="1"/>
        <v>203500</v>
      </c>
      <c r="Q32" s="62"/>
    </row>
    <row r="33" spans="1:17" ht="16.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1608750</v>
      </c>
      <c r="F33" s="1185">
        <f t="shared" ref="F33:O33" si="12">F34+F36+F38</f>
        <v>745270</v>
      </c>
      <c r="G33" s="1185">
        <f t="shared" si="12"/>
        <v>770775</v>
      </c>
      <c r="H33" s="1185">
        <f t="shared" si="12"/>
        <v>662780</v>
      </c>
      <c r="I33" s="1185">
        <f t="shared" si="12"/>
        <v>2084945</v>
      </c>
      <c r="J33" s="1185">
        <f t="shared" si="12"/>
        <v>392240</v>
      </c>
      <c r="K33" s="1185">
        <f t="shared" si="12"/>
        <v>137010</v>
      </c>
      <c r="L33" s="1185">
        <f t="shared" si="12"/>
        <v>205760</v>
      </c>
      <c r="M33" s="1185">
        <f t="shared" si="12"/>
        <v>163525</v>
      </c>
      <c r="N33" s="1185">
        <f t="shared" si="12"/>
        <v>0</v>
      </c>
      <c r="O33" s="1185">
        <f t="shared" si="12"/>
        <v>0</v>
      </c>
      <c r="P33" s="1185">
        <f t="shared" si="1"/>
        <v>6771055</v>
      </c>
      <c r="Q33" s="62"/>
    </row>
    <row r="34" spans="1:17" ht="16.5" customHeight="1">
      <c r="A34" s="66" t="s">
        <v>85</v>
      </c>
      <c r="B34" s="61" t="s">
        <v>324</v>
      </c>
      <c r="C34" s="61" t="s">
        <v>87</v>
      </c>
      <c r="D34" s="62" t="s">
        <v>3186</v>
      </c>
      <c r="E34" s="1185">
        <f>E35</f>
        <v>1605990</v>
      </c>
      <c r="F34" s="1185">
        <f t="shared" ref="F34:O34" si="13">F35</f>
        <v>743950</v>
      </c>
      <c r="G34" s="1185">
        <f t="shared" si="13"/>
        <v>764565</v>
      </c>
      <c r="H34" s="1185">
        <f t="shared" si="13"/>
        <v>660980</v>
      </c>
      <c r="I34" s="1185">
        <f t="shared" si="13"/>
        <v>2083365</v>
      </c>
      <c r="J34" s="1185">
        <f t="shared" si="13"/>
        <v>391160</v>
      </c>
      <c r="K34" s="1185">
        <f t="shared" si="13"/>
        <v>135420</v>
      </c>
      <c r="L34" s="1185">
        <f t="shared" si="13"/>
        <v>203360</v>
      </c>
      <c r="M34" s="1185">
        <f t="shared" si="13"/>
        <v>161365</v>
      </c>
      <c r="N34" s="1185">
        <f t="shared" si="13"/>
        <v>0</v>
      </c>
      <c r="O34" s="1185">
        <f t="shared" si="13"/>
        <v>0</v>
      </c>
      <c r="P34" s="1185">
        <f t="shared" si="1"/>
        <v>6750155</v>
      </c>
      <c r="Q34" s="62"/>
    </row>
    <row r="35" spans="1:17" ht="16.5" customHeight="1">
      <c r="A35" s="66" t="s">
        <v>89</v>
      </c>
      <c r="B35" s="61" t="s">
        <v>3110</v>
      </c>
      <c r="C35" s="61" t="s">
        <v>87</v>
      </c>
      <c r="D35" s="62" t="s">
        <v>3186</v>
      </c>
      <c r="E35" s="1180">
        <v>1605990</v>
      </c>
      <c r="F35" s="1180">
        <v>743950</v>
      </c>
      <c r="G35" s="1180">
        <v>764565</v>
      </c>
      <c r="H35" s="1180">
        <v>660980</v>
      </c>
      <c r="I35" s="1180">
        <v>2083365</v>
      </c>
      <c r="J35" s="1180">
        <v>391160</v>
      </c>
      <c r="K35" s="1180">
        <v>135420</v>
      </c>
      <c r="L35" s="1180">
        <v>203360</v>
      </c>
      <c r="M35" s="1180">
        <v>161365</v>
      </c>
      <c r="N35" s="1180"/>
      <c r="O35" s="1180"/>
      <c r="P35" s="1185">
        <f t="shared" si="1"/>
        <v>6750155</v>
      </c>
      <c r="Q35" s="62"/>
    </row>
    <row r="36" spans="1:17" ht="16.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2760</v>
      </c>
      <c r="F36" s="1185">
        <f t="shared" ref="F36:O36" si="14">F37</f>
        <v>1320</v>
      </c>
      <c r="G36" s="1185">
        <f t="shared" si="14"/>
        <v>6210</v>
      </c>
      <c r="H36" s="1185">
        <f t="shared" si="14"/>
        <v>1800</v>
      </c>
      <c r="I36" s="1185">
        <f t="shared" si="14"/>
        <v>1580</v>
      </c>
      <c r="J36" s="1185">
        <f t="shared" si="14"/>
        <v>1080</v>
      </c>
      <c r="K36" s="1185">
        <f t="shared" si="14"/>
        <v>1590</v>
      </c>
      <c r="L36" s="1185">
        <f t="shared" si="14"/>
        <v>2400</v>
      </c>
      <c r="M36" s="1185">
        <f t="shared" si="14"/>
        <v>2160</v>
      </c>
      <c r="N36" s="1185">
        <f t="shared" si="14"/>
        <v>0</v>
      </c>
      <c r="O36" s="1185">
        <f t="shared" si="14"/>
        <v>0</v>
      </c>
      <c r="P36" s="1185">
        <f t="shared" si="1"/>
        <v>20900</v>
      </c>
      <c r="Q36" s="62"/>
    </row>
    <row r="37" spans="1:17" ht="16.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2760</v>
      </c>
      <c r="F37" s="1180">
        <v>1320</v>
      </c>
      <c r="G37" s="1180">
        <v>6210</v>
      </c>
      <c r="H37" s="1180">
        <v>1800</v>
      </c>
      <c r="I37" s="1180">
        <v>1580</v>
      </c>
      <c r="J37" s="1180">
        <v>1080</v>
      </c>
      <c r="K37" s="1180">
        <v>1590</v>
      </c>
      <c r="L37" s="1180">
        <v>2400</v>
      </c>
      <c r="M37" s="1180">
        <v>2160</v>
      </c>
      <c r="N37" s="1180"/>
      <c r="O37" s="1180"/>
      <c r="P37" s="1185">
        <f t="shared" si="1"/>
        <v>20900</v>
      </c>
      <c r="Q37" s="62"/>
    </row>
    <row r="38" spans="1:17" ht="16.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O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"/>
        <v>0</v>
      </c>
      <c r="Q38" s="62"/>
    </row>
    <row r="39" spans="1:17" ht="16.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5">
        <f t="shared" si="1"/>
        <v>0</v>
      </c>
      <c r="Q39" s="62"/>
    </row>
    <row r="40" spans="1:17" ht="16.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O40" si="16">E41+E43+E45+E47+E49+E52+E54+E56+E60</f>
        <v>4448879</v>
      </c>
      <c r="F40" s="1185">
        <f t="shared" si="16"/>
        <v>3919831.35</v>
      </c>
      <c r="G40" s="1185">
        <f t="shared" si="16"/>
        <v>5962618.2000000002</v>
      </c>
      <c r="H40" s="1185">
        <f t="shared" si="16"/>
        <v>4092496.15</v>
      </c>
      <c r="I40" s="1185">
        <f t="shared" si="16"/>
        <v>5670531</v>
      </c>
      <c r="J40" s="1185">
        <f t="shared" si="16"/>
        <v>2276378</v>
      </c>
      <c r="K40" s="1185">
        <f t="shared" si="16"/>
        <v>2045238.75</v>
      </c>
      <c r="L40" s="1185">
        <f t="shared" si="16"/>
        <v>2331606.6</v>
      </c>
      <c r="M40" s="1185">
        <f t="shared" si="16"/>
        <v>1999016.25</v>
      </c>
      <c r="N40" s="1185">
        <f t="shared" si="16"/>
        <v>1065946.3999999999</v>
      </c>
      <c r="O40" s="1185">
        <f t="shared" si="16"/>
        <v>106500</v>
      </c>
      <c r="P40" s="1185">
        <f t="shared" si="1"/>
        <v>33919041.700000003</v>
      </c>
      <c r="Q40" s="62"/>
    </row>
    <row r="41" spans="1:17" ht="16.5" customHeight="1">
      <c r="A41" s="66" t="s">
        <v>99</v>
      </c>
      <c r="B41" s="61" t="s">
        <v>100</v>
      </c>
      <c r="C41" s="61"/>
      <c r="D41" s="62" t="s">
        <v>101</v>
      </c>
      <c r="E41" s="1180">
        <v>3209675</v>
      </c>
      <c r="F41" s="1180">
        <v>2904025</v>
      </c>
      <c r="G41" s="1180">
        <v>4354510</v>
      </c>
      <c r="H41" s="1180">
        <v>3086415</v>
      </c>
      <c r="I41" s="1180">
        <v>4145095</v>
      </c>
      <c r="J41" s="1180">
        <v>1467160</v>
      </c>
      <c r="K41" s="1180">
        <v>1507760</v>
      </c>
      <c r="L41" s="1180">
        <v>1859000</v>
      </c>
      <c r="M41" s="1180">
        <v>1390880</v>
      </c>
      <c r="N41" s="1180">
        <v>858000</v>
      </c>
      <c r="O41" s="1180">
        <v>22400</v>
      </c>
      <c r="P41" s="1185">
        <f t="shared" si="1"/>
        <v>24804920</v>
      </c>
      <c r="Q41" s="62"/>
    </row>
    <row r="42" spans="1:17" ht="16.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160483.75</v>
      </c>
      <c r="F42" s="1180">
        <v>145201.25</v>
      </c>
      <c r="G42" s="1180">
        <v>217725.5</v>
      </c>
      <c r="H42" s="1180">
        <v>154320.75</v>
      </c>
      <c r="I42" s="1180">
        <v>207254.75</v>
      </c>
      <c r="J42" s="1180">
        <v>65493</v>
      </c>
      <c r="K42" s="1180">
        <v>53328.5</v>
      </c>
      <c r="L42" s="1180">
        <v>38967.5</v>
      </c>
      <c r="M42" s="1180">
        <v>49501</v>
      </c>
      <c r="N42" s="1180">
        <v>8437</v>
      </c>
      <c r="O42" s="1180">
        <v>1120</v>
      </c>
      <c r="P42" s="1185">
        <f t="shared" si="1"/>
        <v>1101833</v>
      </c>
      <c r="Q42" s="62"/>
    </row>
    <row r="43" spans="1:17" ht="16.5" customHeight="1">
      <c r="A43" s="66" t="s">
        <v>106</v>
      </c>
      <c r="B43" s="61" t="s">
        <v>107</v>
      </c>
      <c r="C43" s="61"/>
      <c r="D43" s="62"/>
      <c r="E43" s="1185">
        <f>E44</f>
        <v>0</v>
      </c>
      <c r="F43" s="1185">
        <f t="shared" ref="F43:O43" si="17">F44</f>
        <v>23320</v>
      </c>
      <c r="G43" s="1185">
        <f t="shared" si="17"/>
        <v>39200</v>
      </c>
      <c r="H43" s="1185">
        <f t="shared" si="17"/>
        <v>0</v>
      </c>
      <c r="I43" s="1185">
        <f t="shared" si="17"/>
        <v>0</v>
      </c>
      <c r="J43" s="1185">
        <f t="shared" si="17"/>
        <v>20000</v>
      </c>
      <c r="K43" s="1185">
        <f t="shared" si="17"/>
        <v>0</v>
      </c>
      <c r="L43" s="1185">
        <f t="shared" si="17"/>
        <v>0</v>
      </c>
      <c r="M43" s="1185">
        <f t="shared" si="17"/>
        <v>16400</v>
      </c>
      <c r="N43" s="1185">
        <f t="shared" si="17"/>
        <v>2600</v>
      </c>
      <c r="O43" s="1185">
        <f t="shared" si="17"/>
        <v>1600</v>
      </c>
      <c r="P43" s="1185">
        <f t="shared" si="1"/>
        <v>103120</v>
      </c>
      <c r="Q43" s="62"/>
    </row>
    <row r="44" spans="1:17" ht="16.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0</v>
      </c>
      <c r="F44" s="1180">
        <v>23320</v>
      </c>
      <c r="G44" s="1180">
        <v>39200</v>
      </c>
      <c r="H44" s="1180"/>
      <c r="I44" s="1180"/>
      <c r="J44" s="1180">
        <v>20000</v>
      </c>
      <c r="K44" s="1180"/>
      <c r="L44" s="1180"/>
      <c r="M44" s="1180">
        <v>16400</v>
      </c>
      <c r="N44" s="1180">
        <v>2600</v>
      </c>
      <c r="O44" s="1180">
        <v>1600</v>
      </c>
      <c r="P44" s="1185">
        <f t="shared" si="1"/>
        <v>103120</v>
      </c>
      <c r="Q44" s="62"/>
    </row>
    <row r="45" spans="1:17" ht="16.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173580</v>
      </c>
      <c r="F45" s="1185">
        <f t="shared" ref="F45:O45" si="18">F46</f>
        <v>181200.75</v>
      </c>
      <c r="G45" s="1185">
        <f t="shared" si="18"/>
        <v>287341.8</v>
      </c>
      <c r="H45" s="1185">
        <f t="shared" si="18"/>
        <v>170337.15</v>
      </c>
      <c r="I45" s="1185">
        <f t="shared" si="18"/>
        <v>180000</v>
      </c>
      <c r="J45" s="1185">
        <f t="shared" si="18"/>
        <v>183470</v>
      </c>
      <c r="K45" s="1185">
        <f t="shared" si="18"/>
        <v>86520.75</v>
      </c>
      <c r="L45" s="1185">
        <f t="shared" si="18"/>
        <v>68538.600000000006</v>
      </c>
      <c r="M45" s="1185">
        <f t="shared" si="18"/>
        <v>97676.25</v>
      </c>
      <c r="N45" s="1185">
        <f t="shared" si="18"/>
        <v>109320</v>
      </c>
      <c r="O45" s="1185">
        <f t="shared" si="18"/>
        <v>64605</v>
      </c>
      <c r="P45" s="1185">
        <f t="shared" si="1"/>
        <v>1602590.3000000003</v>
      </c>
      <c r="Q45" s="62"/>
    </row>
    <row r="46" spans="1:17" ht="16.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173580</v>
      </c>
      <c r="F46" s="1180">
        <v>181200.75</v>
      </c>
      <c r="G46" s="1180">
        <v>287341.8</v>
      </c>
      <c r="H46" s="1180">
        <v>170337.15</v>
      </c>
      <c r="I46" s="1180">
        <v>180000</v>
      </c>
      <c r="J46" s="1180">
        <v>183470</v>
      </c>
      <c r="K46" s="1180">
        <v>86520.75</v>
      </c>
      <c r="L46" s="1180">
        <v>68538.600000000006</v>
      </c>
      <c r="M46" s="1180">
        <v>97676.25</v>
      </c>
      <c r="N46" s="1180">
        <v>109320</v>
      </c>
      <c r="O46" s="1180">
        <v>64605</v>
      </c>
      <c r="P46" s="1185">
        <f t="shared" si="1"/>
        <v>1602590.3000000003</v>
      </c>
      <c r="Q46" s="62"/>
    </row>
    <row r="47" spans="1:17" ht="16.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29256</v>
      </c>
      <c r="F47" s="1185">
        <f t="shared" ref="F47:O47" si="19">F48</f>
        <v>48905.599999999999</v>
      </c>
      <c r="G47" s="1185">
        <f t="shared" si="19"/>
        <v>71286.399999999994</v>
      </c>
      <c r="H47" s="1185">
        <f t="shared" si="19"/>
        <v>26500</v>
      </c>
      <c r="I47" s="1185">
        <f t="shared" si="19"/>
        <v>63744</v>
      </c>
      <c r="J47" s="1185">
        <f t="shared" si="19"/>
        <v>30240</v>
      </c>
      <c r="K47" s="1185">
        <f t="shared" si="19"/>
        <v>23868</v>
      </c>
      <c r="L47" s="1185">
        <f t="shared" si="19"/>
        <v>7328</v>
      </c>
      <c r="M47" s="1185">
        <f t="shared" si="19"/>
        <v>28232</v>
      </c>
      <c r="N47" s="1185">
        <f t="shared" si="19"/>
        <v>31858.400000000001</v>
      </c>
      <c r="O47" s="1185">
        <f t="shared" si="19"/>
        <v>2240</v>
      </c>
      <c r="P47" s="1185">
        <f t="shared" si="1"/>
        <v>363458.4</v>
      </c>
      <c r="Q47" s="62"/>
    </row>
    <row r="48" spans="1:17" ht="16.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29256</v>
      </c>
      <c r="F48" s="1180">
        <v>48905.599999999999</v>
      </c>
      <c r="G48" s="1180">
        <v>71286.399999999994</v>
      </c>
      <c r="H48" s="1180">
        <v>26500</v>
      </c>
      <c r="I48" s="1180">
        <v>63744</v>
      </c>
      <c r="J48" s="1180">
        <v>30240</v>
      </c>
      <c r="K48" s="1180">
        <v>23868</v>
      </c>
      <c r="L48" s="1180">
        <v>7328</v>
      </c>
      <c r="M48" s="1180">
        <v>28232</v>
      </c>
      <c r="N48" s="1180">
        <v>31858.400000000001</v>
      </c>
      <c r="O48" s="1180">
        <v>2240</v>
      </c>
      <c r="P48" s="1185">
        <f t="shared" si="1"/>
        <v>363458.4</v>
      </c>
      <c r="Q48" s="62"/>
    </row>
    <row r="49" spans="1:17" ht="16.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637200</v>
      </c>
      <c r="F49" s="1185">
        <f t="shared" ref="F49:O49" si="20">F50+F51</f>
        <v>399600</v>
      </c>
      <c r="G49" s="1185">
        <f t="shared" si="20"/>
        <v>630720</v>
      </c>
      <c r="H49" s="1185">
        <f t="shared" si="20"/>
        <v>442440</v>
      </c>
      <c r="I49" s="1185">
        <f t="shared" si="20"/>
        <v>838080</v>
      </c>
      <c r="J49" s="1185">
        <f t="shared" si="20"/>
        <v>319680</v>
      </c>
      <c r="K49" s="1185">
        <f t="shared" si="20"/>
        <v>219240</v>
      </c>
      <c r="L49" s="1185">
        <f t="shared" si="20"/>
        <v>204480</v>
      </c>
      <c r="M49" s="1185">
        <f t="shared" si="20"/>
        <v>225360</v>
      </c>
      <c r="N49" s="1185">
        <f t="shared" si="20"/>
        <v>26280</v>
      </c>
      <c r="O49" s="1185">
        <f t="shared" si="20"/>
        <v>9720</v>
      </c>
      <c r="P49" s="1185">
        <f t="shared" si="1"/>
        <v>3952800</v>
      </c>
      <c r="Q49" s="62"/>
    </row>
    <row r="50" spans="1:17" ht="16.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276480</v>
      </c>
      <c r="F50" s="1180">
        <v>222480</v>
      </c>
      <c r="G50" s="1180">
        <v>423360</v>
      </c>
      <c r="H50" s="1180">
        <v>278280</v>
      </c>
      <c r="I50" s="1180">
        <v>341280</v>
      </c>
      <c r="J50" s="1180">
        <v>222480</v>
      </c>
      <c r="K50" s="1180">
        <v>180360</v>
      </c>
      <c r="L50" s="1180">
        <v>151200</v>
      </c>
      <c r="M50" s="1180">
        <v>184680</v>
      </c>
      <c r="N50" s="1180">
        <v>26280</v>
      </c>
      <c r="O50" s="1180">
        <v>9720</v>
      </c>
      <c r="P50" s="1185">
        <f t="shared" si="1"/>
        <v>2316600</v>
      </c>
      <c r="Q50" s="62"/>
    </row>
    <row r="51" spans="1:17" ht="16.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360720</v>
      </c>
      <c r="F51" s="1180">
        <v>177120</v>
      </c>
      <c r="G51" s="1180">
        <v>207360</v>
      </c>
      <c r="H51" s="1180">
        <v>164160</v>
      </c>
      <c r="I51" s="1180">
        <v>496800</v>
      </c>
      <c r="J51" s="1180">
        <v>97200</v>
      </c>
      <c r="K51" s="1180">
        <v>38880</v>
      </c>
      <c r="L51" s="1180">
        <v>53280</v>
      </c>
      <c r="M51" s="1180">
        <v>40680</v>
      </c>
      <c r="N51" s="1180"/>
      <c r="O51" s="1180"/>
      <c r="P51" s="1185">
        <f t="shared" si="1"/>
        <v>1636200</v>
      </c>
      <c r="Q51" s="62"/>
    </row>
    <row r="52" spans="1:17" ht="16.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354968</v>
      </c>
      <c r="F52" s="1185">
        <f t="shared" ref="F52:O52" si="21">F53</f>
        <v>319180</v>
      </c>
      <c r="G52" s="1185">
        <f t="shared" si="21"/>
        <v>524360</v>
      </c>
      <c r="H52" s="1185">
        <f t="shared" si="21"/>
        <v>334804</v>
      </c>
      <c r="I52" s="1185">
        <f t="shared" si="21"/>
        <v>392112</v>
      </c>
      <c r="J52" s="1185">
        <f t="shared" si="21"/>
        <v>225828</v>
      </c>
      <c r="K52" s="1185">
        <f t="shared" si="21"/>
        <v>192100</v>
      </c>
      <c r="L52" s="1185">
        <f t="shared" si="21"/>
        <v>159260</v>
      </c>
      <c r="M52" s="1185">
        <f t="shared" si="21"/>
        <v>203668</v>
      </c>
      <c r="N52" s="1185">
        <f t="shared" si="21"/>
        <v>18988</v>
      </c>
      <c r="O52" s="1185">
        <f t="shared" si="21"/>
        <v>5935</v>
      </c>
      <c r="P52" s="1185">
        <f t="shared" si="1"/>
        <v>2731203</v>
      </c>
      <c r="Q52" s="62"/>
    </row>
    <row r="53" spans="1:17" ht="16.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354968</v>
      </c>
      <c r="F53" s="1180">
        <v>319180</v>
      </c>
      <c r="G53" s="1180">
        <v>524360</v>
      </c>
      <c r="H53" s="1180">
        <v>334804</v>
      </c>
      <c r="I53" s="1180">
        <v>392112</v>
      </c>
      <c r="J53" s="1180">
        <v>225828</v>
      </c>
      <c r="K53" s="1180">
        <v>192100</v>
      </c>
      <c r="L53" s="1180">
        <v>159260</v>
      </c>
      <c r="M53" s="1180">
        <v>203668</v>
      </c>
      <c r="N53" s="1180">
        <v>18988</v>
      </c>
      <c r="O53" s="1180">
        <v>5935</v>
      </c>
      <c r="P53" s="1185">
        <f t="shared" si="1"/>
        <v>2731203</v>
      </c>
      <c r="Q53" s="62"/>
    </row>
    <row r="54" spans="1:17" ht="16.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9000</v>
      </c>
      <c r="F54" s="1185">
        <f t="shared" ref="F54:O54" si="22">F55</f>
        <v>22900</v>
      </c>
      <c r="G54" s="1185">
        <f t="shared" si="22"/>
        <v>32000</v>
      </c>
      <c r="H54" s="1185">
        <f t="shared" si="22"/>
        <v>15300</v>
      </c>
      <c r="I54" s="1185">
        <f t="shared" si="22"/>
        <v>6000</v>
      </c>
      <c r="J54" s="1185">
        <f t="shared" si="22"/>
        <v>0</v>
      </c>
      <c r="K54" s="1185">
        <f t="shared" si="22"/>
        <v>5350</v>
      </c>
      <c r="L54" s="1185">
        <f t="shared" si="22"/>
        <v>0</v>
      </c>
      <c r="M54" s="1185">
        <f t="shared" si="22"/>
        <v>32000</v>
      </c>
      <c r="N54" s="1185">
        <f t="shared" si="22"/>
        <v>0</v>
      </c>
      <c r="O54" s="1185">
        <f t="shared" si="22"/>
        <v>0</v>
      </c>
      <c r="P54" s="1185">
        <f t="shared" si="1"/>
        <v>122550</v>
      </c>
      <c r="Q54" s="62"/>
    </row>
    <row r="55" spans="1:17" ht="16.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9000</v>
      </c>
      <c r="F55" s="1180">
        <v>22900</v>
      </c>
      <c r="G55" s="1180">
        <v>32000</v>
      </c>
      <c r="H55" s="1180">
        <v>15300</v>
      </c>
      <c r="I55" s="1180">
        <v>6000</v>
      </c>
      <c r="J55" s="1180"/>
      <c r="K55" s="1180">
        <v>5350</v>
      </c>
      <c r="L55" s="1180"/>
      <c r="M55" s="1180">
        <v>32000</v>
      </c>
      <c r="N55" s="1180"/>
      <c r="O55" s="1180"/>
      <c r="P55" s="1185">
        <f t="shared" si="1"/>
        <v>122550</v>
      </c>
      <c r="Q55" s="62"/>
    </row>
    <row r="56" spans="1:17" ht="16.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35200</v>
      </c>
      <c r="F56" s="1185">
        <f t="shared" ref="F56:O56" si="23">F57+F59</f>
        <v>20700</v>
      </c>
      <c r="G56" s="1185">
        <f t="shared" si="23"/>
        <v>23200</v>
      </c>
      <c r="H56" s="1185">
        <f t="shared" si="23"/>
        <v>16700</v>
      </c>
      <c r="I56" s="1185">
        <f t="shared" si="23"/>
        <v>45500</v>
      </c>
      <c r="J56" s="1185">
        <f t="shared" si="23"/>
        <v>15000</v>
      </c>
      <c r="K56" s="1185">
        <f t="shared" si="23"/>
        <v>5400</v>
      </c>
      <c r="L56" s="1185">
        <f t="shared" si="23"/>
        <v>8000</v>
      </c>
      <c r="M56" s="1185">
        <f t="shared" si="23"/>
        <v>4800</v>
      </c>
      <c r="N56" s="1185">
        <f t="shared" si="23"/>
        <v>900</v>
      </c>
      <c r="O56" s="1185">
        <f t="shared" si="23"/>
        <v>0</v>
      </c>
      <c r="P56" s="1185">
        <f t="shared" si="1"/>
        <v>175400</v>
      </c>
      <c r="Q56" s="62"/>
    </row>
    <row r="57" spans="1:17" ht="16.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33400</v>
      </c>
      <c r="F57" s="1185">
        <f t="shared" ref="F57:O57" si="24">F58</f>
        <v>16400</v>
      </c>
      <c r="G57" s="1185">
        <f t="shared" si="24"/>
        <v>19200</v>
      </c>
      <c r="H57" s="1185">
        <f t="shared" si="24"/>
        <v>15200</v>
      </c>
      <c r="I57" s="1185">
        <f t="shared" si="24"/>
        <v>44000</v>
      </c>
      <c r="J57" s="1185">
        <f t="shared" si="24"/>
        <v>9000</v>
      </c>
      <c r="K57" s="1185">
        <f t="shared" si="24"/>
        <v>3600</v>
      </c>
      <c r="L57" s="1185">
        <f t="shared" si="24"/>
        <v>5000</v>
      </c>
      <c r="M57" s="1185">
        <f t="shared" si="24"/>
        <v>3800</v>
      </c>
      <c r="N57" s="1185">
        <f t="shared" si="24"/>
        <v>0</v>
      </c>
      <c r="O57" s="1185">
        <f t="shared" si="24"/>
        <v>0</v>
      </c>
      <c r="P57" s="1185">
        <f t="shared" si="1"/>
        <v>149600</v>
      </c>
      <c r="Q57" s="62"/>
    </row>
    <row r="58" spans="1:17" ht="16.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33400</v>
      </c>
      <c r="F58" s="1180">
        <v>16400</v>
      </c>
      <c r="G58" s="1180">
        <v>19200</v>
      </c>
      <c r="H58" s="1180">
        <v>15200</v>
      </c>
      <c r="I58" s="1180">
        <v>44000</v>
      </c>
      <c r="J58" s="1180">
        <v>9000</v>
      </c>
      <c r="K58" s="1180">
        <v>3600</v>
      </c>
      <c r="L58" s="1180">
        <v>5000</v>
      </c>
      <c r="M58" s="1180">
        <v>3800</v>
      </c>
      <c r="N58" s="1180"/>
      <c r="O58" s="1180"/>
      <c r="P58" s="1185">
        <f t="shared" si="1"/>
        <v>149600</v>
      </c>
      <c r="Q58" s="62"/>
    </row>
    <row r="59" spans="1:17" ht="16.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f>1400+400</f>
        <v>1800</v>
      </c>
      <c r="F59" s="1186">
        <v>4300</v>
      </c>
      <c r="G59" s="1186">
        <v>4000</v>
      </c>
      <c r="H59" s="1186">
        <v>1500</v>
      </c>
      <c r="I59" s="1186">
        <v>1500</v>
      </c>
      <c r="J59" s="1186">
        <v>6000</v>
      </c>
      <c r="K59" s="1186">
        <v>1800</v>
      </c>
      <c r="L59" s="1186">
        <v>3000</v>
      </c>
      <c r="M59" s="1186">
        <v>1000</v>
      </c>
      <c r="N59" s="1186">
        <v>900</v>
      </c>
      <c r="O59" s="1186"/>
      <c r="P59" s="1185">
        <f t="shared" si="1"/>
        <v>25800</v>
      </c>
      <c r="Q59" s="62"/>
    </row>
    <row r="60" spans="1:17" ht="16.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O60" si="25">F61</f>
        <v>0</v>
      </c>
      <c r="G60" s="1185">
        <f t="shared" si="25"/>
        <v>0</v>
      </c>
      <c r="H60" s="1185">
        <f t="shared" si="25"/>
        <v>0</v>
      </c>
      <c r="I60" s="1185">
        <f t="shared" si="25"/>
        <v>0</v>
      </c>
      <c r="J60" s="1185">
        <f t="shared" si="25"/>
        <v>15000</v>
      </c>
      <c r="K60" s="1185">
        <f t="shared" si="25"/>
        <v>5000</v>
      </c>
      <c r="L60" s="1185">
        <f t="shared" si="25"/>
        <v>25000</v>
      </c>
      <c r="M60" s="1185">
        <f t="shared" si="25"/>
        <v>0</v>
      </c>
      <c r="N60" s="1185">
        <f t="shared" si="25"/>
        <v>18000</v>
      </c>
      <c r="O60" s="1185">
        <f t="shared" si="25"/>
        <v>0</v>
      </c>
      <c r="P60" s="1185">
        <f t="shared" si="1"/>
        <v>63000</v>
      </c>
      <c r="Q60" s="62"/>
    </row>
    <row r="61" spans="1:17" ht="16.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/>
      <c r="G61" s="1179"/>
      <c r="H61" s="1179"/>
      <c r="I61" s="1179"/>
      <c r="J61" s="1179">
        <v>15000</v>
      </c>
      <c r="K61" s="1179">
        <v>5000</v>
      </c>
      <c r="L61" s="1179">
        <v>25000</v>
      </c>
      <c r="M61" s="1179"/>
      <c r="N61" s="1179">
        <v>18000</v>
      </c>
      <c r="O61" s="1179"/>
      <c r="P61" s="1185">
        <f t="shared" si="1"/>
        <v>63000</v>
      </c>
      <c r="Q61" s="1187"/>
    </row>
    <row r="62" spans="1:17" ht="16.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5">
        <f t="shared" si="1"/>
        <v>0</v>
      </c>
      <c r="Q62" s="1189"/>
    </row>
    <row r="63" spans="1:17" ht="16.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64</v>
      </c>
      <c r="F63" s="1198">
        <f t="shared" ref="F63:O63" si="26">F64+F65+F66+F67</f>
        <v>53</v>
      </c>
      <c r="G63" s="1198">
        <f t="shared" si="26"/>
        <v>98</v>
      </c>
      <c r="H63" s="1198">
        <f t="shared" si="26"/>
        <v>62</v>
      </c>
      <c r="I63" s="1198">
        <f t="shared" si="26"/>
        <v>79</v>
      </c>
      <c r="J63" s="1198">
        <f t="shared" si="26"/>
        <v>50</v>
      </c>
      <c r="K63" s="1198">
        <f t="shared" si="26"/>
        <v>40</v>
      </c>
      <c r="L63" s="1198">
        <f t="shared" si="26"/>
        <v>32</v>
      </c>
      <c r="M63" s="1198">
        <f t="shared" si="26"/>
        <v>41</v>
      </c>
      <c r="N63" s="1198">
        <f t="shared" si="26"/>
        <v>9</v>
      </c>
      <c r="O63" s="1198">
        <f t="shared" si="26"/>
        <v>4</v>
      </c>
      <c r="P63" s="1198">
        <f t="shared" si="1"/>
        <v>532</v>
      </c>
      <c r="Q63" s="62"/>
    </row>
    <row r="64" spans="1:17" ht="16.5" customHeight="1">
      <c r="A64" s="66" t="s">
        <v>148</v>
      </c>
      <c r="B64" s="1199" t="s">
        <v>149</v>
      </c>
      <c r="C64" s="1199"/>
      <c r="D64" s="62"/>
      <c r="E64" s="1190">
        <v>64</v>
      </c>
      <c r="F64" s="1190">
        <v>53</v>
      </c>
      <c r="G64" s="1190">
        <v>47</v>
      </c>
      <c r="H64" s="1190"/>
      <c r="I64" s="1190"/>
      <c r="J64" s="1190"/>
      <c r="K64" s="1190"/>
      <c r="L64" s="1190"/>
      <c r="M64" s="1190"/>
      <c r="N64" s="1190"/>
      <c r="O64" s="1190"/>
      <c r="P64" s="1198">
        <f t="shared" si="1"/>
        <v>164</v>
      </c>
      <c r="Q64" s="62"/>
    </row>
    <row r="65" spans="1:17" ht="16.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>
        <v>51</v>
      </c>
      <c r="H65" s="1190">
        <v>62</v>
      </c>
      <c r="I65" s="1190">
        <v>79</v>
      </c>
      <c r="J65" s="1190"/>
      <c r="K65" s="1190"/>
      <c r="L65" s="1190"/>
      <c r="M65" s="1190"/>
      <c r="N65" s="1190"/>
      <c r="O65" s="1190"/>
      <c r="P65" s="1198">
        <f t="shared" si="1"/>
        <v>192</v>
      </c>
      <c r="Q65" s="62"/>
    </row>
    <row r="66" spans="1:17" ht="16.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>
        <v>50</v>
      </c>
      <c r="K66" s="1190">
        <v>40</v>
      </c>
      <c r="L66" s="1190">
        <v>32</v>
      </c>
      <c r="M66" s="1190">
        <v>41</v>
      </c>
      <c r="N66" s="1190">
        <v>9</v>
      </c>
      <c r="O66" s="1190"/>
      <c r="P66" s="1198">
        <f t="shared" si="1"/>
        <v>172</v>
      </c>
      <c r="Q66" s="62"/>
    </row>
    <row r="67" spans="1:17" ht="16.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>
        <v>4</v>
      </c>
      <c r="P67" s="1198">
        <f t="shared" si="1"/>
        <v>4</v>
      </c>
      <c r="Q67" s="62"/>
    </row>
    <row r="68" spans="1:17" ht="16.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837</v>
      </c>
      <c r="F68" s="1198">
        <f t="shared" ref="F68:O68" si="27">F69+F70+F71+F72</f>
        <v>771</v>
      </c>
      <c r="G68" s="1198">
        <f t="shared" si="27"/>
        <v>1230</v>
      </c>
      <c r="H68" s="1198">
        <f t="shared" si="27"/>
        <v>934</v>
      </c>
      <c r="I68" s="1198">
        <f t="shared" si="27"/>
        <v>1270</v>
      </c>
      <c r="J68" s="1198">
        <f t="shared" si="27"/>
        <v>449</v>
      </c>
      <c r="K68" s="1198">
        <f t="shared" si="27"/>
        <v>336</v>
      </c>
      <c r="L68" s="1198">
        <f t="shared" si="27"/>
        <v>251</v>
      </c>
      <c r="M68" s="1198">
        <f t="shared" si="27"/>
        <v>306</v>
      </c>
      <c r="N68" s="1198">
        <f t="shared" si="27"/>
        <v>83</v>
      </c>
      <c r="O68" s="1198">
        <f t="shared" si="27"/>
        <v>0</v>
      </c>
      <c r="P68" s="1198">
        <f t="shared" si="1"/>
        <v>6467</v>
      </c>
      <c r="Q68" s="62"/>
    </row>
    <row r="69" spans="1:17" ht="16.5" customHeight="1">
      <c r="A69" s="66" t="s">
        <v>158</v>
      </c>
      <c r="B69" s="1199" t="s">
        <v>149</v>
      </c>
      <c r="C69" s="1199"/>
      <c r="D69" s="62"/>
      <c r="E69" s="1190">
        <v>837</v>
      </c>
      <c r="F69" s="1190">
        <v>771</v>
      </c>
      <c r="G69" s="1190">
        <v>621</v>
      </c>
      <c r="H69" s="1190"/>
      <c r="I69" s="1190"/>
      <c r="J69" s="1190"/>
      <c r="K69" s="1190"/>
      <c r="L69" s="1190"/>
      <c r="M69" s="1190"/>
      <c r="N69" s="1190"/>
      <c r="O69" s="1190"/>
      <c r="P69" s="1198">
        <f t="shared" ref="P69:P75" si="28">SUM(E69:O69)</f>
        <v>2229</v>
      </c>
      <c r="Q69" s="62"/>
    </row>
    <row r="70" spans="1:17" ht="16.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>
        <v>609</v>
      </c>
      <c r="H70" s="1190">
        <v>934</v>
      </c>
      <c r="I70" s="1190">
        <v>1270</v>
      </c>
      <c r="J70" s="1190"/>
      <c r="K70" s="1190"/>
      <c r="L70" s="1190"/>
      <c r="M70" s="1190"/>
      <c r="N70" s="1190"/>
      <c r="O70" s="1190"/>
      <c r="P70" s="1198">
        <f t="shared" si="28"/>
        <v>2813</v>
      </c>
      <c r="Q70" s="62"/>
    </row>
    <row r="71" spans="1:17" ht="16.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>
        <v>449</v>
      </c>
      <c r="K71" s="1190">
        <v>336</v>
      </c>
      <c r="L71" s="1190">
        <v>251</v>
      </c>
      <c r="M71" s="1190">
        <v>306</v>
      </c>
      <c r="N71" s="1190">
        <v>83</v>
      </c>
      <c r="O71" s="1190"/>
      <c r="P71" s="1198">
        <f t="shared" si="28"/>
        <v>1425</v>
      </c>
      <c r="Q71" s="62"/>
    </row>
    <row r="72" spans="1:17" ht="16.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8">
        <f t="shared" si="28"/>
        <v>0</v>
      </c>
      <c r="Q72" s="62"/>
    </row>
    <row r="73" spans="1:17" ht="16.5" customHeight="1">
      <c r="A73" s="66" t="s">
        <v>162</v>
      </c>
      <c r="B73" s="61" t="s">
        <v>3122</v>
      </c>
      <c r="C73" s="61"/>
      <c r="D73" s="62"/>
      <c r="E73" s="1190">
        <v>83</v>
      </c>
      <c r="F73" s="1190">
        <v>41</v>
      </c>
      <c r="G73" s="1190">
        <v>48</v>
      </c>
      <c r="H73" s="1190">
        <v>40</v>
      </c>
      <c r="I73" s="1190">
        <v>111</v>
      </c>
      <c r="J73" s="1190">
        <v>22</v>
      </c>
      <c r="K73" s="1190">
        <v>9</v>
      </c>
      <c r="L73" s="1190">
        <v>13</v>
      </c>
      <c r="M73" s="1190">
        <v>10</v>
      </c>
      <c r="N73" s="1190"/>
      <c r="O73" s="1190"/>
      <c r="P73" s="1198">
        <f t="shared" si="28"/>
        <v>377</v>
      </c>
      <c r="Q73" s="62"/>
    </row>
    <row r="74" spans="1:17" ht="16.5" customHeight="1">
      <c r="A74" s="66" t="s">
        <v>3011</v>
      </c>
      <c r="B74" s="1199" t="s">
        <v>3123</v>
      </c>
      <c r="C74" s="1199"/>
      <c r="D74" s="67"/>
      <c r="E74" s="1180">
        <v>18973.95</v>
      </c>
      <c r="F74" s="1180">
        <v>12080.05</v>
      </c>
      <c r="G74" s="1180">
        <v>19156.12</v>
      </c>
      <c r="H74" s="1180">
        <v>11355.81</v>
      </c>
      <c r="I74" s="1180">
        <v>13514.56</v>
      </c>
      <c r="J74" s="1180">
        <v>12231.55</v>
      </c>
      <c r="K74" s="1180">
        <v>5768.05</v>
      </c>
      <c r="L74" s="1180">
        <v>4569.24</v>
      </c>
      <c r="M74" s="1180">
        <v>6511.75</v>
      </c>
      <c r="N74" s="1180">
        <v>7288</v>
      </c>
      <c r="O74" s="1180">
        <v>4307</v>
      </c>
      <c r="P74" s="1185">
        <f t="shared" si="28"/>
        <v>115756.08</v>
      </c>
      <c r="Q74" s="62"/>
    </row>
    <row r="75" spans="1:17" ht="16.5" customHeight="1">
      <c r="A75" s="66" t="s">
        <v>3012</v>
      </c>
      <c r="B75" s="1199" t="s">
        <v>3124</v>
      </c>
      <c r="C75" s="1199"/>
      <c r="D75" s="67"/>
      <c r="E75" s="1180">
        <v>3657.06</v>
      </c>
      <c r="F75" s="1180">
        <v>6113.2</v>
      </c>
      <c r="G75" s="1180">
        <v>8910.7999999999993</v>
      </c>
      <c r="H75" s="1180">
        <v>3363</v>
      </c>
      <c r="I75" s="1180">
        <v>7968</v>
      </c>
      <c r="J75" s="1180">
        <v>3780</v>
      </c>
      <c r="K75" s="1180">
        <v>2983.5</v>
      </c>
      <c r="L75" s="1180">
        <v>916</v>
      </c>
      <c r="M75" s="1180">
        <v>3529</v>
      </c>
      <c r="N75" s="1180">
        <v>3983.2</v>
      </c>
      <c r="O75" s="1180">
        <v>280</v>
      </c>
      <c r="P75" s="1185">
        <f t="shared" si="28"/>
        <v>45483.759999999995</v>
      </c>
      <c r="Q75" s="62"/>
    </row>
    <row r="77" spans="1:17">
      <c r="E77" s="3" t="s">
        <v>3187</v>
      </c>
    </row>
    <row r="81" spans="5:15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</sheetData>
  <protectedRanges>
    <protectedRange password="E9C1" sqref="D31 C32 A6:D7 B8:D30 P6:Q75 B33:D75 A8:A75 A3:Q5" name="区域1_1"/>
    <protectedRange password="E9C1" sqref="B31:C31 B32" name="区域1_1_1"/>
    <protectedRange password="E9C1" sqref="D32" name="区域1_2"/>
  </protectedRanges>
  <mergeCells count="7">
    <mergeCell ref="A1:Q1"/>
    <mergeCell ref="A3:A4"/>
    <mergeCell ref="B3:B4"/>
    <mergeCell ref="C3:C4"/>
    <mergeCell ref="D3:D4"/>
    <mergeCell ref="P3:P4"/>
    <mergeCell ref="Q3:Q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E4" sqref="E4:E13"/>
    </sheetView>
  </sheetViews>
  <sheetFormatPr defaultRowHeight="13.5"/>
  <cols>
    <col min="1" max="1" width="26.5" style="274" customWidth="1"/>
    <col min="2" max="6" width="20.625" style="274" customWidth="1"/>
  </cols>
  <sheetData>
    <row r="1" spans="1:6" ht="24.95" customHeight="1">
      <c r="A1" s="1618" t="s">
        <v>3246</v>
      </c>
      <c r="B1" s="1618"/>
      <c r="C1" s="1618"/>
      <c r="D1" s="1390"/>
      <c r="E1" s="1390"/>
      <c r="F1" s="1390"/>
    </row>
    <row r="2" spans="1:6" ht="20.100000000000001" customHeight="1">
      <c r="A2" s="1245"/>
      <c r="B2" s="1245"/>
      <c r="C2" s="1245"/>
      <c r="D2" s="1241"/>
      <c r="E2" s="1241"/>
      <c r="F2" s="1246" t="s">
        <v>3242</v>
      </c>
    </row>
    <row r="3" spans="1:6" s="308" customFormat="1" ht="30" customHeight="1">
      <c r="A3" s="1254" t="s">
        <v>253</v>
      </c>
      <c r="B3" s="1254" t="s">
        <v>3238</v>
      </c>
      <c r="C3" s="1254" t="s">
        <v>3239</v>
      </c>
      <c r="D3" s="1256" t="s">
        <v>3240</v>
      </c>
      <c r="E3" s="1256" t="s">
        <v>3241</v>
      </c>
      <c r="F3" s="1256" t="s">
        <v>3080</v>
      </c>
    </row>
    <row r="4" spans="1:6" s="308" customFormat="1" ht="30" customHeight="1">
      <c r="A4" s="1251" t="s">
        <v>2</v>
      </c>
      <c r="B4" s="1252">
        <v>300101</v>
      </c>
      <c r="C4" s="1253">
        <f>B4*3</f>
        <v>900303</v>
      </c>
      <c r="D4" s="1254">
        <v>281587</v>
      </c>
      <c r="E4" s="1253">
        <f>D4*3</f>
        <v>844761</v>
      </c>
      <c r="F4" s="1253">
        <f>E4-C4</f>
        <v>-55542</v>
      </c>
    </row>
    <row r="5" spans="1:6" s="308" customFormat="1" ht="30" customHeight="1">
      <c r="A5" s="1251" t="s">
        <v>3</v>
      </c>
      <c r="B5" s="1252">
        <v>145517</v>
      </c>
      <c r="C5" s="1253">
        <f t="shared" ref="C5:C13" si="0">B5*3</f>
        <v>436551</v>
      </c>
      <c r="D5" s="1254">
        <v>102993</v>
      </c>
      <c r="E5" s="1253">
        <f t="shared" ref="E5:E13" si="1">D5*3</f>
        <v>308979</v>
      </c>
      <c r="F5" s="1253">
        <f t="shared" ref="F5:F14" si="2">E5-C5</f>
        <v>-127572</v>
      </c>
    </row>
    <row r="6" spans="1:6" s="308" customFormat="1" ht="30" customHeight="1">
      <c r="A6" s="1251" t="s">
        <v>4</v>
      </c>
      <c r="B6" s="1252">
        <v>276368</v>
      </c>
      <c r="C6" s="1253">
        <f t="shared" si="0"/>
        <v>829104</v>
      </c>
      <c r="D6" s="1254">
        <v>269850</v>
      </c>
      <c r="E6" s="1253">
        <f t="shared" si="1"/>
        <v>809550</v>
      </c>
      <c r="F6" s="1253">
        <f t="shared" si="2"/>
        <v>-19554</v>
      </c>
    </row>
    <row r="7" spans="1:6" s="308" customFormat="1" ht="30" customHeight="1">
      <c r="A7" s="1251" t="s">
        <v>5</v>
      </c>
      <c r="B7" s="1252">
        <v>308002</v>
      </c>
      <c r="C7" s="1253">
        <f t="shared" si="0"/>
        <v>924006</v>
      </c>
      <c r="D7" s="1254">
        <v>299588</v>
      </c>
      <c r="E7" s="1253">
        <f t="shared" si="1"/>
        <v>898764</v>
      </c>
      <c r="F7" s="1253">
        <f t="shared" si="2"/>
        <v>-25242</v>
      </c>
    </row>
    <row r="8" spans="1:6" s="308" customFormat="1" ht="30" customHeight="1">
      <c r="A8" s="1251" t="s">
        <v>6</v>
      </c>
      <c r="B8" s="1252">
        <v>293661</v>
      </c>
      <c r="C8" s="1253">
        <f t="shared" si="0"/>
        <v>880983</v>
      </c>
      <c r="D8" s="1254">
        <v>279549</v>
      </c>
      <c r="E8" s="1253">
        <f t="shared" si="1"/>
        <v>838647</v>
      </c>
      <c r="F8" s="1253">
        <f t="shared" si="2"/>
        <v>-42336</v>
      </c>
    </row>
    <row r="9" spans="1:6" s="308" customFormat="1" ht="30" customHeight="1">
      <c r="A9" s="1251" t="s">
        <v>7</v>
      </c>
      <c r="B9" s="1252">
        <v>142015</v>
      </c>
      <c r="C9" s="1253">
        <f t="shared" si="0"/>
        <v>426045</v>
      </c>
      <c r="D9" s="1254">
        <v>135627</v>
      </c>
      <c r="E9" s="1253">
        <f t="shared" si="1"/>
        <v>406881</v>
      </c>
      <c r="F9" s="1253">
        <f t="shared" si="2"/>
        <v>-19164</v>
      </c>
    </row>
    <row r="10" spans="1:6" s="308" customFormat="1" ht="30" customHeight="1">
      <c r="A10" s="1251" t="s">
        <v>8</v>
      </c>
      <c r="B10" s="1252">
        <v>187764</v>
      </c>
      <c r="C10" s="1253">
        <f t="shared" si="0"/>
        <v>563292</v>
      </c>
      <c r="D10" s="1254">
        <v>186230</v>
      </c>
      <c r="E10" s="1253">
        <f t="shared" si="1"/>
        <v>558690</v>
      </c>
      <c r="F10" s="1253">
        <f t="shared" si="2"/>
        <v>-4602</v>
      </c>
    </row>
    <row r="11" spans="1:6" s="308" customFormat="1" ht="30" customHeight="1">
      <c r="A11" s="1251" t="s">
        <v>9</v>
      </c>
      <c r="B11" s="1252">
        <v>216038</v>
      </c>
      <c r="C11" s="1253">
        <f t="shared" si="0"/>
        <v>648114</v>
      </c>
      <c r="D11" s="1254">
        <v>197964</v>
      </c>
      <c r="E11" s="1253">
        <f t="shared" si="1"/>
        <v>593892</v>
      </c>
      <c r="F11" s="1253">
        <f t="shared" si="2"/>
        <v>-54222</v>
      </c>
    </row>
    <row r="12" spans="1:6" s="308" customFormat="1" ht="30" customHeight="1">
      <c r="A12" s="1251" t="s">
        <v>10</v>
      </c>
      <c r="B12" s="1252">
        <v>171520</v>
      </c>
      <c r="C12" s="1253">
        <f t="shared" si="0"/>
        <v>514560</v>
      </c>
      <c r="D12" s="1254">
        <v>149772</v>
      </c>
      <c r="E12" s="1253">
        <f t="shared" si="1"/>
        <v>449316</v>
      </c>
      <c r="F12" s="1253">
        <f t="shared" si="2"/>
        <v>-65244</v>
      </c>
    </row>
    <row r="13" spans="1:6" s="308" customFormat="1" ht="30" customHeight="1">
      <c r="A13" s="1251" t="s">
        <v>11</v>
      </c>
      <c r="B13" s="1252">
        <v>64976</v>
      </c>
      <c r="C13" s="1253">
        <f t="shared" si="0"/>
        <v>194928</v>
      </c>
      <c r="D13" s="1254">
        <v>63070</v>
      </c>
      <c r="E13" s="1253">
        <f t="shared" si="1"/>
        <v>189210</v>
      </c>
      <c r="F13" s="1253">
        <f t="shared" si="2"/>
        <v>-5718</v>
      </c>
    </row>
    <row r="14" spans="1:6" s="308" customFormat="1" ht="30" customHeight="1">
      <c r="A14" s="1244" t="s">
        <v>3245</v>
      </c>
      <c r="B14" s="1255">
        <f>SUM(B4:B13)</f>
        <v>2105962</v>
      </c>
      <c r="C14" s="1253">
        <f>SUM(C4:C13)</f>
        <v>6317886</v>
      </c>
      <c r="D14" s="1255">
        <f t="shared" ref="D14:E14" si="3">SUM(D4:D13)</f>
        <v>1966230</v>
      </c>
      <c r="E14" s="1253">
        <f t="shared" si="3"/>
        <v>5898690</v>
      </c>
      <c r="F14" s="1253">
        <f t="shared" si="2"/>
        <v>-419196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AZ116"/>
  <sheetViews>
    <sheetView topLeftCell="B1" workbookViewId="0">
      <pane xSplit="2" ySplit="4" topLeftCell="AN104" activePane="bottomRight" state="frozen"/>
      <selection activeCell="B1" sqref="B1"/>
      <selection pane="topRight" activeCell="D1" sqref="D1"/>
      <selection pane="bottomLeft" activeCell="B4" sqref="B4"/>
      <selection pane="bottomRight" activeCell="AX115" activeCellId="2" sqref="AR115 AU115 AX115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1236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hidden="1" customWidth="1"/>
    <col min="26" max="26" width="9.625" style="77" hidden="1" customWidth="1"/>
    <col min="27" max="27" width="9.375" style="77" hidden="1" customWidth="1"/>
    <col min="28" max="28" width="12.5" style="77" hidden="1" customWidth="1"/>
    <col min="29" max="29" width="9.875" style="77" hidden="1" customWidth="1"/>
    <col min="30" max="30" width="11.625" style="77" hidden="1" customWidth="1"/>
    <col min="31" max="31" width="11.875" style="77" hidden="1" customWidth="1"/>
    <col min="32" max="32" width="10.875" style="77" hidden="1" customWidth="1"/>
    <col min="33" max="33" width="11.375" style="77" hidden="1" customWidth="1"/>
    <col min="34" max="34" width="11.625" style="77" hidden="1" customWidth="1"/>
    <col min="35" max="35" width="11.375" style="77" hidden="1" customWidth="1"/>
    <col min="36" max="36" width="10.375" style="77" hidden="1" customWidth="1"/>
    <col min="37" max="37" width="11" style="77" hidden="1" customWidth="1"/>
    <col min="38" max="38" width="12.125" style="77" hidden="1" customWidth="1"/>
    <col min="39" max="39" width="12.5" style="77" hidden="1" customWidth="1"/>
    <col min="40" max="40" width="12.5" style="77" customWidth="1"/>
    <col min="41" max="41" width="10.625" style="83" customWidth="1"/>
    <col min="42" max="42" width="11" style="77" customWidth="1"/>
    <col min="43" max="43" width="13.125" style="123" customWidth="1"/>
    <col min="44" max="46" width="11.625" style="77" customWidth="1"/>
    <col min="47" max="47" width="14" style="77" customWidth="1"/>
    <col min="48" max="48" width="11.5" style="1227" bestFit="1" customWidth="1"/>
    <col min="49" max="49" width="13" style="77" customWidth="1"/>
    <col min="50" max="50" width="14" style="77" customWidth="1"/>
    <col min="51" max="51" width="11.5" style="122" bestFit="1" customWidth="1"/>
    <col min="52" max="52" width="13" style="123" customWidth="1"/>
    <col min="53" max="16384" width="9" style="77"/>
  </cols>
  <sheetData>
    <row r="1" spans="1:52" s="1261" customFormat="1" ht="24.95" customHeight="1">
      <c r="A1" s="1623" t="s">
        <v>3198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  <c r="Q1" s="1624"/>
      <c r="R1" s="1624"/>
      <c r="S1" s="1624"/>
      <c r="T1" s="1624"/>
      <c r="U1" s="1624"/>
      <c r="V1" s="1624"/>
      <c r="W1" s="1624"/>
      <c r="X1" s="1624"/>
      <c r="Y1" s="1624"/>
      <c r="Z1" s="1624"/>
      <c r="AA1" s="1624"/>
      <c r="AB1" s="1624"/>
      <c r="AC1" s="1624"/>
      <c r="AD1" s="1624"/>
      <c r="AE1" s="1624"/>
      <c r="AF1" s="1624"/>
      <c r="AG1" s="1624"/>
      <c r="AH1" s="1624"/>
      <c r="AI1" s="1624"/>
      <c r="AJ1" s="1624"/>
      <c r="AK1" s="1624"/>
      <c r="AL1" s="1624"/>
      <c r="AM1" s="1624"/>
      <c r="AN1" s="1624"/>
      <c r="AO1" s="1624"/>
      <c r="AP1" s="1624"/>
      <c r="AQ1" s="1624"/>
      <c r="AR1" s="1625"/>
      <c r="AS1" s="1625"/>
      <c r="AT1" s="1625"/>
      <c r="AU1" s="1625"/>
      <c r="AV1" s="1260"/>
      <c r="AY1" s="1344"/>
      <c r="AZ1" s="1346"/>
    </row>
    <row r="2" spans="1:52" s="1259" customFormat="1" ht="20.100000000000001" customHeight="1">
      <c r="A2" s="1262"/>
      <c r="B2" s="1622" t="s">
        <v>3248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5"/>
      <c r="P2" s="1385"/>
      <c r="Q2" s="1385"/>
      <c r="R2" s="1385"/>
      <c r="S2" s="1385"/>
      <c r="T2" s="1385"/>
      <c r="U2" s="1385"/>
      <c r="V2" s="1385"/>
      <c r="W2" s="1385"/>
      <c r="X2" s="1385"/>
      <c r="Y2" s="1385"/>
      <c r="Z2" s="1385"/>
      <c r="AA2" s="1385"/>
      <c r="AB2" s="1385"/>
      <c r="AC2" s="1385"/>
      <c r="AD2" s="1385"/>
      <c r="AE2" s="1385"/>
      <c r="AF2" s="1385"/>
      <c r="AG2" s="1385"/>
      <c r="AH2" s="1385"/>
      <c r="AI2" s="1385"/>
      <c r="AJ2" s="1385"/>
      <c r="AK2" s="1385"/>
      <c r="AL2" s="1385"/>
      <c r="AM2" s="1385"/>
      <c r="AN2" s="1385"/>
      <c r="AO2" s="1385"/>
      <c r="AP2" s="1385"/>
      <c r="AQ2" s="1385"/>
      <c r="AR2" s="1385"/>
      <c r="AS2" s="1385"/>
      <c r="AT2" s="1385"/>
      <c r="AU2" s="1385"/>
      <c r="AV2" s="1385"/>
      <c r="AW2" s="1385"/>
      <c r="AY2" s="1345"/>
      <c r="AZ2" s="1345"/>
    </row>
    <row r="3" spans="1:52" ht="30.75" customHeight="1">
      <c r="A3" s="1386" t="s">
        <v>631</v>
      </c>
      <c r="B3" s="1386" t="s">
        <v>632</v>
      </c>
      <c r="C3" s="1386" t="s">
        <v>955</v>
      </c>
      <c r="D3" s="1626" t="s">
        <v>3188</v>
      </c>
      <c r="E3" s="1386" t="s">
        <v>3200</v>
      </c>
      <c r="F3" s="1386"/>
      <c r="G3" s="1386"/>
      <c r="H3" s="1386"/>
      <c r="I3" s="1386"/>
      <c r="J3" s="1386" t="s">
        <v>3201</v>
      </c>
      <c r="K3" s="1386"/>
      <c r="L3" s="1386"/>
      <c r="M3" s="1386"/>
      <c r="N3" s="1386"/>
      <c r="O3" s="1387" t="s">
        <v>635</v>
      </c>
      <c r="P3" s="1387"/>
      <c r="Q3" s="1387"/>
      <c r="R3" s="1387"/>
      <c r="S3" s="1387"/>
      <c r="T3" s="1387" t="s">
        <v>3202</v>
      </c>
      <c r="U3" s="1387"/>
      <c r="V3" s="1387"/>
      <c r="W3" s="1387"/>
      <c r="X3" s="1387"/>
      <c r="Y3" s="1387" t="s">
        <v>637</v>
      </c>
      <c r="Z3" s="1387"/>
      <c r="AA3" s="1387"/>
      <c r="AB3" s="1387"/>
      <c r="AC3" s="1387"/>
      <c r="AD3" s="1386" t="s">
        <v>3244</v>
      </c>
      <c r="AE3" s="1386"/>
      <c r="AF3" s="1386"/>
      <c r="AG3" s="1386"/>
      <c r="AH3" s="1386"/>
      <c r="AI3" s="1386"/>
      <c r="AJ3" s="1386"/>
      <c r="AK3" s="1386"/>
      <c r="AL3" s="1386"/>
      <c r="AM3" s="1386"/>
      <c r="AN3" s="1627" t="s">
        <v>4033</v>
      </c>
      <c r="AO3" s="1628"/>
      <c r="AP3" s="1628"/>
      <c r="AQ3" s="1629"/>
      <c r="AR3" s="1619" t="s">
        <v>3203</v>
      </c>
      <c r="AS3" s="1620"/>
      <c r="AT3" s="1621"/>
      <c r="AU3" s="1619" t="s">
        <v>3365</v>
      </c>
      <c r="AV3" s="1620"/>
      <c r="AW3" s="1621"/>
      <c r="AX3" s="1619" t="s">
        <v>4040</v>
      </c>
      <c r="AY3" s="1620"/>
      <c r="AZ3" s="1621"/>
    </row>
    <row r="4" spans="1:52" ht="42" customHeight="1">
      <c r="A4" s="1386"/>
      <c r="B4" s="1386"/>
      <c r="C4" s="1386"/>
      <c r="D4" s="1626"/>
      <c r="E4" s="78" t="s">
        <v>638</v>
      </c>
      <c r="F4" s="78" t="s">
        <v>639</v>
      </c>
      <c r="G4" s="78" t="s">
        <v>640</v>
      </c>
      <c r="H4" s="78" t="s">
        <v>641</v>
      </c>
      <c r="I4" s="1226" t="s">
        <v>17</v>
      </c>
      <c r="J4" s="78" t="s">
        <v>638</v>
      </c>
      <c r="K4" s="78" t="s">
        <v>639</v>
      </c>
      <c r="L4" s="78" t="s">
        <v>640</v>
      </c>
      <c r="M4" s="78" t="s">
        <v>641</v>
      </c>
      <c r="N4" s="1226" t="s">
        <v>17</v>
      </c>
      <c r="O4" s="78" t="s">
        <v>638</v>
      </c>
      <c r="P4" s="78" t="s">
        <v>639</v>
      </c>
      <c r="Q4" s="78" t="s">
        <v>640</v>
      </c>
      <c r="R4" s="78" t="s">
        <v>641</v>
      </c>
      <c r="S4" s="92" t="s">
        <v>17</v>
      </c>
      <c r="T4" s="78" t="s">
        <v>638</v>
      </c>
      <c r="U4" s="78" t="s">
        <v>639</v>
      </c>
      <c r="V4" s="78" t="s">
        <v>640</v>
      </c>
      <c r="W4" s="78" t="s">
        <v>641</v>
      </c>
      <c r="X4" s="92" t="s">
        <v>17</v>
      </c>
      <c r="Y4" s="78" t="s">
        <v>638</v>
      </c>
      <c r="Z4" s="78" t="s">
        <v>639</v>
      </c>
      <c r="AA4" s="78" t="s">
        <v>640</v>
      </c>
      <c r="AB4" s="78" t="s">
        <v>641</v>
      </c>
      <c r="AC4" s="1226" t="s">
        <v>17</v>
      </c>
      <c r="AD4" s="78" t="s">
        <v>642</v>
      </c>
      <c r="AE4" s="78" t="s">
        <v>643</v>
      </c>
      <c r="AF4" s="78" t="s">
        <v>644</v>
      </c>
      <c r="AG4" s="78" t="s">
        <v>645</v>
      </c>
      <c r="AH4" s="78" t="s">
        <v>646</v>
      </c>
      <c r="AI4" s="78" t="s">
        <v>3189</v>
      </c>
      <c r="AJ4" s="78" t="s">
        <v>970</v>
      </c>
      <c r="AK4" s="78" t="s">
        <v>3199</v>
      </c>
      <c r="AL4" s="78" t="s">
        <v>3190</v>
      </c>
      <c r="AM4" s="1226" t="s">
        <v>3191</v>
      </c>
      <c r="AN4" s="1228" t="s">
        <v>3192</v>
      </c>
      <c r="AO4" s="1249" t="s">
        <v>3193</v>
      </c>
      <c r="AP4" s="1229" t="s">
        <v>3204</v>
      </c>
      <c r="AQ4" s="1228" t="s">
        <v>3191</v>
      </c>
      <c r="AR4" s="1300" t="s">
        <v>3363</v>
      </c>
      <c r="AS4" s="1300" t="s">
        <v>3364</v>
      </c>
      <c r="AT4" s="1300" t="s">
        <v>3366</v>
      </c>
      <c r="AU4" s="1301" t="s">
        <v>3367</v>
      </c>
      <c r="AV4" s="1301" t="s">
        <v>3364</v>
      </c>
      <c r="AW4" s="1301" t="s">
        <v>3368</v>
      </c>
      <c r="AX4" s="1301" t="s">
        <v>3237</v>
      </c>
      <c r="AY4" s="1301" t="s">
        <v>3364</v>
      </c>
      <c r="AZ4" s="1301" t="s">
        <v>4041</v>
      </c>
    </row>
    <row r="5" spans="1:52" ht="30.75" customHeight="1">
      <c r="A5" s="79" t="s">
        <v>10</v>
      </c>
      <c r="B5" s="80" t="s">
        <v>648</v>
      </c>
      <c r="C5" s="80" t="s">
        <v>649</v>
      </c>
      <c r="D5" s="1234">
        <v>2</v>
      </c>
      <c r="E5" s="166">
        <v>0</v>
      </c>
      <c r="F5" s="166">
        <v>2</v>
      </c>
      <c r="G5" s="166">
        <v>17.837499999999999</v>
      </c>
      <c r="H5" s="166">
        <v>3</v>
      </c>
      <c r="I5" s="82">
        <f>SUM(E5:H5)</f>
        <v>22.837499999999999</v>
      </c>
      <c r="J5" s="167">
        <v>0</v>
      </c>
      <c r="K5" s="167">
        <v>0</v>
      </c>
      <c r="L5" s="167">
        <v>2</v>
      </c>
      <c r="M5" s="167">
        <v>0</v>
      </c>
      <c r="N5" s="82">
        <f>SUM(J5:M5)</f>
        <v>2</v>
      </c>
      <c r="O5" s="82">
        <f>E5+J5</f>
        <v>0</v>
      </c>
      <c r="P5" s="82">
        <f t="shared" ref="P5:R14" si="0">F5+K5</f>
        <v>2</v>
      </c>
      <c r="Q5" s="82">
        <f t="shared" si="0"/>
        <v>19.837499999999999</v>
      </c>
      <c r="R5" s="82">
        <f t="shared" si="0"/>
        <v>3</v>
      </c>
      <c r="S5" s="93">
        <f>SUM(O5:R5)</f>
        <v>24.837499999999999</v>
      </c>
      <c r="T5" s="167">
        <v>0</v>
      </c>
      <c r="U5" s="167">
        <v>0.58333333333333337</v>
      </c>
      <c r="V5" s="167">
        <v>19.083333333333332</v>
      </c>
      <c r="W5" s="167">
        <v>3</v>
      </c>
      <c r="X5" s="93">
        <f>SUM(T5:W5)</f>
        <v>22.666666666666664</v>
      </c>
      <c r="Y5" s="167">
        <v>0</v>
      </c>
      <c r="Z5" s="167">
        <v>0.58333333333333337</v>
      </c>
      <c r="AA5" s="167">
        <v>19.083333333333332</v>
      </c>
      <c r="AB5" s="167">
        <v>3</v>
      </c>
      <c r="AC5" s="82">
        <f>SUM(Y5:AB5)</f>
        <v>22.666666666666664</v>
      </c>
      <c r="AD5" s="82">
        <f t="shared" ref="AD5:AD10" si="1">(Y5*6800+Z5*5750+AA5*5295+AB5*4400)*12</f>
        <v>1411205</v>
      </c>
      <c r="AE5" s="82">
        <f>AC5*4320</f>
        <v>97919.999999999985</v>
      </c>
      <c r="AF5" s="82">
        <f>AC5*6000</f>
        <v>136000</v>
      </c>
      <c r="AG5" s="82">
        <f>AC5*2400</f>
        <v>54399.999999999993</v>
      </c>
      <c r="AH5" s="82">
        <f>AC5*9400</f>
        <v>213066.66666666666</v>
      </c>
      <c r="AI5" s="82">
        <f>AC5*800</f>
        <v>18133.333333333332</v>
      </c>
      <c r="AJ5" s="82">
        <f>D5*50*200</f>
        <v>20000</v>
      </c>
      <c r="AK5" s="82">
        <f>AC5*960</f>
        <v>21759.999999999996</v>
      </c>
      <c r="AL5" s="82">
        <f>ROUND((7384*0.342*AC5*6+7460*0.342*AC5*6),2)</f>
        <v>690424.13</v>
      </c>
      <c r="AM5" s="82">
        <f t="shared" ref="AM5:AM68" si="2">SUM(AD5:AL5)</f>
        <v>2662909.13</v>
      </c>
      <c r="AN5" s="82">
        <v>2608321</v>
      </c>
      <c r="AO5" s="82">
        <v>29636</v>
      </c>
      <c r="AP5" s="82"/>
      <c r="AQ5" s="121">
        <f>AN5+AO5+AP5</f>
        <v>2637957</v>
      </c>
      <c r="AR5" s="1230">
        <v>2967825</v>
      </c>
      <c r="AS5" s="1230"/>
      <c r="AT5" s="1230">
        <f>AR5-AS5</f>
        <v>2967825</v>
      </c>
      <c r="AU5" s="121">
        <f t="shared" ref="AU5:AU14" si="3">AQ5-AR5</f>
        <v>-329868</v>
      </c>
      <c r="AV5" s="174"/>
      <c r="AW5" s="1232">
        <f t="shared" ref="AW5:AW23" si="4">AU5-AV5</f>
        <v>-329868</v>
      </c>
      <c r="AX5" s="121"/>
      <c r="AY5" s="121"/>
      <c r="AZ5" s="82"/>
    </row>
    <row r="6" spans="1:52" ht="30.75" customHeight="1">
      <c r="A6" s="79" t="s">
        <v>10</v>
      </c>
      <c r="B6" s="80" t="s">
        <v>650</v>
      </c>
      <c r="C6" s="80" t="s">
        <v>649</v>
      </c>
      <c r="D6" s="1234">
        <v>2.5</v>
      </c>
      <c r="E6" s="166">
        <v>0</v>
      </c>
      <c r="F6" s="166">
        <v>2</v>
      </c>
      <c r="G6" s="166">
        <v>15.0625</v>
      </c>
      <c r="H6" s="166">
        <v>3</v>
      </c>
      <c r="I6" s="82">
        <f t="shared" ref="I6:I70" si="5">SUM(E6:H6)</f>
        <v>20.0625</v>
      </c>
      <c r="J6" s="167">
        <v>0</v>
      </c>
      <c r="K6" s="167">
        <v>0</v>
      </c>
      <c r="L6" s="167">
        <v>1.2</v>
      </c>
      <c r="M6" s="167">
        <v>0.33333333333333331</v>
      </c>
      <c r="N6" s="82">
        <f t="shared" ref="N6:N14" si="6">SUM(J6:M6)</f>
        <v>1.5333333333333332</v>
      </c>
      <c r="O6" s="82">
        <f t="shared" ref="O6:O14" si="7">E6+J6</f>
        <v>0</v>
      </c>
      <c r="P6" s="82">
        <f t="shared" si="0"/>
        <v>2</v>
      </c>
      <c r="Q6" s="82">
        <f t="shared" si="0"/>
        <v>16.262499999999999</v>
      </c>
      <c r="R6" s="82">
        <f t="shared" si="0"/>
        <v>3.3333333333333335</v>
      </c>
      <c r="S6" s="93">
        <f t="shared" ref="S6:S14" si="8">SUM(O6:R6)</f>
        <v>21.595833333333331</v>
      </c>
      <c r="T6" s="167">
        <v>0</v>
      </c>
      <c r="U6" s="167">
        <v>0</v>
      </c>
      <c r="V6" s="167">
        <v>17.166666666666668</v>
      </c>
      <c r="W6" s="167">
        <v>2.3333333333333335</v>
      </c>
      <c r="X6" s="93">
        <f t="shared" ref="X6:X14" si="9">SUM(T6:W6)</f>
        <v>19.5</v>
      </c>
      <c r="Y6" s="167">
        <v>0</v>
      </c>
      <c r="Z6" s="167">
        <v>0</v>
      </c>
      <c r="AA6" s="167">
        <v>17.166666666666668</v>
      </c>
      <c r="AB6" s="167">
        <v>2.3333333333333335</v>
      </c>
      <c r="AC6" s="82">
        <f t="shared" ref="AC6:AC14" si="10">SUM(Y6:AB6)</f>
        <v>19.5</v>
      </c>
      <c r="AD6" s="82">
        <f t="shared" si="1"/>
        <v>1213970</v>
      </c>
      <c r="AE6" s="82">
        <f t="shared" ref="AE6:AE69" si="11">AC6*4320</f>
        <v>84240</v>
      </c>
      <c r="AF6" s="82">
        <f t="shared" ref="AF6:AF69" si="12">AC6*6000</f>
        <v>117000</v>
      </c>
      <c r="AG6" s="82">
        <f t="shared" ref="AG6:AG69" si="13">AC6*2400</f>
        <v>46800</v>
      </c>
      <c r="AH6" s="82">
        <f t="shared" ref="AH6:AH69" si="14">AC6*9400</f>
        <v>183300</v>
      </c>
      <c r="AI6" s="82">
        <f t="shared" ref="AI6:AI69" si="15">AC6*800</f>
        <v>15600</v>
      </c>
      <c r="AJ6" s="82">
        <f t="shared" ref="AJ6:AJ69" si="16">D6*50*200</f>
        <v>25000</v>
      </c>
      <c r="AK6" s="82">
        <f t="shared" ref="AK6:AK69" si="17">AC6*960</f>
        <v>18720</v>
      </c>
      <c r="AL6" s="82">
        <f t="shared" ref="AL6:AL69" si="18">ROUND((7384*0.342*AC6*6+7460*0.342*AC6*6),2)</f>
        <v>593967.81999999995</v>
      </c>
      <c r="AM6" s="82">
        <f t="shared" si="2"/>
        <v>2298597.8199999998</v>
      </c>
      <c r="AN6" s="82">
        <v>2174851</v>
      </c>
      <c r="AO6" s="82"/>
      <c r="AP6" s="82"/>
      <c r="AQ6" s="121">
        <f t="shared" ref="AQ6:AQ69" si="19">AN6+AO6+AP6</f>
        <v>2174851</v>
      </c>
      <c r="AR6" s="1230">
        <v>2475071</v>
      </c>
      <c r="AS6" s="1230"/>
      <c r="AT6" s="1230">
        <f t="shared" ref="AT6:AT69" si="20">AR6-AS6</f>
        <v>2475071</v>
      </c>
      <c r="AU6" s="121">
        <f t="shared" si="3"/>
        <v>-300220</v>
      </c>
      <c r="AV6" s="174"/>
      <c r="AW6" s="1232">
        <f t="shared" si="4"/>
        <v>-300220</v>
      </c>
      <c r="AX6" s="121"/>
      <c r="AY6" s="121"/>
      <c r="AZ6" s="82"/>
    </row>
    <row r="7" spans="1:52" s="83" customFormat="1" ht="30.75" customHeight="1">
      <c r="A7" s="79" t="s">
        <v>10</v>
      </c>
      <c r="B7" s="80" t="s">
        <v>651</v>
      </c>
      <c r="C7" s="80" t="s">
        <v>649</v>
      </c>
      <c r="D7" s="1234">
        <v>2</v>
      </c>
      <c r="E7" s="166">
        <v>0</v>
      </c>
      <c r="F7" s="166">
        <v>2</v>
      </c>
      <c r="G7" s="166">
        <v>18.162500000000001</v>
      </c>
      <c r="H7" s="166">
        <v>3</v>
      </c>
      <c r="I7" s="82">
        <f t="shared" si="5"/>
        <v>23.162500000000001</v>
      </c>
      <c r="J7" s="167">
        <v>0</v>
      </c>
      <c r="K7" s="167">
        <v>0</v>
      </c>
      <c r="L7" s="167">
        <v>3.5</v>
      </c>
      <c r="M7" s="167">
        <v>0</v>
      </c>
      <c r="N7" s="82">
        <f t="shared" si="6"/>
        <v>3.5</v>
      </c>
      <c r="O7" s="82">
        <f t="shared" si="7"/>
        <v>0</v>
      </c>
      <c r="P7" s="82">
        <f t="shared" si="0"/>
        <v>2</v>
      </c>
      <c r="Q7" s="82">
        <f t="shared" si="0"/>
        <v>21.662500000000001</v>
      </c>
      <c r="R7" s="82">
        <f t="shared" si="0"/>
        <v>3</v>
      </c>
      <c r="S7" s="93">
        <f t="shared" si="8"/>
        <v>26.662500000000001</v>
      </c>
      <c r="T7" s="167">
        <v>8.3333333333333329E-2</v>
      </c>
      <c r="U7" s="167">
        <v>2</v>
      </c>
      <c r="V7" s="167">
        <v>21.333333333333332</v>
      </c>
      <c r="W7" s="167">
        <v>3</v>
      </c>
      <c r="X7" s="93">
        <f t="shared" si="9"/>
        <v>26.416666666666664</v>
      </c>
      <c r="Y7" s="167">
        <v>8.3333333333333329E-2</v>
      </c>
      <c r="Z7" s="167">
        <v>2</v>
      </c>
      <c r="AA7" s="167">
        <v>21.333333333333332</v>
      </c>
      <c r="AB7" s="167">
        <v>3</v>
      </c>
      <c r="AC7" s="82">
        <f t="shared" si="10"/>
        <v>26.416666666666664</v>
      </c>
      <c r="AD7" s="82">
        <f t="shared" si="1"/>
        <v>1658720.0000000002</v>
      </c>
      <c r="AE7" s="82">
        <f t="shared" si="11"/>
        <v>114119.99999999999</v>
      </c>
      <c r="AF7" s="82">
        <f t="shared" si="12"/>
        <v>158500</v>
      </c>
      <c r="AG7" s="82">
        <f t="shared" si="13"/>
        <v>63399.999999999993</v>
      </c>
      <c r="AH7" s="82">
        <f t="shared" si="14"/>
        <v>248316.66666666666</v>
      </c>
      <c r="AI7" s="82">
        <f t="shared" si="15"/>
        <v>21133.333333333332</v>
      </c>
      <c r="AJ7" s="82">
        <f t="shared" si="16"/>
        <v>20000</v>
      </c>
      <c r="AK7" s="82">
        <f t="shared" si="17"/>
        <v>25359.999999999996</v>
      </c>
      <c r="AL7" s="82">
        <f t="shared" si="18"/>
        <v>804648.71</v>
      </c>
      <c r="AM7" s="82">
        <f t="shared" si="2"/>
        <v>3114198.7100000004</v>
      </c>
      <c r="AN7" s="82">
        <v>3005215</v>
      </c>
      <c r="AO7" s="82"/>
      <c r="AP7" s="82"/>
      <c r="AQ7" s="121">
        <f t="shared" si="19"/>
        <v>3005215</v>
      </c>
      <c r="AR7" s="1231">
        <v>3426011</v>
      </c>
      <c r="AS7" s="1231"/>
      <c r="AT7" s="1230">
        <f t="shared" si="20"/>
        <v>3426011</v>
      </c>
      <c r="AU7" s="82">
        <f t="shared" si="3"/>
        <v>-420796</v>
      </c>
      <c r="AV7" s="174"/>
      <c r="AW7" s="1232">
        <f t="shared" si="4"/>
        <v>-420796</v>
      </c>
      <c r="AX7" s="82"/>
      <c r="AY7" s="121"/>
      <c r="AZ7" s="82"/>
    </row>
    <row r="8" spans="1:52" ht="30.75" customHeight="1">
      <c r="A8" s="79" t="s">
        <v>10</v>
      </c>
      <c r="B8" s="80" t="s">
        <v>652</v>
      </c>
      <c r="C8" s="80" t="s">
        <v>649</v>
      </c>
      <c r="D8" s="1234">
        <v>2</v>
      </c>
      <c r="E8" s="166">
        <v>0</v>
      </c>
      <c r="F8" s="166">
        <v>2</v>
      </c>
      <c r="G8" s="166">
        <v>25.587499999999999</v>
      </c>
      <c r="H8" s="166">
        <v>3</v>
      </c>
      <c r="I8" s="82">
        <f t="shared" si="5"/>
        <v>30.587499999999999</v>
      </c>
      <c r="J8" s="167">
        <v>0</v>
      </c>
      <c r="K8" s="167">
        <v>0</v>
      </c>
      <c r="L8" s="167">
        <v>0</v>
      </c>
      <c r="M8" s="167">
        <v>0.41666666666666669</v>
      </c>
      <c r="N8" s="82">
        <f t="shared" si="6"/>
        <v>0.41666666666666669</v>
      </c>
      <c r="O8" s="82">
        <f t="shared" si="7"/>
        <v>0</v>
      </c>
      <c r="P8" s="82">
        <f t="shared" si="0"/>
        <v>2</v>
      </c>
      <c r="Q8" s="82">
        <f t="shared" si="0"/>
        <v>25.587499999999999</v>
      </c>
      <c r="R8" s="82">
        <f t="shared" si="0"/>
        <v>3.4166666666666665</v>
      </c>
      <c r="S8" s="93">
        <f t="shared" si="8"/>
        <v>31.004166666666666</v>
      </c>
      <c r="T8" s="167">
        <v>1</v>
      </c>
      <c r="U8" s="167">
        <v>0</v>
      </c>
      <c r="V8" s="167">
        <v>26</v>
      </c>
      <c r="W8" s="167">
        <v>2.0833333333333335</v>
      </c>
      <c r="X8" s="93">
        <f t="shared" si="9"/>
        <v>29.083333333333332</v>
      </c>
      <c r="Y8" s="167">
        <v>1</v>
      </c>
      <c r="Z8" s="167">
        <v>0</v>
      </c>
      <c r="AA8" s="167">
        <v>26</v>
      </c>
      <c r="AB8" s="167">
        <v>2.0833333333333335</v>
      </c>
      <c r="AC8" s="82">
        <f t="shared" si="10"/>
        <v>29.083333333333332</v>
      </c>
      <c r="AD8" s="82">
        <f t="shared" si="1"/>
        <v>1843640</v>
      </c>
      <c r="AE8" s="82">
        <f t="shared" si="11"/>
        <v>125640</v>
      </c>
      <c r="AF8" s="82">
        <f t="shared" si="12"/>
        <v>174500</v>
      </c>
      <c r="AG8" s="82">
        <f t="shared" si="13"/>
        <v>69800</v>
      </c>
      <c r="AH8" s="82">
        <f t="shared" si="14"/>
        <v>273383.33333333331</v>
      </c>
      <c r="AI8" s="82">
        <f t="shared" si="15"/>
        <v>23266.666666666664</v>
      </c>
      <c r="AJ8" s="82">
        <f t="shared" si="16"/>
        <v>20000</v>
      </c>
      <c r="AK8" s="82">
        <f t="shared" si="17"/>
        <v>27920</v>
      </c>
      <c r="AL8" s="82">
        <f t="shared" si="18"/>
        <v>885875.08</v>
      </c>
      <c r="AM8" s="82">
        <f t="shared" si="2"/>
        <v>3444025.08</v>
      </c>
      <c r="AN8" s="82">
        <v>3195210</v>
      </c>
      <c r="AO8" s="82">
        <v>28800</v>
      </c>
      <c r="AP8" s="82"/>
      <c r="AQ8" s="121">
        <f t="shared" si="19"/>
        <v>3224010</v>
      </c>
      <c r="AR8" s="1230">
        <v>3717607</v>
      </c>
      <c r="AS8" s="1230"/>
      <c r="AT8" s="1230">
        <f t="shared" si="20"/>
        <v>3717607</v>
      </c>
      <c r="AU8" s="121">
        <f t="shared" si="3"/>
        <v>-493597</v>
      </c>
      <c r="AV8" s="174"/>
      <c r="AW8" s="1232">
        <f t="shared" si="4"/>
        <v>-493597</v>
      </c>
      <c r="AX8" s="121"/>
      <c r="AY8" s="121"/>
      <c r="AZ8" s="82"/>
    </row>
    <row r="9" spans="1:52" ht="21.95" customHeight="1">
      <c r="A9" s="79" t="s">
        <v>10</v>
      </c>
      <c r="B9" s="80" t="s">
        <v>223</v>
      </c>
      <c r="C9" s="80" t="s">
        <v>959</v>
      </c>
      <c r="D9" s="1234"/>
      <c r="E9" s="166">
        <v>3.4137931034482705</v>
      </c>
      <c r="F9" s="166">
        <v>9</v>
      </c>
      <c r="G9" s="166">
        <v>0</v>
      </c>
      <c r="H9" s="166">
        <v>5.5</v>
      </c>
      <c r="I9" s="82">
        <f t="shared" si="5"/>
        <v>17.91379310344827</v>
      </c>
      <c r="J9" s="167">
        <v>0</v>
      </c>
      <c r="K9" s="167">
        <v>0</v>
      </c>
      <c r="L9" s="167">
        <v>0</v>
      </c>
      <c r="M9" s="167">
        <v>0</v>
      </c>
      <c r="N9" s="82">
        <f t="shared" si="6"/>
        <v>0</v>
      </c>
      <c r="O9" s="82">
        <f t="shared" si="7"/>
        <v>3.4137931034482705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8"/>
        <v>17.91379310344827</v>
      </c>
      <c r="T9" s="167">
        <v>3.1666666666666665</v>
      </c>
      <c r="U9" s="167">
        <v>3.3333333333333335</v>
      </c>
      <c r="V9" s="167">
        <v>0.91666666666666663</v>
      </c>
      <c r="W9" s="167">
        <v>0.41666666666666669</v>
      </c>
      <c r="X9" s="93">
        <f t="shared" si="9"/>
        <v>7.8333333333333339</v>
      </c>
      <c r="Y9" s="167">
        <v>3.1666666666666665</v>
      </c>
      <c r="Z9" s="167">
        <v>3.3333333333333335</v>
      </c>
      <c r="AA9" s="167">
        <v>0.91666666666666663</v>
      </c>
      <c r="AB9" s="167">
        <v>0.41666666666666669</v>
      </c>
      <c r="AC9" s="82">
        <f t="shared" si="10"/>
        <v>7.8333333333333339</v>
      </c>
      <c r="AD9" s="82">
        <f t="shared" si="1"/>
        <v>568645</v>
      </c>
      <c r="AE9" s="82">
        <f t="shared" si="11"/>
        <v>33840</v>
      </c>
      <c r="AF9" s="82">
        <f t="shared" si="12"/>
        <v>47000</v>
      </c>
      <c r="AG9" s="82">
        <f t="shared" si="13"/>
        <v>18800</v>
      </c>
      <c r="AH9" s="82">
        <f t="shared" si="14"/>
        <v>73633.333333333343</v>
      </c>
      <c r="AI9" s="82">
        <f t="shared" si="15"/>
        <v>6266.666666666667</v>
      </c>
      <c r="AJ9" s="82">
        <f t="shared" si="16"/>
        <v>0</v>
      </c>
      <c r="AK9" s="82">
        <f t="shared" si="17"/>
        <v>7520.0000000000009</v>
      </c>
      <c r="AL9" s="82">
        <f t="shared" si="18"/>
        <v>238602.46</v>
      </c>
      <c r="AM9" s="82">
        <f t="shared" si="2"/>
        <v>994307.46</v>
      </c>
      <c r="AN9" s="82">
        <v>880043</v>
      </c>
      <c r="AO9" s="82"/>
      <c r="AP9" s="82">
        <v>14029</v>
      </c>
      <c r="AQ9" s="121">
        <f t="shared" si="19"/>
        <v>894072</v>
      </c>
      <c r="AR9" s="1230">
        <v>1105298</v>
      </c>
      <c r="AS9" s="1230"/>
      <c r="AT9" s="1230">
        <f t="shared" si="20"/>
        <v>1105298</v>
      </c>
      <c r="AU9" s="121">
        <f t="shared" si="3"/>
        <v>-211226</v>
      </c>
      <c r="AV9" s="174"/>
      <c r="AW9" s="1232">
        <f t="shared" si="4"/>
        <v>-211226</v>
      </c>
      <c r="AX9" s="121"/>
      <c r="AY9" s="121"/>
      <c r="AZ9" s="82"/>
    </row>
    <row r="10" spans="1:52" ht="21.95" customHeight="1">
      <c r="A10" s="79" t="s">
        <v>10</v>
      </c>
      <c r="B10" s="80" t="s">
        <v>653</v>
      </c>
      <c r="C10" s="80" t="s">
        <v>959</v>
      </c>
      <c r="D10" s="1234"/>
      <c r="E10" s="166">
        <v>15.58620689655173</v>
      </c>
      <c r="F10" s="166">
        <v>9</v>
      </c>
      <c r="G10" s="166">
        <v>0</v>
      </c>
      <c r="H10" s="166">
        <v>5.5</v>
      </c>
      <c r="I10" s="82">
        <f t="shared" si="5"/>
        <v>30.08620689655173</v>
      </c>
      <c r="J10" s="167">
        <v>2.75</v>
      </c>
      <c r="K10" s="167">
        <v>0</v>
      </c>
      <c r="L10" s="167">
        <v>0</v>
      </c>
      <c r="M10" s="167">
        <v>0</v>
      </c>
      <c r="N10" s="82">
        <f t="shared" si="6"/>
        <v>2.75</v>
      </c>
      <c r="O10" s="82">
        <f t="shared" si="7"/>
        <v>18.33620689655173</v>
      </c>
      <c r="P10" s="82">
        <f t="shared" si="0"/>
        <v>9</v>
      </c>
      <c r="Q10" s="82">
        <f t="shared" si="0"/>
        <v>0</v>
      </c>
      <c r="R10" s="82">
        <f t="shared" si="0"/>
        <v>5.5</v>
      </c>
      <c r="S10" s="93">
        <f t="shared" si="8"/>
        <v>32.83620689655173</v>
      </c>
      <c r="T10" s="167">
        <v>6.833333333333333</v>
      </c>
      <c r="U10" s="167">
        <v>2</v>
      </c>
      <c r="V10" s="167">
        <v>0</v>
      </c>
      <c r="W10" s="167">
        <v>7</v>
      </c>
      <c r="X10" s="93">
        <f t="shared" si="9"/>
        <v>15.833333333333332</v>
      </c>
      <c r="Y10" s="167">
        <v>6.833333333333333</v>
      </c>
      <c r="Z10" s="167">
        <v>2</v>
      </c>
      <c r="AA10" s="167">
        <v>0</v>
      </c>
      <c r="AB10" s="167">
        <v>7</v>
      </c>
      <c r="AC10" s="82">
        <f t="shared" si="10"/>
        <v>15.833333333333332</v>
      </c>
      <c r="AD10" s="82">
        <f t="shared" si="1"/>
        <v>1065200</v>
      </c>
      <c r="AE10" s="82">
        <f t="shared" si="11"/>
        <v>68400</v>
      </c>
      <c r="AF10" s="82">
        <f t="shared" si="12"/>
        <v>95000</v>
      </c>
      <c r="AG10" s="82">
        <f t="shared" si="13"/>
        <v>38000</v>
      </c>
      <c r="AH10" s="82">
        <f t="shared" si="14"/>
        <v>148833.33333333331</v>
      </c>
      <c r="AI10" s="82">
        <f t="shared" si="15"/>
        <v>12666.666666666666</v>
      </c>
      <c r="AJ10" s="82">
        <f t="shared" si="16"/>
        <v>0</v>
      </c>
      <c r="AK10" s="82">
        <f t="shared" si="17"/>
        <v>15199.999999999998</v>
      </c>
      <c r="AL10" s="82">
        <f t="shared" si="18"/>
        <v>482281.56</v>
      </c>
      <c r="AM10" s="82">
        <f t="shared" si="2"/>
        <v>1925581.56</v>
      </c>
      <c r="AN10" s="82">
        <v>1826806</v>
      </c>
      <c r="AO10" s="82"/>
      <c r="AP10" s="82">
        <v>75755</v>
      </c>
      <c r="AQ10" s="121">
        <f t="shared" si="19"/>
        <v>1902561</v>
      </c>
      <c r="AR10" s="1230">
        <v>1941000.5</v>
      </c>
      <c r="AS10" s="1230"/>
      <c r="AT10" s="1230">
        <f t="shared" si="20"/>
        <v>1941000.5</v>
      </c>
      <c r="AU10" s="121">
        <f t="shared" si="3"/>
        <v>-38439.5</v>
      </c>
      <c r="AV10" s="174"/>
      <c r="AW10" s="1232">
        <f t="shared" si="4"/>
        <v>-38439.5</v>
      </c>
      <c r="AX10" s="121"/>
      <c r="AY10" s="121"/>
      <c r="AZ10" s="82"/>
    </row>
    <row r="11" spans="1:52" s="83" customFormat="1" ht="21.95" customHeight="1">
      <c r="A11" s="79" t="s">
        <v>10</v>
      </c>
      <c r="B11" s="80" t="s">
        <v>221</v>
      </c>
      <c r="C11" s="80" t="s">
        <v>464</v>
      </c>
      <c r="D11" s="1234"/>
      <c r="E11" s="166">
        <v>14.789915966386559</v>
      </c>
      <c r="F11" s="166">
        <v>9</v>
      </c>
      <c r="G11" s="166">
        <v>0</v>
      </c>
      <c r="H11" s="166">
        <v>5</v>
      </c>
      <c r="I11" s="82">
        <f t="shared" si="5"/>
        <v>28.789915966386559</v>
      </c>
      <c r="J11" s="167">
        <v>3.5</v>
      </c>
      <c r="K11" s="167">
        <v>0</v>
      </c>
      <c r="L11" s="167">
        <v>0</v>
      </c>
      <c r="M11" s="167">
        <v>0</v>
      </c>
      <c r="N11" s="82">
        <f t="shared" si="6"/>
        <v>3.5</v>
      </c>
      <c r="O11" s="82">
        <f t="shared" si="7"/>
        <v>18.289915966386559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8"/>
        <v>32.289915966386559</v>
      </c>
      <c r="T11" s="167">
        <v>4.333333333333333</v>
      </c>
      <c r="U11" s="167">
        <v>7.333333333333333</v>
      </c>
      <c r="V11" s="167">
        <v>0</v>
      </c>
      <c r="W11" s="167">
        <v>4.833333333333333</v>
      </c>
      <c r="X11" s="93">
        <f t="shared" si="9"/>
        <v>16.5</v>
      </c>
      <c r="Y11" s="167">
        <v>4.333333333333333</v>
      </c>
      <c r="Z11" s="167">
        <v>7.333333333333333</v>
      </c>
      <c r="AA11" s="167">
        <v>0</v>
      </c>
      <c r="AB11" s="167">
        <v>4.833333333333333</v>
      </c>
      <c r="AC11" s="82">
        <f t="shared" si="10"/>
        <v>16.5</v>
      </c>
      <c r="AD11" s="82">
        <f>(Y11*7800+Z11*5750+AA11*5295+AB11*4400)*12</f>
        <v>1166799.9999999998</v>
      </c>
      <c r="AE11" s="82">
        <f t="shared" si="11"/>
        <v>71280</v>
      </c>
      <c r="AF11" s="82">
        <f t="shared" si="12"/>
        <v>99000</v>
      </c>
      <c r="AG11" s="82">
        <f t="shared" si="13"/>
        <v>39600</v>
      </c>
      <c r="AH11" s="82">
        <f>Y11*15400+(Z11+AA11+AB11)*9400</f>
        <v>181100</v>
      </c>
      <c r="AI11" s="82">
        <f t="shared" si="15"/>
        <v>13200</v>
      </c>
      <c r="AJ11" s="82">
        <f t="shared" si="16"/>
        <v>0</v>
      </c>
      <c r="AK11" s="82">
        <f t="shared" si="17"/>
        <v>15840</v>
      </c>
      <c r="AL11" s="82">
        <f t="shared" si="18"/>
        <v>502588.15</v>
      </c>
      <c r="AM11" s="82">
        <f t="shared" si="2"/>
        <v>2089408.15</v>
      </c>
      <c r="AN11" s="82">
        <v>2023226</v>
      </c>
      <c r="AO11" s="82"/>
      <c r="AP11" s="82">
        <v>47410.5</v>
      </c>
      <c r="AQ11" s="121">
        <f t="shared" si="19"/>
        <v>2070636.5</v>
      </c>
      <c r="AR11" s="1231">
        <v>2260560.25</v>
      </c>
      <c r="AS11" s="1231"/>
      <c r="AT11" s="1230">
        <f t="shared" si="20"/>
        <v>2260560.25</v>
      </c>
      <c r="AU11" s="82">
        <f t="shared" si="3"/>
        <v>-189923.75</v>
      </c>
      <c r="AV11" s="174"/>
      <c r="AW11" s="1232">
        <f t="shared" si="4"/>
        <v>-189923.75</v>
      </c>
      <c r="AX11" s="82"/>
      <c r="AY11" s="121"/>
      <c r="AZ11" s="82"/>
    </row>
    <row r="12" spans="1:52" ht="21.95" customHeight="1">
      <c r="A12" s="79" t="s">
        <v>10</v>
      </c>
      <c r="B12" s="80" t="s">
        <v>654</v>
      </c>
      <c r="C12" s="80" t="s">
        <v>464</v>
      </c>
      <c r="D12" s="1234"/>
      <c r="E12" s="166">
        <v>0</v>
      </c>
      <c r="F12" s="166">
        <v>9</v>
      </c>
      <c r="G12" s="166">
        <v>0</v>
      </c>
      <c r="H12" s="166">
        <v>5</v>
      </c>
      <c r="I12" s="82">
        <f t="shared" si="5"/>
        <v>14</v>
      </c>
      <c r="J12" s="167">
        <v>0.58333333333333337</v>
      </c>
      <c r="K12" s="167">
        <v>0</v>
      </c>
      <c r="L12" s="167">
        <v>0</v>
      </c>
      <c r="M12" s="167">
        <v>0</v>
      </c>
      <c r="N12" s="82">
        <f t="shared" si="6"/>
        <v>0.58333333333333337</v>
      </c>
      <c r="O12" s="82">
        <f t="shared" si="7"/>
        <v>0.58333333333333337</v>
      </c>
      <c r="P12" s="82">
        <f t="shared" si="0"/>
        <v>9</v>
      </c>
      <c r="Q12" s="82">
        <f t="shared" si="0"/>
        <v>0</v>
      </c>
      <c r="R12" s="82">
        <f t="shared" si="0"/>
        <v>5</v>
      </c>
      <c r="S12" s="93">
        <f t="shared" si="8"/>
        <v>14.583333333333334</v>
      </c>
      <c r="T12" s="167">
        <v>0.33333333333333331</v>
      </c>
      <c r="U12" s="167">
        <v>0</v>
      </c>
      <c r="V12" s="167">
        <v>0</v>
      </c>
      <c r="W12" s="167">
        <v>6.083333333333333</v>
      </c>
      <c r="X12" s="93">
        <f t="shared" si="9"/>
        <v>6.4166666666666661</v>
      </c>
      <c r="Y12" s="167">
        <v>0.33333333333333331</v>
      </c>
      <c r="Z12" s="167">
        <v>0</v>
      </c>
      <c r="AA12" s="167">
        <v>0</v>
      </c>
      <c r="AB12" s="167">
        <v>6.083333333333333</v>
      </c>
      <c r="AC12" s="82">
        <f t="shared" si="10"/>
        <v>6.4166666666666661</v>
      </c>
      <c r="AD12" s="82">
        <f>(Y12*7800+Z12*5750+AA12*5295+AB12*4400)*12</f>
        <v>352400</v>
      </c>
      <c r="AE12" s="82">
        <f t="shared" si="11"/>
        <v>27719.999999999996</v>
      </c>
      <c r="AF12" s="82">
        <f t="shared" si="12"/>
        <v>38500</v>
      </c>
      <c r="AG12" s="82">
        <f t="shared" si="13"/>
        <v>15399.999999999998</v>
      </c>
      <c r="AH12" s="82">
        <f t="shared" ref="AH12:AH13" si="21">Y12*15400+(Z12+AA12+AB12)*9400</f>
        <v>62316.666666666664</v>
      </c>
      <c r="AI12" s="82">
        <f t="shared" si="15"/>
        <v>5133.333333333333</v>
      </c>
      <c r="AJ12" s="82">
        <f t="shared" si="16"/>
        <v>0</v>
      </c>
      <c r="AK12" s="82">
        <f t="shared" si="17"/>
        <v>6159.9999999999991</v>
      </c>
      <c r="AL12" s="82">
        <f t="shared" si="18"/>
        <v>195450.95</v>
      </c>
      <c r="AM12" s="82">
        <f t="shared" si="2"/>
        <v>703080.95</v>
      </c>
      <c r="AN12" s="82">
        <v>636190</v>
      </c>
      <c r="AO12" s="82"/>
      <c r="AP12" s="82">
        <v>2167.5</v>
      </c>
      <c r="AQ12" s="121">
        <f t="shared" si="19"/>
        <v>638357.5</v>
      </c>
      <c r="AR12" s="1230">
        <v>699996</v>
      </c>
      <c r="AS12" s="1230"/>
      <c r="AT12" s="1230">
        <f t="shared" si="20"/>
        <v>699996</v>
      </c>
      <c r="AU12" s="121">
        <f t="shared" si="3"/>
        <v>-61638.5</v>
      </c>
      <c r="AV12" s="174"/>
      <c r="AW12" s="1232">
        <f t="shared" si="4"/>
        <v>-61638.5</v>
      </c>
      <c r="AX12" s="121"/>
      <c r="AY12" s="121"/>
      <c r="AZ12" s="82"/>
    </row>
    <row r="13" spans="1:52" s="83" customFormat="1" ht="21.95" customHeight="1">
      <c r="A13" s="79" t="s">
        <v>10</v>
      </c>
      <c r="B13" s="89" t="s">
        <v>734</v>
      </c>
      <c r="C13" s="80" t="s">
        <v>972</v>
      </c>
      <c r="D13" s="1234"/>
      <c r="E13" s="166">
        <v>1</v>
      </c>
      <c r="F13" s="166">
        <v>11</v>
      </c>
      <c r="G13" s="166">
        <v>0</v>
      </c>
      <c r="H13" s="166">
        <v>6</v>
      </c>
      <c r="I13" s="82">
        <f t="shared" si="5"/>
        <v>18</v>
      </c>
      <c r="J13" s="167">
        <v>0</v>
      </c>
      <c r="K13" s="167">
        <v>0</v>
      </c>
      <c r="L13" s="167">
        <v>0</v>
      </c>
      <c r="M13" s="167">
        <v>0</v>
      </c>
      <c r="N13" s="82">
        <f t="shared" si="6"/>
        <v>0</v>
      </c>
      <c r="O13" s="82">
        <f t="shared" si="7"/>
        <v>1</v>
      </c>
      <c r="P13" s="82">
        <f t="shared" si="0"/>
        <v>11</v>
      </c>
      <c r="Q13" s="82">
        <f t="shared" si="0"/>
        <v>0</v>
      </c>
      <c r="R13" s="82">
        <f t="shared" si="0"/>
        <v>6</v>
      </c>
      <c r="S13" s="93">
        <f t="shared" si="8"/>
        <v>18</v>
      </c>
      <c r="T13" s="167">
        <v>0.91666666666666663</v>
      </c>
      <c r="U13" s="166">
        <v>10.333333333333334</v>
      </c>
      <c r="V13" s="167">
        <v>0</v>
      </c>
      <c r="W13" s="167">
        <v>6.25</v>
      </c>
      <c r="X13" s="93">
        <f t="shared" si="9"/>
        <v>17.5</v>
      </c>
      <c r="Y13" s="167">
        <v>0.91666666666666663</v>
      </c>
      <c r="Z13" s="166">
        <v>10.333333333333334</v>
      </c>
      <c r="AA13" s="167">
        <v>0</v>
      </c>
      <c r="AB13" s="167">
        <v>6.25</v>
      </c>
      <c r="AC13" s="82">
        <f t="shared" si="10"/>
        <v>17.5</v>
      </c>
      <c r="AD13" s="82">
        <f>(Y13*7300+Z13*5750+AA13*5295+AB13*4400)*12</f>
        <v>1123300</v>
      </c>
      <c r="AE13" s="82">
        <f t="shared" si="11"/>
        <v>75600</v>
      </c>
      <c r="AF13" s="82">
        <f t="shared" si="12"/>
        <v>105000</v>
      </c>
      <c r="AG13" s="82">
        <f t="shared" si="13"/>
        <v>42000</v>
      </c>
      <c r="AH13" s="82">
        <f t="shared" si="21"/>
        <v>170000</v>
      </c>
      <c r="AI13" s="82">
        <f t="shared" si="15"/>
        <v>14000</v>
      </c>
      <c r="AJ13" s="82">
        <f t="shared" si="16"/>
        <v>0</v>
      </c>
      <c r="AK13" s="82">
        <f t="shared" si="17"/>
        <v>16800</v>
      </c>
      <c r="AL13" s="82">
        <f t="shared" si="18"/>
        <v>533048.04</v>
      </c>
      <c r="AM13" s="82">
        <f t="shared" si="2"/>
        <v>2079748.04</v>
      </c>
      <c r="AN13" s="82">
        <v>2053765</v>
      </c>
      <c r="AO13" s="82"/>
      <c r="AP13" s="82">
        <v>14280</v>
      </c>
      <c r="AQ13" s="121">
        <f t="shared" si="19"/>
        <v>2068045</v>
      </c>
      <c r="AR13" s="1231">
        <v>2104993</v>
      </c>
      <c r="AS13" s="1231"/>
      <c r="AT13" s="1230">
        <f t="shared" si="20"/>
        <v>2104993</v>
      </c>
      <c r="AU13" s="82">
        <f t="shared" si="3"/>
        <v>-36948</v>
      </c>
      <c r="AV13" s="174"/>
      <c r="AW13" s="1232">
        <f t="shared" si="4"/>
        <v>-36948</v>
      </c>
      <c r="AX13" s="82"/>
      <c r="AY13" s="121"/>
      <c r="AZ13" s="82"/>
    </row>
    <row r="14" spans="1:52" s="83" customFormat="1" ht="21.95" customHeight="1">
      <c r="A14" s="79"/>
      <c r="B14" s="80" t="s">
        <v>3194</v>
      </c>
      <c r="C14" s="80" t="s">
        <v>649</v>
      </c>
      <c r="D14" s="1234">
        <v>1</v>
      </c>
      <c r="E14" s="166">
        <v>0</v>
      </c>
      <c r="F14" s="166">
        <v>1</v>
      </c>
      <c r="G14" s="166">
        <v>6.0625</v>
      </c>
      <c r="H14" s="166">
        <v>1</v>
      </c>
      <c r="I14" s="82">
        <f t="shared" si="5"/>
        <v>8.0625</v>
      </c>
      <c r="J14" s="167">
        <v>0</v>
      </c>
      <c r="K14" s="167">
        <v>0</v>
      </c>
      <c r="L14" s="167">
        <v>1</v>
      </c>
      <c r="M14" s="167">
        <v>0</v>
      </c>
      <c r="N14" s="82">
        <f t="shared" si="6"/>
        <v>1</v>
      </c>
      <c r="O14" s="82">
        <f t="shared" si="7"/>
        <v>0</v>
      </c>
      <c r="P14" s="82">
        <f t="shared" si="0"/>
        <v>1</v>
      </c>
      <c r="Q14" s="82">
        <f t="shared" si="0"/>
        <v>7.0625</v>
      </c>
      <c r="R14" s="82">
        <f t="shared" si="0"/>
        <v>1</v>
      </c>
      <c r="S14" s="93">
        <f t="shared" si="8"/>
        <v>9.0625</v>
      </c>
      <c r="T14" s="167">
        <v>1.1666666666666667</v>
      </c>
      <c r="U14" s="166">
        <v>0.83333333333333337</v>
      </c>
      <c r="V14" s="167">
        <v>4</v>
      </c>
      <c r="W14" s="167">
        <v>1</v>
      </c>
      <c r="X14" s="93">
        <f t="shared" si="9"/>
        <v>7</v>
      </c>
      <c r="Y14" s="167">
        <v>1.1666666666666667</v>
      </c>
      <c r="Z14" s="166">
        <v>0.83333333333333337</v>
      </c>
      <c r="AA14" s="167">
        <v>4</v>
      </c>
      <c r="AB14" s="167">
        <v>1</v>
      </c>
      <c r="AC14" s="82">
        <f t="shared" si="10"/>
        <v>7</v>
      </c>
      <c r="AD14" s="82">
        <f>(Y14*6800+Z14*5750+AA14*5295+AB14*4400)*12</f>
        <v>459660</v>
      </c>
      <c r="AE14" s="82">
        <f t="shared" si="11"/>
        <v>30240</v>
      </c>
      <c r="AF14" s="82">
        <f t="shared" si="12"/>
        <v>42000</v>
      </c>
      <c r="AG14" s="82">
        <f t="shared" si="13"/>
        <v>16800</v>
      </c>
      <c r="AH14" s="82">
        <f t="shared" si="14"/>
        <v>65800</v>
      </c>
      <c r="AI14" s="82">
        <f t="shared" si="15"/>
        <v>5600</v>
      </c>
      <c r="AJ14" s="82">
        <f t="shared" si="16"/>
        <v>10000</v>
      </c>
      <c r="AK14" s="82">
        <f t="shared" si="17"/>
        <v>6720</v>
      </c>
      <c r="AL14" s="82">
        <f t="shared" si="18"/>
        <v>213219.22</v>
      </c>
      <c r="AM14" s="82">
        <f t="shared" si="2"/>
        <v>850039.22</v>
      </c>
      <c r="AN14" s="82">
        <v>822463</v>
      </c>
      <c r="AO14" s="82"/>
      <c r="AP14" s="82"/>
      <c r="AQ14" s="121">
        <f t="shared" si="19"/>
        <v>822463</v>
      </c>
      <c r="AR14" s="1231">
        <v>767201</v>
      </c>
      <c r="AS14" s="1231"/>
      <c r="AT14" s="1230">
        <f t="shared" si="20"/>
        <v>767201</v>
      </c>
      <c r="AU14" s="82">
        <f t="shared" si="3"/>
        <v>55262</v>
      </c>
      <c r="AV14" s="174"/>
      <c r="AW14" s="1232">
        <f t="shared" si="4"/>
        <v>55262</v>
      </c>
      <c r="AX14" s="82"/>
      <c r="AY14" s="121"/>
      <c r="AZ14" s="82"/>
    </row>
    <row r="15" spans="1:52" s="85" customFormat="1" ht="21.95" customHeight="1">
      <c r="A15" s="1225"/>
      <c r="B15" s="1225" t="s">
        <v>655</v>
      </c>
      <c r="C15" s="1225"/>
      <c r="D15" s="1235">
        <f>SUM(D5:D14)</f>
        <v>9.5</v>
      </c>
      <c r="E15" s="84">
        <f t="shared" ref="E15:AZ15" si="22">SUM(E5:E14)</f>
        <v>34.789915966386559</v>
      </c>
      <c r="F15" s="84">
        <f t="shared" si="22"/>
        <v>56</v>
      </c>
      <c r="G15" s="84">
        <f t="shared" si="22"/>
        <v>82.712500000000006</v>
      </c>
      <c r="H15" s="84">
        <f t="shared" si="22"/>
        <v>40</v>
      </c>
      <c r="I15" s="84">
        <f t="shared" si="22"/>
        <v>213.50241596638656</v>
      </c>
      <c r="J15" s="84">
        <f t="shared" si="22"/>
        <v>6.833333333333333</v>
      </c>
      <c r="K15" s="84">
        <f t="shared" si="22"/>
        <v>0</v>
      </c>
      <c r="L15" s="84">
        <f t="shared" si="22"/>
        <v>7.7</v>
      </c>
      <c r="M15" s="84">
        <f t="shared" si="22"/>
        <v>0.75</v>
      </c>
      <c r="N15" s="84">
        <f t="shared" si="22"/>
        <v>15.283333333333333</v>
      </c>
      <c r="O15" s="84">
        <f t="shared" si="22"/>
        <v>41.623249299719895</v>
      </c>
      <c r="P15" s="84">
        <f t="shared" si="22"/>
        <v>56</v>
      </c>
      <c r="Q15" s="84">
        <f t="shared" si="22"/>
        <v>90.412499999999994</v>
      </c>
      <c r="R15" s="84">
        <f t="shared" si="22"/>
        <v>40.75</v>
      </c>
      <c r="S15" s="1238">
        <f t="shared" si="22"/>
        <v>228.7857492997199</v>
      </c>
      <c r="T15" s="84">
        <f t="shared" si="22"/>
        <v>17.833333333333332</v>
      </c>
      <c r="U15" s="84">
        <f t="shared" si="22"/>
        <v>26.416666666666668</v>
      </c>
      <c r="V15" s="84">
        <f t="shared" si="22"/>
        <v>88.5</v>
      </c>
      <c r="W15" s="84">
        <f t="shared" si="22"/>
        <v>36</v>
      </c>
      <c r="X15" s="1238">
        <f t="shared" si="22"/>
        <v>168.74999999999997</v>
      </c>
      <c r="Y15" s="84">
        <f t="shared" si="22"/>
        <v>17.833333333333332</v>
      </c>
      <c r="Z15" s="84">
        <f t="shared" si="22"/>
        <v>26.416666666666668</v>
      </c>
      <c r="AA15" s="84">
        <f t="shared" si="22"/>
        <v>88.5</v>
      </c>
      <c r="AB15" s="84">
        <f t="shared" si="22"/>
        <v>36</v>
      </c>
      <c r="AC15" s="84">
        <f t="shared" si="22"/>
        <v>168.74999999999997</v>
      </c>
      <c r="AD15" s="84">
        <f t="shared" si="22"/>
        <v>10863540</v>
      </c>
      <c r="AE15" s="84">
        <f t="shared" si="22"/>
        <v>729000</v>
      </c>
      <c r="AF15" s="84">
        <f t="shared" si="22"/>
        <v>1012500</v>
      </c>
      <c r="AG15" s="84">
        <f t="shared" si="22"/>
        <v>405000</v>
      </c>
      <c r="AH15" s="84">
        <f t="shared" si="22"/>
        <v>1619750</v>
      </c>
      <c r="AI15" s="84">
        <f t="shared" si="22"/>
        <v>135000</v>
      </c>
      <c r="AJ15" s="84">
        <f t="shared" si="22"/>
        <v>95000</v>
      </c>
      <c r="AK15" s="84">
        <f t="shared" si="22"/>
        <v>162000</v>
      </c>
      <c r="AL15" s="84">
        <f t="shared" si="22"/>
        <v>5140106.12</v>
      </c>
      <c r="AM15" s="84">
        <f t="shared" si="22"/>
        <v>20161896.119999997</v>
      </c>
      <c r="AN15" s="84">
        <f t="shared" si="22"/>
        <v>19226090</v>
      </c>
      <c r="AO15" s="84">
        <f t="shared" si="22"/>
        <v>58436</v>
      </c>
      <c r="AP15" s="84">
        <f t="shared" si="22"/>
        <v>153642</v>
      </c>
      <c r="AQ15" s="84">
        <f t="shared" si="22"/>
        <v>19438168</v>
      </c>
      <c r="AR15" s="84">
        <f t="shared" si="22"/>
        <v>21465562.75</v>
      </c>
      <c r="AS15" s="84">
        <f t="shared" si="22"/>
        <v>0</v>
      </c>
      <c r="AT15" s="84">
        <f t="shared" si="22"/>
        <v>21465562.75</v>
      </c>
      <c r="AU15" s="84">
        <f t="shared" si="22"/>
        <v>-2027394.75</v>
      </c>
      <c r="AV15" s="84">
        <f t="shared" si="22"/>
        <v>0</v>
      </c>
      <c r="AW15" s="84">
        <f t="shared" si="22"/>
        <v>-2027394.75</v>
      </c>
      <c r="AX15" s="84">
        <f t="shared" si="22"/>
        <v>0</v>
      </c>
      <c r="AY15" s="84">
        <f t="shared" si="22"/>
        <v>0</v>
      </c>
      <c r="AZ15" s="84">
        <f t="shared" si="22"/>
        <v>0</v>
      </c>
    </row>
    <row r="16" spans="1:52" ht="21.95" customHeight="1">
      <c r="A16" s="79" t="s">
        <v>8</v>
      </c>
      <c r="B16" s="80" t="s">
        <v>656</v>
      </c>
      <c r="C16" s="80" t="s">
        <v>649</v>
      </c>
      <c r="D16" s="1234">
        <v>2</v>
      </c>
      <c r="E16" s="166">
        <v>-0.17094017094017033</v>
      </c>
      <c r="F16" s="166">
        <v>3</v>
      </c>
      <c r="G16" s="166">
        <v>22.824999999999999</v>
      </c>
      <c r="H16" s="166">
        <v>3</v>
      </c>
      <c r="I16" s="82">
        <f t="shared" si="5"/>
        <v>28.654059829059829</v>
      </c>
      <c r="J16" s="167">
        <v>0</v>
      </c>
      <c r="K16" s="167">
        <v>2</v>
      </c>
      <c r="L16" s="167">
        <v>4</v>
      </c>
      <c r="M16" s="167">
        <v>0</v>
      </c>
      <c r="N16" s="82">
        <f t="shared" ref="N16:N70" si="23">SUM(J16:M16)</f>
        <v>6</v>
      </c>
      <c r="O16" s="82">
        <f>E16+J16</f>
        <v>-0.17094017094017033</v>
      </c>
      <c r="P16" s="82">
        <f t="shared" ref="P16:R23" si="24">F16+K16</f>
        <v>5</v>
      </c>
      <c r="Q16" s="82">
        <f t="shared" si="24"/>
        <v>26.824999999999999</v>
      </c>
      <c r="R16" s="82">
        <f t="shared" si="24"/>
        <v>3</v>
      </c>
      <c r="S16" s="93">
        <f t="shared" ref="S16:S70" si="25">SUM(O16:R16)</f>
        <v>34.654059829059833</v>
      </c>
      <c r="T16" s="81">
        <v>2</v>
      </c>
      <c r="U16" s="81">
        <v>4.5833333333333339</v>
      </c>
      <c r="V16" s="81">
        <v>26.333333333333332</v>
      </c>
      <c r="W16" s="81">
        <v>1.75</v>
      </c>
      <c r="X16" s="93">
        <f t="shared" ref="X16:X70" si="26">SUM(T16:W16)</f>
        <v>34.666666666666664</v>
      </c>
      <c r="Y16" s="81">
        <v>-0.17094017094017033</v>
      </c>
      <c r="Z16" s="81">
        <v>5</v>
      </c>
      <c r="AA16" s="81">
        <v>26.824999999999999</v>
      </c>
      <c r="AB16" s="81">
        <v>3</v>
      </c>
      <c r="AC16" s="82">
        <f t="shared" ref="AC16:AC70" si="27">SUM(Y16:AB16)</f>
        <v>34.654059829059833</v>
      </c>
      <c r="AD16" s="82">
        <f>(Y16*6800+Z16*5750+AA16*5295+AB16*4400)*12</f>
        <v>2193911.782051282</v>
      </c>
      <c r="AE16" s="82">
        <f t="shared" si="11"/>
        <v>149705.53846153847</v>
      </c>
      <c r="AF16" s="82">
        <f t="shared" si="12"/>
        <v>207924.358974359</v>
      </c>
      <c r="AG16" s="82">
        <f t="shared" si="13"/>
        <v>83169.743589743593</v>
      </c>
      <c r="AH16" s="82">
        <f t="shared" si="14"/>
        <v>325748.16239316243</v>
      </c>
      <c r="AI16" s="82">
        <f t="shared" si="15"/>
        <v>27723.247863247867</v>
      </c>
      <c r="AJ16" s="82">
        <f t="shared" si="16"/>
        <v>20000</v>
      </c>
      <c r="AK16" s="82">
        <f t="shared" si="17"/>
        <v>33267.897435897437</v>
      </c>
      <c r="AL16" s="82">
        <f t="shared" si="18"/>
        <v>1055558.78</v>
      </c>
      <c r="AM16" s="82">
        <f t="shared" si="2"/>
        <v>4097009.5107692312</v>
      </c>
      <c r="AN16" s="82">
        <v>4047786.73</v>
      </c>
      <c r="AO16" s="82">
        <v>23780</v>
      </c>
      <c r="AP16" s="82"/>
      <c r="AQ16" s="121">
        <f t="shared" si="19"/>
        <v>4071566.73</v>
      </c>
      <c r="AR16" s="174">
        <v>4568308</v>
      </c>
      <c r="AS16" s="174"/>
      <c r="AT16" s="1230">
        <f t="shared" si="20"/>
        <v>4568308</v>
      </c>
      <c r="AU16" s="121">
        <f>AQ16-AR16</f>
        <v>-496741.27</v>
      </c>
      <c r="AV16" s="174"/>
      <c r="AW16" s="1232">
        <f t="shared" si="4"/>
        <v>-496741.27</v>
      </c>
      <c r="AX16" s="121"/>
      <c r="AY16" s="121"/>
      <c r="AZ16" s="82"/>
    </row>
    <row r="17" spans="1:52" ht="21.95" customHeight="1">
      <c r="A17" s="79" t="s">
        <v>8</v>
      </c>
      <c r="B17" s="80" t="s">
        <v>657</v>
      </c>
      <c r="C17" s="80" t="s">
        <v>649</v>
      </c>
      <c r="D17" s="1234">
        <v>1</v>
      </c>
      <c r="E17" s="166">
        <v>0</v>
      </c>
      <c r="F17" s="166">
        <v>2</v>
      </c>
      <c r="G17" s="166">
        <v>14.824999999999999</v>
      </c>
      <c r="H17" s="166">
        <v>2</v>
      </c>
      <c r="I17" s="82">
        <f t="shared" si="5"/>
        <v>18.824999999999999</v>
      </c>
      <c r="J17" s="167">
        <v>0</v>
      </c>
      <c r="K17" s="167">
        <v>0</v>
      </c>
      <c r="L17" s="167">
        <v>1</v>
      </c>
      <c r="M17" s="167">
        <v>1</v>
      </c>
      <c r="N17" s="82">
        <f t="shared" si="23"/>
        <v>2</v>
      </c>
      <c r="O17" s="82">
        <f t="shared" ref="O17:O23" si="28">E17+J17</f>
        <v>0</v>
      </c>
      <c r="P17" s="82">
        <f t="shared" si="24"/>
        <v>2</v>
      </c>
      <c r="Q17" s="82">
        <f t="shared" si="24"/>
        <v>15.824999999999999</v>
      </c>
      <c r="R17" s="82">
        <f t="shared" si="24"/>
        <v>3</v>
      </c>
      <c r="S17" s="93">
        <f t="shared" si="25"/>
        <v>20.824999999999999</v>
      </c>
      <c r="T17" s="81">
        <v>2</v>
      </c>
      <c r="U17" s="81">
        <v>2</v>
      </c>
      <c r="V17" s="81">
        <v>16</v>
      </c>
      <c r="W17" s="81">
        <v>1</v>
      </c>
      <c r="X17" s="93">
        <f t="shared" si="26"/>
        <v>21</v>
      </c>
      <c r="Y17" s="81">
        <v>0</v>
      </c>
      <c r="Z17" s="81">
        <v>2</v>
      </c>
      <c r="AA17" s="81">
        <v>15.824999999999999</v>
      </c>
      <c r="AB17" s="81">
        <v>3</v>
      </c>
      <c r="AC17" s="82">
        <f t="shared" si="27"/>
        <v>20.824999999999999</v>
      </c>
      <c r="AD17" s="82">
        <f>(Y17*6800+Z17*5750+AA17*5295+AB17*4400)*12</f>
        <v>1301920.5</v>
      </c>
      <c r="AE17" s="82">
        <f t="shared" si="11"/>
        <v>89964</v>
      </c>
      <c r="AF17" s="82">
        <f t="shared" si="12"/>
        <v>124950</v>
      </c>
      <c r="AG17" s="82">
        <f t="shared" si="13"/>
        <v>49980</v>
      </c>
      <c r="AH17" s="82">
        <f t="shared" si="14"/>
        <v>195755</v>
      </c>
      <c r="AI17" s="82">
        <f t="shared" si="15"/>
        <v>16660</v>
      </c>
      <c r="AJ17" s="82">
        <f t="shared" si="16"/>
        <v>10000</v>
      </c>
      <c r="AK17" s="82">
        <f t="shared" si="17"/>
        <v>19992</v>
      </c>
      <c r="AL17" s="82">
        <f t="shared" si="18"/>
        <v>634327.17000000004</v>
      </c>
      <c r="AM17" s="82">
        <f t="shared" si="2"/>
        <v>2443548.67</v>
      </c>
      <c r="AN17" s="82">
        <v>2439669.4499999997</v>
      </c>
      <c r="AO17" s="82">
        <v>45483.32</v>
      </c>
      <c r="AP17" s="82"/>
      <c r="AQ17" s="121">
        <f t="shared" si="19"/>
        <v>2485152.7699999996</v>
      </c>
      <c r="AR17" s="174">
        <v>2799978</v>
      </c>
      <c r="AS17" s="174"/>
      <c r="AT17" s="1230">
        <f t="shared" si="20"/>
        <v>2799978</v>
      </c>
      <c r="AU17" s="121">
        <f t="shared" ref="AU17:AU23" si="29">AQ17-AR17</f>
        <v>-314825.23000000045</v>
      </c>
      <c r="AV17" s="174"/>
      <c r="AW17" s="1232">
        <f t="shared" si="4"/>
        <v>-314825.23000000045</v>
      </c>
      <c r="AX17" s="121"/>
      <c r="AY17" s="121"/>
      <c r="AZ17" s="82"/>
    </row>
    <row r="18" spans="1:52" s="83" customFormat="1" ht="21.95" customHeight="1">
      <c r="A18" s="79" t="s">
        <v>8</v>
      </c>
      <c r="B18" s="80" t="s">
        <v>658</v>
      </c>
      <c r="C18" s="80" t="s">
        <v>649</v>
      </c>
      <c r="D18" s="1234">
        <v>2</v>
      </c>
      <c r="E18" s="166">
        <v>0</v>
      </c>
      <c r="F18" s="166">
        <v>3</v>
      </c>
      <c r="G18" s="166">
        <v>33.200000000000003</v>
      </c>
      <c r="H18" s="166">
        <v>3</v>
      </c>
      <c r="I18" s="82">
        <f t="shared" si="5"/>
        <v>39.200000000000003</v>
      </c>
      <c r="J18" s="167">
        <v>4</v>
      </c>
      <c r="K18" s="167">
        <v>0</v>
      </c>
      <c r="L18" s="167">
        <v>2</v>
      </c>
      <c r="M18" s="167">
        <v>1</v>
      </c>
      <c r="N18" s="82">
        <f t="shared" si="23"/>
        <v>7</v>
      </c>
      <c r="O18" s="82">
        <f t="shared" si="28"/>
        <v>4</v>
      </c>
      <c r="P18" s="82">
        <f t="shared" si="24"/>
        <v>3</v>
      </c>
      <c r="Q18" s="82">
        <f t="shared" si="24"/>
        <v>35.200000000000003</v>
      </c>
      <c r="R18" s="82">
        <f t="shared" si="24"/>
        <v>4</v>
      </c>
      <c r="S18" s="93">
        <f t="shared" si="25"/>
        <v>46.2</v>
      </c>
      <c r="T18" s="81">
        <v>4.916666666666667</v>
      </c>
      <c r="U18" s="81">
        <v>4</v>
      </c>
      <c r="V18" s="81">
        <v>35.083333333333336</v>
      </c>
      <c r="W18" s="81">
        <v>2</v>
      </c>
      <c r="X18" s="93">
        <f t="shared" si="26"/>
        <v>46</v>
      </c>
      <c r="Y18" s="81">
        <v>4.916666666666667</v>
      </c>
      <c r="Z18" s="81">
        <v>4</v>
      </c>
      <c r="AA18" s="81">
        <v>35.083333333333336</v>
      </c>
      <c r="AB18" s="81">
        <v>2</v>
      </c>
      <c r="AC18" s="82">
        <f t="shared" si="27"/>
        <v>46</v>
      </c>
      <c r="AD18" s="82">
        <f>(Y18*6800+Z18*5750+AA18*5295+AB18*4400)*12</f>
        <v>3011995</v>
      </c>
      <c r="AE18" s="82">
        <f t="shared" si="11"/>
        <v>198720</v>
      </c>
      <c r="AF18" s="82">
        <f t="shared" si="12"/>
        <v>276000</v>
      </c>
      <c r="AG18" s="82">
        <f t="shared" si="13"/>
        <v>110400</v>
      </c>
      <c r="AH18" s="82">
        <f t="shared" si="14"/>
        <v>432400</v>
      </c>
      <c r="AI18" s="82">
        <f t="shared" si="15"/>
        <v>36800</v>
      </c>
      <c r="AJ18" s="82">
        <f t="shared" si="16"/>
        <v>20000</v>
      </c>
      <c r="AK18" s="82">
        <f t="shared" si="17"/>
        <v>44160</v>
      </c>
      <c r="AL18" s="82">
        <f t="shared" si="18"/>
        <v>1401154.85</v>
      </c>
      <c r="AM18" s="82">
        <f t="shared" si="2"/>
        <v>5531629.8499999996</v>
      </c>
      <c r="AN18" s="82">
        <v>5278869.6500000004</v>
      </c>
      <c r="AO18" s="82">
        <v>79018.55</v>
      </c>
      <c r="AP18" s="82"/>
      <c r="AQ18" s="121">
        <f t="shared" si="19"/>
        <v>5357888.2</v>
      </c>
      <c r="AR18" s="1232">
        <v>6204124</v>
      </c>
      <c r="AS18" s="1232"/>
      <c r="AT18" s="1230">
        <f t="shared" si="20"/>
        <v>6204124</v>
      </c>
      <c r="AU18" s="121">
        <f t="shared" si="29"/>
        <v>-846235.79999999981</v>
      </c>
      <c r="AV18" s="174"/>
      <c r="AW18" s="1232">
        <f t="shared" si="4"/>
        <v>-846235.79999999981</v>
      </c>
      <c r="AX18" s="121"/>
      <c r="AY18" s="121"/>
      <c r="AZ18" s="82"/>
    </row>
    <row r="19" spans="1:52" s="83" customFormat="1" ht="21.95" customHeight="1">
      <c r="A19" s="79" t="s">
        <v>8</v>
      </c>
      <c r="B19" s="80" t="s">
        <v>659</v>
      </c>
      <c r="C19" s="80" t="s">
        <v>649</v>
      </c>
      <c r="D19" s="1234">
        <v>2</v>
      </c>
      <c r="E19" s="166">
        <v>0</v>
      </c>
      <c r="F19" s="166">
        <v>2</v>
      </c>
      <c r="G19" s="166">
        <v>20.125</v>
      </c>
      <c r="H19" s="166">
        <v>2</v>
      </c>
      <c r="I19" s="82">
        <f t="shared" si="5"/>
        <v>24.125</v>
      </c>
      <c r="J19" s="167">
        <v>1.5</v>
      </c>
      <c r="K19" s="167">
        <v>0</v>
      </c>
      <c r="L19" s="167">
        <v>1.2</v>
      </c>
      <c r="M19" s="167">
        <v>0.33333333333333331</v>
      </c>
      <c r="N19" s="82">
        <f t="shared" si="23"/>
        <v>3.0333333333333337</v>
      </c>
      <c r="O19" s="82">
        <f t="shared" si="28"/>
        <v>1.5</v>
      </c>
      <c r="P19" s="82">
        <f t="shared" si="24"/>
        <v>2</v>
      </c>
      <c r="Q19" s="82">
        <f t="shared" si="24"/>
        <v>21.324999999999999</v>
      </c>
      <c r="R19" s="82">
        <f t="shared" si="24"/>
        <v>2.3333333333333335</v>
      </c>
      <c r="S19" s="93">
        <f t="shared" si="25"/>
        <v>27.158333333333331</v>
      </c>
      <c r="T19" s="81">
        <v>1.5</v>
      </c>
      <c r="U19" s="81">
        <v>1.9166666666666667</v>
      </c>
      <c r="V19" s="81">
        <v>21.166666666666668</v>
      </c>
      <c r="W19" s="81">
        <v>2</v>
      </c>
      <c r="X19" s="93">
        <f t="shared" si="26"/>
        <v>26.583333333333336</v>
      </c>
      <c r="Y19" s="81">
        <v>1.5</v>
      </c>
      <c r="Z19" s="81">
        <v>1.9166666666666667</v>
      </c>
      <c r="AA19" s="81">
        <v>21.166666666666668</v>
      </c>
      <c r="AB19" s="81">
        <v>2</v>
      </c>
      <c r="AC19" s="82">
        <f t="shared" si="27"/>
        <v>26.583333333333336</v>
      </c>
      <c r="AD19" s="82">
        <f>(Y19*6800+Z19*5750+AA19*5295+AB19*4400)*12</f>
        <v>1705180</v>
      </c>
      <c r="AE19" s="82">
        <f t="shared" si="11"/>
        <v>114840.00000000001</v>
      </c>
      <c r="AF19" s="82">
        <f t="shared" si="12"/>
        <v>159500</v>
      </c>
      <c r="AG19" s="82">
        <f t="shared" si="13"/>
        <v>63800.000000000007</v>
      </c>
      <c r="AH19" s="82">
        <f t="shared" si="14"/>
        <v>249883.33333333334</v>
      </c>
      <c r="AI19" s="82">
        <f t="shared" si="15"/>
        <v>21266.666666666668</v>
      </c>
      <c r="AJ19" s="82">
        <f t="shared" si="16"/>
        <v>20000</v>
      </c>
      <c r="AK19" s="82">
        <f t="shared" si="17"/>
        <v>25520.000000000004</v>
      </c>
      <c r="AL19" s="82">
        <f t="shared" si="18"/>
        <v>809725.36</v>
      </c>
      <c r="AM19" s="82">
        <f t="shared" si="2"/>
        <v>3169715.36</v>
      </c>
      <c r="AN19" s="82">
        <v>3051499.44</v>
      </c>
      <c r="AO19" s="82"/>
      <c r="AP19" s="82"/>
      <c r="AQ19" s="121">
        <f t="shared" si="19"/>
        <v>3051499.44</v>
      </c>
      <c r="AR19" s="1232">
        <v>3527180</v>
      </c>
      <c r="AS19" s="1232"/>
      <c r="AT19" s="1230">
        <f t="shared" si="20"/>
        <v>3527180</v>
      </c>
      <c r="AU19" s="121">
        <f t="shared" si="29"/>
        <v>-475680.56000000006</v>
      </c>
      <c r="AV19" s="174"/>
      <c r="AW19" s="1232">
        <f t="shared" si="4"/>
        <v>-475680.56000000006</v>
      </c>
      <c r="AX19" s="121"/>
      <c r="AY19" s="121"/>
      <c r="AZ19" s="82"/>
    </row>
    <row r="20" spans="1:52" ht="21.95" customHeight="1">
      <c r="A20" s="79" t="s">
        <v>8</v>
      </c>
      <c r="B20" s="80" t="s">
        <v>224</v>
      </c>
      <c r="C20" s="80" t="s">
        <v>972</v>
      </c>
      <c r="D20" s="1234"/>
      <c r="E20" s="166">
        <v>40</v>
      </c>
      <c r="F20" s="166">
        <v>12</v>
      </c>
      <c r="G20" s="166">
        <v>0</v>
      </c>
      <c r="H20" s="166">
        <v>10</v>
      </c>
      <c r="I20" s="82">
        <f t="shared" si="5"/>
        <v>62</v>
      </c>
      <c r="J20" s="167">
        <v>2.9166666666666665</v>
      </c>
      <c r="K20" s="167">
        <v>0.58333333333333337</v>
      </c>
      <c r="L20" s="167">
        <v>0</v>
      </c>
      <c r="M20" s="167">
        <v>0.41666666666666669</v>
      </c>
      <c r="N20" s="82">
        <f t="shared" si="23"/>
        <v>3.9166666666666665</v>
      </c>
      <c r="O20" s="82">
        <f t="shared" si="28"/>
        <v>42.916666666666664</v>
      </c>
      <c r="P20" s="82">
        <f t="shared" si="24"/>
        <v>12.583333333333334</v>
      </c>
      <c r="Q20" s="82">
        <f t="shared" si="24"/>
        <v>0</v>
      </c>
      <c r="R20" s="82">
        <f t="shared" si="24"/>
        <v>10.416666666666666</v>
      </c>
      <c r="S20" s="93">
        <f t="shared" si="25"/>
        <v>65.916666666666671</v>
      </c>
      <c r="T20" s="81">
        <v>6.833333333333333</v>
      </c>
      <c r="U20" s="81">
        <v>11.333333333333332</v>
      </c>
      <c r="V20" s="81">
        <v>0</v>
      </c>
      <c r="W20" s="81">
        <v>9.3333333333333339</v>
      </c>
      <c r="X20" s="93">
        <f t="shared" si="26"/>
        <v>27.5</v>
      </c>
      <c r="Y20" s="81">
        <v>6.833333333333333</v>
      </c>
      <c r="Z20" s="81">
        <v>11.333333333333332</v>
      </c>
      <c r="AA20" s="81">
        <v>0</v>
      </c>
      <c r="AB20" s="81">
        <v>9.3333333333333339</v>
      </c>
      <c r="AC20" s="82">
        <f t="shared" si="27"/>
        <v>27.5</v>
      </c>
      <c r="AD20" s="82">
        <f>(Y20*7300+Z20*5750+AA20*5295+AB20*4400)*12</f>
        <v>1873400</v>
      </c>
      <c r="AE20" s="82">
        <f t="shared" si="11"/>
        <v>118800</v>
      </c>
      <c r="AF20" s="82">
        <f t="shared" si="12"/>
        <v>165000</v>
      </c>
      <c r="AG20" s="82">
        <f t="shared" si="13"/>
        <v>66000</v>
      </c>
      <c r="AH20" s="82">
        <f t="shared" ref="AH20:AH22" si="30">Y20*15400+(Z20+AA20+AB20)*9400</f>
        <v>299500</v>
      </c>
      <c r="AI20" s="82">
        <f t="shared" si="15"/>
        <v>22000</v>
      </c>
      <c r="AJ20" s="82">
        <f t="shared" si="16"/>
        <v>0</v>
      </c>
      <c r="AK20" s="82">
        <f t="shared" si="17"/>
        <v>26400</v>
      </c>
      <c r="AL20" s="82">
        <f t="shared" si="18"/>
        <v>837646.92</v>
      </c>
      <c r="AM20" s="82">
        <f t="shared" si="2"/>
        <v>3408746.92</v>
      </c>
      <c r="AN20" s="82">
        <v>3301940.1599999997</v>
      </c>
      <c r="AO20" s="82"/>
      <c r="AP20" s="82">
        <v>76825.75</v>
      </c>
      <c r="AQ20" s="121">
        <f t="shared" si="19"/>
        <v>3378765.9099999997</v>
      </c>
      <c r="AR20" s="174">
        <v>4091421.5</v>
      </c>
      <c r="AS20" s="174"/>
      <c r="AT20" s="1230">
        <f t="shared" si="20"/>
        <v>4091421.5</v>
      </c>
      <c r="AU20" s="121">
        <f t="shared" si="29"/>
        <v>-712655.59000000032</v>
      </c>
      <c r="AV20" s="174"/>
      <c r="AW20" s="1232">
        <f t="shared" si="4"/>
        <v>-712655.59000000032</v>
      </c>
      <c r="AX20" s="121"/>
      <c r="AY20" s="121"/>
      <c r="AZ20" s="82"/>
    </row>
    <row r="21" spans="1:52" ht="21.95" customHeight="1">
      <c r="A21" s="79" t="s">
        <v>8</v>
      </c>
      <c r="B21" s="80" t="s">
        <v>225</v>
      </c>
      <c r="C21" s="80" t="s">
        <v>972</v>
      </c>
      <c r="D21" s="1234"/>
      <c r="E21" s="166">
        <v>68</v>
      </c>
      <c r="F21" s="166">
        <v>12</v>
      </c>
      <c r="G21" s="166">
        <v>0</v>
      </c>
      <c r="H21" s="166">
        <v>10</v>
      </c>
      <c r="I21" s="82">
        <f t="shared" si="5"/>
        <v>90</v>
      </c>
      <c r="J21" s="167">
        <v>0</v>
      </c>
      <c r="K21" s="167">
        <v>0</v>
      </c>
      <c r="L21" s="167">
        <v>0</v>
      </c>
      <c r="M21" s="167">
        <v>0</v>
      </c>
      <c r="N21" s="82">
        <f t="shared" si="23"/>
        <v>0</v>
      </c>
      <c r="O21" s="82">
        <f t="shared" si="28"/>
        <v>68</v>
      </c>
      <c r="P21" s="82">
        <f t="shared" si="24"/>
        <v>12</v>
      </c>
      <c r="Q21" s="82">
        <f t="shared" si="24"/>
        <v>0</v>
      </c>
      <c r="R21" s="82">
        <f t="shared" si="24"/>
        <v>10</v>
      </c>
      <c r="S21" s="93">
        <f t="shared" si="25"/>
        <v>90</v>
      </c>
      <c r="T21" s="81">
        <v>12.833333333333334</v>
      </c>
      <c r="U21" s="81">
        <v>3.583333333333333</v>
      </c>
      <c r="V21" s="81">
        <v>0</v>
      </c>
      <c r="W21" s="81">
        <v>7</v>
      </c>
      <c r="X21" s="93">
        <f t="shared" si="26"/>
        <v>23.416666666666668</v>
      </c>
      <c r="Y21" s="81">
        <v>12.833333333333334</v>
      </c>
      <c r="Z21" s="81">
        <v>3.583333333333333</v>
      </c>
      <c r="AA21" s="81">
        <v>0</v>
      </c>
      <c r="AB21" s="81">
        <v>7</v>
      </c>
      <c r="AC21" s="82">
        <f t="shared" si="27"/>
        <v>23.416666666666668</v>
      </c>
      <c r="AD21" s="82">
        <f>(Y21*7300+Z21*5750+AA21*5295+AB21*4400)*12</f>
        <v>1741050</v>
      </c>
      <c r="AE21" s="82">
        <f t="shared" si="11"/>
        <v>101160</v>
      </c>
      <c r="AF21" s="82">
        <f t="shared" si="12"/>
        <v>140500</v>
      </c>
      <c r="AG21" s="82">
        <f t="shared" si="13"/>
        <v>56200</v>
      </c>
      <c r="AH21" s="82">
        <f t="shared" si="30"/>
        <v>297116.66666666669</v>
      </c>
      <c r="AI21" s="82">
        <f t="shared" si="15"/>
        <v>18733.333333333336</v>
      </c>
      <c r="AJ21" s="82">
        <f t="shared" si="16"/>
        <v>0</v>
      </c>
      <c r="AK21" s="82">
        <f t="shared" si="17"/>
        <v>22480</v>
      </c>
      <c r="AL21" s="82">
        <f t="shared" si="18"/>
        <v>713269.04</v>
      </c>
      <c r="AM21" s="82">
        <f t="shared" si="2"/>
        <v>3090509.04</v>
      </c>
      <c r="AN21" s="82">
        <v>2923721.41</v>
      </c>
      <c r="AO21" s="82"/>
      <c r="AP21" s="82">
        <v>326423</v>
      </c>
      <c r="AQ21" s="121">
        <f t="shared" si="19"/>
        <v>3250144.41</v>
      </c>
      <c r="AR21" s="174">
        <v>2357453.5</v>
      </c>
      <c r="AS21" s="174"/>
      <c r="AT21" s="1230">
        <f t="shared" si="20"/>
        <v>2357453.5</v>
      </c>
      <c r="AU21" s="121">
        <f t="shared" si="29"/>
        <v>892690.91000000015</v>
      </c>
      <c r="AV21" s="174"/>
      <c r="AW21" s="1232">
        <f t="shared" si="4"/>
        <v>892690.91000000015</v>
      </c>
      <c r="AX21" s="121"/>
      <c r="AY21" s="121"/>
      <c r="AZ21" s="82"/>
    </row>
    <row r="22" spans="1:52" s="83" customFormat="1" ht="21.95" customHeight="1">
      <c r="A22" s="79" t="s">
        <v>8</v>
      </c>
      <c r="B22" s="80" t="s">
        <v>660</v>
      </c>
      <c r="C22" s="80" t="s">
        <v>972</v>
      </c>
      <c r="D22" s="1234"/>
      <c r="E22" s="166">
        <v>0</v>
      </c>
      <c r="F22" s="166">
        <v>10</v>
      </c>
      <c r="G22" s="166">
        <v>0</v>
      </c>
      <c r="H22" s="166">
        <v>9</v>
      </c>
      <c r="I22" s="82">
        <f t="shared" si="5"/>
        <v>19</v>
      </c>
      <c r="J22" s="167">
        <v>2.1666666666666665</v>
      </c>
      <c r="K22" s="167">
        <v>0</v>
      </c>
      <c r="L22" s="167">
        <v>0</v>
      </c>
      <c r="M22" s="167">
        <v>0</v>
      </c>
      <c r="N22" s="82">
        <f t="shared" si="23"/>
        <v>2.1666666666666665</v>
      </c>
      <c r="O22" s="82">
        <f t="shared" si="28"/>
        <v>2.1666666666666665</v>
      </c>
      <c r="P22" s="82">
        <f t="shared" si="24"/>
        <v>10</v>
      </c>
      <c r="Q22" s="82">
        <f t="shared" si="24"/>
        <v>0</v>
      </c>
      <c r="R22" s="82">
        <f t="shared" si="24"/>
        <v>9</v>
      </c>
      <c r="S22" s="93">
        <f t="shared" si="25"/>
        <v>21.166666666666664</v>
      </c>
      <c r="T22" s="81">
        <v>2.6666666666666665</v>
      </c>
      <c r="U22" s="81">
        <v>3.5</v>
      </c>
      <c r="V22" s="81">
        <v>0</v>
      </c>
      <c r="W22" s="81">
        <v>8</v>
      </c>
      <c r="X22" s="93">
        <f t="shared" si="26"/>
        <v>14.166666666666666</v>
      </c>
      <c r="Y22" s="81">
        <v>2.6666666666666665</v>
      </c>
      <c r="Z22" s="81">
        <v>3.5</v>
      </c>
      <c r="AA22" s="81">
        <v>0</v>
      </c>
      <c r="AB22" s="81">
        <v>8</v>
      </c>
      <c r="AC22" s="82">
        <f t="shared" si="27"/>
        <v>14.166666666666666</v>
      </c>
      <c r="AD22" s="82">
        <f>(Y22*7300+Z22*5750+AA22*5295+AB22*4400)*12</f>
        <v>897499.99999999988</v>
      </c>
      <c r="AE22" s="82">
        <f t="shared" si="11"/>
        <v>61200</v>
      </c>
      <c r="AF22" s="82">
        <f t="shared" si="12"/>
        <v>85000</v>
      </c>
      <c r="AG22" s="82">
        <f t="shared" si="13"/>
        <v>34000</v>
      </c>
      <c r="AH22" s="82">
        <f t="shared" si="30"/>
        <v>149166.66666666666</v>
      </c>
      <c r="AI22" s="82">
        <f t="shared" si="15"/>
        <v>11333.333333333332</v>
      </c>
      <c r="AJ22" s="82">
        <f t="shared" si="16"/>
        <v>0</v>
      </c>
      <c r="AK22" s="82">
        <f t="shared" si="17"/>
        <v>13600</v>
      </c>
      <c r="AL22" s="82">
        <f t="shared" si="18"/>
        <v>431515.08</v>
      </c>
      <c r="AM22" s="82">
        <f t="shared" si="2"/>
        <v>1683315.08</v>
      </c>
      <c r="AN22" s="82">
        <v>1643518.66</v>
      </c>
      <c r="AO22" s="82"/>
      <c r="AP22" s="82">
        <v>13005</v>
      </c>
      <c r="AQ22" s="121">
        <f t="shared" si="19"/>
        <v>1656523.66</v>
      </c>
      <c r="AR22" s="1232">
        <v>1687896</v>
      </c>
      <c r="AS22" s="1232"/>
      <c r="AT22" s="1230">
        <f t="shared" si="20"/>
        <v>1687896</v>
      </c>
      <c r="AU22" s="121">
        <f t="shared" si="29"/>
        <v>-31372.340000000084</v>
      </c>
      <c r="AV22" s="174"/>
      <c r="AW22" s="1232">
        <f t="shared" si="4"/>
        <v>-31372.340000000084</v>
      </c>
      <c r="AX22" s="121"/>
      <c r="AY22" s="121"/>
      <c r="AZ22" s="82"/>
    </row>
    <row r="23" spans="1:52" s="83" customFormat="1" ht="21.95" customHeight="1">
      <c r="A23" s="79"/>
      <c r="B23" s="80" t="s">
        <v>661</v>
      </c>
      <c r="C23" s="80" t="s">
        <v>649</v>
      </c>
      <c r="D23" s="1234">
        <v>1.5</v>
      </c>
      <c r="E23" s="166">
        <v>8.4957264957264975</v>
      </c>
      <c r="F23" s="166">
        <v>1</v>
      </c>
      <c r="G23" s="166">
        <v>17.875</v>
      </c>
      <c r="H23" s="166">
        <v>1</v>
      </c>
      <c r="I23" s="82">
        <f t="shared" si="5"/>
        <v>28.370726495726498</v>
      </c>
      <c r="J23" s="167">
        <v>0</v>
      </c>
      <c r="K23" s="167">
        <v>0</v>
      </c>
      <c r="L23" s="167">
        <v>0</v>
      </c>
      <c r="M23" s="167">
        <v>0</v>
      </c>
      <c r="N23" s="82">
        <f t="shared" si="23"/>
        <v>0</v>
      </c>
      <c r="O23" s="82">
        <f t="shared" si="28"/>
        <v>8.4957264957264975</v>
      </c>
      <c r="P23" s="82">
        <f t="shared" si="24"/>
        <v>1</v>
      </c>
      <c r="Q23" s="82">
        <f t="shared" si="24"/>
        <v>17.875</v>
      </c>
      <c r="R23" s="82">
        <f t="shared" si="24"/>
        <v>1</v>
      </c>
      <c r="S23" s="93">
        <f t="shared" si="25"/>
        <v>28.370726495726498</v>
      </c>
      <c r="T23" s="81">
        <v>3.1666666666666665</v>
      </c>
      <c r="U23" s="81">
        <v>2.3333333333333335</v>
      </c>
      <c r="V23" s="81">
        <v>12.5</v>
      </c>
      <c r="W23" s="81">
        <v>1.25</v>
      </c>
      <c r="X23" s="93">
        <f t="shared" si="26"/>
        <v>19.25</v>
      </c>
      <c r="Y23" s="81">
        <v>3.1666666666666665</v>
      </c>
      <c r="Z23" s="81">
        <v>2.3333333333333335</v>
      </c>
      <c r="AA23" s="81">
        <v>12.5</v>
      </c>
      <c r="AB23" s="81">
        <v>1.25</v>
      </c>
      <c r="AC23" s="82">
        <f t="shared" si="27"/>
        <v>19.25</v>
      </c>
      <c r="AD23" s="82">
        <f>(Y23*6800+Z23*5750+AA23*5295+AB23*4400)*12</f>
        <v>1279650</v>
      </c>
      <c r="AE23" s="82">
        <f t="shared" si="11"/>
        <v>83160</v>
      </c>
      <c r="AF23" s="82">
        <f t="shared" si="12"/>
        <v>115500</v>
      </c>
      <c r="AG23" s="82">
        <f t="shared" si="13"/>
        <v>46200</v>
      </c>
      <c r="AH23" s="82">
        <f t="shared" ref="AH23" si="31">AC23*9400</f>
        <v>180950</v>
      </c>
      <c r="AI23" s="82">
        <f t="shared" si="15"/>
        <v>15400</v>
      </c>
      <c r="AJ23" s="82">
        <f t="shared" si="16"/>
        <v>15000</v>
      </c>
      <c r="AK23" s="82">
        <f t="shared" si="17"/>
        <v>18480</v>
      </c>
      <c r="AL23" s="82">
        <f t="shared" si="18"/>
        <v>586352.84</v>
      </c>
      <c r="AM23" s="82">
        <f t="shared" si="2"/>
        <v>2340692.84</v>
      </c>
      <c r="AN23" s="82">
        <v>2225690.83</v>
      </c>
      <c r="AO23" s="82"/>
      <c r="AP23" s="82"/>
      <c r="AQ23" s="121">
        <f t="shared" si="19"/>
        <v>2225690.83</v>
      </c>
      <c r="AR23" s="1232">
        <v>1563423</v>
      </c>
      <c r="AS23" s="1232"/>
      <c r="AT23" s="1230">
        <f t="shared" si="20"/>
        <v>1563423</v>
      </c>
      <c r="AU23" s="121">
        <f t="shared" si="29"/>
        <v>662267.83000000007</v>
      </c>
      <c r="AV23" s="174"/>
      <c r="AW23" s="1232">
        <f t="shared" si="4"/>
        <v>662267.83000000007</v>
      </c>
      <c r="AX23" s="121"/>
      <c r="AY23" s="121"/>
      <c r="AZ23" s="82"/>
    </row>
    <row r="24" spans="1:52" s="85" customFormat="1" ht="21.95" customHeight="1">
      <c r="A24" s="1225"/>
      <c r="B24" s="1225" t="s">
        <v>662</v>
      </c>
      <c r="C24" s="1225"/>
      <c r="D24" s="1235">
        <f>SUM(D16:D23)</f>
        <v>8.5</v>
      </c>
      <c r="E24" s="84">
        <f t="shared" ref="E24:AZ24" si="32">SUM(E16:E23)</f>
        <v>116.32478632478633</v>
      </c>
      <c r="F24" s="84">
        <f t="shared" si="32"/>
        <v>45</v>
      </c>
      <c r="G24" s="84">
        <f t="shared" si="32"/>
        <v>108.85</v>
      </c>
      <c r="H24" s="84">
        <f t="shared" si="32"/>
        <v>40</v>
      </c>
      <c r="I24" s="84">
        <f t="shared" si="32"/>
        <v>310.17478632478634</v>
      </c>
      <c r="J24" s="84">
        <f t="shared" si="32"/>
        <v>10.583333333333332</v>
      </c>
      <c r="K24" s="84">
        <f t="shared" si="32"/>
        <v>2.5833333333333335</v>
      </c>
      <c r="L24" s="84">
        <f t="shared" si="32"/>
        <v>8.1999999999999993</v>
      </c>
      <c r="M24" s="84">
        <f t="shared" si="32"/>
        <v>2.75</v>
      </c>
      <c r="N24" s="84">
        <f t="shared" si="32"/>
        <v>24.116666666666671</v>
      </c>
      <c r="O24" s="84">
        <f t="shared" si="32"/>
        <v>126.90811965811967</v>
      </c>
      <c r="P24" s="84">
        <f t="shared" si="32"/>
        <v>47.583333333333336</v>
      </c>
      <c r="Q24" s="84">
        <f t="shared" si="32"/>
        <v>117.05</v>
      </c>
      <c r="R24" s="84">
        <f t="shared" si="32"/>
        <v>42.75</v>
      </c>
      <c r="S24" s="1238">
        <f t="shared" si="32"/>
        <v>334.29145299145301</v>
      </c>
      <c r="T24" s="84">
        <f t="shared" si="32"/>
        <v>35.916666666666664</v>
      </c>
      <c r="U24" s="84">
        <f t="shared" si="32"/>
        <v>33.25</v>
      </c>
      <c r="V24" s="84">
        <f t="shared" si="32"/>
        <v>111.08333333333333</v>
      </c>
      <c r="W24" s="84">
        <f t="shared" si="32"/>
        <v>32.333333333333336</v>
      </c>
      <c r="X24" s="1238">
        <f t="shared" si="32"/>
        <v>212.58333333333331</v>
      </c>
      <c r="Y24" s="84">
        <f t="shared" si="32"/>
        <v>31.745726495726501</v>
      </c>
      <c r="Z24" s="84">
        <f t="shared" si="32"/>
        <v>33.666666666666664</v>
      </c>
      <c r="AA24" s="84">
        <f t="shared" si="32"/>
        <v>111.4</v>
      </c>
      <c r="AB24" s="84">
        <f t="shared" si="32"/>
        <v>35.583333333333336</v>
      </c>
      <c r="AC24" s="84">
        <f t="shared" si="32"/>
        <v>212.39572649572648</v>
      </c>
      <c r="AD24" s="84">
        <f t="shared" si="32"/>
        <v>14004607.282051282</v>
      </c>
      <c r="AE24" s="84">
        <f t="shared" si="32"/>
        <v>917549.5384615385</v>
      </c>
      <c r="AF24" s="84">
        <f t="shared" si="32"/>
        <v>1274374.358974359</v>
      </c>
      <c r="AG24" s="84">
        <f t="shared" si="32"/>
        <v>509749.74358974362</v>
      </c>
      <c r="AH24" s="84">
        <f t="shared" si="32"/>
        <v>2130519.829059829</v>
      </c>
      <c r="AI24" s="84">
        <f t="shared" si="32"/>
        <v>169916.58119658122</v>
      </c>
      <c r="AJ24" s="84">
        <f t="shared" si="32"/>
        <v>85000</v>
      </c>
      <c r="AK24" s="84">
        <f t="shared" si="32"/>
        <v>203899.89743589744</v>
      </c>
      <c r="AL24" s="84">
        <f t="shared" si="32"/>
        <v>6469550.04</v>
      </c>
      <c r="AM24" s="84">
        <f t="shared" si="32"/>
        <v>25765167.270769227</v>
      </c>
      <c r="AN24" s="84">
        <f t="shared" si="32"/>
        <v>24912696.329999998</v>
      </c>
      <c r="AO24" s="84">
        <f t="shared" si="32"/>
        <v>148281.87</v>
      </c>
      <c r="AP24" s="84">
        <f t="shared" si="32"/>
        <v>416253.75</v>
      </c>
      <c r="AQ24" s="84">
        <f t="shared" si="32"/>
        <v>25477231.949999996</v>
      </c>
      <c r="AR24" s="84">
        <f t="shared" si="32"/>
        <v>26799784</v>
      </c>
      <c r="AS24" s="84">
        <f t="shared" si="32"/>
        <v>0</v>
      </c>
      <c r="AT24" s="84">
        <f t="shared" si="32"/>
        <v>26799784</v>
      </c>
      <c r="AU24" s="84">
        <f t="shared" si="32"/>
        <v>-1322552.0500000005</v>
      </c>
      <c r="AV24" s="84">
        <f t="shared" si="32"/>
        <v>0</v>
      </c>
      <c r="AW24" s="84">
        <f t="shared" si="32"/>
        <v>-1322552.0500000005</v>
      </c>
      <c r="AX24" s="84">
        <f t="shared" si="32"/>
        <v>0</v>
      </c>
      <c r="AY24" s="84">
        <f t="shared" si="32"/>
        <v>0</v>
      </c>
      <c r="AZ24" s="84">
        <f t="shared" si="32"/>
        <v>0</v>
      </c>
    </row>
    <row r="25" spans="1:52" s="83" customFormat="1" ht="21.95" customHeight="1">
      <c r="A25" s="79" t="s">
        <v>7</v>
      </c>
      <c r="B25" s="80" t="s">
        <v>663</v>
      </c>
      <c r="C25" s="80" t="s">
        <v>649</v>
      </c>
      <c r="D25" s="1234">
        <v>1</v>
      </c>
      <c r="E25" s="86">
        <v>0</v>
      </c>
      <c r="F25" s="86">
        <v>1</v>
      </c>
      <c r="G25" s="86">
        <v>13.237500000000001</v>
      </c>
      <c r="H25" s="86">
        <v>1</v>
      </c>
      <c r="I25" s="82">
        <f t="shared" si="5"/>
        <v>15.237500000000001</v>
      </c>
      <c r="J25" s="81">
        <v>0</v>
      </c>
      <c r="K25" s="81">
        <v>1.1666666666666667</v>
      </c>
      <c r="L25" s="81">
        <v>0.5</v>
      </c>
      <c r="M25" s="81">
        <v>0.58333333333333337</v>
      </c>
      <c r="N25" s="82">
        <f t="shared" si="23"/>
        <v>2.25</v>
      </c>
      <c r="O25" s="82">
        <f>E25+J25</f>
        <v>0</v>
      </c>
      <c r="P25" s="82">
        <f>F25+K25</f>
        <v>2.166666666666667</v>
      </c>
      <c r="Q25" s="82">
        <f>G25+L25</f>
        <v>13.737500000000001</v>
      </c>
      <c r="R25" s="82">
        <f>H25+M25</f>
        <v>1.5833333333333335</v>
      </c>
      <c r="S25" s="93">
        <f t="shared" si="25"/>
        <v>17.487500000000001</v>
      </c>
      <c r="T25" s="81">
        <v>0.5</v>
      </c>
      <c r="U25" s="81">
        <v>1.6666666666666667</v>
      </c>
      <c r="V25" s="81">
        <v>14.333333333333334</v>
      </c>
      <c r="W25" s="81">
        <v>0.83333333333333337</v>
      </c>
      <c r="X25" s="93">
        <f t="shared" si="26"/>
        <v>17.333333333333332</v>
      </c>
      <c r="Y25" s="81">
        <v>0.5</v>
      </c>
      <c r="Z25" s="81">
        <v>1.6666666666666667</v>
      </c>
      <c r="AA25" s="81">
        <v>14.333333333333334</v>
      </c>
      <c r="AB25" s="81">
        <v>0.83333333333333337</v>
      </c>
      <c r="AC25" s="82">
        <f t="shared" si="27"/>
        <v>17.333333333333332</v>
      </c>
      <c r="AD25" s="82">
        <f>(Y25*6800+Z25*5750+AA25*5295+AB25*4400)*12</f>
        <v>1110540</v>
      </c>
      <c r="AE25" s="82">
        <f t="shared" si="11"/>
        <v>74880</v>
      </c>
      <c r="AF25" s="82">
        <f t="shared" si="12"/>
        <v>104000</v>
      </c>
      <c r="AG25" s="82">
        <f t="shared" si="13"/>
        <v>41600</v>
      </c>
      <c r="AH25" s="82">
        <f t="shared" si="14"/>
        <v>162933.33333333331</v>
      </c>
      <c r="AI25" s="82">
        <f t="shared" si="15"/>
        <v>13866.666666666666</v>
      </c>
      <c r="AJ25" s="82">
        <f t="shared" si="16"/>
        <v>10000</v>
      </c>
      <c r="AK25" s="82">
        <f t="shared" si="17"/>
        <v>16640</v>
      </c>
      <c r="AL25" s="82">
        <f t="shared" si="18"/>
        <v>527971.39</v>
      </c>
      <c r="AM25" s="82">
        <f t="shared" si="2"/>
        <v>2062431.3900000001</v>
      </c>
      <c r="AN25" s="82">
        <v>2037249.6964367847</v>
      </c>
      <c r="AO25" s="82"/>
      <c r="AP25" s="82"/>
      <c r="AQ25" s="121">
        <f t="shared" si="19"/>
        <v>2037249.6964367847</v>
      </c>
      <c r="AR25" s="1231">
        <v>2127590</v>
      </c>
      <c r="AS25" s="1231">
        <v>32137.1</v>
      </c>
      <c r="AT25" s="1230">
        <f t="shared" si="20"/>
        <v>2095452.9</v>
      </c>
      <c r="AU25" s="121">
        <f t="shared" ref="AU25:AU35" si="33">AQ25-AR25</f>
        <v>-90340.303563215304</v>
      </c>
      <c r="AV25" s="174">
        <v>365100</v>
      </c>
      <c r="AW25" s="1232">
        <f>AU25-AV25</f>
        <v>-455440.3035632153</v>
      </c>
      <c r="AX25" s="121">
        <v>0</v>
      </c>
      <c r="AY25" s="121">
        <v>300000</v>
      </c>
      <c r="AZ25" s="82">
        <v>-300000</v>
      </c>
    </row>
    <row r="26" spans="1:52" ht="21.95" customHeight="1">
      <c r="A26" s="79" t="s">
        <v>7</v>
      </c>
      <c r="B26" s="80" t="s">
        <v>664</v>
      </c>
      <c r="C26" s="80" t="s">
        <v>649</v>
      </c>
      <c r="D26" s="1234">
        <v>2</v>
      </c>
      <c r="E26" s="86">
        <v>0</v>
      </c>
      <c r="F26" s="86">
        <v>2</v>
      </c>
      <c r="G26" s="86">
        <v>28.1875</v>
      </c>
      <c r="H26" s="86">
        <v>2</v>
      </c>
      <c r="I26" s="82">
        <f t="shared" si="5"/>
        <v>32.1875</v>
      </c>
      <c r="J26" s="81">
        <v>2</v>
      </c>
      <c r="K26" s="81">
        <v>0</v>
      </c>
      <c r="L26" s="81">
        <v>2.2000000000000002</v>
      </c>
      <c r="M26" s="81">
        <v>0</v>
      </c>
      <c r="N26" s="82">
        <f t="shared" si="23"/>
        <v>4.2</v>
      </c>
      <c r="O26" s="82">
        <f t="shared" ref="O26:O35" si="34">E26+J26</f>
        <v>2</v>
      </c>
      <c r="P26" s="82">
        <f t="shared" ref="P26:P35" si="35">F26+K26</f>
        <v>2</v>
      </c>
      <c r="Q26" s="82">
        <f t="shared" ref="Q26:Q35" si="36">G26+L26</f>
        <v>30.387499999999999</v>
      </c>
      <c r="R26" s="82">
        <f t="shared" ref="R26:R35" si="37">H26+M26</f>
        <v>2</v>
      </c>
      <c r="S26" s="93">
        <f t="shared" si="25"/>
        <v>36.387500000000003</v>
      </c>
      <c r="T26" s="81">
        <v>1.8333333333333333</v>
      </c>
      <c r="U26" s="81">
        <v>2</v>
      </c>
      <c r="V26" s="81">
        <v>30.166666666666668</v>
      </c>
      <c r="W26" s="81">
        <v>1.8333333333333333</v>
      </c>
      <c r="X26" s="93">
        <f t="shared" si="26"/>
        <v>35.833333333333336</v>
      </c>
      <c r="Y26" s="81">
        <v>1.8333333333333333</v>
      </c>
      <c r="Z26" s="81">
        <v>2</v>
      </c>
      <c r="AA26" s="81">
        <v>30.166666666666668</v>
      </c>
      <c r="AB26" s="81">
        <v>1.8333333333333333</v>
      </c>
      <c r="AC26" s="82">
        <f t="shared" si="27"/>
        <v>35.833333333333336</v>
      </c>
      <c r="AD26" s="82">
        <f>(Y26*6800+Z26*5750+AA26*5295+AB26*4400)*12</f>
        <v>2301190</v>
      </c>
      <c r="AE26" s="82">
        <f t="shared" si="11"/>
        <v>154800</v>
      </c>
      <c r="AF26" s="82">
        <f t="shared" si="12"/>
        <v>215000</v>
      </c>
      <c r="AG26" s="82">
        <f t="shared" si="13"/>
        <v>86000</v>
      </c>
      <c r="AH26" s="82">
        <f t="shared" si="14"/>
        <v>336833.33333333337</v>
      </c>
      <c r="AI26" s="82">
        <f t="shared" si="15"/>
        <v>28666.666666666668</v>
      </c>
      <c r="AJ26" s="82">
        <f t="shared" si="16"/>
        <v>20000</v>
      </c>
      <c r="AK26" s="82">
        <f t="shared" si="17"/>
        <v>34400</v>
      </c>
      <c r="AL26" s="82">
        <f t="shared" si="18"/>
        <v>1091479.32</v>
      </c>
      <c r="AM26" s="82">
        <f t="shared" si="2"/>
        <v>4268369.32</v>
      </c>
      <c r="AN26" s="82">
        <v>4158471.52</v>
      </c>
      <c r="AO26" s="82">
        <v>55794</v>
      </c>
      <c r="AP26" s="82"/>
      <c r="AQ26" s="121">
        <f t="shared" si="19"/>
        <v>4214265.5199999996</v>
      </c>
      <c r="AR26" s="1230">
        <v>4517848</v>
      </c>
      <c r="AS26" s="1230"/>
      <c r="AT26" s="1230">
        <f t="shared" si="20"/>
        <v>4517848</v>
      </c>
      <c r="AU26" s="121">
        <f t="shared" si="33"/>
        <v>-303582.48000000045</v>
      </c>
      <c r="AV26" s="174"/>
      <c r="AW26" s="1232">
        <f t="shared" ref="AW26:AW89" si="38">AU26-AV26</f>
        <v>-303582.48000000045</v>
      </c>
      <c r="AX26" s="121"/>
      <c r="AY26" s="121"/>
      <c r="AZ26" s="82"/>
    </row>
    <row r="27" spans="1:52" ht="21.95" customHeight="1">
      <c r="A27" s="79" t="s">
        <v>7</v>
      </c>
      <c r="B27" s="80" t="s">
        <v>665</v>
      </c>
      <c r="C27" s="80" t="s">
        <v>649</v>
      </c>
      <c r="D27" s="1234">
        <v>1</v>
      </c>
      <c r="E27" s="86">
        <v>8.3333333333333357</v>
      </c>
      <c r="F27" s="86">
        <v>3</v>
      </c>
      <c r="G27" s="86">
        <v>19.875</v>
      </c>
      <c r="H27" s="86">
        <v>2</v>
      </c>
      <c r="I27" s="82">
        <f t="shared" si="5"/>
        <v>33.208333333333336</v>
      </c>
      <c r="J27" s="81">
        <v>0</v>
      </c>
      <c r="K27" s="81">
        <v>0.83333333333333337</v>
      </c>
      <c r="L27" s="81">
        <v>0</v>
      </c>
      <c r="M27" s="81">
        <v>0</v>
      </c>
      <c r="N27" s="82">
        <f t="shared" si="23"/>
        <v>0.83333333333333337</v>
      </c>
      <c r="O27" s="82">
        <f t="shared" si="34"/>
        <v>8.3333333333333357</v>
      </c>
      <c r="P27" s="82">
        <f t="shared" si="35"/>
        <v>3.8333333333333335</v>
      </c>
      <c r="Q27" s="82">
        <f t="shared" si="36"/>
        <v>19.875</v>
      </c>
      <c r="R27" s="82">
        <f t="shared" si="37"/>
        <v>2</v>
      </c>
      <c r="S27" s="93">
        <f t="shared" si="25"/>
        <v>34.041666666666671</v>
      </c>
      <c r="T27" s="81">
        <v>5.5</v>
      </c>
      <c r="U27" s="81">
        <v>5.666666666666667</v>
      </c>
      <c r="V27" s="81">
        <v>19.666666666666668</v>
      </c>
      <c r="W27" s="81">
        <v>2</v>
      </c>
      <c r="X27" s="93">
        <f t="shared" si="26"/>
        <v>32.833333333333336</v>
      </c>
      <c r="Y27" s="81">
        <v>5.5</v>
      </c>
      <c r="Z27" s="81">
        <v>5.666666666666667</v>
      </c>
      <c r="AA27" s="81">
        <v>19.666666666666668</v>
      </c>
      <c r="AB27" s="81">
        <v>2</v>
      </c>
      <c r="AC27" s="82">
        <f t="shared" si="27"/>
        <v>32.833333333333336</v>
      </c>
      <c r="AD27" s="82">
        <f>(Y27*6800+Z27*5750+AA27*5295+AB27*4400)*12</f>
        <v>2195020</v>
      </c>
      <c r="AE27" s="82">
        <f t="shared" si="11"/>
        <v>141840</v>
      </c>
      <c r="AF27" s="82">
        <f t="shared" si="12"/>
        <v>197000</v>
      </c>
      <c r="AG27" s="82">
        <f t="shared" si="13"/>
        <v>78800</v>
      </c>
      <c r="AH27" s="82">
        <f t="shared" si="14"/>
        <v>308633.33333333337</v>
      </c>
      <c r="AI27" s="82">
        <f t="shared" si="15"/>
        <v>26266.666666666668</v>
      </c>
      <c r="AJ27" s="82">
        <f t="shared" si="16"/>
        <v>10000</v>
      </c>
      <c r="AK27" s="82">
        <f t="shared" si="17"/>
        <v>31520.000000000004</v>
      </c>
      <c r="AL27" s="82">
        <f t="shared" si="18"/>
        <v>1000099.66</v>
      </c>
      <c r="AM27" s="82">
        <f t="shared" si="2"/>
        <v>3989179.66</v>
      </c>
      <c r="AN27" s="82">
        <v>3893340.0763636366</v>
      </c>
      <c r="AO27" s="82">
        <v>163721</v>
      </c>
      <c r="AP27" s="82"/>
      <c r="AQ27" s="121">
        <f t="shared" si="19"/>
        <v>4057061.0763636366</v>
      </c>
      <c r="AR27" s="1230">
        <v>4776342</v>
      </c>
      <c r="AS27" s="1230"/>
      <c r="AT27" s="1230">
        <f t="shared" si="20"/>
        <v>4776342</v>
      </c>
      <c r="AU27" s="121">
        <f t="shared" si="33"/>
        <v>-719280.92363636335</v>
      </c>
      <c r="AV27" s="174"/>
      <c r="AW27" s="1232">
        <f t="shared" si="38"/>
        <v>-719280.92363636335</v>
      </c>
      <c r="AX27" s="121"/>
      <c r="AY27" s="121"/>
      <c r="AZ27" s="82"/>
    </row>
    <row r="28" spans="1:52" s="83" customFormat="1" ht="21.95" customHeight="1">
      <c r="A28" s="79" t="s">
        <v>7</v>
      </c>
      <c r="B28" s="80" t="s">
        <v>666</v>
      </c>
      <c r="C28" s="80" t="s">
        <v>649</v>
      </c>
      <c r="D28" s="1234">
        <v>1</v>
      </c>
      <c r="E28" s="86">
        <v>0</v>
      </c>
      <c r="F28" s="86">
        <v>2</v>
      </c>
      <c r="G28" s="86">
        <v>13.175000000000001</v>
      </c>
      <c r="H28" s="86">
        <v>2</v>
      </c>
      <c r="I28" s="82">
        <f t="shared" si="5"/>
        <v>17.175000000000001</v>
      </c>
      <c r="J28" s="81">
        <v>1</v>
      </c>
      <c r="K28" s="81">
        <v>0</v>
      </c>
      <c r="L28" s="81">
        <v>1.5</v>
      </c>
      <c r="M28" s="81">
        <v>0</v>
      </c>
      <c r="N28" s="82">
        <f t="shared" si="23"/>
        <v>2.5</v>
      </c>
      <c r="O28" s="82">
        <f t="shared" si="34"/>
        <v>1</v>
      </c>
      <c r="P28" s="82">
        <f t="shared" si="35"/>
        <v>2</v>
      </c>
      <c r="Q28" s="82">
        <f t="shared" si="36"/>
        <v>14.675000000000001</v>
      </c>
      <c r="R28" s="82">
        <f t="shared" si="37"/>
        <v>2</v>
      </c>
      <c r="S28" s="93">
        <f t="shared" si="25"/>
        <v>19.675000000000001</v>
      </c>
      <c r="T28" s="81">
        <v>1</v>
      </c>
      <c r="U28" s="81">
        <v>2</v>
      </c>
      <c r="V28" s="81">
        <v>14.333333333333334</v>
      </c>
      <c r="W28" s="81">
        <v>2</v>
      </c>
      <c r="X28" s="93">
        <f t="shared" si="26"/>
        <v>19.333333333333336</v>
      </c>
      <c r="Y28" s="81">
        <v>1</v>
      </c>
      <c r="Z28" s="81">
        <v>2</v>
      </c>
      <c r="AA28" s="81">
        <v>14.333333333333334</v>
      </c>
      <c r="AB28" s="81">
        <v>2</v>
      </c>
      <c r="AC28" s="82">
        <f t="shared" si="27"/>
        <v>19.333333333333336</v>
      </c>
      <c r="AD28" s="82">
        <f>(Y28*6800+Z28*5750+AA28*5295+AB28*4400)*12</f>
        <v>1235940</v>
      </c>
      <c r="AE28" s="82">
        <f t="shared" si="11"/>
        <v>83520.000000000015</v>
      </c>
      <c r="AF28" s="82">
        <f t="shared" si="12"/>
        <v>116000.00000000001</v>
      </c>
      <c r="AG28" s="82">
        <f t="shared" si="13"/>
        <v>46400.000000000007</v>
      </c>
      <c r="AH28" s="82">
        <f t="shared" si="14"/>
        <v>181733.33333333334</v>
      </c>
      <c r="AI28" s="82">
        <f t="shared" si="15"/>
        <v>15466.666666666668</v>
      </c>
      <c r="AJ28" s="82">
        <f t="shared" si="16"/>
        <v>10000</v>
      </c>
      <c r="AK28" s="82">
        <f t="shared" si="17"/>
        <v>18560.000000000004</v>
      </c>
      <c r="AL28" s="82">
        <f t="shared" si="18"/>
        <v>588891.17000000004</v>
      </c>
      <c r="AM28" s="82">
        <f t="shared" si="2"/>
        <v>2296511.17</v>
      </c>
      <c r="AN28" s="82">
        <v>2244013.3199999998</v>
      </c>
      <c r="AO28" s="82">
        <v>68934.5</v>
      </c>
      <c r="AP28" s="82"/>
      <c r="AQ28" s="121">
        <f t="shared" si="19"/>
        <v>2312947.8199999998</v>
      </c>
      <c r="AR28" s="1231">
        <v>2387678</v>
      </c>
      <c r="AS28" s="1231"/>
      <c r="AT28" s="1230">
        <f t="shared" si="20"/>
        <v>2387678</v>
      </c>
      <c r="AU28" s="82">
        <f t="shared" si="33"/>
        <v>-74730.180000000168</v>
      </c>
      <c r="AV28" s="174"/>
      <c r="AW28" s="1232">
        <f t="shared" si="38"/>
        <v>-74730.180000000168</v>
      </c>
      <c r="AX28" s="82"/>
      <c r="AY28" s="121"/>
      <c r="AZ28" s="82"/>
    </row>
    <row r="29" spans="1:52" s="83" customFormat="1" ht="21.95" customHeight="1">
      <c r="A29" s="79" t="s">
        <v>7</v>
      </c>
      <c r="B29" s="80" t="s">
        <v>471</v>
      </c>
      <c r="C29" s="80" t="s">
        <v>649</v>
      </c>
      <c r="D29" s="1234">
        <v>1</v>
      </c>
      <c r="E29" s="86">
        <v>0</v>
      </c>
      <c r="F29" s="86">
        <v>2</v>
      </c>
      <c r="G29" s="86">
        <v>14.362500000000001</v>
      </c>
      <c r="H29" s="86">
        <v>1</v>
      </c>
      <c r="I29" s="82">
        <f t="shared" si="5"/>
        <v>17.362500000000001</v>
      </c>
      <c r="J29" s="81">
        <v>0</v>
      </c>
      <c r="K29" s="81">
        <v>0</v>
      </c>
      <c r="L29" s="81">
        <v>0</v>
      </c>
      <c r="M29" s="81">
        <v>0.75</v>
      </c>
      <c r="N29" s="82">
        <f t="shared" si="23"/>
        <v>0.75</v>
      </c>
      <c r="O29" s="82">
        <f t="shared" si="34"/>
        <v>0</v>
      </c>
      <c r="P29" s="82">
        <f t="shared" si="35"/>
        <v>2</v>
      </c>
      <c r="Q29" s="82">
        <f t="shared" si="36"/>
        <v>14.362500000000001</v>
      </c>
      <c r="R29" s="82">
        <f t="shared" si="37"/>
        <v>1.75</v>
      </c>
      <c r="S29" s="93">
        <f t="shared" si="25"/>
        <v>18.112500000000001</v>
      </c>
      <c r="T29" s="81">
        <v>0</v>
      </c>
      <c r="U29" s="81">
        <v>2</v>
      </c>
      <c r="V29" s="81">
        <v>14.333333333333334</v>
      </c>
      <c r="W29" s="81">
        <v>0.58333333333333337</v>
      </c>
      <c r="X29" s="93">
        <f t="shared" si="26"/>
        <v>16.916666666666668</v>
      </c>
      <c r="Y29" s="81">
        <v>0</v>
      </c>
      <c r="Z29" s="81">
        <v>2</v>
      </c>
      <c r="AA29" s="81">
        <v>14.333333333333334</v>
      </c>
      <c r="AB29" s="81">
        <v>0.58333333333333337</v>
      </c>
      <c r="AC29" s="82">
        <f t="shared" si="27"/>
        <v>16.916666666666668</v>
      </c>
      <c r="AD29" s="82">
        <f>(Y29*6800+Z29*5750+AA29*5295+AB29*4400)*12</f>
        <v>1079540</v>
      </c>
      <c r="AE29" s="82">
        <f t="shared" si="11"/>
        <v>73080</v>
      </c>
      <c r="AF29" s="82">
        <f t="shared" si="12"/>
        <v>101500</v>
      </c>
      <c r="AG29" s="82">
        <f t="shared" si="13"/>
        <v>40600</v>
      </c>
      <c r="AH29" s="82">
        <f t="shared" si="14"/>
        <v>159016.66666666669</v>
      </c>
      <c r="AI29" s="82">
        <f t="shared" si="15"/>
        <v>13533.333333333334</v>
      </c>
      <c r="AJ29" s="82">
        <f t="shared" si="16"/>
        <v>10000</v>
      </c>
      <c r="AK29" s="82">
        <f t="shared" si="17"/>
        <v>16240.000000000002</v>
      </c>
      <c r="AL29" s="82">
        <f t="shared" si="18"/>
        <v>515279.77</v>
      </c>
      <c r="AM29" s="82">
        <f t="shared" si="2"/>
        <v>2008789.77</v>
      </c>
      <c r="AN29" s="82">
        <v>1976592.45</v>
      </c>
      <c r="AO29" s="82"/>
      <c r="AP29" s="82"/>
      <c r="AQ29" s="121">
        <f t="shared" si="19"/>
        <v>1976592.45</v>
      </c>
      <c r="AR29" s="1231">
        <v>2368478</v>
      </c>
      <c r="AS29" s="1231"/>
      <c r="AT29" s="1230">
        <f t="shared" si="20"/>
        <v>2368478</v>
      </c>
      <c r="AU29" s="82">
        <f t="shared" si="33"/>
        <v>-391885.55000000005</v>
      </c>
      <c r="AV29" s="174"/>
      <c r="AW29" s="1232">
        <f t="shared" si="38"/>
        <v>-391885.55000000005</v>
      </c>
      <c r="AX29" s="82"/>
      <c r="AY29" s="121"/>
      <c r="AZ29" s="82"/>
    </row>
    <row r="30" spans="1:52" ht="21.95" customHeight="1">
      <c r="A30" s="79" t="s">
        <v>7</v>
      </c>
      <c r="B30" s="80" t="s">
        <v>667</v>
      </c>
      <c r="C30" s="80" t="s">
        <v>972</v>
      </c>
      <c r="D30" s="1234"/>
      <c r="E30" s="86">
        <v>35</v>
      </c>
      <c r="F30" s="86">
        <v>11</v>
      </c>
      <c r="G30" s="86">
        <v>0</v>
      </c>
      <c r="H30" s="86">
        <v>9</v>
      </c>
      <c r="I30" s="82">
        <f t="shared" si="5"/>
        <v>55</v>
      </c>
      <c r="J30" s="81">
        <v>1.5</v>
      </c>
      <c r="K30" s="81">
        <v>2</v>
      </c>
      <c r="L30" s="81">
        <v>0</v>
      </c>
      <c r="M30" s="81">
        <v>0</v>
      </c>
      <c r="N30" s="82">
        <f t="shared" si="23"/>
        <v>3.5</v>
      </c>
      <c r="O30" s="82">
        <f t="shared" si="34"/>
        <v>36.5</v>
      </c>
      <c r="P30" s="82">
        <f t="shared" si="35"/>
        <v>13</v>
      </c>
      <c r="Q30" s="82">
        <f t="shared" si="36"/>
        <v>0</v>
      </c>
      <c r="R30" s="82">
        <f t="shared" si="37"/>
        <v>9</v>
      </c>
      <c r="S30" s="93">
        <f t="shared" si="25"/>
        <v>58.5</v>
      </c>
      <c r="T30" s="81">
        <v>11.083333333333334</v>
      </c>
      <c r="U30" s="81">
        <v>8.5</v>
      </c>
      <c r="V30" s="81">
        <v>0</v>
      </c>
      <c r="W30" s="81">
        <v>8</v>
      </c>
      <c r="X30" s="93">
        <f t="shared" si="26"/>
        <v>27.583333333333336</v>
      </c>
      <c r="Y30" s="81">
        <v>11.083333333333334</v>
      </c>
      <c r="Z30" s="81">
        <v>8.5</v>
      </c>
      <c r="AA30" s="81">
        <v>0</v>
      </c>
      <c r="AB30" s="81">
        <v>8</v>
      </c>
      <c r="AC30" s="82">
        <f t="shared" si="27"/>
        <v>27.583333333333336</v>
      </c>
      <c r="AD30" s="82">
        <f>(Y30*7300+Z30*5750+AA30*5295+AB30*4400)*12</f>
        <v>1979800</v>
      </c>
      <c r="AE30" s="82">
        <f t="shared" si="11"/>
        <v>119160.00000000001</v>
      </c>
      <c r="AF30" s="82">
        <f t="shared" si="12"/>
        <v>165500</v>
      </c>
      <c r="AG30" s="82">
        <f t="shared" si="13"/>
        <v>66200</v>
      </c>
      <c r="AH30" s="82">
        <f>Y30*15400+(Z30+AA30+AB30)*9400</f>
        <v>325783.33333333337</v>
      </c>
      <c r="AI30" s="82">
        <f t="shared" si="15"/>
        <v>22066.666666666668</v>
      </c>
      <c r="AJ30" s="82">
        <f t="shared" si="16"/>
        <v>0</v>
      </c>
      <c r="AK30" s="82">
        <f t="shared" si="17"/>
        <v>26480.000000000004</v>
      </c>
      <c r="AL30" s="82">
        <f t="shared" si="18"/>
        <v>840185.24</v>
      </c>
      <c r="AM30" s="82">
        <f t="shared" si="2"/>
        <v>3545175.24</v>
      </c>
      <c r="AN30" s="82">
        <v>3312429.7699999996</v>
      </c>
      <c r="AO30" s="82"/>
      <c r="AP30" s="82">
        <v>156386</v>
      </c>
      <c r="AQ30" s="121">
        <f t="shared" si="19"/>
        <v>3468815.7699999996</v>
      </c>
      <c r="AR30" s="1230">
        <v>3906609.5</v>
      </c>
      <c r="AS30" s="1230"/>
      <c r="AT30" s="1230">
        <f t="shared" si="20"/>
        <v>3906609.5</v>
      </c>
      <c r="AU30" s="121">
        <f t="shared" si="33"/>
        <v>-437793.73000000045</v>
      </c>
      <c r="AV30" s="174"/>
      <c r="AW30" s="1232">
        <f t="shared" si="38"/>
        <v>-437793.73000000045</v>
      </c>
      <c r="AX30" s="121"/>
      <c r="AY30" s="121"/>
      <c r="AZ30" s="82"/>
    </row>
    <row r="31" spans="1:52" ht="21.95" customHeight="1">
      <c r="A31" s="79" t="s">
        <v>7</v>
      </c>
      <c r="B31" s="80" t="s">
        <v>668</v>
      </c>
      <c r="C31" s="80" t="s">
        <v>959</v>
      </c>
      <c r="D31" s="1234"/>
      <c r="E31" s="86">
        <v>19.448275862068954</v>
      </c>
      <c r="F31" s="86">
        <v>12</v>
      </c>
      <c r="G31" s="86">
        <v>0</v>
      </c>
      <c r="H31" s="86">
        <v>10</v>
      </c>
      <c r="I31" s="82">
        <f t="shared" si="5"/>
        <v>41.448275862068954</v>
      </c>
      <c r="J31" s="81">
        <v>3.9166666666666665</v>
      </c>
      <c r="K31" s="81">
        <v>0</v>
      </c>
      <c r="L31" s="81">
        <v>0</v>
      </c>
      <c r="M31" s="81">
        <v>0</v>
      </c>
      <c r="N31" s="82">
        <f t="shared" si="23"/>
        <v>3.9166666666666665</v>
      </c>
      <c r="O31" s="82">
        <f t="shared" si="34"/>
        <v>23.364942528735622</v>
      </c>
      <c r="P31" s="82">
        <f t="shared" si="35"/>
        <v>12</v>
      </c>
      <c r="Q31" s="82">
        <f t="shared" si="36"/>
        <v>0</v>
      </c>
      <c r="R31" s="82">
        <f t="shared" si="37"/>
        <v>10</v>
      </c>
      <c r="S31" s="93">
        <f t="shared" si="25"/>
        <v>45.364942528735625</v>
      </c>
      <c r="T31" s="81">
        <v>5.5</v>
      </c>
      <c r="U31" s="81">
        <v>9</v>
      </c>
      <c r="V31" s="81">
        <v>1</v>
      </c>
      <c r="W31" s="81">
        <v>7.666666666666667</v>
      </c>
      <c r="X31" s="93">
        <f t="shared" si="26"/>
        <v>23.166666666666668</v>
      </c>
      <c r="Y31" s="81">
        <v>5.5</v>
      </c>
      <c r="Z31" s="81">
        <v>9</v>
      </c>
      <c r="AA31" s="81">
        <v>1</v>
      </c>
      <c r="AB31" s="81">
        <v>7.666666666666667</v>
      </c>
      <c r="AC31" s="82">
        <f t="shared" si="27"/>
        <v>23.166666666666668</v>
      </c>
      <c r="AD31" s="82">
        <f>(Y31*6800+Z31*5750+AA31*5295+AB31*4400)*12</f>
        <v>1538140</v>
      </c>
      <c r="AE31" s="82">
        <f>AC31*4320</f>
        <v>100080</v>
      </c>
      <c r="AF31" s="82">
        <f t="shared" si="12"/>
        <v>139000</v>
      </c>
      <c r="AG31" s="82">
        <f t="shared" si="13"/>
        <v>55600</v>
      </c>
      <c r="AH31" s="82">
        <f t="shared" si="14"/>
        <v>217766.66666666669</v>
      </c>
      <c r="AI31" s="82">
        <f t="shared" si="15"/>
        <v>18533.333333333336</v>
      </c>
      <c r="AJ31" s="82">
        <f t="shared" si="16"/>
        <v>0</v>
      </c>
      <c r="AK31" s="82">
        <f t="shared" si="17"/>
        <v>22240</v>
      </c>
      <c r="AL31" s="82">
        <f t="shared" si="18"/>
        <v>705654.07</v>
      </c>
      <c r="AM31" s="82">
        <f t="shared" si="2"/>
        <v>2797014.07</v>
      </c>
      <c r="AN31" s="82">
        <v>2654553.73</v>
      </c>
      <c r="AO31" s="82"/>
      <c r="AP31" s="82">
        <v>48705</v>
      </c>
      <c r="AQ31" s="121">
        <f t="shared" si="19"/>
        <v>2703258.73</v>
      </c>
      <c r="AR31" s="1230">
        <v>2754588.25</v>
      </c>
      <c r="AS31" s="1230"/>
      <c r="AT31" s="1230">
        <f t="shared" si="20"/>
        <v>2754588.25</v>
      </c>
      <c r="AU31" s="121">
        <f t="shared" si="33"/>
        <v>-51329.520000000019</v>
      </c>
      <c r="AV31" s="174"/>
      <c r="AW31" s="1232">
        <f t="shared" si="38"/>
        <v>-51329.520000000019</v>
      </c>
      <c r="AX31" s="121"/>
      <c r="AY31" s="121"/>
      <c r="AZ31" s="82"/>
    </row>
    <row r="32" spans="1:52" ht="21.95" customHeight="1">
      <c r="A32" s="79" t="s">
        <v>7</v>
      </c>
      <c r="B32" s="80" t="s">
        <v>669</v>
      </c>
      <c r="C32" s="80" t="s">
        <v>972</v>
      </c>
      <c r="D32" s="1234"/>
      <c r="E32" s="86">
        <v>0</v>
      </c>
      <c r="F32" s="86">
        <v>10</v>
      </c>
      <c r="G32" s="86">
        <v>0</v>
      </c>
      <c r="H32" s="86">
        <v>9</v>
      </c>
      <c r="I32" s="82">
        <f t="shared" si="5"/>
        <v>19</v>
      </c>
      <c r="J32" s="81">
        <v>0</v>
      </c>
      <c r="K32" s="81">
        <v>0</v>
      </c>
      <c r="L32" s="81">
        <v>0</v>
      </c>
      <c r="M32" s="81">
        <v>0</v>
      </c>
      <c r="N32" s="82">
        <f t="shared" si="23"/>
        <v>0</v>
      </c>
      <c r="O32" s="82">
        <f t="shared" si="34"/>
        <v>0</v>
      </c>
      <c r="P32" s="82">
        <f t="shared" si="35"/>
        <v>10</v>
      </c>
      <c r="Q32" s="82">
        <f t="shared" si="36"/>
        <v>0</v>
      </c>
      <c r="R32" s="82">
        <f t="shared" si="37"/>
        <v>9</v>
      </c>
      <c r="S32" s="93">
        <f t="shared" si="25"/>
        <v>19</v>
      </c>
      <c r="T32" s="81">
        <v>0</v>
      </c>
      <c r="U32" s="81">
        <v>3.3333333333333335</v>
      </c>
      <c r="V32" s="81">
        <v>0</v>
      </c>
      <c r="W32" s="81">
        <v>11.416666666666666</v>
      </c>
      <c r="X32" s="93">
        <f t="shared" si="26"/>
        <v>14.75</v>
      </c>
      <c r="Y32" s="81">
        <v>0</v>
      </c>
      <c r="Z32" s="81">
        <v>3.3333333333333335</v>
      </c>
      <c r="AA32" s="81">
        <v>0</v>
      </c>
      <c r="AB32" s="81">
        <v>11.416666666666666</v>
      </c>
      <c r="AC32" s="82">
        <f t="shared" si="27"/>
        <v>14.75</v>
      </c>
      <c r="AD32" s="82">
        <f>(Y32*7300+Z32*5750+AA32*5295+AB32*4400)*12</f>
        <v>832800</v>
      </c>
      <c r="AE32" s="82">
        <f t="shared" si="11"/>
        <v>63720</v>
      </c>
      <c r="AF32" s="82">
        <f t="shared" si="12"/>
        <v>88500</v>
      </c>
      <c r="AG32" s="82">
        <f t="shared" si="13"/>
        <v>35400</v>
      </c>
      <c r="AH32" s="82">
        <f t="shared" ref="AH32:AH33" si="39">Y32*15400+(Z32+AA32+AB32)*9400</f>
        <v>138650</v>
      </c>
      <c r="AI32" s="82">
        <f t="shared" si="15"/>
        <v>11800</v>
      </c>
      <c r="AJ32" s="82">
        <f t="shared" si="16"/>
        <v>0</v>
      </c>
      <c r="AK32" s="82">
        <f t="shared" si="17"/>
        <v>14160</v>
      </c>
      <c r="AL32" s="82">
        <f t="shared" si="18"/>
        <v>449283.35</v>
      </c>
      <c r="AM32" s="82">
        <f t="shared" si="2"/>
        <v>1634313.35</v>
      </c>
      <c r="AN32" s="82">
        <v>1563192.26</v>
      </c>
      <c r="AO32" s="82"/>
      <c r="AP32" s="82"/>
      <c r="AQ32" s="121">
        <f t="shared" si="19"/>
        <v>1563192.26</v>
      </c>
      <c r="AR32" s="1230">
        <v>1807643</v>
      </c>
      <c r="AS32" s="1230"/>
      <c r="AT32" s="1230">
        <f t="shared" si="20"/>
        <v>1807643</v>
      </c>
      <c r="AU32" s="121">
        <f t="shared" si="33"/>
        <v>-244450.74</v>
      </c>
      <c r="AV32" s="174"/>
      <c r="AW32" s="1232">
        <f t="shared" si="38"/>
        <v>-244450.74</v>
      </c>
      <c r="AX32" s="121"/>
      <c r="AY32" s="121"/>
      <c r="AZ32" s="82"/>
    </row>
    <row r="33" spans="1:52" ht="21.95" customHeight="1">
      <c r="A33" s="79" t="s">
        <v>7</v>
      </c>
      <c r="B33" s="80" t="s">
        <v>670</v>
      </c>
      <c r="C33" s="80" t="s">
        <v>464</v>
      </c>
      <c r="D33" s="1234"/>
      <c r="E33" s="86">
        <v>38.30252100840336</v>
      </c>
      <c r="F33" s="86">
        <v>11</v>
      </c>
      <c r="G33" s="86">
        <v>0</v>
      </c>
      <c r="H33" s="86">
        <v>6</v>
      </c>
      <c r="I33" s="82">
        <f t="shared" si="5"/>
        <v>55.30252100840336</v>
      </c>
      <c r="J33" s="81">
        <v>3.0833333333333335</v>
      </c>
      <c r="K33" s="81">
        <v>0.58333333333333337</v>
      </c>
      <c r="L33" s="81">
        <v>0</v>
      </c>
      <c r="M33" s="81">
        <v>1.75</v>
      </c>
      <c r="N33" s="82">
        <f t="shared" si="23"/>
        <v>5.416666666666667</v>
      </c>
      <c r="O33" s="82">
        <f t="shared" si="34"/>
        <v>41.385854341736696</v>
      </c>
      <c r="P33" s="82">
        <f t="shared" si="35"/>
        <v>11.583333333333334</v>
      </c>
      <c r="Q33" s="82">
        <f t="shared" si="36"/>
        <v>0</v>
      </c>
      <c r="R33" s="82">
        <f t="shared" si="37"/>
        <v>7.75</v>
      </c>
      <c r="S33" s="93">
        <f t="shared" si="25"/>
        <v>60.719187675070032</v>
      </c>
      <c r="T33" s="81">
        <v>9.0833333333333339</v>
      </c>
      <c r="U33" s="81">
        <v>10.333333333333332</v>
      </c>
      <c r="V33" s="81">
        <v>0</v>
      </c>
      <c r="W33" s="81">
        <v>6.75</v>
      </c>
      <c r="X33" s="93">
        <f t="shared" si="26"/>
        <v>26.166666666666664</v>
      </c>
      <c r="Y33" s="81">
        <v>9.0833333333333339</v>
      </c>
      <c r="Z33" s="81">
        <v>10.333333333333332</v>
      </c>
      <c r="AA33" s="81">
        <v>0</v>
      </c>
      <c r="AB33" s="81">
        <v>6.75</v>
      </c>
      <c r="AC33" s="82">
        <f t="shared" si="27"/>
        <v>26.166666666666664</v>
      </c>
      <c r="AD33" s="82">
        <f>(Y33*7800+Z33*5750+AA33*5295+AB33*4400)*12</f>
        <v>1919600</v>
      </c>
      <c r="AE33" s="82">
        <f t="shared" si="11"/>
        <v>113039.99999999999</v>
      </c>
      <c r="AF33" s="82">
        <f t="shared" si="12"/>
        <v>157000</v>
      </c>
      <c r="AG33" s="82">
        <f t="shared" si="13"/>
        <v>62799.999999999993</v>
      </c>
      <c r="AH33" s="82">
        <f t="shared" si="39"/>
        <v>300466.66666666663</v>
      </c>
      <c r="AI33" s="82">
        <f t="shared" si="15"/>
        <v>20933.333333333332</v>
      </c>
      <c r="AJ33" s="82">
        <f t="shared" si="16"/>
        <v>0</v>
      </c>
      <c r="AK33" s="82">
        <f t="shared" si="17"/>
        <v>25119.999999999996</v>
      </c>
      <c r="AL33" s="82">
        <f t="shared" si="18"/>
        <v>797033.74</v>
      </c>
      <c r="AM33" s="82">
        <f t="shared" si="2"/>
        <v>3395993.74</v>
      </c>
      <c r="AN33" s="82">
        <v>3367357.62</v>
      </c>
      <c r="AO33" s="82">
        <v>9800</v>
      </c>
      <c r="AP33" s="82">
        <v>98462</v>
      </c>
      <c r="AQ33" s="121">
        <f t="shared" si="19"/>
        <v>3475619.62</v>
      </c>
      <c r="AR33" s="1230">
        <v>3562866</v>
      </c>
      <c r="AS33" s="1230"/>
      <c r="AT33" s="1230">
        <f t="shared" si="20"/>
        <v>3562866</v>
      </c>
      <c r="AU33" s="121">
        <f t="shared" si="33"/>
        <v>-87246.379999999888</v>
      </c>
      <c r="AV33" s="174"/>
      <c r="AW33" s="1232">
        <f t="shared" si="38"/>
        <v>-87246.379999999888</v>
      </c>
      <c r="AX33" s="121"/>
      <c r="AY33" s="121"/>
      <c r="AZ33" s="82"/>
    </row>
    <row r="34" spans="1:52" s="83" customFormat="1" ht="21.95" customHeight="1">
      <c r="A34" s="79" t="s">
        <v>7</v>
      </c>
      <c r="B34" s="80" t="s">
        <v>671</v>
      </c>
      <c r="C34" s="80" t="s">
        <v>649</v>
      </c>
      <c r="D34" s="1234">
        <v>1</v>
      </c>
      <c r="E34" s="86">
        <v>0</v>
      </c>
      <c r="F34" s="86">
        <v>2</v>
      </c>
      <c r="G34" s="86">
        <v>15.487500000000001</v>
      </c>
      <c r="H34" s="86">
        <v>3</v>
      </c>
      <c r="I34" s="82">
        <f t="shared" si="5"/>
        <v>20.487500000000001</v>
      </c>
      <c r="J34" s="81">
        <v>0</v>
      </c>
      <c r="K34" s="81">
        <v>0</v>
      </c>
      <c r="L34" s="81">
        <v>4.333333333333333</v>
      </c>
      <c r="M34" s="81">
        <v>0</v>
      </c>
      <c r="N34" s="82">
        <f t="shared" si="23"/>
        <v>4.333333333333333</v>
      </c>
      <c r="O34" s="82">
        <f t="shared" si="34"/>
        <v>0</v>
      </c>
      <c r="P34" s="82">
        <f t="shared" si="35"/>
        <v>2</v>
      </c>
      <c r="Q34" s="82">
        <f t="shared" si="36"/>
        <v>19.820833333333333</v>
      </c>
      <c r="R34" s="82">
        <f t="shared" si="37"/>
        <v>3</v>
      </c>
      <c r="S34" s="93">
        <f t="shared" si="25"/>
        <v>24.820833333333333</v>
      </c>
      <c r="T34" s="81">
        <v>1.5</v>
      </c>
      <c r="U34" s="81">
        <v>3</v>
      </c>
      <c r="V34" s="81">
        <v>16.333333333333332</v>
      </c>
      <c r="W34" s="81">
        <v>2.3333333333333335</v>
      </c>
      <c r="X34" s="93">
        <f t="shared" si="26"/>
        <v>23.166666666666664</v>
      </c>
      <c r="Y34" s="81">
        <v>1.5</v>
      </c>
      <c r="Z34" s="81">
        <v>3</v>
      </c>
      <c r="AA34" s="81">
        <v>16.333333333333332</v>
      </c>
      <c r="AB34" s="81">
        <v>2.3333333333333335</v>
      </c>
      <c r="AC34" s="82">
        <f t="shared" si="27"/>
        <v>23.166666666666664</v>
      </c>
      <c r="AD34" s="82">
        <f>(Y34*6800+Z34*5750+AA34*5295+AB34*4400)*12</f>
        <v>1490420</v>
      </c>
      <c r="AE34" s="82">
        <f t="shared" si="11"/>
        <v>100079.99999999999</v>
      </c>
      <c r="AF34" s="82">
        <f t="shared" si="12"/>
        <v>139000</v>
      </c>
      <c r="AG34" s="82">
        <f t="shared" si="13"/>
        <v>55599.999999999993</v>
      </c>
      <c r="AH34" s="82">
        <f t="shared" si="14"/>
        <v>217766.66666666666</v>
      </c>
      <c r="AI34" s="82">
        <f t="shared" si="15"/>
        <v>18533.333333333332</v>
      </c>
      <c r="AJ34" s="82">
        <f t="shared" si="16"/>
        <v>10000</v>
      </c>
      <c r="AK34" s="82">
        <f t="shared" si="17"/>
        <v>22239.999999999996</v>
      </c>
      <c r="AL34" s="82">
        <f t="shared" si="18"/>
        <v>705654.07</v>
      </c>
      <c r="AM34" s="82">
        <f t="shared" si="2"/>
        <v>2759294.07</v>
      </c>
      <c r="AN34" s="82">
        <v>2663788.62</v>
      </c>
      <c r="AO34" s="82">
        <v>97440</v>
      </c>
      <c r="AP34" s="82"/>
      <c r="AQ34" s="121">
        <f t="shared" si="19"/>
        <v>2761228.62</v>
      </c>
      <c r="AR34" s="1231">
        <v>2760798</v>
      </c>
      <c r="AS34" s="1231"/>
      <c r="AT34" s="1230">
        <f t="shared" si="20"/>
        <v>2760798</v>
      </c>
      <c r="AU34" s="82">
        <f t="shared" si="33"/>
        <v>430.62000000011176</v>
      </c>
      <c r="AV34" s="174"/>
      <c r="AW34" s="1232">
        <f t="shared" si="38"/>
        <v>430.62000000011176</v>
      </c>
      <c r="AX34" s="82"/>
      <c r="AY34" s="121"/>
      <c r="AZ34" s="82"/>
    </row>
    <row r="35" spans="1:52" ht="21.95" customHeight="1">
      <c r="A35" s="79" t="s">
        <v>7</v>
      </c>
      <c r="B35" s="80" t="s">
        <v>672</v>
      </c>
      <c r="C35" s="80" t="s">
        <v>649</v>
      </c>
      <c r="D35" s="1234">
        <v>1</v>
      </c>
      <c r="E35" s="86">
        <v>3.8547008547008552</v>
      </c>
      <c r="F35" s="86">
        <v>3</v>
      </c>
      <c r="G35" s="86">
        <v>18.512499999999999</v>
      </c>
      <c r="H35" s="86">
        <v>3</v>
      </c>
      <c r="I35" s="82">
        <f t="shared" si="5"/>
        <v>28.367200854700855</v>
      </c>
      <c r="J35" s="81">
        <v>1.2</v>
      </c>
      <c r="K35" s="81">
        <v>1</v>
      </c>
      <c r="L35" s="81">
        <v>4</v>
      </c>
      <c r="M35" s="81">
        <v>0</v>
      </c>
      <c r="N35" s="82">
        <f t="shared" si="23"/>
        <v>6.2</v>
      </c>
      <c r="O35" s="82">
        <f t="shared" si="34"/>
        <v>5.0547008547008554</v>
      </c>
      <c r="P35" s="82">
        <f t="shared" si="35"/>
        <v>4</v>
      </c>
      <c r="Q35" s="82">
        <f t="shared" si="36"/>
        <v>22.512499999999999</v>
      </c>
      <c r="R35" s="82">
        <f t="shared" si="37"/>
        <v>3</v>
      </c>
      <c r="S35" s="93">
        <f t="shared" si="25"/>
        <v>34.567200854700857</v>
      </c>
      <c r="T35" s="81">
        <v>5.166666666666667</v>
      </c>
      <c r="U35" s="81">
        <v>4</v>
      </c>
      <c r="V35" s="81">
        <v>22</v>
      </c>
      <c r="W35" s="81">
        <v>3</v>
      </c>
      <c r="X35" s="93">
        <f t="shared" si="26"/>
        <v>34.166666666666671</v>
      </c>
      <c r="Y35" s="81">
        <v>5.166666666666667</v>
      </c>
      <c r="Z35" s="81">
        <v>4</v>
      </c>
      <c r="AA35" s="81">
        <v>22</v>
      </c>
      <c r="AB35" s="81">
        <v>3</v>
      </c>
      <c r="AC35" s="82">
        <f t="shared" si="27"/>
        <v>34.166666666666671</v>
      </c>
      <c r="AD35" s="82">
        <f>(Y35*6800+Z35*5750+AA35*5295+AB35*4400)*12</f>
        <v>2253880</v>
      </c>
      <c r="AE35" s="82">
        <f t="shared" si="11"/>
        <v>147600.00000000003</v>
      </c>
      <c r="AF35" s="82">
        <f t="shared" si="12"/>
        <v>205000.00000000003</v>
      </c>
      <c r="AG35" s="82">
        <f t="shared" si="13"/>
        <v>82000.000000000015</v>
      </c>
      <c r="AH35" s="82">
        <f t="shared" si="14"/>
        <v>321166.66666666669</v>
      </c>
      <c r="AI35" s="82">
        <f t="shared" si="15"/>
        <v>27333.333333333336</v>
      </c>
      <c r="AJ35" s="82">
        <f t="shared" si="16"/>
        <v>10000</v>
      </c>
      <c r="AK35" s="82">
        <f t="shared" si="17"/>
        <v>32800.000000000007</v>
      </c>
      <c r="AL35" s="82">
        <f t="shared" si="18"/>
        <v>1040712.84</v>
      </c>
      <c r="AM35" s="82">
        <f t="shared" si="2"/>
        <v>4120492.84</v>
      </c>
      <c r="AN35" s="82">
        <v>4037624.8600000003</v>
      </c>
      <c r="AO35" s="82">
        <v>105246.95</v>
      </c>
      <c r="AP35" s="82"/>
      <c r="AQ35" s="121">
        <f t="shared" si="19"/>
        <v>4142871.8100000005</v>
      </c>
      <c r="AR35" s="1230">
        <v>5004989</v>
      </c>
      <c r="AS35" s="1230"/>
      <c r="AT35" s="1230">
        <f t="shared" si="20"/>
        <v>5004989</v>
      </c>
      <c r="AU35" s="121">
        <f t="shared" si="33"/>
        <v>-862117.18999999948</v>
      </c>
      <c r="AV35" s="174"/>
      <c r="AW35" s="1232">
        <f t="shared" si="38"/>
        <v>-862117.18999999948</v>
      </c>
      <c r="AX35" s="121"/>
      <c r="AY35" s="121"/>
      <c r="AZ35" s="82"/>
    </row>
    <row r="36" spans="1:52" s="85" customFormat="1" ht="21.95" customHeight="1">
      <c r="A36" s="1225"/>
      <c r="B36" s="1225" t="s">
        <v>673</v>
      </c>
      <c r="C36" s="1225"/>
      <c r="D36" s="1235">
        <f t="shared" ref="D36:AU36" si="40">SUM(D25:D35)</f>
        <v>8</v>
      </c>
      <c r="E36" s="84">
        <f t="shared" si="40"/>
        <v>104.93883105850649</v>
      </c>
      <c r="F36" s="84">
        <f t="shared" si="40"/>
        <v>59</v>
      </c>
      <c r="G36" s="84">
        <f t="shared" si="40"/>
        <v>122.83749999999999</v>
      </c>
      <c r="H36" s="84">
        <f t="shared" si="40"/>
        <v>48</v>
      </c>
      <c r="I36" s="84">
        <f t="shared" si="40"/>
        <v>334.77633105850651</v>
      </c>
      <c r="J36" s="84">
        <f t="shared" si="40"/>
        <v>12.7</v>
      </c>
      <c r="K36" s="84">
        <f t="shared" si="40"/>
        <v>5.583333333333333</v>
      </c>
      <c r="L36" s="84">
        <f t="shared" si="40"/>
        <v>12.533333333333333</v>
      </c>
      <c r="M36" s="84">
        <f t="shared" si="40"/>
        <v>3.0833333333333335</v>
      </c>
      <c r="N36" s="84">
        <f t="shared" si="40"/>
        <v>33.9</v>
      </c>
      <c r="O36" s="84">
        <f t="shared" si="40"/>
        <v>117.6388310585065</v>
      </c>
      <c r="P36" s="84">
        <f t="shared" si="40"/>
        <v>64.583333333333343</v>
      </c>
      <c r="Q36" s="84">
        <f t="shared" si="40"/>
        <v>135.37083333333331</v>
      </c>
      <c r="R36" s="84">
        <f t="shared" si="40"/>
        <v>51.083333333333336</v>
      </c>
      <c r="S36" s="1238">
        <f t="shared" si="40"/>
        <v>368.67633105850649</v>
      </c>
      <c r="T36" s="84">
        <f t="shared" si="40"/>
        <v>41.166666666666664</v>
      </c>
      <c r="U36" s="84">
        <f t="shared" si="40"/>
        <v>51.5</v>
      </c>
      <c r="V36" s="84">
        <f t="shared" si="40"/>
        <v>132.16666666666666</v>
      </c>
      <c r="W36" s="84">
        <f t="shared" si="40"/>
        <v>46.416666666666671</v>
      </c>
      <c r="X36" s="1238">
        <f t="shared" si="40"/>
        <v>271.25</v>
      </c>
      <c r="Y36" s="84">
        <f t="shared" si="40"/>
        <v>41.166666666666664</v>
      </c>
      <c r="Z36" s="84">
        <f t="shared" si="40"/>
        <v>51.5</v>
      </c>
      <c r="AA36" s="84">
        <f t="shared" si="40"/>
        <v>132.16666666666666</v>
      </c>
      <c r="AB36" s="84">
        <f t="shared" si="40"/>
        <v>46.416666666666671</v>
      </c>
      <c r="AC36" s="84">
        <f t="shared" si="40"/>
        <v>271.25</v>
      </c>
      <c r="AD36" s="84">
        <f t="shared" si="40"/>
        <v>17936870</v>
      </c>
      <c r="AE36" s="84">
        <f t="shared" si="40"/>
        <v>1171800</v>
      </c>
      <c r="AF36" s="84">
        <f t="shared" si="40"/>
        <v>1627500</v>
      </c>
      <c r="AG36" s="84">
        <f t="shared" si="40"/>
        <v>651000</v>
      </c>
      <c r="AH36" s="84">
        <f t="shared" si="40"/>
        <v>2670750</v>
      </c>
      <c r="AI36" s="84">
        <f t="shared" si="40"/>
        <v>217000.00000000003</v>
      </c>
      <c r="AJ36" s="84">
        <f t="shared" si="40"/>
        <v>80000</v>
      </c>
      <c r="AK36" s="84">
        <f t="shared" si="40"/>
        <v>260400</v>
      </c>
      <c r="AL36" s="84">
        <f t="shared" si="40"/>
        <v>8262244.6200000001</v>
      </c>
      <c r="AM36" s="84">
        <f t="shared" si="40"/>
        <v>32877564.620000001</v>
      </c>
      <c r="AN36" s="84">
        <f t="shared" si="40"/>
        <v>31908613.922800422</v>
      </c>
      <c r="AO36" s="84">
        <f t="shared" si="40"/>
        <v>500936.45</v>
      </c>
      <c r="AP36" s="84">
        <f t="shared" si="40"/>
        <v>303553</v>
      </c>
      <c r="AQ36" s="84">
        <f t="shared" si="40"/>
        <v>32713103.372800425</v>
      </c>
      <c r="AR36" s="84">
        <f t="shared" si="40"/>
        <v>35975429.75</v>
      </c>
      <c r="AS36" s="84">
        <f t="shared" si="40"/>
        <v>32137.1</v>
      </c>
      <c r="AT36" s="84">
        <f t="shared" si="40"/>
        <v>35943292.649999999</v>
      </c>
      <c r="AU36" s="84">
        <f t="shared" si="40"/>
        <v>-3262326.377199579</v>
      </c>
      <c r="AV36" s="84">
        <f>SUM(AV18:AV35)</f>
        <v>365100</v>
      </c>
      <c r="AW36" s="84">
        <f>SUM(AW25:AW35)</f>
        <v>-3627426.377199579</v>
      </c>
      <c r="AX36" s="84">
        <f t="shared" ref="AX36:AZ36" si="41">SUM(AX25:AX35)</f>
        <v>0</v>
      </c>
      <c r="AY36" s="84">
        <f t="shared" si="41"/>
        <v>300000</v>
      </c>
      <c r="AZ36" s="84">
        <f t="shared" si="41"/>
        <v>-300000</v>
      </c>
    </row>
    <row r="37" spans="1:52" s="83" customFormat="1" ht="21.95" customHeight="1">
      <c r="A37" s="1239" t="s">
        <v>6</v>
      </c>
      <c r="B37" s="80" t="s">
        <v>674</v>
      </c>
      <c r="C37" s="80" t="s">
        <v>649</v>
      </c>
      <c r="D37" s="1234">
        <v>2</v>
      </c>
      <c r="E37" s="86">
        <v>0</v>
      </c>
      <c r="F37" s="86">
        <v>5</v>
      </c>
      <c r="G37" s="86">
        <v>25</v>
      </c>
      <c r="H37" s="86">
        <v>2</v>
      </c>
      <c r="I37" s="82">
        <f t="shared" si="5"/>
        <v>32</v>
      </c>
      <c r="J37" s="81">
        <v>0</v>
      </c>
      <c r="K37" s="81">
        <v>0</v>
      </c>
      <c r="L37" s="81">
        <v>0</v>
      </c>
      <c r="M37" s="81">
        <v>0</v>
      </c>
      <c r="N37" s="82">
        <f t="shared" si="23"/>
        <v>0</v>
      </c>
      <c r="O37" s="82">
        <f t="shared" ref="O37:R51" si="42">E37+J37</f>
        <v>0</v>
      </c>
      <c r="P37" s="82">
        <f t="shared" si="42"/>
        <v>5</v>
      </c>
      <c r="Q37" s="82">
        <f t="shared" si="42"/>
        <v>25</v>
      </c>
      <c r="R37" s="82">
        <f t="shared" si="42"/>
        <v>2</v>
      </c>
      <c r="S37" s="93">
        <f t="shared" si="25"/>
        <v>32</v>
      </c>
      <c r="T37" s="81">
        <v>0</v>
      </c>
      <c r="U37" s="81">
        <v>5</v>
      </c>
      <c r="V37" s="81">
        <v>25</v>
      </c>
      <c r="W37" s="81">
        <v>2</v>
      </c>
      <c r="X37" s="93">
        <f t="shared" si="26"/>
        <v>32</v>
      </c>
      <c r="Y37" s="81">
        <v>0</v>
      </c>
      <c r="Z37" s="81">
        <v>5</v>
      </c>
      <c r="AA37" s="81">
        <v>25</v>
      </c>
      <c r="AB37" s="81">
        <v>2</v>
      </c>
      <c r="AC37" s="82">
        <f t="shared" si="27"/>
        <v>32</v>
      </c>
      <c r="AD37" s="82">
        <f t="shared" ref="AD37:AD44" si="43">(Y37*6800+Z37*5750+AA37*5295+AB37*4400)*12</f>
        <v>2039100</v>
      </c>
      <c r="AE37" s="82">
        <f t="shared" si="11"/>
        <v>138240</v>
      </c>
      <c r="AF37" s="82">
        <f t="shared" si="12"/>
        <v>192000</v>
      </c>
      <c r="AG37" s="82">
        <f t="shared" si="13"/>
        <v>76800</v>
      </c>
      <c r="AH37" s="82">
        <f t="shared" si="14"/>
        <v>300800</v>
      </c>
      <c r="AI37" s="82">
        <f t="shared" si="15"/>
        <v>25600</v>
      </c>
      <c r="AJ37" s="82">
        <f t="shared" si="16"/>
        <v>20000</v>
      </c>
      <c r="AK37" s="82">
        <f t="shared" si="17"/>
        <v>30720</v>
      </c>
      <c r="AL37" s="82">
        <f t="shared" si="18"/>
        <v>974716.42</v>
      </c>
      <c r="AM37" s="82">
        <f t="shared" si="2"/>
        <v>3797976.42</v>
      </c>
      <c r="AN37" s="82">
        <v>3774266.7</v>
      </c>
      <c r="AO37" s="82"/>
      <c r="AP37" s="82"/>
      <c r="AQ37" s="121">
        <f t="shared" si="19"/>
        <v>3774266.7</v>
      </c>
      <c r="AR37" s="1231">
        <v>4002174</v>
      </c>
      <c r="AS37" s="1231"/>
      <c r="AT37" s="1230">
        <f t="shared" si="20"/>
        <v>4002174</v>
      </c>
      <c r="AU37" s="82">
        <f t="shared" ref="AU37:AU51" si="44">AQ37-AR37</f>
        <v>-227907.29999999981</v>
      </c>
      <c r="AV37" s="174"/>
      <c r="AW37" s="1232">
        <f t="shared" si="38"/>
        <v>-227907.29999999981</v>
      </c>
      <c r="AX37" s="82"/>
      <c r="AY37" s="121"/>
      <c r="AZ37" s="82"/>
    </row>
    <row r="38" spans="1:52" ht="21.95" customHeight="1">
      <c r="A38" s="79" t="s">
        <v>6</v>
      </c>
      <c r="B38" s="80" t="s">
        <v>675</v>
      </c>
      <c r="C38" s="80" t="s">
        <v>649</v>
      </c>
      <c r="D38" s="1234">
        <v>2</v>
      </c>
      <c r="E38" s="86">
        <v>0</v>
      </c>
      <c r="F38" s="86">
        <v>1</v>
      </c>
      <c r="G38" s="86">
        <v>21.262499999999999</v>
      </c>
      <c r="H38" s="86">
        <v>3</v>
      </c>
      <c r="I38" s="82">
        <f t="shared" si="5"/>
        <v>25.262499999999999</v>
      </c>
      <c r="J38" s="81">
        <v>0</v>
      </c>
      <c r="K38" s="81">
        <v>0</v>
      </c>
      <c r="L38" s="81">
        <v>1</v>
      </c>
      <c r="M38" s="81">
        <v>0</v>
      </c>
      <c r="N38" s="82">
        <f t="shared" si="23"/>
        <v>1</v>
      </c>
      <c r="O38" s="82">
        <f t="shared" si="42"/>
        <v>0</v>
      </c>
      <c r="P38" s="82">
        <f t="shared" si="42"/>
        <v>1</v>
      </c>
      <c r="Q38" s="82">
        <f t="shared" si="42"/>
        <v>22.262499999999999</v>
      </c>
      <c r="R38" s="82">
        <f t="shared" si="42"/>
        <v>3</v>
      </c>
      <c r="S38" s="93">
        <f t="shared" si="25"/>
        <v>26.262499999999999</v>
      </c>
      <c r="T38" s="81">
        <v>0</v>
      </c>
      <c r="U38" s="81">
        <v>1</v>
      </c>
      <c r="V38" s="81">
        <v>22.25</v>
      </c>
      <c r="W38" s="81">
        <v>2.3333333333333335</v>
      </c>
      <c r="X38" s="93">
        <f t="shared" si="26"/>
        <v>25.583333333333332</v>
      </c>
      <c r="Y38" s="81">
        <v>0</v>
      </c>
      <c r="Z38" s="81">
        <v>1</v>
      </c>
      <c r="AA38" s="81">
        <v>22.25</v>
      </c>
      <c r="AB38" s="81">
        <v>2.3333333333333335</v>
      </c>
      <c r="AC38" s="82">
        <f t="shared" si="27"/>
        <v>25.583333333333332</v>
      </c>
      <c r="AD38" s="82">
        <f t="shared" si="43"/>
        <v>1605965</v>
      </c>
      <c r="AE38" s="82">
        <f t="shared" si="11"/>
        <v>110520</v>
      </c>
      <c r="AF38" s="82">
        <f t="shared" si="12"/>
        <v>153500</v>
      </c>
      <c r="AG38" s="82">
        <f t="shared" si="13"/>
        <v>61400</v>
      </c>
      <c r="AH38" s="82">
        <f t="shared" si="14"/>
        <v>240483.33333333331</v>
      </c>
      <c r="AI38" s="82">
        <f t="shared" si="15"/>
        <v>20466.666666666664</v>
      </c>
      <c r="AJ38" s="82">
        <f t="shared" si="16"/>
        <v>20000</v>
      </c>
      <c r="AK38" s="82">
        <f t="shared" si="17"/>
        <v>24560</v>
      </c>
      <c r="AL38" s="82">
        <f t="shared" si="18"/>
        <v>779265.47</v>
      </c>
      <c r="AM38" s="82">
        <f t="shared" si="2"/>
        <v>3016160.4699999997</v>
      </c>
      <c r="AN38" s="82">
        <v>2908902.04</v>
      </c>
      <c r="AO38" s="82"/>
      <c r="AP38" s="82"/>
      <c r="AQ38" s="121">
        <f t="shared" si="19"/>
        <v>2908902.04</v>
      </c>
      <c r="AR38" s="1230">
        <v>3463160</v>
      </c>
      <c r="AS38" s="1230"/>
      <c r="AT38" s="1230">
        <f t="shared" si="20"/>
        <v>3463160</v>
      </c>
      <c r="AU38" s="121">
        <f t="shared" si="44"/>
        <v>-554257.96</v>
      </c>
      <c r="AV38" s="174"/>
      <c r="AW38" s="1232">
        <f t="shared" si="38"/>
        <v>-554257.96</v>
      </c>
      <c r="AX38" s="121"/>
      <c r="AY38" s="121"/>
      <c r="AZ38" s="82"/>
    </row>
    <row r="39" spans="1:52" ht="21.95" customHeight="1">
      <c r="A39" s="79" t="s">
        <v>6</v>
      </c>
      <c r="B39" s="80" t="s">
        <v>676</v>
      </c>
      <c r="C39" s="80" t="s">
        <v>649</v>
      </c>
      <c r="D39" s="1234">
        <v>4</v>
      </c>
      <c r="E39" s="86">
        <v>1.5982905982906033</v>
      </c>
      <c r="F39" s="86">
        <v>6</v>
      </c>
      <c r="G39" s="86">
        <v>41.325000000000003</v>
      </c>
      <c r="H39" s="86">
        <v>6</v>
      </c>
      <c r="I39" s="82">
        <f t="shared" si="5"/>
        <v>54.923290598290606</v>
      </c>
      <c r="J39" s="81">
        <v>4</v>
      </c>
      <c r="K39" s="81">
        <v>4</v>
      </c>
      <c r="L39" s="81">
        <v>5</v>
      </c>
      <c r="M39" s="81">
        <v>0</v>
      </c>
      <c r="N39" s="82">
        <f t="shared" si="23"/>
        <v>13</v>
      </c>
      <c r="O39" s="82">
        <f t="shared" si="42"/>
        <v>5.5982905982906033</v>
      </c>
      <c r="P39" s="82">
        <f t="shared" si="42"/>
        <v>10</v>
      </c>
      <c r="Q39" s="82">
        <f t="shared" si="42"/>
        <v>46.325000000000003</v>
      </c>
      <c r="R39" s="82">
        <f t="shared" si="42"/>
        <v>6</v>
      </c>
      <c r="S39" s="93">
        <f t="shared" si="25"/>
        <v>67.923290598290606</v>
      </c>
      <c r="T39" s="81">
        <v>6.75</v>
      </c>
      <c r="U39" s="81">
        <v>9.25</v>
      </c>
      <c r="V39" s="81">
        <v>45.333333333333336</v>
      </c>
      <c r="W39" s="81">
        <v>6</v>
      </c>
      <c r="X39" s="93">
        <f t="shared" si="26"/>
        <v>67.333333333333343</v>
      </c>
      <c r="Y39" s="81">
        <v>6.75</v>
      </c>
      <c r="Z39" s="81">
        <v>9.25</v>
      </c>
      <c r="AA39" s="81">
        <v>45.333333333333336</v>
      </c>
      <c r="AB39" s="81">
        <v>6</v>
      </c>
      <c r="AC39" s="82">
        <f t="shared" si="27"/>
        <v>67.333333333333343</v>
      </c>
      <c r="AD39" s="82">
        <f t="shared" si="43"/>
        <v>4386330</v>
      </c>
      <c r="AE39" s="82">
        <f t="shared" si="11"/>
        <v>290880.00000000006</v>
      </c>
      <c r="AF39" s="82">
        <f t="shared" si="12"/>
        <v>404000.00000000006</v>
      </c>
      <c r="AG39" s="82">
        <f t="shared" si="13"/>
        <v>161600.00000000003</v>
      </c>
      <c r="AH39" s="82">
        <f t="shared" si="14"/>
        <v>632933.33333333337</v>
      </c>
      <c r="AI39" s="82">
        <f t="shared" si="15"/>
        <v>53866.666666666672</v>
      </c>
      <c r="AJ39" s="82">
        <f t="shared" si="16"/>
        <v>40000</v>
      </c>
      <c r="AK39" s="82">
        <f t="shared" si="17"/>
        <v>64640.000000000007</v>
      </c>
      <c r="AL39" s="82">
        <f t="shared" si="18"/>
        <v>2050965.79</v>
      </c>
      <c r="AM39" s="82">
        <f t="shared" si="2"/>
        <v>8085215.79</v>
      </c>
      <c r="AN39" s="82">
        <v>7389587.7400000002</v>
      </c>
      <c r="AO39" s="82">
        <v>194675</v>
      </c>
      <c r="AP39" s="82"/>
      <c r="AQ39" s="121">
        <f t="shared" si="19"/>
        <v>7584262.7400000002</v>
      </c>
      <c r="AR39" s="1230">
        <v>8604862</v>
      </c>
      <c r="AS39" s="1230"/>
      <c r="AT39" s="1230">
        <f t="shared" si="20"/>
        <v>8604862</v>
      </c>
      <c r="AU39" s="121">
        <f t="shared" si="44"/>
        <v>-1020599.2599999998</v>
      </c>
      <c r="AV39" s="174"/>
      <c r="AW39" s="1232">
        <f t="shared" si="38"/>
        <v>-1020599.2599999998</v>
      </c>
      <c r="AX39" s="121"/>
      <c r="AY39" s="121"/>
      <c r="AZ39" s="82"/>
    </row>
    <row r="40" spans="1:52" s="83" customFormat="1" ht="21.95" customHeight="1">
      <c r="A40" s="79" t="s">
        <v>6</v>
      </c>
      <c r="B40" s="80" t="s">
        <v>470</v>
      </c>
      <c r="C40" s="80" t="s">
        <v>649</v>
      </c>
      <c r="D40" s="1234">
        <v>2</v>
      </c>
      <c r="E40" s="86">
        <v>0</v>
      </c>
      <c r="F40" s="86">
        <v>1</v>
      </c>
      <c r="G40" s="86">
        <v>21.212499999999999</v>
      </c>
      <c r="H40" s="86">
        <v>1</v>
      </c>
      <c r="I40" s="82">
        <f t="shared" si="5"/>
        <v>23.212499999999999</v>
      </c>
      <c r="J40" s="81">
        <v>2.4</v>
      </c>
      <c r="K40" s="81">
        <v>0</v>
      </c>
      <c r="L40" s="81">
        <v>3</v>
      </c>
      <c r="M40" s="81">
        <v>0</v>
      </c>
      <c r="N40" s="82">
        <f t="shared" si="23"/>
        <v>5.4</v>
      </c>
      <c r="O40" s="82">
        <f t="shared" si="42"/>
        <v>2.4</v>
      </c>
      <c r="P40" s="82">
        <f t="shared" si="42"/>
        <v>1</v>
      </c>
      <c r="Q40" s="82">
        <f t="shared" si="42"/>
        <v>24.212499999999999</v>
      </c>
      <c r="R40" s="82">
        <f t="shared" si="42"/>
        <v>1</v>
      </c>
      <c r="S40" s="93">
        <f t="shared" si="25"/>
        <v>28.612499999999997</v>
      </c>
      <c r="T40" s="81">
        <v>2.4166666666666665</v>
      </c>
      <c r="U40" s="81">
        <v>1.3333333333333333</v>
      </c>
      <c r="V40" s="81">
        <v>23.666666666666668</v>
      </c>
      <c r="W40" s="81">
        <v>1</v>
      </c>
      <c r="X40" s="93">
        <f t="shared" si="26"/>
        <v>28.416666666666668</v>
      </c>
      <c r="Y40" s="81">
        <v>2.4166666666666665</v>
      </c>
      <c r="Z40" s="81">
        <v>1.3333333333333333</v>
      </c>
      <c r="AA40" s="81">
        <v>23.666666666666668</v>
      </c>
      <c r="AB40" s="81">
        <v>1</v>
      </c>
      <c r="AC40" s="82">
        <f t="shared" si="27"/>
        <v>28.416666666666668</v>
      </c>
      <c r="AD40" s="82">
        <f t="shared" si="43"/>
        <v>1845780</v>
      </c>
      <c r="AE40" s="82">
        <f t="shared" si="11"/>
        <v>122760</v>
      </c>
      <c r="AF40" s="82">
        <f t="shared" si="12"/>
        <v>170500</v>
      </c>
      <c r="AG40" s="82">
        <f t="shared" si="13"/>
        <v>68200</v>
      </c>
      <c r="AH40" s="82">
        <f t="shared" si="14"/>
        <v>267116.66666666669</v>
      </c>
      <c r="AI40" s="82">
        <f t="shared" si="15"/>
        <v>22733.333333333336</v>
      </c>
      <c r="AJ40" s="82">
        <f t="shared" si="16"/>
        <v>20000</v>
      </c>
      <c r="AK40" s="82">
        <f t="shared" si="17"/>
        <v>27280</v>
      </c>
      <c r="AL40" s="82">
        <f t="shared" si="18"/>
        <v>865568.48</v>
      </c>
      <c r="AM40" s="82">
        <f t="shared" si="2"/>
        <v>3409938.48</v>
      </c>
      <c r="AN40" s="82">
        <f>3286839.22-7299.75</f>
        <v>3279539.47</v>
      </c>
      <c r="AO40" s="82">
        <f>43798.5+7299.75</f>
        <v>51098.25</v>
      </c>
      <c r="AP40" s="82"/>
      <c r="AQ40" s="121">
        <f t="shared" si="19"/>
        <v>3330637.72</v>
      </c>
      <c r="AR40" s="1231">
        <v>3659306</v>
      </c>
      <c r="AS40" s="1231"/>
      <c r="AT40" s="1230">
        <f t="shared" si="20"/>
        <v>3659306</v>
      </c>
      <c r="AU40" s="82">
        <f t="shared" si="44"/>
        <v>-328668.2799999998</v>
      </c>
      <c r="AV40" s="174"/>
      <c r="AW40" s="1232">
        <f t="shared" si="38"/>
        <v>-328668.2799999998</v>
      </c>
      <c r="AX40" s="82"/>
      <c r="AY40" s="121"/>
      <c r="AZ40" s="82"/>
    </row>
    <row r="41" spans="1:52" s="83" customFormat="1" ht="21.95" customHeight="1">
      <c r="A41" s="79" t="s">
        <v>6</v>
      </c>
      <c r="B41" s="80" t="s">
        <v>469</v>
      </c>
      <c r="C41" s="80" t="s">
        <v>649</v>
      </c>
      <c r="D41" s="1234">
        <v>3</v>
      </c>
      <c r="E41" s="86">
        <v>0</v>
      </c>
      <c r="F41" s="86">
        <v>2</v>
      </c>
      <c r="G41" s="86">
        <v>24.925000000000001</v>
      </c>
      <c r="H41" s="86">
        <v>4</v>
      </c>
      <c r="I41" s="82">
        <f t="shared" si="5"/>
        <v>30.925000000000001</v>
      </c>
      <c r="J41" s="81">
        <v>0</v>
      </c>
      <c r="K41" s="81">
        <v>0</v>
      </c>
      <c r="L41" s="81">
        <v>1.3</v>
      </c>
      <c r="M41" s="81">
        <v>0</v>
      </c>
      <c r="N41" s="82">
        <f t="shared" si="23"/>
        <v>1.3</v>
      </c>
      <c r="O41" s="82">
        <f t="shared" si="42"/>
        <v>0</v>
      </c>
      <c r="P41" s="82">
        <f t="shared" si="42"/>
        <v>2</v>
      </c>
      <c r="Q41" s="82">
        <f t="shared" si="42"/>
        <v>26.225000000000001</v>
      </c>
      <c r="R41" s="82">
        <f t="shared" si="42"/>
        <v>4</v>
      </c>
      <c r="S41" s="93">
        <f t="shared" si="25"/>
        <v>32.225000000000001</v>
      </c>
      <c r="T41" s="81">
        <v>0</v>
      </c>
      <c r="U41" s="81">
        <v>1</v>
      </c>
      <c r="V41" s="81">
        <v>26.333333333333332</v>
      </c>
      <c r="W41" s="81">
        <v>4</v>
      </c>
      <c r="X41" s="93">
        <f t="shared" si="26"/>
        <v>31.333333333333332</v>
      </c>
      <c r="Y41" s="81">
        <v>0</v>
      </c>
      <c r="Z41" s="81">
        <v>1</v>
      </c>
      <c r="AA41" s="81">
        <v>26.333333333333332</v>
      </c>
      <c r="AB41" s="81">
        <v>4</v>
      </c>
      <c r="AC41" s="82">
        <f t="shared" si="27"/>
        <v>31.333333333333332</v>
      </c>
      <c r="AD41" s="82">
        <f t="shared" si="43"/>
        <v>1953420</v>
      </c>
      <c r="AE41" s="82">
        <f t="shared" si="11"/>
        <v>135360</v>
      </c>
      <c r="AF41" s="82">
        <f t="shared" si="12"/>
        <v>188000</v>
      </c>
      <c r="AG41" s="82">
        <f t="shared" si="13"/>
        <v>75200</v>
      </c>
      <c r="AH41" s="82">
        <f t="shared" si="14"/>
        <v>294533.33333333331</v>
      </c>
      <c r="AI41" s="82">
        <f t="shared" si="15"/>
        <v>25066.666666666664</v>
      </c>
      <c r="AJ41" s="82">
        <f t="shared" si="16"/>
        <v>30000</v>
      </c>
      <c r="AK41" s="82">
        <f t="shared" si="17"/>
        <v>30080</v>
      </c>
      <c r="AL41" s="82">
        <f t="shared" si="18"/>
        <v>954409.82</v>
      </c>
      <c r="AM41" s="82">
        <f t="shared" si="2"/>
        <v>3686069.82</v>
      </c>
      <c r="AN41" s="82">
        <v>3517433.8</v>
      </c>
      <c r="AO41" s="82">
        <v>71667.8</v>
      </c>
      <c r="AP41" s="82"/>
      <c r="AQ41" s="121">
        <f t="shared" si="19"/>
        <v>3589101.5999999996</v>
      </c>
      <c r="AR41" s="1231">
        <v>3957694</v>
      </c>
      <c r="AS41" s="1231"/>
      <c r="AT41" s="1230">
        <f t="shared" si="20"/>
        <v>3957694</v>
      </c>
      <c r="AU41" s="82">
        <f t="shared" si="44"/>
        <v>-368592.40000000037</v>
      </c>
      <c r="AV41" s="174"/>
      <c r="AW41" s="1232">
        <f t="shared" si="38"/>
        <v>-368592.40000000037</v>
      </c>
      <c r="AX41" s="82"/>
      <c r="AY41" s="121"/>
      <c r="AZ41" s="82"/>
    </row>
    <row r="42" spans="1:52" ht="21.95" customHeight="1">
      <c r="A42" s="79" t="s">
        <v>6</v>
      </c>
      <c r="B42" s="80" t="s">
        <v>467</v>
      </c>
      <c r="C42" s="80" t="s">
        <v>959</v>
      </c>
      <c r="D42" s="1234"/>
      <c r="E42" s="86">
        <v>0</v>
      </c>
      <c r="F42" s="86">
        <v>9</v>
      </c>
      <c r="G42" s="86">
        <v>0</v>
      </c>
      <c r="H42" s="86">
        <v>5.5</v>
      </c>
      <c r="I42" s="82">
        <f t="shared" si="5"/>
        <v>14.5</v>
      </c>
      <c r="J42" s="81">
        <v>2.9166666666666665</v>
      </c>
      <c r="K42" s="81">
        <v>0</v>
      </c>
      <c r="L42" s="81">
        <v>0</v>
      </c>
      <c r="M42" s="81">
        <v>0.58333333333333337</v>
      </c>
      <c r="N42" s="82">
        <f t="shared" si="23"/>
        <v>3.5</v>
      </c>
      <c r="O42" s="82">
        <f t="shared" si="42"/>
        <v>2.9166666666666665</v>
      </c>
      <c r="P42" s="82">
        <f t="shared" si="42"/>
        <v>9</v>
      </c>
      <c r="Q42" s="82">
        <f t="shared" si="42"/>
        <v>0</v>
      </c>
      <c r="R42" s="82">
        <f t="shared" si="42"/>
        <v>6.083333333333333</v>
      </c>
      <c r="S42" s="93">
        <f t="shared" si="25"/>
        <v>18</v>
      </c>
      <c r="T42" s="81">
        <v>3.6666666666666665</v>
      </c>
      <c r="U42" s="81">
        <v>2</v>
      </c>
      <c r="V42" s="81">
        <v>0</v>
      </c>
      <c r="W42" s="81">
        <v>4.833333333333333</v>
      </c>
      <c r="X42" s="93">
        <f t="shared" si="26"/>
        <v>10.5</v>
      </c>
      <c r="Y42" s="81">
        <v>3.6666666666666665</v>
      </c>
      <c r="Z42" s="81">
        <v>2</v>
      </c>
      <c r="AA42" s="81">
        <v>0</v>
      </c>
      <c r="AB42" s="81">
        <v>4.833333333333333</v>
      </c>
      <c r="AC42" s="82">
        <f t="shared" si="27"/>
        <v>10.5</v>
      </c>
      <c r="AD42" s="82">
        <f t="shared" si="43"/>
        <v>692399.99999999988</v>
      </c>
      <c r="AE42" s="82">
        <f t="shared" si="11"/>
        <v>45360</v>
      </c>
      <c r="AF42" s="82">
        <f t="shared" si="12"/>
        <v>63000</v>
      </c>
      <c r="AG42" s="82">
        <f t="shared" si="13"/>
        <v>25200</v>
      </c>
      <c r="AH42" s="82">
        <f t="shared" si="14"/>
        <v>98700</v>
      </c>
      <c r="AI42" s="82">
        <f t="shared" si="15"/>
        <v>8400</v>
      </c>
      <c r="AJ42" s="82">
        <f t="shared" si="16"/>
        <v>0</v>
      </c>
      <c r="AK42" s="82">
        <f t="shared" si="17"/>
        <v>10080</v>
      </c>
      <c r="AL42" s="82">
        <f t="shared" si="18"/>
        <v>319828.82</v>
      </c>
      <c r="AM42" s="82">
        <f t="shared" si="2"/>
        <v>1262968.8199999998</v>
      </c>
      <c r="AN42" s="82">
        <v>1177539.8400000001</v>
      </c>
      <c r="AO42" s="82"/>
      <c r="AP42" s="82">
        <v>34433</v>
      </c>
      <c r="AQ42" s="121">
        <f t="shared" si="19"/>
        <v>1211972.8400000001</v>
      </c>
      <c r="AR42" s="1230">
        <v>949088</v>
      </c>
      <c r="AS42" s="1230"/>
      <c r="AT42" s="1230">
        <f t="shared" si="20"/>
        <v>949088</v>
      </c>
      <c r="AU42" s="121">
        <f t="shared" si="44"/>
        <v>262884.84000000008</v>
      </c>
      <c r="AV42" s="174"/>
      <c r="AW42" s="1232">
        <f t="shared" si="38"/>
        <v>262884.84000000008</v>
      </c>
      <c r="AX42" s="121"/>
      <c r="AY42" s="121"/>
      <c r="AZ42" s="82"/>
    </row>
    <row r="43" spans="1:52" ht="21.95" customHeight="1">
      <c r="A43" s="79" t="s">
        <v>6</v>
      </c>
      <c r="B43" s="80" t="s">
        <v>677</v>
      </c>
      <c r="C43" s="80" t="s">
        <v>959</v>
      </c>
      <c r="D43" s="1234"/>
      <c r="E43" s="86">
        <v>13.793103448275858</v>
      </c>
      <c r="F43" s="86">
        <v>13.5</v>
      </c>
      <c r="G43" s="86">
        <v>0</v>
      </c>
      <c r="H43" s="86">
        <v>8</v>
      </c>
      <c r="I43" s="82">
        <f t="shared" si="5"/>
        <v>35.293103448275858</v>
      </c>
      <c r="J43" s="81">
        <v>2.0833333333333335</v>
      </c>
      <c r="K43" s="81">
        <v>0</v>
      </c>
      <c r="L43" s="81">
        <v>0</v>
      </c>
      <c r="M43" s="81">
        <v>0</v>
      </c>
      <c r="N43" s="82">
        <f t="shared" si="23"/>
        <v>2.0833333333333335</v>
      </c>
      <c r="O43" s="82">
        <f t="shared" si="42"/>
        <v>15.876436781609192</v>
      </c>
      <c r="P43" s="82">
        <f t="shared" si="42"/>
        <v>13.5</v>
      </c>
      <c r="Q43" s="82">
        <f t="shared" si="42"/>
        <v>0</v>
      </c>
      <c r="R43" s="82">
        <f t="shared" si="42"/>
        <v>8</v>
      </c>
      <c r="S43" s="93">
        <f t="shared" si="25"/>
        <v>37.376436781609193</v>
      </c>
      <c r="T43" s="81">
        <v>8.5</v>
      </c>
      <c r="U43" s="81">
        <v>4</v>
      </c>
      <c r="V43" s="81">
        <v>0</v>
      </c>
      <c r="W43" s="81">
        <v>6</v>
      </c>
      <c r="X43" s="93">
        <f t="shared" si="26"/>
        <v>18.5</v>
      </c>
      <c r="Y43" s="81">
        <v>8.5</v>
      </c>
      <c r="Z43" s="81">
        <v>4</v>
      </c>
      <c r="AA43" s="81">
        <v>0</v>
      </c>
      <c r="AB43" s="81">
        <v>6</v>
      </c>
      <c r="AC43" s="82">
        <f t="shared" si="27"/>
        <v>18.5</v>
      </c>
      <c r="AD43" s="82">
        <f t="shared" si="43"/>
        <v>1286400</v>
      </c>
      <c r="AE43" s="82">
        <f t="shared" si="11"/>
        <v>79920</v>
      </c>
      <c r="AF43" s="82">
        <f t="shared" si="12"/>
        <v>111000</v>
      </c>
      <c r="AG43" s="82">
        <f t="shared" si="13"/>
        <v>44400</v>
      </c>
      <c r="AH43" s="82">
        <f t="shared" si="14"/>
        <v>173900</v>
      </c>
      <c r="AI43" s="82">
        <f t="shared" si="15"/>
        <v>14800</v>
      </c>
      <c r="AJ43" s="82">
        <f t="shared" si="16"/>
        <v>0</v>
      </c>
      <c r="AK43" s="82">
        <f t="shared" si="17"/>
        <v>17760</v>
      </c>
      <c r="AL43" s="82">
        <f t="shared" si="18"/>
        <v>563507.93000000005</v>
      </c>
      <c r="AM43" s="82">
        <f t="shared" si="2"/>
        <v>2291687.9300000002</v>
      </c>
      <c r="AN43" s="82">
        <v>2239067.66</v>
      </c>
      <c r="AO43" s="82">
        <v>18668.580000000002</v>
      </c>
      <c r="AP43" s="82">
        <v>68917.5</v>
      </c>
      <c r="AQ43" s="121">
        <f t="shared" si="19"/>
        <v>2326653.7400000002</v>
      </c>
      <c r="AR43" s="1230">
        <v>2685854</v>
      </c>
      <c r="AS43" s="1230"/>
      <c r="AT43" s="1230">
        <f t="shared" si="20"/>
        <v>2685854</v>
      </c>
      <c r="AU43" s="121">
        <f t="shared" si="44"/>
        <v>-359200.25999999978</v>
      </c>
      <c r="AV43" s="174"/>
      <c r="AW43" s="1232">
        <f t="shared" si="38"/>
        <v>-359200.25999999978</v>
      </c>
      <c r="AX43" s="121"/>
      <c r="AY43" s="121"/>
      <c r="AZ43" s="82"/>
    </row>
    <row r="44" spans="1:52" ht="21.95" customHeight="1">
      <c r="A44" s="79" t="s">
        <v>6</v>
      </c>
      <c r="B44" s="80" t="s">
        <v>468</v>
      </c>
      <c r="C44" s="80" t="s">
        <v>959</v>
      </c>
      <c r="D44" s="1234"/>
      <c r="E44" s="86">
        <v>0</v>
      </c>
      <c r="F44" s="86">
        <v>8</v>
      </c>
      <c r="G44" s="86">
        <v>0</v>
      </c>
      <c r="H44" s="86">
        <v>5</v>
      </c>
      <c r="I44" s="82">
        <f t="shared" si="5"/>
        <v>13</v>
      </c>
      <c r="J44" s="81">
        <v>0</v>
      </c>
      <c r="K44" s="81">
        <v>0</v>
      </c>
      <c r="L44" s="81">
        <v>0</v>
      </c>
      <c r="M44" s="81">
        <v>0</v>
      </c>
      <c r="N44" s="82">
        <f t="shared" si="23"/>
        <v>0</v>
      </c>
      <c r="O44" s="82">
        <f t="shared" si="42"/>
        <v>0</v>
      </c>
      <c r="P44" s="82">
        <f t="shared" si="42"/>
        <v>8</v>
      </c>
      <c r="Q44" s="82">
        <f t="shared" si="42"/>
        <v>0</v>
      </c>
      <c r="R44" s="82">
        <f t="shared" si="42"/>
        <v>5</v>
      </c>
      <c r="S44" s="93">
        <f t="shared" si="25"/>
        <v>13</v>
      </c>
      <c r="T44" s="81">
        <v>0</v>
      </c>
      <c r="U44" s="81">
        <v>1.0833333333333333</v>
      </c>
      <c r="V44" s="81">
        <v>2</v>
      </c>
      <c r="W44" s="81">
        <v>3</v>
      </c>
      <c r="X44" s="93">
        <f t="shared" si="26"/>
        <v>6.083333333333333</v>
      </c>
      <c r="Y44" s="81">
        <v>0</v>
      </c>
      <c r="Z44" s="81">
        <v>1.0833333333333333</v>
      </c>
      <c r="AA44" s="81">
        <v>2</v>
      </c>
      <c r="AB44" s="81">
        <v>3</v>
      </c>
      <c r="AC44" s="82">
        <f t="shared" si="27"/>
        <v>6.083333333333333</v>
      </c>
      <c r="AD44" s="82">
        <f t="shared" si="43"/>
        <v>360230</v>
      </c>
      <c r="AE44" s="82">
        <f t="shared" si="11"/>
        <v>26280</v>
      </c>
      <c r="AF44" s="82">
        <f t="shared" si="12"/>
        <v>36500</v>
      </c>
      <c r="AG44" s="82">
        <f t="shared" si="13"/>
        <v>14600</v>
      </c>
      <c r="AH44" s="82">
        <f t="shared" si="14"/>
        <v>57183.333333333328</v>
      </c>
      <c r="AI44" s="82">
        <f t="shared" si="15"/>
        <v>4866.6666666666661</v>
      </c>
      <c r="AJ44" s="82">
        <f t="shared" si="16"/>
        <v>0</v>
      </c>
      <c r="AK44" s="82">
        <f t="shared" si="17"/>
        <v>5840</v>
      </c>
      <c r="AL44" s="82">
        <f t="shared" si="18"/>
        <v>185297.65</v>
      </c>
      <c r="AM44" s="82">
        <f t="shared" si="2"/>
        <v>690797.65</v>
      </c>
      <c r="AN44" s="82">
        <v>659790.06000000006</v>
      </c>
      <c r="AO44" s="82"/>
      <c r="AP44" s="82"/>
      <c r="AQ44" s="121">
        <f t="shared" si="19"/>
        <v>659790.06000000006</v>
      </c>
      <c r="AR44" s="1230">
        <v>850875</v>
      </c>
      <c r="AS44" s="1230"/>
      <c r="AT44" s="1230">
        <f t="shared" si="20"/>
        <v>850875</v>
      </c>
      <c r="AU44" s="121">
        <f t="shared" si="44"/>
        <v>-191084.93999999994</v>
      </c>
      <c r="AV44" s="174"/>
      <c r="AW44" s="1232">
        <f t="shared" si="38"/>
        <v>-191084.93999999994</v>
      </c>
      <c r="AX44" s="121"/>
      <c r="AY44" s="121"/>
      <c r="AZ44" s="82"/>
    </row>
    <row r="45" spans="1:52" ht="21.95" customHeight="1">
      <c r="A45" s="79"/>
      <c r="B45" s="80" t="s">
        <v>466</v>
      </c>
      <c r="C45" s="80" t="s">
        <v>464</v>
      </c>
      <c r="D45" s="1234"/>
      <c r="E45" s="86">
        <v>24.705882352941174</v>
      </c>
      <c r="F45" s="86">
        <v>10</v>
      </c>
      <c r="G45" s="86">
        <v>0</v>
      </c>
      <c r="H45" s="86">
        <v>5</v>
      </c>
      <c r="I45" s="82">
        <f t="shared" si="5"/>
        <v>39.705882352941174</v>
      </c>
      <c r="J45" s="81">
        <v>2.3333333333333335</v>
      </c>
      <c r="K45" s="81">
        <v>0</v>
      </c>
      <c r="L45" s="81">
        <v>0</v>
      </c>
      <c r="M45" s="81">
        <v>0</v>
      </c>
      <c r="N45" s="82">
        <f t="shared" si="23"/>
        <v>2.3333333333333335</v>
      </c>
      <c r="O45" s="82">
        <f t="shared" si="42"/>
        <v>27.039215686274506</v>
      </c>
      <c r="P45" s="82">
        <f t="shared" si="42"/>
        <v>10</v>
      </c>
      <c r="Q45" s="82">
        <f t="shared" si="42"/>
        <v>0</v>
      </c>
      <c r="R45" s="82">
        <f t="shared" si="42"/>
        <v>5</v>
      </c>
      <c r="S45" s="93">
        <f t="shared" si="25"/>
        <v>42.039215686274503</v>
      </c>
      <c r="T45" s="81">
        <v>5.583333333333333</v>
      </c>
      <c r="U45" s="81">
        <v>4.3333333333333339</v>
      </c>
      <c r="V45" s="81">
        <v>1</v>
      </c>
      <c r="W45" s="81">
        <v>6.916666666666667</v>
      </c>
      <c r="X45" s="93">
        <f t="shared" si="26"/>
        <v>17.833333333333336</v>
      </c>
      <c r="Y45" s="81">
        <v>5.583333333333333</v>
      </c>
      <c r="Z45" s="81">
        <v>4.3333333333333339</v>
      </c>
      <c r="AA45" s="81">
        <v>1</v>
      </c>
      <c r="AB45" s="81">
        <v>6.916666666666667</v>
      </c>
      <c r="AC45" s="82">
        <f t="shared" si="27"/>
        <v>17.833333333333336</v>
      </c>
      <c r="AD45" s="82">
        <f>(Y45*7800+Z45*5750+AA45*5295+AB45*4400)*12</f>
        <v>1250340</v>
      </c>
      <c r="AE45" s="82">
        <f t="shared" si="11"/>
        <v>77040.000000000015</v>
      </c>
      <c r="AF45" s="82">
        <f t="shared" si="12"/>
        <v>107000.00000000001</v>
      </c>
      <c r="AG45" s="82">
        <f t="shared" si="13"/>
        <v>42800.000000000007</v>
      </c>
      <c r="AH45" s="82">
        <f t="shared" ref="AH45:AH48" si="45">Y45*15400+(Z45+AA45+AB45)*9400</f>
        <v>201133.33333333331</v>
      </c>
      <c r="AI45" s="82">
        <f t="shared" si="15"/>
        <v>14266.666666666668</v>
      </c>
      <c r="AJ45" s="82">
        <f t="shared" si="16"/>
        <v>0</v>
      </c>
      <c r="AK45" s="82">
        <f t="shared" si="17"/>
        <v>17120.000000000004</v>
      </c>
      <c r="AL45" s="82">
        <f t="shared" si="18"/>
        <v>543201.34</v>
      </c>
      <c r="AM45" s="82">
        <f t="shared" si="2"/>
        <v>2252901.34</v>
      </c>
      <c r="AN45" s="82">
        <v>2169736.08</v>
      </c>
      <c r="AO45" s="82"/>
      <c r="AP45" s="82">
        <v>112894</v>
      </c>
      <c r="AQ45" s="121">
        <f t="shared" si="19"/>
        <v>2282630.08</v>
      </c>
      <c r="AR45" s="1230">
        <v>2399216</v>
      </c>
      <c r="AS45" s="1230"/>
      <c r="AT45" s="1230">
        <f t="shared" si="20"/>
        <v>2399216</v>
      </c>
      <c r="AU45" s="121">
        <f t="shared" si="44"/>
        <v>-116585.91999999993</v>
      </c>
      <c r="AV45" s="174"/>
      <c r="AW45" s="1232">
        <f t="shared" si="38"/>
        <v>-116585.91999999993</v>
      </c>
      <c r="AX45" s="121"/>
      <c r="AY45" s="121"/>
      <c r="AZ45" s="82"/>
    </row>
    <row r="46" spans="1:52" ht="21.95" customHeight="1">
      <c r="A46" s="79" t="s">
        <v>6</v>
      </c>
      <c r="B46" s="80" t="s">
        <v>226</v>
      </c>
      <c r="C46" s="80" t="s">
        <v>464</v>
      </c>
      <c r="D46" s="1234"/>
      <c r="E46" s="86">
        <v>12</v>
      </c>
      <c r="F46" s="86">
        <v>10</v>
      </c>
      <c r="G46" s="86">
        <v>0</v>
      </c>
      <c r="H46" s="86">
        <v>5</v>
      </c>
      <c r="I46" s="82">
        <f>SUM(E46:H46)</f>
        <v>27</v>
      </c>
      <c r="J46" s="81">
        <v>1.1666666666666667</v>
      </c>
      <c r="K46" s="81">
        <v>0.33333333333333331</v>
      </c>
      <c r="L46" s="81">
        <v>0</v>
      </c>
      <c r="M46" s="81">
        <v>0</v>
      </c>
      <c r="N46" s="82">
        <f>SUM(J46:M46)</f>
        <v>1.5</v>
      </c>
      <c r="O46" s="82">
        <f>E46+J46</f>
        <v>13.166666666666666</v>
      </c>
      <c r="P46" s="82">
        <f>F46+K46</f>
        <v>10.333333333333334</v>
      </c>
      <c r="Q46" s="82">
        <f>G46+L46</f>
        <v>0</v>
      </c>
      <c r="R46" s="82">
        <f>H46+M46</f>
        <v>5</v>
      </c>
      <c r="S46" s="93">
        <f>SUM(O46:R46)</f>
        <v>28.5</v>
      </c>
      <c r="T46" s="81">
        <v>2.5833333333333335</v>
      </c>
      <c r="U46" s="81">
        <v>8.9166666666666661</v>
      </c>
      <c r="V46" s="81">
        <v>0</v>
      </c>
      <c r="W46" s="81">
        <v>4.333333333333333</v>
      </c>
      <c r="X46" s="93">
        <f>SUM(T46:W46)</f>
        <v>15.833333333333332</v>
      </c>
      <c r="Y46" s="81">
        <v>2.5833333333333335</v>
      </c>
      <c r="Z46" s="81">
        <v>8.9166666666666661</v>
      </c>
      <c r="AA46" s="81">
        <v>0</v>
      </c>
      <c r="AB46" s="81">
        <v>4.333333333333333</v>
      </c>
      <c r="AC46" s="82">
        <f>SUM(Y46:AB46)</f>
        <v>15.833333333333332</v>
      </c>
      <c r="AD46" s="82">
        <f>(Y46*7800+Z46*5750+AA46*5295+AB46*4400)*12</f>
        <v>1085850</v>
      </c>
      <c r="AE46" s="82">
        <f t="shared" si="11"/>
        <v>68400</v>
      </c>
      <c r="AF46" s="82">
        <f t="shared" si="12"/>
        <v>95000</v>
      </c>
      <c r="AG46" s="82">
        <f t="shared" si="13"/>
        <v>38000</v>
      </c>
      <c r="AH46" s="82">
        <f t="shared" si="45"/>
        <v>164333.33333333334</v>
      </c>
      <c r="AI46" s="82">
        <f t="shared" si="15"/>
        <v>12666.666666666666</v>
      </c>
      <c r="AJ46" s="82">
        <f t="shared" si="16"/>
        <v>0</v>
      </c>
      <c r="AK46" s="82">
        <f t="shared" si="17"/>
        <v>15199.999999999998</v>
      </c>
      <c r="AL46" s="82">
        <f t="shared" si="18"/>
        <v>482281.56</v>
      </c>
      <c r="AM46" s="82">
        <f t="shared" si="2"/>
        <v>1961731.56</v>
      </c>
      <c r="AN46" s="82">
        <v>1874167.66</v>
      </c>
      <c r="AO46" s="82"/>
      <c r="AP46" s="82">
        <v>40816.5</v>
      </c>
      <c r="AQ46" s="121">
        <f t="shared" si="19"/>
        <v>1914984.16</v>
      </c>
      <c r="AR46" s="1230">
        <v>1964729.25</v>
      </c>
      <c r="AS46" s="1230"/>
      <c r="AT46" s="1230">
        <f t="shared" si="20"/>
        <v>1964729.25</v>
      </c>
      <c r="AU46" s="121">
        <f t="shared" si="44"/>
        <v>-49745.090000000084</v>
      </c>
      <c r="AV46" s="174"/>
      <c r="AW46" s="1232">
        <f t="shared" si="38"/>
        <v>-49745.090000000084</v>
      </c>
      <c r="AX46" s="121"/>
      <c r="AY46" s="121"/>
      <c r="AZ46" s="82"/>
    </row>
    <row r="47" spans="1:52" ht="21.95" customHeight="1">
      <c r="A47" s="79" t="s">
        <v>6</v>
      </c>
      <c r="B47" s="80" t="s">
        <v>3195</v>
      </c>
      <c r="C47" s="80" t="s">
        <v>972</v>
      </c>
      <c r="D47" s="1234"/>
      <c r="E47" s="86">
        <v>0</v>
      </c>
      <c r="F47" s="86">
        <v>12</v>
      </c>
      <c r="G47" s="86">
        <v>0</v>
      </c>
      <c r="H47" s="86">
        <v>8</v>
      </c>
      <c r="I47" s="82">
        <f t="shared" si="5"/>
        <v>20</v>
      </c>
      <c r="J47" s="81">
        <v>0</v>
      </c>
      <c r="K47" s="81">
        <v>0.5</v>
      </c>
      <c r="L47" s="81">
        <v>0</v>
      </c>
      <c r="M47" s="81">
        <v>0</v>
      </c>
      <c r="N47" s="82">
        <f t="shared" si="23"/>
        <v>0.5</v>
      </c>
      <c r="O47" s="82">
        <f t="shared" si="42"/>
        <v>0</v>
      </c>
      <c r="P47" s="82">
        <f t="shared" si="42"/>
        <v>12.5</v>
      </c>
      <c r="Q47" s="82">
        <f t="shared" si="42"/>
        <v>0</v>
      </c>
      <c r="R47" s="82">
        <f t="shared" si="42"/>
        <v>8</v>
      </c>
      <c r="S47" s="93">
        <f t="shared" si="25"/>
        <v>20.5</v>
      </c>
      <c r="T47" s="81">
        <v>1.5</v>
      </c>
      <c r="U47" s="81">
        <v>9.0833333333333339</v>
      </c>
      <c r="V47" s="81">
        <v>0</v>
      </c>
      <c r="W47" s="81">
        <v>6.083333333333333</v>
      </c>
      <c r="X47" s="93">
        <f t="shared" si="26"/>
        <v>16.666666666666668</v>
      </c>
      <c r="Y47" s="81">
        <v>1.5</v>
      </c>
      <c r="Z47" s="81">
        <v>9.0833333333333339</v>
      </c>
      <c r="AA47" s="81">
        <v>0</v>
      </c>
      <c r="AB47" s="81">
        <v>6.083333333333333</v>
      </c>
      <c r="AC47" s="82">
        <f t="shared" si="27"/>
        <v>16.666666666666668</v>
      </c>
      <c r="AD47" s="82">
        <f>(Y47*7300+Z47*5750+AA47*5295+AB47*4400)*12</f>
        <v>1079350</v>
      </c>
      <c r="AE47" s="82">
        <f t="shared" si="11"/>
        <v>72000</v>
      </c>
      <c r="AF47" s="82">
        <f t="shared" si="12"/>
        <v>100000</v>
      </c>
      <c r="AG47" s="82">
        <f t="shared" si="13"/>
        <v>40000</v>
      </c>
      <c r="AH47" s="82">
        <f t="shared" si="45"/>
        <v>165666.66666666669</v>
      </c>
      <c r="AI47" s="82">
        <f t="shared" si="15"/>
        <v>13333.333333333334</v>
      </c>
      <c r="AJ47" s="82">
        <f t="shared" si="16"/>
        <v>0</v>
      </c>
      <c r="AK47" s="82">
        <f t="shared" si="17"/>
        <v>16000.000000000002</v>
      </c>
      <c r="AL47" s="82">
        <f t="shared" si="18"/>
        <v>507664.8</v>
      </c>
      <c r="AM47" s="82">
        <f t="shared" si="2"/>
        <v>1994014.8</v>
      </c>
      <c r="AN47" s="82">
        <v>1895872.8</v>
      </c>
      <c r="AO47" s="82"/>
      <c r="AP47" s="82">
        <v>11985</v>
      </c>
      <c r="AQ47" s="121">
        <f t="shared" si="19"/>
        <v>1907857.8</v>
      </c>
      <c r="AR47" s="1230">
        <v>2404376.5</v>
      </c>
      <c r="AS47" s="1230"/>
      <c r="AT47" s="1230">
        <f t="shared" si="20"/>
        <v>2404376.5</v>
      </c>
      <c r="AU47" s="121">
        <f t="shared" si="44"/>
        <v>-496518.69999999995</v>
      </c>
      <c r="AV47" s="174"/>
      <c r="AW47" s="1232">
        <f t="shared" si="38"/>
        <v>-496518.69999999995</v>
      </c>
      <c r="AX47" s="121"/>
      <c r="AY47" s="121"/>
      <c r="AZ47" s="82"/>
    </row>
    <row r="48" spans="1:52" s="83" customFormat="1" ht="21.95" customHeight="1">
      <c r="A48" s="79" t="s">
        <v>6</v>
      </c>
      <c r="B48" s="80" t="s">
        <v>678</v>
      </c>
      <c r="C48" s="80" t="s">
        <v>464</v>
      </c>
      <c r="D48" s="1234"/>
      <c r="E48" s="86">
        <v>32.470588235294116</v>
      </c>
      <c r="F48" s="86">
        <v>11</v>
      </c>
      <c r="G48" s="86">
        <v>0</v>
      </c>
      <c r="H48" s="86">
        <v>6</v>
      </c>
      <c r="I48" s="82">
        <f>SUM(E48:H48)</f>
        <v>49.470588235294116</v>
      </c>
      <c r="J48" s="81">
        <v>0.83333333333333337</v>
      </c>
      <c r="K48" s="81">
        <v>0</v>
      </c>
      <c r="L48" s="81">
        <v>0</v>
      </c>
      <c r="M48" s="81">
        <v>0.58333333333333337</v>
      </c>
      <c r="N48" s="82">
        <f>SUM(J48:M48)</f>
        <v>1.4166666666666667</v>
      </c>
      <c r="O48" s="82">
        <f>E48+J48</f>
        <v>33.303921568627452</v>
      </c>
      <c r="P48" s="82">
        <f>F48+K48</f>
        <v>11</v>
      </c>
      <c r="Q48" s="82">
        <f>G48+L48</f>
        <v>0</v>
      </c>
      <c r="R48" s="82">
        <f>H48+M48</f>
        <v>6.583333333333333</v>
      </c>
      <c r="S48" s="93">
        <f>SUM(O48:R48)</f>
        <v>50.887254901960787</v>
      </c>
      <c r="T48" s="81">
        <v>6.333333333333333</v>
      </c>
      <c r="U48" s="81">
        <v>6.666666666666667</v>
      </c>
      <c r="V48" s="81">
        <v>0</v>
      </c>
      <c r="W48" s="81">
        <v>7.333333333333333</v>
      </c>
      <c r="X48" s="93">
        <f>SUM(T48:W48)</f>
        <v>20.333333333333332</v>
      </c>
      <c r="Y48" s="81">
        <v>6.333333333333333</v>
      </c>
      <c r="Z48" s="81">
        <v>6.666666666666667</v>
      </c>
      <c r="AA48" s="81">
        <v>0</v>
      </c>
      <c r="AB48" s="81">
        <v>7.333333333333333</v>
      </c>
      <c r="AC48" s="82">
        <f>SUM(Y48:AB48)</f>
        <v>20.333333333333332</v>
      </c>
      <c r="AD48" s="82">
        <f>(Y48*7800+Z48*5750+AA48*5295+AB48*4400)*12</f>
        <v>1440000</v>
      </c>
      <c r="AE48" s="82">
        <f t="shared" si="11"/>
        <v>87840</v>
      </c>
      <c r="AF48" s="82">
        <f t="shared" si="12"/>
        <v>122000</v>
      </c>
      <c r="AG48" s="82">
        <f t="shared" si="13"/>
        <v>48800</v>
      </c>
      <c r="AH48" s="82">
        <f t="shared" si="45"/>
        <v>229133.33333333331</v>
      </c>
      <c r="AI48" s="82">
        <f t="shared" si="15"/>
        <v>16266.666666666666</v>
      </c>
      <c r="AJ48" s="82">
        <f t="shared" si="16"/>
        <v>0</v>
      </c>
      <c r="AK48" s="82">
        <f t="shared" si="17"/>
        <v>19520</v>
      </c>
      <c r="AL48" s="82">
        <f t="shared" si="18"/>
        <v>619351.06000000006</v>
      </c>
      <c r="AM48" s="82">
        <f t="shared" si="2"/>
        <v>2582911.06</v>
      </c>
      <c r="AN48" s="82">
        <v>2446560.7400000002</v>
      </c>
      <c r="AO48" s="82"/>
      <c r="AP48" s="82">
        <v>93269</v>
      </c>
      <c r="AQ48" s="121">
        <f t="shared" si="19"/>
        <v>2539829.7400000002</v>
      </c>
      <c r="AR48" s="1231">
        <v>2913187</v>
      </c>
      <c r="AS48" s="1231"/>
      <c r="AT48" s="1230">
        <f t="shared" si="20"/>
        <v>2913187</v>
      </c>
      <c r="AU48" s="82">
        <f t="shared" si="44"/>
        <v>-373357.25999999978</v>
      </c>
      <c r="AV48" s="174"/>
      <c r="AW48" s="1232">
        <f t="shared" si="38"/>
        <v>-373357.25999999978</v>
      </c>
      <c r="AX48" s="82"/>
      <c r="AY48" s="121"/>
      <c r="AZ48" s="82"/>
    </row>
    <row r="49" spans="1:52" ht="21.95" customHeight="1">
      <c r="A49" s="79" t="s">
        <v>6</v>
      </c>
      <c r="B49" s="80" t="s">
        <v>679</v>
      </c>
      <c r="C49" s="80" t="s">
        <v>649</v>
      </c>
      <c r="D49" s="1234">
        <v>2</v>
      </c>
      <c r="E49" s="86">
        <v>3</v>
      </c>
      <c r="F49" s="86">
        <v>3</v>
      </c>
      <c r="G49" s="86">
        <v>23.925000000000001</v>
      </c>
      <c r="H49" s="86">
        <v>3</v>
      </c>
      <c r="I49" s="82">
        <f t="shared" si="5"/>
        <v>32.924999999999997</v>
      </c>
      <c r="J49" s="81">
        <v>0</v>
      </c>
      <c r="K49" s="81">
        <v>0.83333333333333337</v>
      </c>
      <c r="L49" s="81">
        <v>1.25</v>
      </c>
      <c r="M49" s="81">
        <v>0</v>
      </c>
      <c r="N49" s="82">
        <f t="shared" si="23"/>
        <v>2.0833333333333335</v>
      </c>
      <c r="O49" s="82">
        <f t="shared" si="42"/>
        <v>3</v>
      </c>
      <c r="P49" s="82">
        <f t="shared" si="42"/>
        <v>3.8333333333333335</v>
      </c>
      <c r="Q49" s="82">
        <f t="shared" si="42"/>
        <v>25.175000000000001</v>
      </c>
      <c r="R49" s="82">
        <f t="shared" si="42"/>
        <v>3</v>
      </c>
      <c r="S49" s="93">
        <f t="shared" si="25"/>
        <v>35.008333333333333</v>
      </c>
      <c r="T49" s="81">
        <v>3.6666666666666665</v>
      </c>
      <c r="U49" s="81">
        <v>2.916666666666667</v>
      </c>
      <c r="V49" s="81">
        <v>22.666666666666668</v>
      </c>
      <c r="W49" s="81">
        <v>2</v>
      </c>
      <c r="X49" s="93">
        <f t="shared" si="26"/>
        <v>31.25</v>
      </c>
      <c r="Y49" s="82">
        <v>3.6666666666666665</v>
      </c>
      <c r="Z49" s="82">
        <v>2.916666666666667</v>
      </c>
      <c r="AA49" s="82">
        <v>22.666666666666668</v>
      </c>
      <c r="AB49" s="82">
        <v>2</v>
      </c>
      <c r="AC49" s="82">
        <f t="shared" si="27"/>
        <v>31.25</v>
      </c>
      <c r="AD49" s="82">
        <f>(Y49*6800+Z49*5750+AA49*5295+AB49*4400)*12</f>
        <v>2046290.0000000002</v>
      </c>
      <c r="AE49" s="82">
        <f t="shared" si="11"/>
        <v>135000</v>
      </c>
      <c r="AF49" s="82">
        <f t="shared" si="12"/>
        <v>187500</v>
      </c>
      <c r="AG49" s="82">
        <f t="shared" si="13"/>
        <v>75000</v>
      </c>
      <c r="AH49" s="82">
        <f t="shared" si="14"/>
        <v>293750</v>
      </c>
      <c r="AI49" s="82">
        <f t="shared" si="15"/>
        <v>25000</v>
      </c>
      <c r="AJ49" s="82">
        <f t="shared" si="16"/>
        <v>20000</v>
      </c>
      <c r="AK49" s="82">
        <f t="shared" si="17"/>
        <v>30000</v>
      </c>
      <c r="AL49" s="82">
        <f t="shared" si="18"/>
        <v>951871.5</v>
      </c>
      <c r="AM49" s="82">
        <f t="shared" si="2"/>
        <v>3764411.5</v>
      </c>
      <c r="AN49" s="82">
        <v>3677083.9</v>
      </c>
      <c r="AO49" s="82"/>
      <c r="AP49" s="82"/>
      <c r="AQ49" s="121">
        <f t="shared" si="19"/>
        <v>3677083.9</v>
      </c>
      <c r="AR49" s="1230">
        <v>3783067</v>
      </c>
      <c r="AS49" s="1230"/>
      <c r="AT49" s="1230">
        <f t="shared" si="20"/>
        <v>3783067</v>
      </c>
      <c r="AU49" s="121">
        <f t="shared" si="44"/>
        <v>-105983.10000000009</v>
      </c>
      <c r="AV49" s="174"/>
      <c r="AW49" s="1232">
        <f t="shared" si="38"/>
        <v>-105983.10000000009</v>
      </c>
      <c r="AX49" s="121"/>
      <c r="AY49" s="121"/>
      <c r="AZ49" s="82"/>
    </row>
    <row r="50" spans="1:52" s="83" customFormat="1" ht="21.95" customHeight="1">
      <c r="A50" s="79" t="s">
        <v>6</v>
      </c>
      <c r="B50" s="80" t="s">
        <v>680</v>
      </c>
      <c r="C50" s="80" t="s">
        <v>649</v>
      </c>
      <c r="D50" s="1234">
        <v>1</v>
      </c>
      <c r="E50" s="86">
        <v>5</v>
      </c>
      <c r="F50" s="86">
        <v>1</v>
      </c>
      <c r="G50" s="86">
        <v>11.887499999999999</v>
      </c>
      <c r="H50" s="86">
        <v>1</v>
      </c>
      <c r="I50" s="82">
        <f t="shared" si="5"/>
        <v>18.887499999999999</v>
      </c>
      <c r="J50" s="81">
        <v>0</v>
      </c>
      <c r="K50" s="81">
        <v>0</v>
      </c>
      <c r="L50" s="81">
        <v>0</v>
      </c>
      <c r="M50" s="81">
        <v>0</v>
      </c>
      <c r="N50" s="82">
        <f t="shared" si="23"/>
        <v>0</v>
      </c>
      <c r="O50" s="82">
        <f t="shared" si="42"/>
        <v>5</v>
      </c>
      <c r="P50" s="82">
        <f t="shared" si="42"/>
        <v>1</v>
      </c>
      <c r="Q50" s="82">
        <f t="shared" si="42"/>
        <v>11.887499999999999</v>
      </c>
      <c r="R50" s="82">
        <f t="shared" si="42"/>
        <v>1</v>
      </c>
      <c r="S50" s="93">
        <f t="shared" si="25"/>
        <v>18.887499999999999</v>
      </c>
      <c r="T50" s="81">
        <v>1.5</v>
      </c>
      <c r="U50" s="81">
        <v>2</v>
      </c>
      <c r="V50" s="81">
        <v>12.833333333333334</v>
      </c>
      <c r="W50" s="81">
        <v>0.91666666666666663</v>
      </c>
      <c r="X50" s="93">
        <f t="shared" si="26"/>
        <v>17.250000000000004</v>
      </c>
      <c r="Y50" s="82">
        <v>1.5</v>
      </c>
      <c r="Z50" s="82">
        <v>2</v>
      </c>
      <c r="AA50" s="82">
        <v>12.833333333333334</v>
      </c>
      <c r="AB50" s="82">
        <v>0.91666666666666663</v>
      </c>
      <c r="AC50" s="82">
        <f t="shared" si="27"/>
        <v>17.250000000000004</v>
      </c>
      <c r="AD50" s="82">
        <f>(Y50*6800+Z50*5750+AA50*5295+AB50*4400)*12</f>
        <v>1124230</v>
      </c>
      <c r="AE50" s="82">
        <f t="shared" si="11"/>
        <v>74520.000000000015</v>
      </c>
      <c r="AF50" s="82">
        <f t="shared" si="12"/>
        <v>103500.00000000001</v>
      </c>
      <c r="AG50" s="82">
        <f t="shared" si="13"/>
        <v>41400.000000000007</v>
      </c>
      <c r="AH50" s="82">
        <f t="shared" si="14"/>
        <v>162150.00000000003</v>
      </c>
      <c r="AI50" s="82">
        <f t="shared" si="15"/>
        <v>13800.000000000004</v>
      </c>
      <c r="AJ50" s="82">
        <f t="shared" si="16"/>
        <v>10000</v>
      </c>
      <c r="AK50" s="82">
        <f t="shared" si="17"/>
        <v>16560.000000000004</v>
      </c>
      <c r="AL50" s="82">
        <f t="shared" si="18"/>
        <v>525433.06999999995</v>
      </c>
      <c r="AM50" s="82">
        <f t="shared" si="2"/>
        <v>2071593.0699999998</v>
      </c>
      <c r="AN50" s="82">
        <v>1995648.58</v>
      </c>
      <c r="AO50" s="82">
        <v>29138</v>
      </c>
      <c r="AP50" s="82"/>
      <c r="AQ50" s="121">
        <f t="shared" si="19"/>
        <v>2024786.58</v>
      </c>
      <c r="AR50" s="1231">
        <v>2289644</v>
      </c>
      <c r="AS50" s="1231"/>
      <c r="AT50" s="1230">
        <f t="shared" si="20"/>
        <v>2289644</v>
      </c>
      <c r="AU50" s="82">
        <f t="shared" si="44"/>
        <v>-264857.41999999993</v>
      </c>
      <c r="AV50" s="174"/>
      <c r="AW50" s="1232">
        <f t="shared" si="38"/>
        <v>-264857.41999999993</v>
      </c>
      <c r="AX50" s="82"/>
      <c r="AY50" s="121"/>
      <c r="AZ50" s="82"/>
    </row>
    <row r="51" spans="1:52" s="83" customFormat="1" ht="21.95" customHeight="1">
      <c r="A51" s="79" t="s">
        <v>6</v>
      </c>
      <c r="B51" s="80" t="s">
        <v>975</v>
      </c>
      <c r="C51" s="80" t="s">
        <v>649</v>
      </c>
      <c r="D51" s="1234">
        <v>1</v>
      </c>
      <c r="E51" s="86">
        <v>0</v>
      </c>
      <c r="F51" s="86">
        <v>2</v>
      </c>
      <c r="G51" s="86">
        <v>6.5875000000000004</v>
      </c>
      <c r="H51" s="86">
        <v>1</v>
      </c>
      <c r="I51" s="82">
        <f t="shared" si="5"/>
        <v>9.5875000000000004</v>
      </c>
      <c r="J51" s="81">
        <v>0</v>
      </c>
      <c r="K51" s="81">
        <v>0</v>
      </c>
      <c r="L51" s="81">
        <v>0</v>
      </c>
      <c r="M51" s="81">
        <v>0</v>
      </c>
      <c r="N51" s="82">
        <f t="shared" si="23"/>
        <v>0</v>
      </c>
      <c r="O51" s="82">
        <f t="shared" si="42"/>
        <v>0</v>
      </c>
      <c r="P51" s="82">
        <f>F51+K51</f>
        <v>2</v>
      </c>
      <c r="Q51" s="82">
        <f>G51+L51</f>
        <v>6.5875000000000004</v>
      </c>
      <c r="R51" s="82">
        <f>H51+M51</f>
        <v>1</v>
      </c>
      <c r="S51" s="93">
        <f t="shared" si="25"/>
        <v>9.5875000000000004</v>
      </c>
      <c r="T51" s="81">
        <v>0</v>
      </c>
      <c r="U51" s="81">
        <v>1.5</v>
      </c>
      <c r="V51" s="81">
        <v>7</v>
      </c>
      <c r="W51" s="81">
        <v>1</v>
      </c>
      <c r="X51" s="93">
        <f t="shared" si="26"/>
        <v>9.5</v>
      </c>
      <c r="Y51" s="82">
        <v>0</v>
      </c>
      <c r="Z51" s="82">
        <v>1.5</v>
      </c>
      <c r="AA51" s="82">
        <v>7</v>
      </c>
      <c r="AB51" s="82">
        <v>1</v>
      </c>
      <c r="AC51" s="82">
        <f t="shared" si="27"/>
        <v>9.5</v>
      </c>
      <c r="AD51" s="82">
        <f>(Y51*6800+Z51*5750+AA51*5295+AB51*4400)*12</f>
        <v>601080</v>
      </c>
      <c r="AE51" s="82">
        <f t="shared" si="11"/>
        <v>41040</v>
      </c>
      <c r="AF51" s="82">
        <f t="shared" si="12"/>
        <v>57000</v>
      </c>
      <c r="AG51" s="82">
        <f t="shared" si="13"/>
        <v>22800</v>
      </c>
      <c r="AH51" s="82">
        <f t="shared" si="14"/>
        <v>89300</v>
      </c>
      <c r="AI51" s="82">
        <f t="shared" si="15"/>
        <v>7600</v>
      </c>
      <c r="AJ51" s="82">
        <f t="shared" si="16"/>
        <v>10000</v>
      </c>
      <c r="AK51" s="82">
        <f t="shared" si="17"/>
        <v>9120</v>
      </c>
      <c r="AL51" s="82">
        <f t="shared" si="18"/>
        <v>289368.94</v>
      </c>
      <c r="AM51" s="82">
        <f t="shared" si="2"/>
        <v>1127308.94</v>
      </c>
      <c r="AN51" s="82">
        <v>1121078.56</v>
      </c>
      <c r="AO51" s="82"/>
      <c r="AP51" s="82"/>
      <c r="AQ51" s="121">
        <f t="shared" si="19"/>
        <v>1121078.56</v>
      </c>
      <c r="AR51" s="1231">
        <v>1253976</v>
      </c>
      <c r="AS51" s="1231"/>
      <c r="AT51" s="1230">
        <f t="shared" si="20"/>
        <v>1253976</v>
      </c>
      <c r="AU51" s="121">
        <f t="shared" si="44"/>
        <v>-132897.43999999994</v>
      </c>
      <c r="AV51" s="174"/>
      <c r="AW51" s="1232">
        <f t="shared" si="38"/>
        <v>-132897.43999999994</v>
      </c>
      <c r="AX51" s="121"/>
      <c r="AY51" s="121"/>
      <c r="AZ51" s="82"/>
    </row>
    <row r="52" spans="1:52" s="85" customFormat="1" ht="21.95" customHeight="1">
      <c r="A52" s="1225"/>
      <c r="B52" s="1225" t="s">
        <v>681</v>
      </c>
      <c r="C52" s="1225"/>
      <c r="D52" s="1235">
        <f>SUM(D37:D51)</f>
        <v>17</v>
      </c>
      <c r="E52" s="84">
        <f t="shared" ref="E52:AZ52" si="46">SUM(E37:E51)</f>
        <v>92.567864634801751</v>
      </c>
      <c r="F52" s="84">
        <f t="shared" si="46"/>
        <v>94.5</v>
      </c>
      <c r="G52" s="84">
        <f t="shared" si="46"/>
        <v>176.12500000000003</v>
      </c>
      <c r="H52" s="84">
        <f t="shared" si="46"/>
        <v>63.5</v>
      </c>
      <c r="I52" s="84">
        <f t="shared" si="46"/>
        <v>426.69286463480171</v>
      </c>
      <c r="J52" s="84">
        <f t="shared" si="46"/>
        <v>15.733333333333334</v>
      </c>
      <c r="K52" s="84">
        <f t="shared" si="46"/>
        <v>5.6666666666666661</v>
      </c>
      <c r="L52" s="84">
        <f t="shared" si="46"/>
        <v>11.55</v>
      </c>
      <c r="M52" s="84">
        <f t="shared" si="46"/>
        <v>1.1666666666666667</v>
      </c>
      <c r="N52" s="84">
        <f t="shared" si="46"/>
        <v>34.116666666666667</v>
      </c>
      <c r="O52" s="84">
        <f t="shared" si="46"/>
        <v>108.30119796813509</v>
      </c>
      <c r="P52" s="84">
        <f t="shared" si="46"/>
        <v>100.16666666666666</v>
      </c>
      <c r="Q52" s="84">
        <f t="shared" si="46"/>
        <v>187.67500000000001</v>
      </c>
      <c r="R52" s="84">
        <f t="shared" si="46"/>
        <v>64.666666666666657</v>
      </c>
      <c r="S52" s="1238">
        <f t="shared" si="46"/>
        <v>460.80953130146833</v>
      </c>
      <c r="T52" s="84">
        <f t="shared" si="46"/>
        <v>42.499999999999993</v>
      </c>
      <c r="U52" s="84">
        <f t="shared" si="46"/>
        <v>60.083333333333329</v>
      </c>
      <c r="V52" s="84">
        <f t="shared" si="46"/>
        <v>188.08333333333334</v>
      </c>
      <c r="W52" s="84">
        <f t="shared" si="46"/>
        <v>57.750000000000007</v>
      </c>
      <c r="X52" s="1238">
        <f t="shared" si="46"/>
        <v>348.41666666666669</v>
      </c>
      <c r="Y52" s="84">
        <f t="shared" si="46"/>
        <v>42.499999999999993</v>
      </c>
      <c r="Z52" s="84">
        <f t="shared" si="46"/>
        <v>60.083333333333329</v>
      </c>
      <c r="AA52" s="84">
        <f t="shared" si="46"/>
        <v>188.08333333333334</v>
      </c>
      <c r="AB52" s="84">
        <f t="shared" si="46"/>
        <v>57.750000000000007</v>
      </c>
      <c r="AC52" s="84">
        <f t="shared" si="46"/>
        <v>348.41666666666669</v>
      </c>
      <c r="AD52" s="84">
        <f t="shared" si="46"/>
        <v>22796765</v>
      </c>
      <c r="AE52" s="84">
        <f t="shared" si="46"/>
        <v>1505160</v>
      </c>
      <c r="AF52" s="84">
        <f t="shared" si="46"/>
        <v>2090500</v>
      </c>
      <c r="AG52" s="84">
        <f t="shared" si="46"/>
        <v>836200</v>
      </c>
      <c r="AH52" s="84">
        <f t="shared" si="46"/>
        <v>3371116.6666666665</v>
      </c>
      <c r="AI52" s="84">
        <f t="shared" si="46"/>
        <v>278733.33333333331</v>
      </c>
      <c r="AJ52" s="84">
        <f t="shared" si="46"/>
        <v>170000</v>
      </c>
      <c r="AK52" s="84">
        <f t="shared" si="46"/>
        <v>334480</v>
      </c>
      <c r="AL52" s="84">
        <f t="shared" si="46"/>
        <v>10612732.65</v>
      </c>
      <c r="AM52" s="84">
        <f t="shared" si="46"/>
        <v>41995687.649999999</v>
      </c>
      <c r="AN52" s="84">
        <f t="shared" si="46"/>
        <v>40126275.630000003</v>
      </c>
      <c r="AO52" s="84">
        <f t="shared" si="46"/>
        <v>365247.63</v>
      </c>
      <c r="AP52" s="84">
        <f t="shared" si="46"/>
        <v>362315</v>
      </c>
      <c r="AQ52" s="84">
        <f t="shared" si="46"/>
        <v>40853838.259999998</v>
      </c>
      <c r="AR52" s="84">
        <f t="shared" si="46"/>
        <v>45181208.75</v>
      </c>
      <c r="AS52" s="84">
        <f t="shared" si="46"/>
        <v>0</v>
      </c>
      <c r="AT52" s="84">
        <f t="shared" si="46"/>
        <v>45181208.75</v>
      </c>
      <c r="AU52" s="84">
        <f t="shared" si="46"/>
        <v>-4327370.4899999984</v>
      </c>
      <c r="AV52" s="84">
        <f t="shared" si="46"/>
        <v>0</v>
      </c>
      <c r="AW52" s="84">
        <f t="shared" si="46"/>
        <v>-4327370.4899999984</v>
      </c>
      <c r="AX52" s="84">
        <f t="shared" si="46"/>
        <v>0</v>
      </c>
      <c r="AY52" s="84">
        <f t="shared" si="46"/>
        <v>0</v>
      </c>
      <c r="AZ52" s="84">
        <f t="shared" si="46"/>
        <v>0</v>
      </c>
    </row>
    <row r="53" spans="1:52" ht="21.95" customHeight="1">
      <c r="A53" s="79" t="s">
        <v>5</v>
      </c>
      <c r="B53" s="80" t="s">
        <v>682</v>
      </c>
      <c r="C53" s="80" t="s">
        <v>649</v>
      </c>
      <c r="D53" s="1234">
        <v>2</v>
      </c>
      <c r="E53" s="86">
        <v>0.86324786324786373</v>
      </c>
      <c r="F53" s="86">
        <v>4</v>
      </c>
      <c r="G53" s="86">
        <v>35.462499999999999</v>
      </c>
      <c r="H53" s="86">
        <v>2</v>
      </c>
      <c r="I53" s="82">
        <f t="shared" si="5"/>
        <v>42.325747863247862</v>
      </c>
      <c r="J53" s="81">
        <v>2.5</v>
      </c>
      <c r="K53" s="81">
        <v>0</v>
      </c>
      <c r="L53" s="81">
        <v>3.5</v>
      </c>
      <c r="M53" s="81">
        <v>0.41666666666666669</v>
      </c>
      <c r="N53" s="82">
        <f t="shared" si="23"/>
        <v>6.416666666666667</v>
      </c>
      <c r="O53" s="82">
        <f t="shared" ref="O53:R70" si="47">E53+J53</f>
        <v>3.3632478632478637</v>
      </c>
      <c r="P53" s="82">
        <f t="shared" si="47"/>
        <v>4</v>
      </c>
      <c r="Q53" s="82">
        <f t="shared" si="47"/>
        <v>38.962499999999999</v>
      </c>
      <c r="R53" s="82">
        <f t="shared" si="47"/>
        <v>2.4166666666666665</v>
      </c>
      <c r="S53" s="93">
        <f t="shared" si="25"/>
        <v>48.742414529914527</v>
      </c>
      <c r="T53" s="81">
        <v>3.5</v>
      </c>
      <c r="U53" s="81">
        <v>3.333333333333333</v>
      </c>
      <c r="V53" s="81">
        <v>38.5</v>
      </c>
      <c r="W53" s="81">
        <v>2</v>
      </c>
      <c r="X53" s="93">
        <f t="shared" si="26"/>
        <v>47.333333333333336</v>
      </c>
      <c r="Y53" s="81">
        <v>3.5</v>
      </c>
      <c r="Z53" s="81">
        <v>3.333333333333333</v>
      </c>
      <c r="AA53" s="81">
        <v>38.5</v>
      </c>
      <c r="AB53" s="81">
        <v>2</v>
      </c>
      <c r="AC53" s="82">
        <f t="shared" si="27"/>
        <v>47.333333333333336</v>
      </c>
      <c r="AD53" s="82">
        <f t="shared" ref="AD53:AD60" si="48">(Y53*6800+Z53*5750+AA53*5295+AB53*4400)*12</f>
        <v>3067490</v>
      </c>
      <c r="AE53" s="82">
        <f t="shared" si="11"/>
        <v>204480</v>
      </c>
      <c r="AF53" s="82">
        <f t="shared" si="12"/>
        <v>284000</v>
      </c>
      <c r="AG53" s="82">
        <f t="shared" si="13"/>
        <v>113600</v>
      </c>
      <c r="AH53" s="82">
        <f t="shared" si="14"/>
        <v>444933.33333333337</v>
      </c>
      <c r="AI53" s="82">
        <f t="shared" si="15"/>
        <v>37866.666666666672</v>
      </c>
      <c r="AJ53" s="82">
        <f t="shared" si="16"/>
        <v>20000</v>
      </c>
      <c r="AK53" s="82">
        <f t="shared" si="17"/>
        <v>45440</v>
      </c>
      <c r="AL53" s="82">
        <f t="shared" si="18"/>
        <v>1441768.03</v>
      </c>
      <c r="AM53" s="82">
        <f t="shared" si="2"/>
        <v>5659578.0300000003</v>
      </c>
      <c r="AN53" s="82">
        <v>5502372</v>
      </c>
      <c r="AO53" s="82"/>
      <c r="AP53" s="82"/>
      <c r="AQ53" s="121">
        <f t="shared" si="19"/>
        <v>5502372</v>
      </c>
      <c r="AR53" s="121">
        <v>5851457</v>
      </c>
      <c r="AS53" s="121">
        <v>2304570.71</v>
      </c>
      <c r="AT53" s="1230">
        <f t="shared" si="20"/>
        <v>3546886.29</v>
      </c>
      <c r="AU53" s="121">
        <f t="shared" ref="AU53:AU69" si="49">AQ53-AR53</f>
        <v>-349085</v>
      </c>
      <c r="AV53" s="174">
        <v>1080000</v>
      </c>
      <c r="AW53" s="1232">
        <f t="shared" si="38"/>
        <v>-1429085</v>
      </c>
      <c r="AX53" s="121">
        <v>0</v>
      </c>
      <c r="AY53" s="121">
        <v>300000</v>
      </c>
      <c r="AZ53" s="82">
        <v>-300000</v>
      </c>
    </row>
    <row r="54" spans="1:52" ht="21.95" customHeight="1">
      <c r="A54" s="79" t="s">
        <v>5</v>
      </c>
      <c r="B54" s="80" t="s">
        <v>683</v>
      </c>
      <c r="C54" s="80" t="s">
        <v>649</v>
      </c>
      <c r="D54" s="1234">
        <v>2</v>
      </c>
      <c r="E54" s="86">
        <v>18.230769230769234</v>
      </c>
      <c r="F54" s="86">
        <v>2</v>
      </c>
      <c r="G54" s="86">
        <v>35.662500000000001</v>
      </c>
      <c r="H54" s="86">
        <v>3</v>
      </c>
      <c r="I54" s="82">
        <f t="shared" si="5"/>
        <v>58.893269230769235</v>
      </c>
      <c r="J54" s="81">
        <v>0</v>
      </c>
      <c r="K54" s="81">
        <v>0</v>
      </c>
      <c r="L54" s="81">
        <v>0.58333333333333337</v>
      </c>
      <c r="M54" s="81">
        <v>0</v>
      </c>
      <c r="N54" s="82">
        <f t="shared" si="23"/>
        <v>0.58333333333333337</v>
      </c>
      <c r="O54" s="82">
        <f t="shared" si="47"/>
        <v>18.230769230769234</v>
      </c>
      <c r="P54" s="82">
        <f t="shared" si="47"/>
        <v>2</v>
      </c>
      <c r="Q54" s="82">
        <f t="shared" si="47"/>
        <v>36.245833333333337</v>
      </c>
      <c r="R54" s="82">
        <f t="shared" si="47"/>
        <v>3</v>
      </c>
      <c r="S54" s="93">
        <f t="shared" si="25"/>
        <v>59.476602564102571</v>
      </c>
      <c r="T54" s="81">
        <v>8</v>
      </c>
      <c r="U54" s="81">
        <v>4.5</v>
      </c>
      <c r="V54" s="81">
        <v>37.25</v>
      </c>
      <c r="W54" s="81">
        <v>3.1666666666666665</v>
      </c>
      <c r="X54" s="93">
        <f t="shared" si="26"/>
        <v>52.916666666666664</v>
      </c>
      <c r="Y54" s="81">
        <v>8</v>
      </c>
      <c r="Z54" s="81">
        <v>4.5</v>
      </c>
      <c r="AA54" s="81">
        <v>37.25</v>
      </c>
      <c r="AB54" s="81">
        <v>3.1666666666666665</v>
      </c>
      <c r="AC54" s="82">
        <f t="shared" si="27"/>
        <v>52.916666666666664</v>
      </c>
      <c r="AD54" s="82">
        <f t="shared" si="48"/>
        <v>3497365</v>
      </c>
      <c r="AE54" s="82">
        <f t="shared" si="11"/>
        <v>228600</v>
      </c>
      <c r="AF54" s="82">
        <f t="shared" si="12"/>
        <v>317500</v>
      </c>
      <c r="AG54" s="82">
        <f t="shared" si="13"/>
        <v>127000</v>
      </c>
      <c r="AH54" s="82">
        <f t="shared" si="14"/>
        <v>497416.66666666663</v>
      </c>
      <c r="AI54" s="82">
        <f t="shared" si="15"/>
        <v>42333.333333333328</v>
      </c>
      <c r="AJ54" s="82">
        <f t="shared" si="16"/>
        <v>20000</v>
      </c>
      <c r="AK54" s="82">
        <f t="shared" si="17"/>
        <v>50800</v>
      </c>
      <c r="AL54" s="82">
        <f t="shared" si="18"/>
        <v>1611835.74</v>
      </c>
      <c r="AM54" s="82">
        <f t="shared" si="2"/>
        <v>6392850.7400000002</v>
      </c>
      <c r="AN54" s="82">
        <v>6200809.4400000004</v>
      </c>
      <c r="AO54" s="82">
        <v>203300</v>
      </c>
      <c r="AP54" s="82"/>
      <c r="AQ54" s="121">
        <f t="shared" si="19"/>
        <v>6404109.4400000004</v>
      </c>
      <c r="AR54" s="121">
        <v>4698915</v>
      </c>
      <c r="AS54" s="121"/>
      <c r="AT54" s="1230">
        <f t="shared" si="20"/>
        <v>4698915</v>
      </c>
      <c r="AU54" s="121">
        <f t="shared" si="49"/>
        <v>1705194.4400000004</v>
      </c>
      <c r="AV54" s="174"/>
      <c r="AW54" s="1232">
        <f t="shared" si="38"/>
        <v>1705194.4400000004</v>
      </c>
      <c r="AX54" s="121"/>
      <c r="AY54" s="121"/>
      <c r="AZ54" s="82"/>
    </row>
    <row r="55" spans="1:52" ht="21.95" customHeight="1">
      <c r="A55" s="79" t="s">
        <v>5</v>
      </c>
      <c r="B55" s="80" t="s">
        <v>684</v>
      </c>
      <c r="C55" s="80" t="s">
        <v>649</v>
      </c>
      <c r="D55" s="1234">
        <v>2</v>
      </c>
      <c r="E55" s="86">
        <v>11.487179487179489</v>
      </c>
      <c r="F55" s="86">
        <v>6</v>
      </c>
      <c r="G55" s="86">
        <v>42.162500000000001</v>
      </c>
      <c r="H55" s="86">
        <v>4</v>
      </c>
      <c r="I55" s="82">
        <f t="shared" si="5"/>
        <v>63.64967948717949</v>
      </c>
      <c r="J55" s="81">
        <v>0</v>
      </c>
      <c r="K55" s="81">
        <v>0</v>
      </c>
      <c r="L55" s="81">
        <v>0</v>
      </c>
      <c r="M55" s="81">
        <v>0</v>
      </c>
      <c r="N55" s="82">
        <f t="shared" si="23"/>
        <v>0</v>
      </c>
      <c r="O55" s="82">
        <f t="shared" si="47"/>
        <v>11.487179487179489</v>
      </c>
      <c r="P55" s="82">
        <f t="shared" si="47"/>
        <v>6</v>
      </c>
      <c r="Q55" s="82">
        <f t="shared" si="47"/>
        <v>42.162500000000001</v>
      </c>
      <c r="R55" s="82">
        <f t="shared" si="47"/>
        <v>4</v>
      </c>
      <c r="S55" s="93">
        <f t="shared" si="25"/>
        <v>63.64967948717949</v>
      </c>
      <c r="T55" s="81">
        <v>7</v>
      </c>
      <c r="U55" s="81">
        <v>8.3333333333333321</v>
      </c>
      <c r="V55" s="81">
        <v>45.666666666666664</v>
      </c>
      <c r="W55" s="81">
        <v>3</v>
      </c>
      <c r="X55" s="93">
        <f t="shared" si="26"/>
        <v>64</v>
      </c>
      <c r="Y55" s="81">
        <v>11.487179487179489</v>
      </c>
      <c r="Z55" s="81">
        <v>6</v>
      </c>
      <c r="AA55" s="81">
        <v>42.162500000000001</v>
      </c>
      <c r="AB55" s="81">
        <v>4</v>
      </c>
      <c r="AC55" s="82">
        <f t="shared" si="27"/>
        <v>63.64967948717949</v>
      </c>
      <c r="AD55" s="82">
        <f t="shared" si="48"/>
        <v>4241559.096153846</v>
      </c>
      <c r="AE55" s="82">
        <f t="shared" si="11"/>
        <v>274966.61538461538</v>
      </c>
      <c r="AF55" s="82">
        <f t="shared" si="12"/>
        <v>381898.07692307694</v>
      </c>
      <c r="AG55" s="82">
        <f t="shared" si="13"/>
        <v>152759.23076923078</v>
      </c>
      <c r="AH55" s="82">
        <f t="shared" si="14"/>
        <v>598306.98717948725</v>
      </c>
      <c r="AI55" s="82">
        <f t="shared" si="15"/>
        <v>50919.743589743593</v>
      </c>
      <c r="AJ55" s="82">
        <f t="shared" si="16"/>
        <v>20000</v>
      </c>
      <c r="AK55" s="82">
        <f t="shared" si="17"/>
        <v>61103.692307692312</v>
      </c>
      <c r="AL55" s="82">
        <f t="shared" si="18"/>
        <v>1938762.11</v>
      </c>
      <c r="AM55" s="82">
        <f t="shared" si="2"/>
        <v>7720275.5523076924</v>
      </c>
      <c r="AN55" s="82">
        <v>7516075.1299999999</v>
      </c>
      <c r="AO55" s="82">
        <v>99031.62</v>
      </c>
      <c r="AP55" s="82"/>
      <c r="AQ55" s="121">
        <f t="shared" si="19"/>
        <v>7615106.75</v>
      </c>
      <c r="AR55" s="1230">
        <v>7857821</v>
      </c>
      <c r="AS55" s="1230"/>
      <c r="AT55" s="1230">
        <f t="shared" si="20"/>
        <v>7857821</v>
      </c>
      <c r="AU55" s="121">
        <f t="shared" si="49"/>
        <v>-242714.25</v>
      </c>
      <c r="AV55" s="174"/>
      <c r="AW55" s="1232">
        <f t="shared" si="38"/>
        <v>-242714.25</v>
      </c>
      <c r="AX55" s="121"/>
      <c r="AY55" s="121"/>
      <c r="AZ55" s="82"/>
    </row>
    <row r="56" spans="1:52" ht="21.95" customHeight="1">
      <c r="A56" s="79" t="s">
        <v>5</v>
      </c>
      <c r="B56" s="80" t="s">
        <v>685</v>
      </c>
      <c r="C56" s="80" t="s">
        <v>649</v>
      </c>
      <c r="D56" s="1234">
        <v>2</v>
      </c>
      <c r="E56" s="86">
        <v>0</v>
      </c>
      <c r="F56" s="86">
        <v>2</v>
      </c>
      <c r="G56" s="86">
        <v>32.962499999999999</v>
      </c>
      <c r="H56" s="86">
        <v>2</v>
      </c>
      <c r="I56" s="82">
        <f t="shared" si="5"/>
        <v>36.962499999999999</v>
      </c>
      <c r="J56" s="81">
        <v>5</v>
      </c>
      <c r="K56" s="81">
        <v>0.5</v>
      </c>
      <c r="L56" s="81">
        <v>2.5</v>
      </c>
      <c r="M56" s="81">
        <v>1</v>
      </c>
      <c r="N56" s="82">
        <f t="shared" si="23"/>
        <v>9</v>
      </c>
      <c r="O56" s="82">
        <f t="shared" si="47"/>
        <v>5</v>
      </c>
      <c r="P56" s="82">
        <f t="shared" si="47"/>
        <v>2.5</v>
      </c>
      <c r="Q56" s="82">
        <f t="shared" si="47"/>
        <v>35.462499999999999</v>
      </c>
      <c r="R56" s="82">
        <f t="shared" si="47"/>
        <v>3</v>
      </c>
      <c r="S56" s="93">
        <f t="shared" si="25"/>
        <v>45.962499999999999</v>
      </c>
      <c r="T56" s="81">
        <v>4.083333333333333</v>
      </c>
      <c r="U56" s="81">
        <v>2.583333333333333</v>
      </c>
      <c r="V56" s="81">
        <v>35.416666666666664</v>
      </c>
      <c r="W56" s="81">
        <v>3</v>
      </c>
      <c r="X56" s="93">
        <f t="shared" si="26"/>
        <v>45.083333333333329</v>
      </c>
      <c r="Y56" s="81">
        <v>4.083333333333333</v>
      </c>
      <c r="Z56" s="81">
        <v>2.583333333333333</v>
      </c>
      <c r="AA56" s="81">
        <v>35.416666666666664</v>
      </c>
      <c r="AB56" s="81">
        <v>3</v>
      </c>
      <c r="AC56" s="82">
        <f t="shared" si="27"/>
        <v>45.083333333333329</v>
      </c>
      <c r="AD56" s="82">
        <f t="shared" si="48"/>
        <v>2920225</v>
      </c>
      <c r="AE56" s="82">
        <f t="shared" si="11"/>
        <v>194759.99999999997</v>
      </c>
      <c r="AF56" s="82">
        <f t="shared" si="12"/>
        <v>270500</v>
      </c>
      <c r="AG56" s="82">
        <f t="shared" si="13"/>
        <v>108199.99999999999</v>
      </c>
      <c r="AH56" s="82">
        <f t="shared" si="14"/>
        <v>423783.33333333331</v>
      </c>
      <c r="AI56" s="82">
        <f t="shared" si="15"/>
        <v>36066.666666666664</v>
      </c>
      <c r="AJ56" s="82">
        <f t="shared" si="16"/>
        <v>20000</v>
      </c>
      <c r="AK56" s="82">
        <f t="shared" si="17"/>
        <v>43279.999999999993</v>
      </c>
      <c r="AL56" s="82">
        <f t="shared" si="18"/>
        <v>1373233.28</v>
      </c>
      <c r="AM56" s="82">
        <f t="shared" si="2"/>
        <v>5390048.2800000003</v>
      </c>
      <c r="AN56" s="82">
        <v>5217164</v>
      </c>
      <c r="AO56" s="82">
        <v>27344</v>
      </c>
      <c r="AP56" s="82"/>
      <c r="AQ56" s="121">
        <f t="shared" si="19"/>
        <v>5244508</v>
      </c>
      <c r="AR56" s="1230">
        <v>5152016</v>
      </c>
      <c r="AS56" s="1230"/>
      <c r="AT56" s="1230">
        <f t="shared" si="20"/>
        <v>5152016</v>
      </c>
      <c r="AU56" s="121">
        <f t="shared" si="49"/>
        <v>92492</v>
      </c>
      <c r="AV56" s="174"/>
      <c r="AW56" s="1232">
        <f t="shared" si="38"/>
        <v>92492</v>
      </c>
      <c r="AX56" s="121"/>
      <c r="AY56" s="121"/>
      <c r="AZ56" s="82"/>
    </row>
    <row r="57" spans="1:52" ht="21.95" customHeight="1">
      <c r="A57" s="79" t="s">
        <v>5</v>
      </c>
      <c r="B57" s="80" t="s">
        <v>686</v>
      </c>
      <c r="C57" s="80" t="s">
        <v>959</v>
      </c>
      <c r="D57" s="1234"/>
      <c r="E57" s="86">
        <v>11.379310344827587</v>
      </c>
      <c r="F57" s="86">
        <v>10</v>
      </c>
      <c r="G57" s="86">
        <v>0</v>
      </c>
      <c r="H57" s="86">
        <v>6</v>
      </c>
      <c r="I57" s="82">
        <f t="shared" si="5"/>
        <v>27.379310344827587</v>
      </c>
      <c r="J57" s="81">
        <v>3.8333333333333335</v>
      </c>
      <c r="K57" s="81">
        <v>0</v>
      </c>
      <c r="L57" s="81">
        <v>0</v>
      </c>
      <c r="M57" s="81">
        <v>0</v>
      </c>
      <c r="N57" s="82">
        <f t="shared" si="23"/>
        <v>3.8333333333333335</v>
      </c>
      <c r="O57" s="82">
        <f t="shared" si="47"/>
        <v>15.212643678160921</v>
      </c>
      <c r="P57" s="82">
        <f t="shared" si="47"/>
        <v>10</v>
      </c>
      <c r="Q57" s="82">
        <f t="shared" si="47"/>
        <v>0</v>
      </c>
      <c r="R57" s="82">
        <f t="shared" si="47"/>
        <v>6</v>
      </c>
      <c r="S57" s="93">
        <f t="shared" si="25"/>
        <v>31.212643678160923</v>
      </c>
      <c r="T57" s="81">
        <v>10.833333333333334</v>
      </c>
      <c r="U57" s="81">
        <v>1.9166666666666667</v>
      </c>
      <c r="V57" s="81">
        <v>0.5</v>
      </c>
      <c r="W57" s="81">
        <v>6.583333333333333</v>
      </c>
      <c r="X57" s="93">
        <f t="shared" si="26"/>
        <v>19.833333333333332</v>
      </c>
      <c r="Y57" s="81">
        <v>10.833333333333334</v>
      </c>
      <c r="Z57" s="81">
        <v>1.9166666666666667</v>
      </c>
      <c r="AA57" s="81">
        <v>0.5</v>
      </c>
      <c r="AB57" s="81">
        <v>6.583333333333333</v>
      </c>
      <c r="AC57" s="82">
        <f t="shared" si="27"/>
        <v>19.833333333333332</v>
      </c>
      <c r="AD57" s="82">
        <f t="shared" si="48"/>
        <v>1395620</v>
      </c>
      <c r="AE57" s="82">
        <f t="shared" si="11"/>
        <v>85680</v>
      </c>
      <c r="AF57" s="82">
        <f t="shared" si="12"/>
        <v>119000</v>
      </c>
      <c r="AG57" s="82">
        <f t="shared" si="13"/>
        <v>47600</v>
      </c>
      <c r="AH57" s="82">
        <f t="shared" si="14"/>
        <v>186433.33333333331</v>
      </c>
      <c r="AI57" s="82">
        <f t="shared" si="15"/>
        <v>15866.666666666666</v>
      </c>
      <c r="AJ57" s="82">
        <f t="shared" si="16"/>
        <v>0</v>
      </c>
      <c r="AK57" s="82">
        <f t="shared" si="17"/>
        <v>19040</v>
      </c>
      <c r="AL57" s="82">
        <f t="shared" si="18"/>
        <v>604121.11</v>
      </c>
      <c r="AM57" s="82">
        <f t="shared" si="2"/>
        <v>2473361.11</v>
      </c>
      <c r="AN57" s="82">
        <f>2338575.66+34545.57</f>
        <v>2373121.23</v>
      </c>
      <c r="AO57" s="82"/>
      <c r="AP57" s="82">
        <v>107333.375</v>
      </c>
      <c r="AQ57" s="121">
        <f t="shared" si="19"/>
        <v>2480454.605</v>
      </c>
      <c r="AR57" s="1230">
        <v>1266782.25</v>
      </c>
      <c r="AS57" s="1230"/>
      <c r="AT57" s="1230">
        <f t="shared" si="20"/>
        <v>1266782.25</v>
      </c>
      <c r="AU57" s="121">
        <f t="shared" si="49"/>
        <v>1213672.355</v>
      </c>
      <c r="AV57" s="174"/>
      <c r="AW57" s="1232">
        <f t="shared" si="38"/>
        <v>1213672.355</v>
      </c>
      <c r="AX57" s="121"/>
      <c r="AY57" s="121"/>
      <c r="AZ57" s="82"/>
    </row>
    <row r="58" spans="1:52" s="83" customFormat="1" ht="21.95" customHeight="1">
      <c r="A58" s="79" t="s">
        <v>5</v>
      </c>
      <c r="B58" s="80" t="s">
        <v>687</v>
      </c>
      <c r="C58" s="80" t="s">
        <v>959</v>
      </c>
      <c r="D58" s="1234"/>
      <c r="E58" s="86">
        <v>67.241379310344826</v>
      </c>
      <c r="F58" s="86">
        <v>11</v>
      </c>
      <c r="G58" s="86">
        <v>0</v>
      </c>
      <c r="H58" s="86">
        <v>6</v>
      </c>
      <c r="I58" s="82">
        <f t="shared" si="5"/>
        <v>84.241379310344826</v>
      </c>
      <c r="J58" s="81">
        <v>7.916666666666667</v>
      </c>
      <c r="K58" s="81">
        <v>1.75</v>
      </c>
      <c r="L58" s="81">
        <v>0</v>
      </c>
      <c r="M58" s="81">
        <v>1.75</v>
      </c>
      <c r="N58" s="82">
        <f t="shared" si="23"/>
        <v>11.416666666666668</v>
      </c>
      <c r="O58" s="82">
        <f t="shared" si="47"/>
        <v>75.158045977011497</v>
      </c>
      <c r="P58" s="82">
        <f t="shared" si="47"/>
        <v>12.75</v>
      </c>
      <c r="Q58" s="82">
        <f t="shared" si="47"/>
        <v>0</v>
      </c>
      <c r="R58" s="82">
        <f t="shared" si="47"/>
        <v>7.75</v>
      </c>
      <c r="S58" s="93">
        <f t="shared" si="25"/>
        <v>95.658045977011497</v>
      </c>
      <c r="T58" s="81">
        <v>35.833333333333336</v>
      </c>
      <c r="U58" s="81">
        <v>5.333333333333333</v>
      </c>
      <c r="V58" s="81">
        <v>1</v>
      </c>
      <c r="W58" s="81">
        <v>7</v>
      </c>
      <c r="X58" s="93">
        <f t="shared" si="26"/>
        <v>49.166666666666671</v>
      </c>
      <c r="Y58" s="81">
        <v>35.833333333333336</v>
      </c>
      <c r="Z58" s="81">
        <v>5.333333333333333</v>
      </c>
      <c r="AA58" s="81">
        <v>1</v>
      </c>
      <c r="AB58" s="81">
        <v>7</v>
      </c>
      <c r="AC58" s="82">
        <f t="shared" si="27"/>
        <v>49.166666666666671</v>
      </c>
      <c r="AD58" s="82">
        <f t="shared" si="48"/>
        <v>3725140.0000000005</v>
      </c>
      <c r="AE58" s="82">
        <f t="shared" si="11"/>
        <v>212400.00000000003</v>
      </c>
      <c r="AF58" s="82">
        <f t="shared" si="12"/>
        <v>295000</v>
      </c>
      <c r="AG58" s="82">
        <f t="shared" si="13"/>
        <v>118000.00000000001</v>
      </c>
      <c r="AH58" s="82">
        <f t="shared" si="14"/>
        <v>462166.66666666669</v>
      </c>
      <c r="AI58" s="82">
        <f t="shared" si="15"/>
        <v>39333.333333333336</v>
      </c>
      <c r="AJ58" s="82">
        <f t="shared" si="16"/>
        <v>0</v>
      </c>
      <c r="AK58" s="82">
        <f t="shared" si="17"/>
        <v>47200.000000000007</v>
      </c>
      <c r="AL58" s="82">
        <f t="shared" si="18"/>
        <v>1497611.16</v>
      </c>
      <c r="AM58" s="82">
        <f t="shared" si="2"/>
        <v>6396851.1600000001</v>
      </c>
      <c r="AN58" s="82">
        <v>6160996.7999999998</v>
      </c>
      <c r="AO58" s="82">
        <v>6400</v>
      </c>
      <c r="AP58" s="82">
        <v>401099.25</v>
      </c>
      <c r="AQ58" s="121">
        <f t="shared" si="19"/>
        <v>6568496.0499999998</v>
      </c>
      <c r="AR58" s="1231">
        <v>1670112.25</v>
      </c>
      <c r="AS58" s="1231"/>
      <c r="AT58" s="1230">
        <f t="shared" si="20"/>
        <v>1670112.25</v>
      </c>
      <c r="AU58" s="82">
        <f t="shared" si="49"/>
        <v>4898383.8</v>
      </c>
      <c r="AV58" s="174"/>
      <c r="AW58" s="1232">
        <f t="shared" si="38"/>
        <v>4898383.8</v>
      </c>
      <c r="AX58" s="82"/>
      <c r="AY58" s="121"/>
      <c r="AZ58" s="82"/>
    </row>
    <row r="59" spans="1:52" s="83" customFormat="1" ht="21.95" customHeight="1">
      <c r="A59" s="79" t="s">
        <v>5</v>
      </c>
      <c r="B59" s="80" t="s">
        <v>688</v>
      </c>
      <c r="C59" s="80" t="s">
        <v>959</v>
      </c>
      <c r="D59" s="1234"/>
      <c r="E59" s="86">
        <v>18.482758620689651</v>
      </c>
      <c r="F59" s="86">
        <v>9.5</v>
      </c>
      <c r="G59" s="86">
        <v>0</v>
      </c>
      <c r="H59" s="86">
        <v>5.5</v>
      </c>
      <c r="I59" s="82">
        <f t="shared" si="5"/>
        <v>33.482758620689651</v>
      </c>
      <c r="J59" s="81">
        <v>1.75</v>
      </c>
      <c r="K59" s="81">
        <v>0</v>
      </c>
      <c r="L59" s="81">
        <v>0</v>
      </c>
      <c r="M59" s="81">
        <v>0</v>
      </c>
      <c r="N59" s="82">
        <f t="shared" si="23"/>
        <v>1.75</v>
      </c>
      <c r="O59" s="82">
        <f t="shared" si="47"/>
        <v>20.232758620689651</v>
      </c>
      <c r="P59" s="82">
        <f t="shared" si="47"/>
        <v>9.5</v>
      </c>
      <c r="Q59" s="82">
        <f t="shared" si="47"/>
        <v>0</v>
      </c>
      <c r="R59" s="82">
        <f t="shared" si="47"/>
        <v>5.5</v>
      </c>
      <c r="S59" s="93">
        <f t="shared" si="25"/>
        <v>35.232758620689651</v>
      </c>
      <c r="T59" s="81">
        <v>4.75</v>
      </c>
      <c r="U59" s="81">
        <v>5</v>
      </c>
      <c r="V59" s="81">
        <v>0</v>
      </c>
      <c r="W59" s="81">
        <v>8</v>
      </c>
      <c r="X59" s="93">
        <f t="shared" si="26"/>
        <v>17.75</v>
      </c>
      <c r="Y59" s="81">
        <v>4.75</v>
      </c>
      <c r="Z59" s="81">
        <v>5</v>
      </c>
      <c r="AA59" s="81">
        <v>0</v>
      </c>
      <c r="AB59" s="81">
        <v>8</v>
      </c>
      <c r="AC59" s="82">
        <f t="shared" si="27"/>
        <v>17.75</v>
      </c>
      <c r="AD59" s="82">
        <f t="shared" si="48"/>
        <v>1155000</v>
      </c>
      <c r="AE59" s="82">
        <f t="shared" si="11"/>
        <v>76680</v>
      </c>
      <c r="AF59" s="82">
        <f t="shared" si="12"/>
        <v>106500</v>
      </c>
      <c r="AG59" s="82">
        <f t="shared" si="13"/>
        <v>42600</v>
      </c>
      <c r="AH59" s="82">
        <f t="shared" si="14"/>
        <v>166850</v>
      </c>
      <c r="AI59" s="82">
        <f t="shared" si="15"/>
        <v>14200</v>
      </c>
      <c r="AJ59" s="82">
        <f t="shared" si="16"/>
        <v>0</v>
      </c>
      <c r="AK59" s="82">
        <f t="shared" si="17"/>
        <v>17040</v>
      </c>
      <c r="AL59" s="82">
        <f t="shared" si="18"/>
        <v>540663.01</v>
      </c>
      <c r="AM59" s="82">
        <f t="shared" si="2"/>
        <v>2119533.0099999998</v>
      </c>
      <c r="AN59" s="82">
        <v>2040926.36</v>
      </c>
      <c r="AO59" s="82"/>
      <c r="AP59" s="82">
        <v>39465</v>
      </c>
      <c r="AQ59" s="121">
        <f t="shared" si="19"/>
        <v>2080391.36</v>
      </c>
      <c r="AR59" s="1231">
        <v>2792892.5</v>
      </c>
      <c r="AS59" s="1231"/>
      <c r="AT59" s="1230">
        <f t="shared" si="20"/>
        <v>2792892.5</v>
      </c>
      <c r="AU59" s="82">
        <f t="shared" si="49"/>
        <v>-712501.1399999999</v>
      </c>
      <c r="AV59" s="174"/>
      <c r="AW59" s="1232">
        <f t="shared" si="38"/>
        <v>-712501.1399999999</v>
      </c>
      <c r="AX59" s="82"/>
      <c r="AY59" s="121"/>
      <c r="AZ59" s="82"/>
    </row>
    <row r="60" spans="1:52" ht="21.95" customHeight="1">
      <c r="A60" s="79" t="s">
        <v>5</v>
      </c>
      <c r="B60" s="80" t="s">
        <v>689</v>
      </c>
      <c r="C60" s="80" t="s">
        <v>959</v>
      </c>
      <c r="D60" s="1234"/>
      <c r="E60" s="86">
        <v>32.758620689655174</v>
      </c>
      <c r="F60" s="86">
        <v>12</v>
      </c>
      <c r="G60" s="86">
        <v>0</v>
      </c>
      <c r="H60" s="86">
        <v>8</v>
      </c>
      <c r="I60" s="82">
        <f t="shared" si="5"/>
        <v>52.758620689655174</v>
      </c>
      <c r="J60" s="81">
        <v>5.333333333333333</v>
      </c>
      <c r="K60" s="81">
        <v>1.25</v>
      </c>
      <c r="L60" s="81">
        <v>0</v>
      </c>
      <c r="M60" s="81">
        <v>3.3333333333333335</v>
      </c>
      <c r="N60" s="82">
        <f t="shared" si="23"/>
        <v>9.9166666666666661</v>
      </c>
      <c r="O60" s="82">
        <f t="shared" si="47"/>
        <v>38.09195402298851</v>
      </c>
      <c r="P60" s="82">
        <f t="shared" si="47"/>
        <v>13.25</v>
      </c>
      <c r="Q60" s="82">
        <f t="shared" si="47"/>
        <v>0</v>
      </c>
      <c r="R60" s="82">
        <f t="shared" si="47"/>
        <v>11.333333333333334</v>
      </c>
      <c r="S60" s="93">
        <f t="shared" si="25"/>
        <v>62.675287356321846</v>
      </c>
      <c r="T60" s="81">
        <v>13.333333333333334</v>
      </c>
      <c r="U60" s="81">
        <v>3</v>
      </c>
      <c r="V60" s="81">
        <v>0</v>
      </c>
      <c r="W60" s="81">
        <v>13.916666666666666</v>
      </c>
      <c r="X60" s="93">
        <f t="shared" si="26"/>
        <v>30.25</v>
      </c>
      <c r="Y60" s="81">
        <v>13.333333333333334</v>
      </c>
      <c r="Z60" s="81">
        <v>3</v>
      </c>
      <c r="AA60" s="81">
        <v>0</v>
      </c>
      <c r="AB60" s="81">
        <v>13.916666666666666</v>
      </c>
      <c r="AC60" s="82">
        <f t="shared" si="27"/>
        <v>30.25</v>
      </c>
      <c r="AD60" s="82">
        <f t="shared" si="48"/>
        <v>2029800</v>
      </c>
      <c r="AE60" s="82">
        <f t="shared" si="11"/>
        <v>130680</v>
      </c>
      <c r="AF60" s="82">
        <f t="shared" si="12"/>
        <v>181500</v>
      </c>
      <c r="AG60" s="82">
        <f t="shared" si="13"/>
        <v>72600</v>
      </c>
      <c r="AH60" s="82">
        <f t="shared" si="14"/>
        <v>284350</v>
      </c>
      <c r="AI60" s="82">
        <f t="shared" si="15"/>
        <v>24200</v>
      </c>
      <c r="AJ60" s="82">
        <f t="shared" si="16"/>
        <v>0</v>
      </c>
      <c r="AK60" s="82">
        <f t="shared" si="17"/>
        <v>29040</v>
      </c>
      <c r="AL60" s="82">
        <f t="shared" si="18"/>
        <v>921411.61</v>
      </c>
      <c r="AM60" s="82">
        <f t="shared" si="2"/>
        <v>3673581.61</v>
      </c>
      <c r="AN60" s="82">
        <f>3425910.34+10295.09</f>
        <v>3436205.4299999997</v>
      </c>
      <c r="AO60" s="82">
        <v>6400</v>
      </c>
      <c r="AP60" s="82">
        <v>150523</v>
      </c>
      <c r="AQ60" s="121">
        <f t="shared" si="19"/>
        <v>3593128.4299999997</v>
      </c>
      <c r="AR60" s="1230">
        <v>1538615</v>
      </c>
      <c r="AS60" s="1230"/>
      <c r="AT60" s="1230">
        <f t="shared" si="20"/>
        <v>1538615</v>
      </c>
      <c r="AU60" s="121">
        <f t="shared" si="49"/>
        <v>2054513.4299999997</v>
      </c>
      <c r="AV60" s="174"/>
      <c r="AW60" s="1232">
        <f t="shared" si="38"/>
        <v>2054513.4299999997</v>
      </c>
      <c r="AX60" s="121"/>
      <c r="AY60" s="121"/>
      <c r="AZ60" s="82"/>
    </row>
    <row r="61" spans="1:52" s="83" customFormat="1" ht="21.95" customHeight="1">
      <c r="A61" s="79" t="s">
        <v>5</v>
      </c>
      <c r="B61" s="80" t="s">
        <v>690</v>
      </c>
      <c r="C61" s="80" t="s">
        <v>464</v>
      </c>
      <c r="D61" s="1234"/>
      <c r="E61" s="86">
        <v>30.87394957983193</v>
      </c>
      <c r="F61" s="86">
        <v>10.5</v>
      </c>
      <c r="G61" s="86">
        <v>0</v>
      </c>
      <c r="H61" s="86">
        <v>6</v>
      </c>
      <c r="I61" s="82">
        <f t="shared" si="5"/>
        <v>47.37394957983193</v>
      </c>
      <c r="J61" s="81">
        <v>4.5</v>
      </c>
      <c r="K61" s="81">
        <v>0</v>
      </c>
      <c r="L61" s="81">
        <v>0</v>
      </c>
      <c r="M61" s="81">
        <v>0</v>
      </c>
      <c r="N61" s="82">
        <f t="shared" si="23"/>
        <v>4.5</v>
      </c>
      <c r="O61" s="82">
        <f t="shared" si="47"/>
        <v>35.37394957983193</v>
      </c>
      <c r="P61" s="82">
        <f t="shared" si="47"/>
        <v>10.5</v>
      </c>
      <c r="Q61" s="82">
        <f t="shared" si="47"/>
        <v>0</v>
      </c>
      <c r="R61" s="82">
        <f t="shared" si="47"/>
        <v>6</v>
      </c>
      <c r="S61" s="93">
        <f t="shared" si="25"/>
        <v>51.87394957983193</v>
      </c>
      <c r="T61" s="81">
        <v>10.333333333333334</v>
      </c>
      <c r="U61" s="81">
        <v>3</v>
      </c>
      <c r="V61" s="81">
        <v>0</v>
      </c>
      <c r="W61" s="81">
        <v>7.083333333333333</v>
      </c>
      <c r="X61" s="93">
        <f t="shared" si="26"/>
        <v>20.416666666666668</v>
      </c>
      <c r="Y61" s="81">
        <v>10.333333333333334</v>
      </c>
      <c r="Z61" s="81">
        <v>3</v>
      </c>
      <c r="AA61" s="81">
        <v>0</v>
      </c>
      <c r="AB61" s="81">
        <v>7.083333333333333</v>
      </c>
      <c r="AC61" s="82">
        <f t="shared" si="27"/>
        <v>20.416666666666668</v>
      </c>
      <c r="AD61" s="82">
        <f>(Y61*7800+Z61*5750+AA61*5295+AB61*4400)*12</f>
        <v>1548200</v>
      </c>
      <c r="AE61" s="82">
        <f t="shared" si="11"/>
        <v>88200</v>
      </c>
      <c r="AF61" s="82">
        <f t="shared" si="12"/>
        <v>122500</v>
      </c>
      <c r="AG61" s="82">
        <f t="shared" si="13"/>
        <v>49000</v>
      </c>
      <c r="AH61" s="82">
        <f t="shared" ref="AH61:AH63" si="50">Y61*15400+(Z61+AA61+AB61)*9400</f>
        <v>253916.66666666669</v>
      </c>
      <c r="AI61" s="82">
        <f t="shared" si="15"/>
        <v>16333.333333333334</v>
      </c>
      <c r="AJ61" s="82">
        <f t="shared" si="16"/>
        <v>0</v>
      </c>
      <c r="AK61" s="82">
        <f t="shared" si="17"/>
        <v>19600</v>
      </c>
      <c r="AL61" s="82">
        <f t="shared" si="18"/>
        <v>621889.38</v>
      </c>
      <c r="AM61" s="82">
        <f t="shared" si="2"/>
        <v>2719639.38</v>
      </c>
      <c r="AN61" s="82">
        <v>2487547.7000000002</v>
      </c>
      <c r="AO61" s="82"/>
      <c r="AP61" s="82">
        <v>166541.5</v>
      </c>
      <c r="AQ61" s="121">
        <f t="shared" si="19"/>
        <v>2654089.2000000002</v>
      </c>
      <c r="AR61" s="1231">
        <v>2294450.5</v>
      </c>
      <c r="AS61" s="1231"/>
      <c r="AT61" s="1230">
        <f t="shared" si="20"/>
        <v>2294450.5</v>
      </c>
      <c r="AU61" s="82">
        <f t="shared" si="49"/>
        <v>359638.70000000019</v>
      </c>
      <c r="AV61" s="174"/>
      <c r="AW61" s="1232">
        <f t="shared" si="38"/>
        <v>359638.70000000019</v>
      </c>
      <c r="AX61" s="82"/>
      <c r="AY61" s="121"/>
      <c r="AZ61" s="82"/>
    </row>
    <row r="62" spans="1:52" ht="21.95" customHeight="1">
      <c r="A62" s="79" t="s">
        <v>5</v>
      </c>
      <c r="B62" s="80" t="s">
        <v>691</v>
      </c>
      <c r="C62" s="80" t="s">
        <v>464</v>
      </c>
      <c r="D62" s="1234"/>
      <c r="E62" s="86">
        <v>18.966386554621849</v>
      </c>
      <c r="F62" s="86">
        <v>10.5</v>
      </c>
      <c r="G62" s="86">
        <v>0</v>
      </c>
      <c r="H62" s="86">
        <v>6</v>
      </c>
      <c r="I62" s="82">
        <f t="shared" si="5"/>
        <v>35.466386554621849</v>
      </c>
      <c r="J62" s="81">
        <v>4.416666666666667</v>
      </c>
      <c r="K62" s="81">
        <v>0.5</v>
      </c>
      <c r="L62" s="81">
        <v>0</v>
      </c>
      <c r="M62" s="81">
        <v>0</v>
      </c>
      <c r="N62" s="82">
        <f t="shared" si="23"/>
        <v>4.916666666666667</v>
      </c>
      <c r="O62" s="82">
        <f t="shared" si="47"/>
        <v>23.383053221288517</v>
      </c>
      <c r="P62" s="82">
        <f t="shared" si="47"/>
        <v>11</v>
      </c>
      <c r="Q62" s="82">
        <f t="shared" si="47"/>
        <v>0</v>
      </c>
      <c r="R62" s="82">
        <f t="shared" si="47"/>
        <v>6</v>
      </c>
      <c r="S62" s="93">
        <f t="shared" si="25"/>
        <v>40.38305322128852</v>
      </c>
      <c r="T62" s="81">
        <v>7.6666666666666661</v>
      </c>
      <c r="U62" s="81">
        <v>2.6666666666666665</v>
      </c>
      <c r="V62" s="81">
        <v>0</v>
      </c>
      <c r="W62" s="81">
        <v>8.25</v>
      </c>
      <c r="X62" s="93">
        <f t="shared" si="26"/>
        <v>18.583333333333332</v>
      </c>
      <c r="Y62" s="81">
        <v>7.6666666666666661</v>
      </c>
      <c r="Z62" s="81">
        <v>2.6666666666666665</v>
      </c>
      <c r="AA62" s="81">
        <v>0</v>
      </c>
      <c r="AB62" s="81">
        <v>8.25</v>
      </c>
      <c r="AC62" s="82">
        <f t="shared" si="27"/>
        <v>18.583333333333332</v>
      </c>
      <c r="AD62" s="82">
        <f>(Y62*7800+Z62*5750+AA62*5295+AB62*4400)*12</f>
        <v>1337200</v>
      </c>
      <c r="AE62" s="82">
        <f t="shared" si="11"/>
        <v>80280</v>
      </c>
      <c r="AF62" s="82">
        <f t="shared" si="12"/>
        <v>111500</v>
      </c>
      <c r="AG62" s="82">
        <f t="shared" si="13"/>
        <v>44600</v>
      </c>
      <c r="AH62" s="82">
        <f t="shared" si="50"/>
        <v>220683.33333333331</v>
      </c>
      <c r="AI62" s="82">
        <f t="shared" si="15"/>
        <v>14866.666666666666</v>
      </c>
      <c r="AJ62" s="82">
        <f t="shared" si="16"/>
        <v>0</v>
      </c>
      <c r="AK62" s="82">
        <f t="shared" si="17"/>
        <v>17840</v>
      </c>
      <c r="AL62" s="82">
        <f t="shared" si="18"/>
        <v>566046.25</v>
      </c>
      <c r="AM62" s="82">
        <f t="shared" si="2"/>
        <v>2393016.25</v>
      </c>
      <c r="AN62" s="82">
        <v>2390922.56</v>
      </c>
      <c r="AO62" s="82"/>
      <c r="AP62" s="82">
        <v>36869.5</v>
      </c>
      <c r="AQ62" s="121">
        <f t="shared" si="19"/>
        <v>2427792.06</v>
      </c>
      <c r="AR62" s="1230">
        <v>1733486</v>
      </c>
      <c r="AS62" s="1230"/>
      <c r="AT62" s="1230">
        <f t="shared" si="20"/>
        <v>1733486</v>
      </c>
      <c r="AU62" s="121">
        <f t="shared" si="49"/>
        <v>694306.06</v>
      </c>
      <c r="AV62" s="174"/>
      <c r="AW62" s="1232">
        <f t="shared" si="38"/>
        <v>694306.06</v>
      </c>
      <c r="AX62" s="121"/>
      <c r="AY62" s="121"/>
      <c r="AZ62" s="82"/>
    </row>
    <row r="63" spans="1:52" s="83" customFormat="1" ht="21.95" customHeight="1">
      <c r="A63" s="79" t="s">
        <v>5</v>
      </c>
      <c r="B63" s="80" t="s">
        <v>3196</v>
      </c>
      <c r="C63" s="80" t="s">
        <v>464</v>
      </c>
      <c r="D63" s="1234"/>
      <c r="E63" s="86">
        <v>49.655462184873954</v>
      </c>
      <c r="F63" s="86">
        <v>11</v>
      </c>
      <c r="G63" s="86">
        <v>0</v>
      </c>
      <c r="H63" s="86">
        <v>6</v>
      </c>
      <c r="I63" s="82">
        <f t="shared" si="5"/>
        <v>66.655462184873954</v>
      </c>
      <c r="J63" s="81">
        <v>0.5</v>
      </c>
      <c r="K63" s="81">
        <v>0.5</v>
      </c>
      <c r="L63" s="81">
        <v>0</v>
      </c>
      <c r="M63" s="81">
        <v>0.5</v>
      </c>
      <c r="N63" s="82">
        <f t="shared" si="23"/>
        <v>1.5</v>
      </c>
      <c r="O63" s="82">
        <f t="shared" si="47"/>
        <v>50.155462184873954</v>
      </c>
      <c r="P63" s="82">
        <f t="shared" si="47"/>
        <v>11.5</v>
      </c>
      <c r="Q63" s="82">
        <f t="shared" si="47"/>
        <v>0</v>
      </c>
      <c r="R63" s="82">
        <f t="shared" si="47"/>
        <v>6.5</v>
      </c>
      <c r="S63" s="93">
        <f t="shared" si="25"/>
        <v>68.155462184873954</v>
      </c>
      <c r="T63" s="81">
        <v>5.916666666666667</v>
      </c>
      <c r="U63" s="81">
        <v>10.416666666666666</v>
      </c>
      <c r="V63" s="81">
        <v>0</v>
      </c>
      <c r="W63" s="81">
        <v>8.9166666666666661</v>
      </c>
      <c r="X63" s="93">
        <f t="shared" si="26"/>
        <v>25.25</v>
      </c>
      <c r="Y63" s="81">
        <v>5.916666666666667</v>
      </c>
      <c r="Z63" s="81">
        <v>10.416666666666666</v>
      </c>
      <c r="AA63" s="81">
        <v>0</v>
      </c>
      <c r="AB63" s="81">
        <v>8.9166666666666661</v>
      </c>
      <c r="AC63" s="82">
        <f t="shared" si="27"/>
        <v>25.25</v>
      </c>
      <c r="AD63" s="82">
        <f>(Y63*7800+Z63*5750+AA63*5295+AB63*4400)*12</f>
        <v>1743350</v>
      </c>
      <c r="AE63" s="82">
        <f t="shared" si="11"/>
        <v>109080</v>
      </c>
      <c r="AF63" s="82">
        <f t="shared" si="12"/>
        <v>151500</v>
      </c>
      <c r="AG63" s="82">
        <f t="shared" si="13"/>
        <v>60600</v>
      </c>
      <c r="AH63" s="82">
        <f t="shared" si="50"/>
        <v>272850</v>
      </c>
      <c r="AI63" s="82">
        <f t="shared" si="15"/>
        <v>20200</v>
      </c>
      <c r="AJ63" s="82">
        <f t="shared" si="16"/>
        <v>0</v>
      </c>
      <c r="AK63" s="82">
        <f t="shared" si="17"/>
        <v>24240</v>
      </c>
      <c r="AL63" s="82">
        <f t="shared" si="18"/>
        <v>769112.17</v>
      </c>
      <c r="AM63" s="82">
        <f t="shared" si="2"/>
        <v>3150932.17</v>
      </c>
      <c r="AN63" s="82">
        <v>3087410</v>
      </c>
      <c r="AO63" s="82"/>
      <c r="AP63" s="82">
        <v>93249.5</v>
      </c>
      <c r="AQ63" s="121">
        <f t="shared" si="19"/>
        <v>3180659.5</v>
      </c>
      <c r="AR63" s="1231">
        <v>2865281.75</v>
      </c>
      <c r="AS63" s="1231"/>
      <c r="AT63" s="1230">
        <f t="shared" si="20"/>
        <v>2865281.75</v>
      </c>
      <c r="AU63" s="82">
        <f t="shared" si="49"/>
        <v>315377.75</v>
      </c>
      <c r="AV63" s="174"/>
      <c r="AW63" s="1232">
        <f t="shared" si="38"/>
        <v>315377.75</v>
      </c>
      <c r="AX63" s="82"/>
      <c r="AY63" s="121"/>
      <c r="AZ63" s="82"/>
    </row>
    <row r="64" spans="1:52" ht="21.95" customHeight="1">
      <c r="A64" s="79" t="s">
        <v>5</v>
      </c>
      <c r="B64" s="80" t="s">
        <v>693</v>
      </c>
      <c r="C64" s="80" t="s">
        <v>649</v>
      </c>
      <c r="D64" s="1234">
        <v>2</v>
      </c>
      <c r="E64" s="86">
        <v>6.1880341880341874</v>
      </c>
      <c r="F64" s="86">
        <v>3</v>
      </c>
      <c r="G64" s="86">
        <v>26.462499999999999</v>
      </c>
      <c r="H64" s="86">
        <v>2</v>
      </c>
      <c r="I64" s="82">
        <f t="shared" si="5"/>
        <v>37.650534188034186</v>
      </c>
      <c r="J64" s="81">
        <v>0</v>
      </c>
      <c r="K64" s="81">
        <v>0</v>
      </c>
      <c r="L64" s="81">
        <v>2.9166666666666665</v>
      </c>
      <c r="M64" s="81">
        <v>0</v>
      </c>
      <c r="N64" s="82">
        <f t="shared" si="23"/>
        <v>2.9166666666666665</v>
      </c>
      <c r="O64" s="82">
        <f t="shared" si="47"/>
        <v>6.1880341880341874</v>
      </c>
      <c r="P64" s="82">
        <f t="shared" si="47"/>
        <v>3</v>
      </c>
      <c r="Q64" s="82">
        <f t="shared" si="47"/>
        <v>29.379166666666666</v>
      </c>
      <c r="R64" s="82">
        <f t="shared" si="47"/>
        <v>2</v>
      </c>
      <c r="S64" s="93">
        <f t="shared" si="25"/>
        <v>40.567200854700857</v>
      </c>
      <c r="T64" s="81">
        <v>1.5</v>
      </c>
      <c r="U64" s="81">
        <v>4</v>
      </c>
      <c r="V64" s="81">
        <v>28.166666666666668</v>
      </c>
      <c r="W64" s="81">
        <v>2</v>
      </c>
      <c r="X64" s="93">
        <f t="shared" si="26"/>
        <v>35.666666666666671</v>
      </c>
      <c r="Y64" s="81">
        <v>1.5</v>
      </c>
      <c r="Z64" s="81">
        <v>4</v>
      </c>
      <c r="AA64" s="81">
        <v>28.166666666666668</v>
      </c>
      <c r="AB64" s="81">
        <v>2</v>
      </c>
      <c r="AC64" s="82">
        <f t="shared" si="27"/>
        <v>35.666666666666671</v>
      </c>
      <c r="AD64" s="82">
        <f>(Y64*6800+Z64*5750+AA64*5295+AB64*4400)*12</f>
        <v>2293710</v>
      </c>
      <c r="AE64" s="82">
        <f t="shared" si="11"/>
        <v>154080.00000000003</v>
      </c>
      <c r="AF64" s="82">
        <f t="shared" si="12"/>
        <v>214000.00000000003</v>
      </c>
      <c r="AG64" s="82">
        <f t="shared" si="13"/>
        <v>85600.000000000015</v>
      </c>
      <c r="AH64" s="82">
        <f t="shared" si="14"/>
        <v>335266.66666666669</v>
      </c>
      <c r="AI64" s="82">
        <f t="shared" si="15"/>
        <v>28533.333333333336</v>
      </c>
      <c r="AJ64" s="82">
        <f t="shared" si="16"/>
        <v>20000</v>
      </c>
      <c r="AK64" s="82">
        <f t="shared" si="17"/>
        <v>34240.000000000007</v>
      </c>
      <c r="AL64" s="82">
        <f t="shared" si="18"/>
        <v>1086402.67</v>
      </c>
      <c r="AM64" s="82">
        <f t="shared" si="2"/>
        <v>4251832.67</v>
      </c>
      <c r="AN64" s="82">
        <v>4224548</v>
      </c>
      <c r="AO64" s="82"/>
      <c r="AP64" s="82"/>
      <c r="AQ64" s="121">
        <f t="shared" si="19"/>
        <v>4224548</v>
      </c>
      <c r="AR64" s="1230">
        <v>4476957</v>
      </c>
      <c r="AS64" s="1230"/>
      <c r="AT64" s="1230">
        <f t="shared" si="20"/>
        <v>4476957</v>
      </c>
      <c r="AU64" s="121">
        <f t="shared" si="49"/>
        <v>-252409</v>
      </c>
      <c r="AV64" s="174"/>
      <c r="AW64" s="1232">
        <f t="shared" si="38"/>
        <v>-252409</v>
      </c>
      <c r="AX64" s="121"/>
      <c r="AY64" s="121"/>
      <c r="AZ64" s="82"/>
    </row>
    <row r="65" spans="1:52" ht="21.95" customHeight="1">
      <c r="A65" s="79" t="s">
        <v>5</v>
      </c>
      <c r="B65" s="80" t="s">
        <v>976</v>
      </c>
      <c r="C65" s="80" t="s">
        <v>959</v>
      </c>
      <c r="D65" s="1234"/>
      <c r="E65" s="86">
        <v>18.034482758620683</v>
      </c>
      <c r="F65" s="86">
        <v>9.5</v>
      </c>
      <c r="G65" s="86">
        <v>0</v>
      </c>
      <c r="H65" s="86">
        <v>5.5</v>
      </c>
      <c r="I65" s="82">
        <f t="shared" si="5"/>
        <v>33.034482758620683</v>
      </c>
      <c r="J65" s="81">
        <v>1.4166666666666667</v>
      </c>
      <c r="K65" s="81">
        <v>0</v>
      </c>
      <c r="L65" s="81">
        <v>0</v>
      </c>
      <c r="M65" s="81">
        <v>0</v>
      </c>
      <c r="N65" s="82">
        <f t="shared" si="23"/>
        <v>1.4166666666666667</v>
      </c>
      <c r="O65" s="82">
        <f t="shared" si="47"/>
        <v>19.451149425287351</v>
      </c>
      <c r="P65" s="82">
        <f t="shared" si="47"/>
        <v>9.5</v>
      </c>
      <c r="Q65" s="82">
        <f t="shared" si="47"/>
        <v>0</v>
      </c>
      <c r="R65" s="82">
        <f t="shared" si="47"/>
        <v>5.5</v>
      </c>
      <c r="S65" s="93">
        <f t="shared" si="25"/>
        <v>34.451149425287355</v>
      </c>
      <c r="T65" s="81">
        <v>2.5</v>
      </c>
      <c r="U65" s="81">
        <v>8</v>
      </c>
      <c r="V65" s="81">
        <v>0</v>
      </c>
      <c r="W65" s="81">
        <v>5</v>
      </c>
      <c r="X65" s="93">
        <f t="shared" si="26"/>
        <v>15.5</v>
      </c>
      <c r="Y65" s="81">
        <v>2.5</v>
      </c>
      <c r="Z65" s="81">
        <v>8</v>
      </c>
      <c r="AA65" s="81">
        <v>0</v>
      </c>
      <c r="AB65" s="81">
        <v>5</v>
      </c>
      <c r="AC65" s="82">
        <f t="shared" si="27"/>
        <v>15.5</v>
      </c>
      <c r="AD65" s="82">
        <f>(Y65*6800+Z65*5750+AA65*5295+AB65*4400)*12</f>
        <v>1020000</v>
      </c>
      <c r="AE65" s="82">
        <f t="shared" si="11"/>
        <v>66960</v>
      </c>
      <c r="AF65" s="82">
        <f t="shared" si="12"/>
        <v>93000</v>
      </c>
      <c r="AG65" s="82">
        <f t="shared" si="13"/>
        <v>37200</v>
      </c>
      <c r="AH65" s="82">
        <f t="shared" si="14"/>
        <v>145700</v>
      </c>
      <c r="AI65" s="82">
        <f t="shared" si="15"/>
        <v>12400</v>
      </c>
      <c r="AJ65" s="82">
        <f t="shared" si="16"/>
        <v>0</v>
      </c>
      <c r="AK65" s="82">
        <f t="shared" si="17"/>
        <v>14880</v>
      </c>
      <c r="AL65" s="82">
        <f t="shared" si="18"/>
        <v>472128.26</v>
      </c>
      <c r="AM65" s="82">
        <f t="shared" si="2"/>
        <v>1862268.26</v>
      </c>
      <c r="AN65" s="82">
        <v>1828351.15</v>
      </c>
      <c r="AO65" s="82"/>
      <c r="AP65" s="82">
        <v>26267</v>
      </c>
      <c r="AQ65" s="121">
        <f t="shared" si="19"/>
        <v>1854618.15</v>
      </c>
      <c r="AR65" s="1230">
        <v>2218960</v>
      </c>
      <c r="AS65" s="1230"/>
      <c r="AT65" s="1230">
        <f t="shared" si="20"/>
        <v>2218960</v>
      </c>
      <c r="AU65" s="121">
        <f t="shared" si="49"/>
        <v>-364341.85000000009</v>
      </c>
      <c r="AV65" s="174"/>
      <c r="AW65" s="1232">
        <f t="shared" si="38"/>
        <v>-364341.85000000009</v>
      </c>
      <c r="AX65" s="121"/>
      <c r="AY65" s="121"/>
      <c r="AZ65" s="82"/>
    </row>
    <row r="66" spans="1:52" ht="21.95" customHeight="1">
      <c r="A66" s="79" t="s">
        <v>5</v>
      </c>
      <c r="B66" s="80" t="s">
        <v>694</v>
      </c>
      <c r="C66" s="80" t="s">
        <v>649</v>
      </c>
      <c r="D66" s="1234">
        <v>2</v>
      </c>
      <c r="E66" s="86">
        <v>14.213675213675216</v>
      </c>
      <c r="F66" s="86">
        <v>4</v>
      </c>
      <c r="G66" s="86">
        <v>27.612500000000001</v>
      </c>
      <c r="H66" s="86">
        <v>3</v>
      </c>
      <c r="I66" s="82">
        <f t="shared" si="5"/>
        <v>48.826175213675214</v>
      </c>
      <c r="J66" s="81">
        <v>0</v>
      </c>
      <c r="K66" s="81">
        <v>0</v>
      </c>
      <c r="L66" s="81">
        <v>1.75</v>
      </c>
      <c r="M66" s="81">
        <v>0</v>
      </c>
      <c r="N66" s="82">
        <f t="shared" si="23"/>
        <v>1.75</v>
      </c>
      <c r="O66" s="82">
        <f t="shared" si="47"/>
        <v>14.213675213675216</v>
      </c>
      <c r="P66" s="82">
        <f t="shared" si="47"/>
        <v>4</v>
      </c>
      <c r="Q66" s="82">
        <f t="shared" si="47"/>
        <v>29.362500000000001</v>
      </c>
      <c r="R66" s="82">
        <f t="shared" si="47"/>
        <v>3</v>
      </c>
      <c r="S66" s="93">
        <f t="shared" si="25"/>
        <v>50.576175213675214</v>
      </c>
      <c r="T66" s="81">
        <v>7.25</v>
      </c>
      <c r="U66" s="81">
        <v>5.5</v>
      </c>
      <c r="V66" s="81">
        <v>28.666666666666668</v>
      </c>
      <c r="W66" s="81">
        <v>3</v>
      </c>
      <c r="X66" s="93">
        <f t="shared" si="26"/>
        <v>44.416666666666671</v>
      </c>
      <c r="Y66" s="81">
        <v>7.25</v>
      </c>
      <c r="Z66" s="81">
        <v>5.5</v>
      </c>
      <c r="AA66" s="81">
        <v>28.666666666666668</v>
      </c>
      <c r="AB66" s="81">
        <v>3</v>
      </c>
      <c r="AC66" s="82">
        <f t="shared" si="27"/>
        <v>44.416666666666671</v>
      </c>
      <c r="AD66" s="82">
        <f>(Y66*6800+Z66*5750+AA66*5295+AB66*4400)*12</f>
        <v>2950980</v>
      </c>
      <c r="AE66" s="82">
        <f t="shared" si="11"/>
        <v>191880.00000000003</v>
      </c>
      <c r="AF66" s="82">
        <f t="shared" si="12"/>
        <v>266500</v>
      </c>
      <c r="AG66" s="82">
        <f t="shared" si="13"/>
        <v>106600.00000000001</v>
      </c>
      <c r="AH66" s="82">
        <f t="shared" si="14"/>
        <v>417516.66666666669</v>
      </c>
      <c r="AI66" s="82">
        <f t="shared" si="15"/>
        <v>35533.333333333336</v>
      </c>
      <c r="AJ66" s="82">
        <f t="shared" si="16"/>
        <v>20000</v>
      </c>
      <c r="AK66" s="82">
        <f t="shared" si="17"/>
        <v>42640.000000000007</v>
      </c>
      <c r="AL66" s="82">
        <f t="shared" si="18"/>
        <v>1352926.69</v>
      </c>
      <c r="AM66" s="82">
        <f t="shared" si="2"/>
        <v>5384576.6899999995</v>
      </c>
      <c r="AN66" s="82">
        <v>5259359.29</v>
      </c>
      <c r="AO66" s="82">
        <v>96500</v>
      </c>
      <c r="AP66" s="82"/>
      <c r="AQ66" s="121">
        <f t="shared" si="19"/>
        <v>5355859.29</v>
      </c>
      <c r="AR66" s="1230">
        <v>4407874</v>
      </c>
      <c r="AS66" s="1230"/>
      <c r="AT66" s="1230">
        <f t="shared" si="20"/>
        <v>4407874</v>
      </c>
      <c r="AU66" s="121">
        <f t="shared" si="49"/>
        <v>947985.29</v>
      </c>
      <c r="AV66" s="174"/>
      <c r="AW66" s="1232">
        <f t="shared" si="38"/>
        <v>947985.29</v>
      </c>
      <c r="AX66" s="121"/>
      <c r="AY66" s="121"/>
      <c r="AZ66" s="82"/>
    </row>
    <row r="67" spans="1:52" s="83" customFormat="1" ht="21.95" customHeight="1">
      <c r="A67" s="79" t="s">
        <v>5</v>
      </c>
      <c r="B67" s="80" t="s">
        <v>3232</v>
      </c>
      <c r="C67" s="80" t="s">
        <v>649</v>
      </c>
      <c r="D67" s="1234">
        <v>1</v>
      </c>
      <c r="E67" s="86">
        <v>4.5811965811965827</v>
      </c>
      <c r="F67" s="86">
        <v>3</v>
      </c>
      <c r="G67" s="86">
        <v>16.887499999999999</v>
      </c>
      <c r="H67" s="86">
        <v>2</v>
      </c>
      <c r="I67" s="82">
        <f t="shared" si="5"/>
        <v>26.468696581196582</v>
      </c>
      <c r="J67" s="81">
        <v>0</v>
      </c>
      <c r="K67" s="81">
        <v>0</v>
      </c>
      <c r="L67" s="81">
        <v>2</v>
      </c>
      <c r="M67" s="81">
        <v>0</v>
      </c>
      <c r="N67" s="82">
        <f t="shared" si="23"/>
        <v>2</v>
      </c>
      <c r="O67" s="82">
        <f t="shared" si="47"/>
        <v>4.5811965811965827</v>
      </c>
      <c r="P67" s="82">
        <f t="shared" si="47"/>
        <v>3</v>
      </c>
      <c r="Q67" s="82">
        <f t="shared" si="47"/>
        <v>18.887499999999999</v>
      </c>
      <c r="R67" s="82">
        <f t="shared" si="47"/>
        <v>2</v>
      </c>
      <c r="S67" s="93">
        <f t="shared" si="25"/>
        <v>28.468696581196582</v>
      </c>
      <c r="T67" s="81">
        <v>3.5</v>
      </c>
      <c r="U67" s="81">
        <v>2.5833333333333335</v>
      </c>
      <c r="V67" s="81">
        <v>19</v>
      </c>
      <c r="W67" s="81">
        <v>1.8333333333333333</v>
      </c>
      <c r="X67" s="93">
        <f t="shared" si="26"/>
        <v>26.916666666666668</v>
      </c>
      <c r="Y67" s="81">
        <v>3.5</v>
      </c>
      <c r="Z67" s="81">
        <v>2.5833333333333335</v>
      </c>
      <c r="AA67" s="81">
        <v>19</v>
      </c>
      <c r="AB67" s="81">
        <v>1.8333333333333333</v>
      </c>
      <c r="AC67" s="82">
        <f t="shared" si="27"/>
        <v>26.916666666666668</v>
      </c>
      <c r="AD67" s="82">
        <f>(Y67*6800+Z67*5750+AA67*5295+AB67*4400)*12</f>
        <v>1767910</v>
      </c>
      <c r="AE67" s="82">
        <f t="shared" si="11"/>
        <v>116280</v>
      </c>
      <c r="AF67" s="82">
        <f t="shared" si="12"/>
        <v>161500</v>
      </c>
      <c r="AG67" s="82">
        <f t="shared" si="13"/>
        <v>64600</v>
      </c>
      <c r="AH67" s="82">
        <f t="shared" si="14"/>
        <v>253016.66666666669</v>
      </c>
      <c r="AI67" s="82">
        <f t="shared" si="15"/>
        <v>21533.333333333336</v>
      </c>
      <c r="AJ67" s="82">
        <f t="shared" si="16"/>
        <v>10000</v>
      </c>
      <c r="AK67" s="82">
        <f t="shared" si="17"/>
        <v>25840</v>
      </c>
      <c r="AL67" s="82">
        <f t="shared" si="18"/>
        <v>819878.65</v>
      </c>
      <c r="AM67" s="82">
        <f t="shared" si="2"/>
        <v>3240558.65</v>
      </c>
      <c r="AN67" s="82">
        <v>3238201.2</v>
      </c>
      <c r="AO67" s="82">
        <v>21600</v>
      </c>
      <c r="AP67" s="82"/>
      <c r="AQ67" s="121">
        <f t="shared" si="19"/>
        <v>3259801.2</v>
      </c>
      <c r="AR67" s="1231">
        <v>2737398</v>
      </c>
      <c r="AS67" s="1231"/>
      <c r="AT67" s="1230">
        <f t="shared" si="20"/>
        <v>2737398</v>
      </c>
      <c r="AU67" s="82">
        <f t="shared" si="49"/>
        <v>522403.20000000019</v>
      </c>
      <c r="AV67" s="174"/>
      <c r="AW67" s="1232">
        <f t="shared" si="38"/>
        <v>522403.20000000019</v>
      </c>
      <c r="AX67" s="82"/>
      <c r="AY67" s="121"/>
      <c r="AZ67" s="82"/>
    </row>
    <row r="68" spans="1:52" ht="21.95" customHeight="1">
      <c r="A68" s="79" t="s">
        <v>5</v>
      </c>
      <c r="B68" s="80" t="s">
        <v>696</v>
      </c>
      <c r="C68" s="80" t="s">
        <v>972</v>
      </c>
      <c r="D68" s="1234"/>
      <c r="E68" s="86">
        <v>5</v>
      </c>
      <c r="F68" s="86">
        <v>11</v>
      </c>
      <c r="G68" s="86">
        <v>0</v>
      </c>
      <c r="H68" s="86">
        <v>8</v>
      </c>
      <c r="I68" s="82">
        <f t="shared" si="5"/>
        <v>24</v>
      </c>
      <c r="J68" s="81">
        <v>0</v>
      </c>
      <c r="K68" s="81">
        <v>3.3</v>
      </c>
      <c r="L68" s="81">
        <v>0</v>
      </c>
      <c r="M68" s="81">
        <v>1.5</v>
      </c>
      <c r="N68" s="82">
        <f t="shared" si="23"/>
        <v>4.8</v>
      </c>
      <c r="O68" s="82">
        <f t="shared" si="47"/>
        <v>5</v>
      </c>
      <c r="P68" s="82">
        <f t="shared" si="47"/>
        <v>14.3</v>
      </c>
      <c r="Q68" s="82">
        <f t="shared" si="47"/>
        <v>0</v>
      </c>
      <c r="R68" s="82">
        <f t="shared" si="47"/>
        <v>9.5</v>
      </c>
      <c r="S68" s="93">
        <f t="shared" si="25"/>
        <v>28.8</v>
      </c>
      <c r="T68" s="81">
        <v>3.3333333333333335</v>
      </c>
      <c r="U68" s="81">
        <v>14.333333333333332</v>
      </c>
      <c r="V68" s="81">
        <v>0</v>
      </c>
      <c r="W68" s="81">
        <v>9.4166666666666661</v>
      </c>
      <c r="X68" s="93">
        <f t="shared" si="26"/>
        <v>27.083333333333329</v>
      </c>
      <c r="Y68" s="81">
        <v>3.3333333333333335</v>
      </c>
      <c r="Z68" s="81">
        <v>14.333333333333332</v>
      </c>
      <c r="AA68" s="81">
        <v>0</v>
      </c>
      <c r="AB68" s="81">
        <v>9.4166666666666661</v>
      </c>
      <c r="AC68" s="82">
        <f t="shared" si="27"/>
        <v>27.083333333333329</v>
      </c>
      <c r="AD68" s="82">
        <f>(Y68*7300+Z68*5750+AA68*5295+AB68*4400)*12</f>
        <v>1778199.9999999998</v>
      </c>
      <c r="AE68" s="82">
        <f t="shared" si="11"/>
        <v>116999.99999999999</v>
      </c>
      <c r="AF68" s="82">
        <f t="shared" si="12"/>
        <v>162499.99999999997</v>
      </c>
      <c r="AG68" s="82">
        <f t="shared" si="13"/>
        <v>64999.999999999985</v>
      </c>
      <c r="AH68" s="82">
        <f>Y68*15400+(Z68+AA68+AB68)*9400</f>
        <v>274583.33333333331</v>
      </c>
      <c r="AI68" s="82">
        <f t="shared" si="15"/>
        <v>21666.666666666664</v>
      </c>
      <c r="AJ68" s="82">
        <f t="shared" si="16"/>
        <v>0</v>
      </c>
      <c r="AK68" s="82">
        <f t="shared" si="17"/>
        <v>25999.999999999996</v>
      </c>
      <c r="AL68" s="82">
        <f t="shared" si="18"/>
        <v>824955.3</v>
      </c>
      <c r="AM68" s="82">
        <f t="shared" si="2"/>
        <v>3269905.3</v>
      </c>
      <c r="AN68" s="82">
        <v>3050000</v>
      </c>
      <c r="AO68" s="82"/>
      <c r="AP68" s="82">
        <v>31315</v>
      </c>
      <c r="AQ68" s="121">
        <f t="shared" si="19"/>
        <v>3081315</v>
      </c>
      <c r="AR68" s="1230">
        <v>3464418.5</v>
      </c>
      <c r="AS68" s="1230"/>
      <c r="AT68" s="1230">
        <f t="shared" si="20"/>
        <v>3464418.5</v>
      </c>
      <c r="AU68" s="121">
        <f t="shared" si="49"/>
        <v>-383103.5</v>
      </c>
      <c r="AV68" s="174"/>
      <c r="AW68" s="1232">
        <f t="shared" si="38"/>
        <v>-383103.5</v>
      </c>
      <c r="AX68" s="121"/>
      <c r="AY68" s="121"/>
      <c r="AZ68" s="82"/>
    </row>
    <row r="69" spans="1:52" ht="21.95" customHeight="1">
      <c r="A69" s="79" t="s">
        <v>5</v>
      </c>
      <c r="B69" s="80" t="s">
        <v>465</v>
      </c>
      <c r="C69" s="80" t="s">
        <v>649</v>
      </c>
      <c r="D69" s="1234">
        <v>2</v>
      </c>
      <c r="E69" s="86">
        <v>13.17094017094017</v>
      </c>
      <c r="F69" s="86">
        <v>6</v>
      </c>
      <c r="G69" s="86">
        <v>25.875</v>
      </c>
      <c r="H69" s="86">
        <v>2</v>
      </c>
      <c r="I69" s="82">
        <f>SUM(E69:H69)</f>
        <v>47.04594017094017</v>
      </c>
      <c r="J69" s="81">
        <v>0</v>
      </c>
      <c r="K69" s="81">
        <v>0</v>
      </c>
      <c r="L69" s="81">
        <v>0</v>
      </c>
      <c r="M69" s="81">
        <v>0</v>
      </c>
      <c r="N69" s="82">
        <f>SUM(J69:M69)</f>
        <v>0</v>
      </c>
      <c r="O69" s="82">
        <f>E69+J69</f>
        <v>13.17094017094017</v>
      </c>
      <c r="P69" s="82">
        <f>F69+K69</f>
        <v>6</v>
      </c>
      <c r="Q69" s="82">
        <f>G69+L69</f>
        <v>25.875</v>
      </c>
      <c r="R69" s="82">
        <f>H69+M69</f>
        <v>2</v>
      </c>
      <c r="S69" s="93">
        <f>SUM(O69:R69)</f>
        <v>47.04594017094017</v>
      </c>
      <c r="T69" s="81">
        <v>7</v>
      </c>
      <c r="U69" s="81">
        <v>7.333333333333333</v>
      </c>
      <c r="V69" s="81">
        <v>27.5</v>
      </c>
      <c r="W69" s="81">
        <v>2</v>
      </c>
      <c r="X69" s="93">
        <f>SUM(T69:W69)</f>
        <v>43.833333333333329</v>
      </c>
      <c r="Y69" s="81">
        <v>7</v>
      </c>
      <c r="Z69" s="81">
        <v>7.333333333333333</v>
      </c>
      <c r="AA69" s="81">
        <v>27.5</v>
      </c>
      <c r="AB69" s="81">
        <v>2</v>
      </c>
      <c r="AC69" s="82">
        <f>SUM(Y69:AB69)</f>
        <v>43.833333333333329</v>
      </c>
      <c r="AD69" s="82">
        <f>(Y69*6800+Z69*5750+AA69*5295+AB69*4400)*12</f>
        <v>2930150</v>
      </c>
      <c r="AE69" s="82">
        <f t="shared" si="11"/>
        <v>189359.99999999997</v>
      </c>
      <c r="AF69" s="82">
        <f t="shared" si="12"/>
        <v>263000</v>
      </c>
      <c r="AG69" s="82">
        <f t="shared" si="13"/>
        <v>105199.99999999999</v>
      </c>
      <c r="AH69" s="82">
        <f t="shared" si="14"/>
        <v>412033.33333333331</v>
      </c>
      <c r="AI69" s="82">
        <f t="shared" si="15"/>
        <v>35066.666666666664</v>
      </c>
      <c r="AJ69" s="82">
        <f t="shared" si="16"/>
        <v>20000</v>
      </c>
      <c r="AK69" s="82">
        <f t="shared" si="17"/>
        <v>42079.999999999993</v>
      </c>
      <c r="AL69" s="82">
        <f t="shared" si="18"/>
        <v>1335158.42</v>
      </c>
      <c r="AM69" s="82">
        <f t="shared" ref="AM69:AM70" si="51">SUM(AD69:AL69)</f>
        <v>5332048.42</v>
      </c>
      <c r="AN69" s="82">
        <v>5189012.58</v>
      </c>
      <c r="AO69" s="82">
        <v>134400</v>
      </c>
      <c r="AP69" s="82"/>
      <c r="AQ69" s="121">
        <f t="shared" si="19"/>
        <v>5323412.58</v>
      </c>
      <c r="AR69" s="1230">
        <v>6077897</v>
      </c>
      <c r="AS69" s="1230"/>
      <c r="AT69" s="1230">
        <f t="shared" si="20"/>
        <v>6077897</v>
      </c>
      <c r="AU69" s="121">
        <f t="shared" si="49"/>
        <v>-754484.41999999993</v>
      </c>
      <c r="AV69" s="174"/>
      <c r="AW69" s="1232">
        <f t="shared" si="38"/>
        <v>-754484.41999999993</v>
      </c>
      <c r="AX69" s="121"/>
      <c r="AY69" s="121"/>
      <c r="AZ69" s="82"/>
    </row>
    <row r="70" spans="1:52" ht="21.95" customHeight="1">
      <c r="A70" s="79" t="s">
        <v>5</v>
      </c>
      <c r="B70" s="1237" t="s">
        <v>235</v>
      </c>
      <c r="C70" s="80" t="s">
        <v>464</v>
      </c>
      <c r="D70" s="1234"/>
      <c r="E70" s="86">
        <v>25.521008403361336</v>
      </c>
      <c r="F70" s="86">
        <v>9</v>
      </c>
      <c r="G70" s="86">
        <v>0</v>
      </c>
      <c r="H70" s="86">
        <v>5</v>
      </c>
      <c r="I70" s="82">
        <f t="shared" si="5"/>
        <v>39.521008403361336</v>
      </c>
      <c r="J70" s="81">
        <v>0</v>
      </c>
      <c r="K70" s="81">
        <v>0.58333333333333337</v>
      </c>
      <c r="L70" s="81">
        <v>0</v>
      </c>
      <c r="M70" s="81">
        <v>0.58333333333333337</v>
      </c>
      <c r="N70" s="82">
        <f t="shared" si="23"/>
        <v>1.1666666666666667</v>
      </c>
      <c r="O70" s="82">
        <f t="shared" si="47"/>
        <v>25.521008403361336</v>
      </c>
      <c r="P70" s="82">
        <f t="shared" si="47"/>
        <v>9.5833333333333339</v>
      </c>
      <c r="Q70" s="82">
        <f t="shared" si="47"/>
        <v>0</v>
      </c>
      <c r="R70" s="82">
        <f t="shared" si="47"/>
        <v>5.583333333333333</v>
      </c>
      <c r="S70" s="93">
        <f t="shared" si="25"/>
        <v>40.687675070028007</v>
      </c>
      <c r="T70" s="81">
        <v>8.75</v>
      </c>
      <c r="U70" s="81">
        <v>7.25</v>
      </c>
      <c r="V70" s="81">
        <v>1</v>
      </c>
      <c r="W70" s="81">
        <v>4.333333333333333</v>
      </c>
      <c r="X70" s="93">
        <f t="shared" si="26"/>
        <v>21.333333333333332</v>
      </c>
      <c r="Y70" s="81">
        <v>8.75</v>
      </c>
      <c r="Z70" s="81">
        <v>7.25</v>
      </c>
      <c r="AA70" s="81">
        <v>1</v>
      </c>
      <c r="AB70" s="81">
        <v>4.333333333333333</v>
      </c>
      <c r="AC70" s="82">
        <f t="shared" si="27"/>
        <v>21.333333333333332</v>
      </c>
      <c r="AD70" s="82">
        <f>(Y70*7800+Z70*5750+AA70*5295+AB70*4400)*12</f>
        <v>1611590</v>
      </c>
      <c r="AE70" s="82">
        <f t="shared" ref="AE70:AE113" si="52">AC70*4320</f>
        <v>92160</v>
      </c>
      <c r="AF70" s="82">
        <f t="shared" ref="AF70:AF113" si="53">AC70*6000</f>
        <v>128000</v>
      </c>
      <c r="AG70" s="82">
        <f t="shared" ref="AG70:AG113" si="54">AC70*2400</f>
        <v>51200</v>
      </c>
      <c r="AH70" s="82">
        <f>Y70*15400+(Z70+AA70+AB70)*9400</f>
        <v>253033.33333333331</v>
      </c>
      <c r="AI70" s="82">
        <f t="shared" ref="AI70:AI113" si="55">AC70*800</f>
        <v>17066.666666666664</v>
      </c>
      <c r="AJ70" s="82">
        <f t="shared" ref="AJ70:AJ113" si="56">D70*50*200</f>
        <v>0</v>
      </c>
      <c r="AK70" s="82">
        <f t="shared" ref="AK70:AK113" si="57">AC70*960</f>
        <v>20480</v>
      </c>
      <c r="AL70" s="82">
        <f t="shared" ref="AL70:AL113" si="58">ROUND((7384*0.342*AC70*6+7460*0.342*AC70*6),2)</f>
        <v>649810.93999999994</v>
      </c>
      <c r="AM70" s="82">
        <f t="shared" si="51"/>
        <v>2823340.94</v>
      </c>
      <c r="AN70" s="82">
        <v>2701613.64</v>
      </c>
      <c r="AO70" s="82">
        <v>7400</v>
      </c>
      <c r="AP70" s="82">
        <v>105444.5</v>
      </c>
      <c r="AQ70" s="121">
        <f t="shared" ref="AQ70:AQ113" si="59">AN70+AO70+AP70</f>
        <v>2814458.14</v>
      </c>
      <c r="AR70" s="1230">
        <v>3326322</v>
      </c>
      <c r="AS70" s="1230"/>
      <c r="AT70" s="1230">
        <f t="shared" ref="AT70:AT113" si="60">AR70-AS70</f>
        <v>3326322</v>
      </c>
      <c r="AU70" s="121">
        <f t="shared" ref="AU70:AU113" si="61">AQ70-AR70</f>
        <v>-511863.85999999987</v>
      </c>
      <c r="AV70" s="174"/>
      <c r="AW70" s="1232">
        <f t="shared" si="38"/>
        <v>-511863.85999999987</v>
      </c>
      <c r="AX70" s="121"/>
      <c r="AY70" s="121"/>
      <c r="AZ70" s="82"/>
    </row>
    <row r="71" spans="1:52" s="85" customFormat="1" ht="21.95" customHeight="1">
      <c r="A71" s="1225"/>
      <c r="B71" s="1225" t="s">
        <v>697</v>
      </c>
      <c r="C71" s="1225"/>
      <c r="D71" s="1235">
        <f t="shared" ref="D71:AW71" si="62">SUM(D53:D70)</f>
        <v>15</v>
      </c>
      <c r="E71" s="84">
        <f t="shared" si="62"/>
        <v>346.64840118186981</v>
      </c>
      <c r="F71" s="84">
        <f t="shared" si="62"/>
        <v>134</v>
      </c>
      <c r="G71" s="84">
        <f t="shared" si="62"/>
        <v>243.08750000000001</v>
      </c>
      <c r="H71" s="84">
        <f t="shared" si="62"/>
        <v>82</v>
      </c>
      <c r="I71" s="84">
        <f t="shared" si="62"/>
        <v>805.73590118186974</v>
      </c>
      <c r="J71" s="84">
        <f t="shared" si="62"/>
        <v>37.166666666666664</v>
      </c>
      <c r="K71" s="84">
        <f t="shared" si="62"/>
        <v>8.3833333333333329</v>
      </c>
      <c r="L71" s="84">
        <f t="shared" si="62"/>
        <v>13.25</v>
      </c>
      <c r="M71" s="84">
        <f t="shared" si="62"/>
        <v>9.0833333333333339</v>
      </c>
      <c r="N71" s="84">
        <f t="shared" si="62"/>
        <v>67.883333333333326</v>
      </c>
      <c r="O71" s="84">
        <f t="shared" si="62"/>
        <v>383.81506784853644</v>
      </c>
      <c r="P71" s="84">
        <f t="shared" si="62"/>
        <v>142.38333333333335</v>
      </c>
      <c r="Q71" s="84">
        <f t="shared" si="62"/>
        <v>256.33749999999998</v>
      </c>
      <c r="R71" s="84">
        <f t="shared" si="62"/>
        <v>91.083333333333329</v>
      </c>
      <c r="S71" s="1238">
        <f t="shared" si="62"/>
        <v>873.61923451520317</v>
      </c>
      <c r="T71" s="84">
        <f t="shared" si="62"/>
        <v>145.08333333333334</v>
      </c>
      <c r="U71" s="84">
        <f t="shared" si="62"/>
        <v>99.083333333333314</v>
      </c>
      <c r="V71" s="84">
        <f t="shared" si="62"/>
        <v>262.66666666666663</v>
      </c>
      <c r="W71" s="84">
        <f t="shared" si="62"/>
        <v>98.5</v>
      </c>
      <c r="X71" s="1238">
        <f t="shared" si="62"/>
        <v>605.33333333333348</v>
      </c>
      <c r="Y71" s="84">
        <f t="shared" si="62"/>
        <v>149.57051282051285</v>
      </c>
      <c r="Z71" s="84">
        <f t="shared" si="62"/>
        <v>96.749999999999986</v>
      </c>
      <c r="AA71" s="84">
        <f t="shared" si="62"/>
        <v>259.16249999999997</v>
      </c>
      <c r="AB71" s="84">
        <f t="shared" si="62"/>
        <v>99.5</v>
      </c>
      <c r="AC71" s="84">
        <f t="shared" si="62"/>
        <v>604.98301282051295</v>
      </c>
      <c r="AD71" s="84">
        <f t="shared" si="62"/>
        <v>41013489.096153848</v>
      </c>
      <c r="AE71" s="84">
        <f t="shared" si="62"/>
        <v>2613526.6153846155</v>
      </c>
      <c r="AF71" s="84">
        <f t="shared" si="62"/>
        <v>3629898.076923077</v>
      </c>
      <c r="AG71" s="84">
        <f t="shared" si="62"/>
        <v>1451959.2307692308</v>
      </c>
      <c r="AH71" s="84">
        <f t="shared" si="62"/>
        <v>5902840.32051282</v>
      </c>
      <c r="AI71" s="84">
        <f t="shared" si="62"/>
        <v>483986.41025641025</v>
      </c>
      <c r="AJ71" s="84">
        <f t="shared" si="62"/>
        <v>150000</v>
      </c>
      <c r="AK71" s="84">
        <f t="shared" si="62"/>
        <v>580783.69230769225</v>
      </c>
      <c r="AL71" s="84">
        <f t="shared" si="62"/>
        <v>18427714.780000001</v>
      </c>
      <c r="AM71" s="84">
        <f t="shared" si="62"/>
        <v>74254198.222307682</v>
      </c>
      <c r="AN71" s="84">
        <f t="shared" si="62"/>
        <v>71904636.510000005</v>
      </c>
      <c r="AO71" s="84">
        <f t="shared" si="62"/>
        <v>602375.62</v>
      </c>
      <c r="AP71" s="84">
        <f t="shared" si="62"/>
        <v>1158107.625</v>
      </c>
      <c r="AQ71" s="84">
        <f t="shared" si="62"/>
        <v>73665119.75500001</v>
      </c>
      <c r="AR71" s="84">
        <f t="shared" si="62"/>
        <v>64431655.75</v>
      </c>
      <c r="AS71" s="84">
        <f t="shared" si="62"/>
        <v>2304570.71</v>
      </c>
      <c r="AT71" s="84">
        <f t="shared" si="62"/>
        <v>62127085.039999999</v>
      </c>
      <c r="AU71" s="84">
        <f t="shared" si="62"/>
        <v>9233464.0050000008</v>
      </c>
      <c r="AV71" s="84">
        <f t="shared" si="62"/>
        <v>1080000</v>
      </c>
      <c r="AW71" s="84">
        <f t="shared" si="62"/>
        <v>8153464.0050000008</v>
      </c>
      <c r="AX71" s="84">
        <f t="shared" ref="AX71:AZ71" si="63">SUM(AX53:AX70)</f>
        <v>0</v>
      </c>
      <c r="AY71" s="84">
        <f t="shared" si="63"/>
        <v>300000</v>
      </c>
      <c r="AZ71" s="84">
        <f t="shared" si="63"/>
        <v>-300000</v>
      </c>
    </row>
    <row r="72" spans="1:52" s="83" customFormat="1" ht="21.95" customHeight="1">
      <c r="A72" s="79" t="s">
        <v>4</v>
      </c>
      <c r="B72" s="80" t="s">
        <v>698</v>
      </c>
      <c r="C72" s="80" t="s">
        <v>649</v>
      </c>
      <c r="D72" s="1234">
        <v>2</v>
      </c>
      <c r="E72" s="86">
        <v>0</v>
      </c>
      <c r="F72" s="86">
        <v>3</v>
      </c>
      <c r="G72" s="86">
        <v>28.762499999999999</v>
      </c>
      <c r="H72" s="86">
        <v>2</v>
      </c>
      <c r="I72" s="82">
        <f t="shared" ref="I72:I113" si="64">SUM(E72:H72)</f>
        <v>33.762500000000003</v>
      </c>
      <c r="J72" s="81">
        <v>3</v>
      </c>
      <c r="K72" s="81">
        <v>1.5833333333333333</v>
      </c>
      <c r="L72" s="81">
        <v>2.3333333333333335</v>
      </c>
      <c r="M72" s="81">
        <v>0</v>
      </c>
      <c r="N72" s="82">
        <f t="shared" ref="N72:N113" si="65">SUM(J72:M72)</f>
        <v>6.9166666666666661</v>
      </c>
      <c r="O72" s="82">
        <f t="shared" ref="O72:R89" si="66">E72+J72</f>
        <v>3</v>
      </c>
      <c r="P72" s="82">
        <f t="shared" si="66"/>
        <v>4.583333333333333</v>
      </c>
      <c r="Q72" s="82">
        <f t="shared" si="66"/>
        <v>31.095833333333331</v>
      </c>
      <c r="R72" s="82">
        <f t="shared" si="66"/>
        <v>2</v>
      </c>
      <c r="S72" s="93">
        <f t="shared" ref="S72:S113" si="67">SUM(O72:R72)</f>
        <v>40.679166666666667</v>
      </c>
      <c r="T72" s="81">
        <v>4</v>
      </c>
      <c r="U72" s="81">
        <v>3.5</v>
      </c>
      <c r="V72" s="81">
        <v>31.166666666666668</v>
      </c>
      <c r="W72" s="81">
        <v>2</v>
      </c>
      <c r="X72" s="93">
        <f t="shared" ref="X72:X113" si="68">SUM(T72:W72)</f>
        <v>40.666666666666671</v>
      </c>
      <c r="Y72" s="81">
        <v>4</v>
      </c>
      <c r="Z72" s="81">
        <v>3.5</v>
      </c>
      <c r="AA72" s="81">
        <v>31.166666666666668</v>
      </c>
      <c r="AB72" s="81">
        <v>2</v>
      </c>
      <c r="AC72" s="82">
        <f t="shared" ref="AC72:AC113" si="69">SUM(Y72:AB72)</f>
        <v>40.666666666666671</v>
      </c>
      <c r="AD72" s="82">
        <f t="shared" ref="AD72:AD81" si="70">(Y72*6800+Z72*5750+AA72*5295+AB72*4400)*12</f>
        <v>2653830</v>
      </c>
      <c r="AE72" s="82">
        <f t="shared" si="52"/>
        <v>175680.00000000003</v>
      </c>
      <c r="AF72" s="82">
        <f t="shared" si="53"/>
        <v>244000.00000000003</v>
      </c>
      <c r="AG72" s="82">
        <f t="shared" si="54"/>
        <v>97600.000000000015</v>
      </c>
      <c r="AH72" s="82">
        <f t="shared" ref="AH72:AH113" si="71">AC72*9400</f>
        <v>382266.66666666669</v>
      </c>
      <c r="AI72" s="82">
        <f t="shared" si="55"/>
        <v>32533.333333333336</v>
      </c>
      <c r="AJ72" s="82">
        <f t="shared" si="56"/>
        <v>20000</v>
      </c>
      <c r="AK72" s="82">
        <f t="shared" si="57"/>
        <v>39040.000000000007</v>
      </c>
      <c r="AL72" s="82">
        <f t="shared" si="58"/>
        <v>1238702.1100000001</v>
      </c>
      <c r="AM72" s="82">
        <f t="shared" ref="AM72:AM113" si="72">SUM(AD72:AL72)</f>
        <v>4883652.1100000003</v>
      </c>
      <c r="AN72" s="82">
        <v>4763592.7</v>
      </c>
      <c r="AO72" s="82">
        <v>82171</v>
      </c>
      <c r="AP72" s="82"/>
      <c r="AQ72" s="121">
        <f t="shared" si="59"/>
        <v>4845763.7</v>
      </c>
      <c r="AR72" s="1231">
        <v>5446123</v>
      </c>
      <c r="AS72" s="1231"/>
      <c r="AT72" s="1230">
        <f t="shared" si="60"/>
        <v>5446123</v>
      </c>
      <c r="AU72" s="82">
        <f t="shared" si="61"/>
        <v>-600359.29999999981</v>
      </c>
      <c r="AV72" s="174"/>
      <c r="AW72" s="1232">
        <f t="shared" si="38"/>
        <v>-600359.29999999981</v>
      </c>
      <c r="AX72" s="82"/>
      <c r="AY72" s="121"/>
      <c r="AZ72" s="82"/>
    </row>
    <row r="73" spans="1:52" ht="21.95" customHeight="1">
      <c r="A73" s="79" t="s">
        <v>4</v>
      </c>
      <c r="B73" s="80" t="s">
        <v>699</v>
      </c>
      <c r="C73" s="80" t="s">
        <v>649</v>
      </c>
      <c r="D73" s="1234">
        <v>1</v>
      </c>
      <c r="E73" s="86">
        <v>0</v>
      </c>
      <c r="F73" s="86">
        <v>2</v>
      </c>
      <c r="G73" s="86">
        <v>16.862500000000001</v>
      </c>
      <c r="H73" s="86">
        <v>2</v>
      </c>
      <c r="I73" s="82">
        <f t="shared" si="64"/>
        <v>20.862500000000001</v>
      </c>
      <c r="J73" s="81">
        <v>2</v>
      </c>
      <c r="K73" s="81">
        <v>0.5</v>
      </c>
      <c r="L73" s="81">
        <v>2</v>
      </c>
      <c r="M73" s="81">
        <v>0</v>
      </c>
      <c r="N73" s="82">
        <f t="shared" si="65"/>
        <v>4.5</v>
      </c>
      <c r="O73" s="82">
        <f t="shared" si="66"/>
        <v>2</v>
      </c>
      <c r="P73" s="82">
        <f t="shared" si="66"/>
        <v>2.5</v>
      </c>
      <c r="Q73" s="82">
        <f t="shared" si="66"/>
        <v>18.862500000000001</v>
      </c>
      <c r="R73" s="82">
        <f t="shared" si="66"/>
        <v>2</v>
      </c>
      <c r="S73" s="93">
        <f t="shared" si="67"/>
        <v>25.362500000000001</v>
      </c>
      <c r="T73" s="81">
        <v>2</v>
      </c>
      <c r="U73" s="81">
        <v>2.5</v>
      </c>
      <c r="V73" s="81">
        <v>19</v>
      </c>
      <c r="W73" s="81">
        <v>1</v>
      </c>
      <c r="X73" s="93">
        <f t="shared" si="68"/>
        <v>24.5</v>
      </c>
      <c r="Y73" s="81">
        <v>2</v>
      </c>
      <c r="Z73" s="81">
        <v>2.5</v>
      </c>
      <c r="AA73" s="81">
        <v>19</v>
      </c>
      <c r="AB73" s="81">
        <v>1</v>
      </c>
      <c r="AC73" s="82">
        <f t="shared" si="69"/>
        <v>24.5</v>
      </c>
      <c r="AD73" s="82">
        <f t="shared" si="70"/>
        <v>1595760</v>
      </c>
      <c r="AE73" s="82">
        <f t="shared" si="52"/>
        <v>105840</v>
      </c>
      <c r="AF73" s="82">
        <f t="shared" si="53"/>
        <v>147000</v>
      </c>
      <c r="AG73" s="82">
        <f t="shared" si="54"/>
        <v>58800</v>
      </c>
      <c r="AH73" s="82">
        <f t="shared" si="71"/>
        <v>230300</v>
      </c>
      <c r="AI73" s="82">
        <f t="shared" si="55"/>
        <v>19600</v>
      </c>
      <c r="AJ73" s="82">
        <f t="shared" si="56"/>
        <v>10000</v>
      </c>
      <c r="AK73" s="82">
        <f t="shared" si="57"/>
        <v>23520</v>
      </c>
      <c r="AL73" s="82">
        <f t="shared" si="58"/>
        <v>746267.26</v>
      </c>
      <c r="AM73" s="82">
        <f t="shared" si="72"/>
        <v>2937087.26</v>
      </c>
      <c r="AN73" s="82">
        <v>2929493.84</v>
      </c>
      <c r="AO73" s="82">
        <v>6400</v>
      </c>
      <c r="AP73" s="82"/>
      <c r="AQ73" s="121">
        <f t="shared" si="59"/>
        <v>2935893.84</v>
      </c>
      <c r="AR73" s="1230">
        <v>3171479</v>
      </c>
      <c r="AS73" s="1230"/>
      <c r="AT73" s="1230">
        <f t="shared" si="60"/>
        <v>3171479</v>
      </c>
      <c r="AU73" s="121">
        <f t="shared" si="61"/>
        <v>-235585.16000000015</v>
      </c>
      <c r="AV73" s="174"/>
      <c r="AW73" s="1232">
        <f t="shared" si="38"/>
        <v>-235585.16000000015</v>
      </c>
      <c r="AX73" s="121"/>
      <c r="AY73" s="121"/>
      <c r="AZ73" s="82"/>
    </row>
    <row r="74" spans="1:52" s="83" customFormat="1" ht="21.95" customHeight="1">
      <c r="A74" s="79" t="s">
        <v>4</v>
      </c>
      <c r="B74" s="80" t="s">
        <v>700</v>
      </c>
      <c r="C74" s="80" t="s">
        <v>649</v>
      </c>
      <c r="D74" s="1234">
        <v>2</v>
      </c>
      <c r="E74" s="86">
        <v>0</v>
      </c>
      <c r="F74" s="86">
        <v>1</v>
      </c>
      <c r="G74" s="86">
        <v>18.024999999999999</v>
      </c>
      <c r="H74" s="86">
        <v>2</v>
      </c>
      <c r="I74" s="82">
        <f t="shared" si="64"/>
        <v>21.024999999999999</v>
      </c>
      <c r="J74" s="81">
        <v>0</v>
      </c>
      <c r="K74" s="81">
        <v>1</v>
      </c>
      <c r="L74" s="81">
        <v>2.6</v>
      </c>
      <c r="M74" s="81">
        <v>0</v>
      </c>
      <c r="N74" s="82">
        <f t="shared" si="65"/>
        <v>3.6</v>
      </c>
      <c r="O74" s="82">
        <f t="shared" si="66"/>
        <v>0</v>
      </c>
      <c r="P74" s="82">
        <f t="shared" si="66"/>
        <v>2</v>
      </c>
      <c r="Q74" s="82">
        <f t="shared" si="66"/>
        <v>20.625</v>
      </c>
      <c r="R74" s="82">
        <f t="shared" si="66"/>
        <v>2</v>
      </c>
      <c r="S74" s="93">
        <f t="shared" si="67"/>
        <v>24.625</v>
      </c>
      <c r="T74" s="81">
        <v>0</v>
      </c>
      <c r="U74" s="81">
        <v>1.5</v>
      </c>
      <c r="V74" s="81">
        <v>20.583333333333332</v>
      </c>
      <c r="W74" s="81">
        <v>2</v>
      </c>
      <c r="X74" s="93">
        <f t="shared" si="68"/>
        <v>24.083333333333332</v>
      </c>
      <c r="Y74" s="81">
        <v>0</v>
      </c>
      <c r="Z74" s="81">
        <v>1.5</v>
      </c>
      <c r="AA74" s="81">
        <v>20.583333333333332</v>
      </c>
      <c r="AB74" s="81">
        <v>2</v>
      </c>
      <c r="AC74" s="82">
        <f t="shared" si="69"/>
        <v>24.083333333333332</v>
      </c>
      <c r="AD74" s="82">
        <f t="shared" si="70"/>
        <v>1516965</v>
      </c>
      <c r="AE74" s="82">
        <f t="shared" si="52"/>
        <v>104040</v>
      </c>
      <c r="AF74" s="82">
        <f t="shared" si="53"/>
        <v>144500</v>
      </c>
      <c r="AG74" s="82">
        <f t="shared" si="54"/>
        <v>57800</v>
      </c>
      <c r="AH74" s="82">
        <f t="shared" si="71"/>
        <v>226383.33333333331</v>
      </c>
      <c r="AI74" s="82">
        <f t="shared" si="55"/>
        <v>19266.666666666664</v>
      </c>
      <c r="AJ74" s="82">
        <f t="shared" si="56"/>
        <v>20000</v>
      </c>
      <c r="AK74" s="82">
        <f t="shared" si="57"/>
        <v>23120</v>
      </c>
      <c r="AL74" s="82">
        <f t="shared" si="58"/>
        <v>733575.64</v>
      </c>
      <c r="AM74" s="82">
        <f t="shared" si="72"/>
        <v>2845650.64</v>
      </c>
      <c r="AN74" s="82">
        <v>2819138.05</v>
      </c>
      <c r="AO74" s="82"/>
      <c r="AP74" s="82"/>
      <c r="AQ74" s="121">
        <f t="shared" si="59"/>
        <v>2819138.05</v>
      </c>
      <c r="AR74" s="1231">
        <v>3064830</v>
      </c>
      <c r="AS74" s="1231"/>
      <c r="AT74" s="1230">
        <f t="shared" si="60"/>
        <v>3064830</v>
      </c>
      <c r="AU74" s="82">
        <f t="shared" si="61"/>
        <v>-245691.95000000019</v>
      </c>
      <c r="AV74" s="174"/>
      <c r="AW74" s="1232">
        <f t="shared" si="38"/>
        <v>-245691.95000000019</v>
      </c>
      <c r="AX74" s="82"/>
      <c r="AY74" s="121"/>
      <c r="AZ74" s="82"/>
    </row>
    <row r="75" spans="1:52" s="83" customFormat="1" ht="21.95" customHeight="1">
      <c r="A75" s="79"/>
      <c r="B75" s="80" t="s">
        <v>3205</v>
      </c>
      <c r="C75" s="80" t="s">
        <v>649</v>
      </c>
      <c r="D75" s="1234">
        <v>6</v>
      </c>
      <c r="E75" s="81">
        <v>0</v>
      </c>
      <c r="F75" s="81">
        <v>2</v>
      </c>
      <c r="G75" s="81">
        <v>71.987499999999997</v>
      </c>
      <c r="H75" s="81">
        <v>5</v>
      </c>
      <c r="I75" s="81">
        <v>78.987499999999997</v>
      </c>
      <c r="J75" s="81">
        <v>0</v>
      </c>
      <c r="K75" s="81">
        <v>2</v>
      </c>
      <c r="L75" s="81">
        <v>0</v>
      </c>
      <c r="M75" s="81">
        <v>0</v>
      </c>
      <c r="N75" s="81">
        <v>2</v>
      </c>
      <c r="O75" s="81">
        <v>0</v>
      </c>
      <c r="P75" s="81">
        <v>4</v>
      </c>
      <c r="Q75" s="81">
        <v>71.987499999999997</v>
      </c>
      <c r="R75" s="81">
        <v>5</v>
      </c>
      <c r="S75" s="81">
        <v>80.987499999999997</v>
      </c>
      <c r="T75" s="81">
        <v>0</v>
      </c>
      <c r="U75" s="81">
        <v>0</v>
      </c>
      <c r="V75" s="81">
        <v>74.333333333333343</v>
      </c>
      <c r="W75" s="81">
        <v>5</v>
      </c>
      <c r="X75" s="81">
        <v>79.333333333333343</v>
      </c>
      <c r="Y75" s="81">
        <v>0</v>
      </c>
      <c r="Z75" s="81">
        <v>0</v>
      </c>
      <c r="AA75" s="81">
        <v>74.333333333333343</v>
      </c>
      <c r="AB75" s="81">
        <v>5</v>
      </c>
      <c r="AC75" s="82">
        <f t="shared" si="69"/>
        <v>79.333333333333343</v>
      </c>
      <c r="AD75" s="82">
        <f t="shared" si="70"/>
        <v>4987140.0000000009</v>
      </c>
      <c r="AE75" s="82">
        <f t="shared" si="52"/>
        <v>342720.00000000006</v>
      </c>
      <c r="AF75" s="82">
        <f t="shared" si="53"/>
        <v>476000.00000000006</v>
      </c>
      <c r="AG75" s="82">
        <f t="shared" si="54"/>
        <v>190400.00000000003</v>
      </c>
      <c r="AH75" s="82">
        <f t="shared" si="71"/>
        <v>745733.33333333337</v>
      </c>
      <c r="AI75" s="82">
        <f t="shared" si="55"/>
        <v>63466.666666666672</v>
      </c>
      <c r="AJ75" s="82">
        <f t="shared" si="56"/>
        <v>60000</v>
      </c>
      <c r="AK75" s="82">
        <f t="shared" si="57"/>
        <v>76160.000000000015</v>
      </c>
      <c r="AL75" s="82">
        <f t="shared" si="58"/>
        <v>2416484.4500000002</v>
      </c>
      <c r="AM75" s="82">
        <f t="shared" si="72"/>
        <v>9358104.4500000011</v>
      </c>
      <c r="AN75" s="82">
        <v>9296478.7300000004</v>
      </c>
      <c r="AO75" s="82">
        <v>106296.5</v>
      </c>
      <c r="AP75" s="82"/>
      <c r="AQ75" s="121">
        <f t="shared" si="59"/>
        <v>9402775.2300000004</v>
      </c>
      <c r="AR75" s="1231">
        <v>9897170</v>
      </c>
      <c r="AS75" s="1231"/>
      <c r="AT75" s="1230">
        <f t="shared" si="60"/>
        <v>9897170</v>
      </c>
      <c r="AU75" s="82">
        <f t="shared" si="61"/>
        <v>-494394.76999999955</v>
      </c>
      <c r="AV75" s="174"/>
      <c r="AW75" s="1232">
        <f t="shared" si="38"/>
        <v>-494394.76999999955</v>
      </c>
      <c r="AX75" s="82"/>
      <c r="AY75" s="121"/>
      <c r="AZ75" s="82"/>
    </row>
    <row r="76" spans="1:52" s="83" customFormat="1" ht="21.95" customHeight="1">
      <c r="A76" s="79" t="s">
        <v>4</v>
      </c>
      <c r="B76" s="80" t="s">
        <v>702</v>
      </c>
      <c r="C76" s="80" t="s">
        <v>649</v>
      </c>
      <c r="D76" s="1234">
        <v>2</v>
      </c>
      <c r="E76" s="86">
        <v>0</v>
      </c>
      <c r="F76" s="86">
        <v>1</v>
      </c>
      <c r="G76" s="86">
        <v>20.762499999999999</v>
      </c>
      <c r="H76" s="86">
        <v>1</v>
      </c>
      <c r="I76" s="82">
        <f t="shared" si="64"/>
        <v>22.762499999999999</v>
      </c>
      <c r="J76" s="81">
        <v>0</v>
      </c>
      <c r="K76" s="81">
        <v>0</v>
      </c>
      <c r="L76" s="81">
        <v>0</v>
      </c>
      <c r="M76" s="81">
        <v>0</v>
      </c>
      <c r="N76" s="82">
        <f t="shared" si="65"/>
        <v>0</v>
      </c>
      <c r="O76" s="82">
        <f t="shared" si="66"/>
        <v>0</v>
      </c>
      <c r="P76" s="82">
        <f t="shared" si="66"/>
        <v>1</v>
      </c>
      <c r="Q76" s="82">
        <f t="shared" si="66"/>
        <v>20.762499999999999</v>
      </c>
      <c r="R76" s="82">
        <f t="shared" si="66"/>
        <v>1</v>
      </c>
      <c r="S76" s="93">
        <f t="shared" si="67"/>
        <v>22.762499999999999</v>
      </c>
      <c r="T76" s="81">
        <v>0</v>
      </c>
      <c r="U76" s="81">
        <v>1</v>
      </c>
      <c r="V76" s="81">
        <v>20.166666666666668</v>
      </c>
      <c r="W76" s="81">
        <v>1</v>
      </c>
      <c r="X76" s="93">
        <f t="shared" si="68"/>
        <v>22.166666666666668</v>
      </c>
      <c r="Y76" s="81">
        <v>0</v>
      </c>
      <c r="Z76" s="81">
        <v>1</v>
      </c>
      <c r="AA76" s="81">
        <v>20.166666666666668</v>
      </c>
      <c r="AB76" s="81">
        <v>1</v>
      </c>
      <c r="AC76" s="82">
        <f t="shared" si="69"/>
        <v>22.166666666666668</v>
      </c>
      <c r="AD76" s="82">
        <f t="shared" si="70"/>
        <v>1403190</v>
      </c>
      <c r="AE76" s="82">
        <f t="shared" si="52"/>
        <v>95760</v>
      </c>
      <c r="AF76" s="82">
        <f t="shared" si="53"/>
        <v>133000</v>
      </c>
      <c r="AG76" s="82">
        <f t="shared" si="54"/>
        <v>53200</v>
      </c>
      <c r="AH76" s="82">
        <f t="shared" si="71"/>
        <v>208366.66666666669</v>
      </c>
      <c r="AI76" s="82">
        <f t="shared" si="55"/>
        <v>17733.333333333336</v>
      </c>
      <c r="AJ76" s="82">
        <f t="shared" si="56"/>
        <v>20000</v>
      </c>
      <c r="AK76" s="82">
        <f t="shared" si="57"/>
        <v>21280</v>
      </c>
      <c r="AL76" s="82">
        <f t="shared" si="58"/>
        <v>675194.18</v>
      </c>
      <c r="AM76" s="82">
        <f t="shared" si="72"/>
        <v>2627724.1800000002</v>
      </c>
      <c r="AN76" s="82">
        <v>2533753.38</v>
      </c>
      <c r="AO76" s="82"/>
      <c r="AP76" s="82"/>
      <c r="AQ76" s="121">
        <f t="shared" si="59"/>
        <v>2533753.38</v>
      </c>
      <c r="AR76" s="1231">
        <v>2679841</v>
      </c>
      <c r="AS76" s="1231"/>
      <c r="AT76" s="1230">
        <f t="shared" si="60"/>
        <v>2679841</v>
      </c>
      <c r="AU76" s="82">
        <f t="shared" si="61"/>
        <v>-146087.62000000011</v>
      </c>
      <c r="AV76" s="174"/>
      <c r="AW76" s="1232">
        <f t="shared" si="38"/>
        <v>-146087.62000000011</v>
      </c>
      <c r="AX76" s="82"/>
      <c r="AY76" s="121"/>
      <c r="AZ76" s="82"/>
    </row>
    <row r="77" spans="1:52" ht="21.95" customHeight="1">
      <c r="A77" s="79" t="s">
        <v>4</v>
      </c>
      <c r="B77" s="80" t="s">
        <v>243</v>
      </c>
      <c r="C77" s="80" t="s">
        <v>959</v>
      </c>
      <c r="D77" s="1234"/>
      <c r="E77" s="86">
        <v>22.137931034482762</v>
      </c>
      <c r="F77" s="86">
        <v>13.5</v>
      </c>
      <c r="G77" s="86">
        <v>0</v>
      </c>
      <c r="H77" s="86">
        <v>8</v>
      </c>
      <c r="I77" s="82">
        <f t="shared" si="64"/>
        <v>43.637931034482762</v>
      </c>
      <c r="J77" s="81">
        <v>0</v>
      </c>
      <c r="K77" s="81">
        <v>0</v>
      </c>
      <c r="L77" s="81">
        <v>0</v>
      </c>
      <c r="M77" s="81">
        <v>0</v>
      </c>
      <c r="N77" s="82">
        <f t="shared" si="65"/>
        <v>0</v>
      </c>
      <c r="O77" s="82">
        <f t="shared" si="66"/>
        <v>22.137931034482762</v>
      </c>
      <c r="P77" s="82">
        <f t="shared" si="66"/>
        <v>13.5</v>
      </c>
      <c r="Q77" s="82">
        <f t="shared" si="66"/>
        <v>0</v>
      </c>
      <c r="R77" s="82">
        <f t="shared" si="66"/>
        <v>8</v>
      </c>
      <c r="S77" s="93">
        <f t="shared" si="67"/>
        <v>43.637931034482762</v>
      </c>
      <c r="T77" s="81">
        <v>4.916666666666667</v>
      </c>
      <c r="U77" s="81">
        <v>3</v>
      </c>
      <c r="V77" s="81">
        <v>0</v>
      </c>
      <c r="W77" s="81">
        <v>9</v>
      </c>
      <c r="X77" s="93">
        <f t="shared" si="68"/>
        <v>16.916666666666668</v>
      </c>
      <c r="Y77" s="81">
        <v>4.916666666666667</v>
      </c>
      <c r="Z77" s="81">
        <v>3</v>
      </c>
      <c r="AA77" s="81">
        <v>0</v>
      </c>
      <c r="AB77" s="81">
        <v>9</v>
      </c>
      <c r="AC77" s="82">
        <f t="shared" si="69"/>
        <v>16.916666666666668</v>
      </c>
      <c r="AD77" s="82">
        <f t="shared" si="70"/>
        <v>1083400</v>
      </c>
      <c r="AE77" s="82">
        <f t="shared" si="52"/>
        <v>73080</v>
      </c>
      <c r="AF77" s="82">
        <f t="shared" si="53"/>
        <v>101500</v>
      </c>
      <c r="AG77" s="82">
        <f t="shared" si="54"/>
        <v>40600</v>
      </c>
      <c r="AH77" s="82">
        <f t="shared" si="71"/>
        <v>159016.66666666669</v>
      </c>
      <c r="AI77" s="82">
        <f t="shared" si="55"/>
        <v>13533.333333333334</v>
      </c>
      <c r="AJ77" s="82">
        <f t="shared" si="56"/>
        <v>0</v>
      </c>
      <c r="AK77" s="82">
        <f t="shared" si="57"/>
        <v>16240.000000000002</v>
      </c>
      <c r="AL77" s="82">
        <f t="shared" si="58"/>
        <v>515279.77</v>
      </c>
      <c r="AM77" s="82">
        <f t="shared" si="72"/>
        <v>2002649.77</v>
      </c>
      <c r="AN77" s="82">
        <v>1871399.95</v>
      </c>
      <c r="AO77" s="82"/>
      <c r="AP77" s="82">
        <v>49980</v>
      </c>
      <c r="AQ77" s="121">
        <f t="shared" si="59"/>
        <v>1921379.95</v>
      </c>
      <c r="AR77" s="1230">
        <v>2536996</v>
      </c>
      <c r="AS77" s="1230"/>
      <c r="AT77" s="1230">
        <f t="shared" si="60"/>
        <v>2536996</v>
      </c>
      <c r="AU77" s="121">
        <f t="shared" si="61"/>
        <v>-615616.05000000005</v>
      </c>
      <c r="AV77" s="174"/>
      <c r="AW77" s="1232">
        <f t="shared" si="38"/>
        <v>-615616.05000000005</v>
      </c>
      <c r="AX77" s="121"/>
      <c r="AY77" s="121"/>
      <c r="AZ77" s="82"/>
    </row>
    <row r="78" spans="1:52" ht="21.95" customHeight="1">
      <c r="A78" s="79" t="s">
        <v>4</v>
      </c>
      <c r="B78" s="80" t="s">
        <v>242</v>
      </c>
      <c r="C78" s="80" t="s">
        <v>959</v>
      </c>
      <c r="D78" s="1234"/>
      <c r="E78" s="86">
        <v>0</v>
      </c>
      <c r="F78" s="86">
        <v>8</v>
      </c>
      <c r="G78" s="86">
        <v>0</v>
      </c>
      <c r="H78" s="86">
        <v>5</v>
      </c>
      <c r="I78" s="82">
        <f t="shared" si="64"/>
        <v>13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65"/>
        <v>0</v>
      </c>
      <c r="O78" s="82">
        <f t="shared" si="66"/>
        <v>0</v>
      </c>
      <c r="P78" s="82">
        <f t="shared" si="66"/>
        <v>8</v>
      </c>
      <c r="Q78" s="82">
        <f t="shared" si="66"/>
        <v>0</v>
      </c>
      <c r="R78" s="82">
        <f t="shared" si="66"/>
        <v>5</v>
      </c>
      <c r="S78" s="93">
        <f t="shared" si="67"/>
        <v>13</v>
      </c>
      <c r="T78" s="81">
        <v>5</v>
      </c>
      <c r="U78" s="81">
        <v>2</v>
      </c>
      <c r="V78" s="81">
        <v>0</v>
      </c>
      <c r="W78" s="81">
        <v>3.9166666666666665</v>
      </c>
      <c r="X78" s="93">
        <f t="shared" si="68"/>
        <v>10.916666666666666</v>
      </c>
      <c r="Y78" s="81">
        <v>5</v>
      </c>
      <c r="Z78" s="81">
        <v>2</v>
      </c>
      <c r="AA78" s="81">
        <v>0</v>
      </c>
      <c r="AB78" s="81">
        <v>3.9166666666666665</v>
      </c>
      <c r="AC78" s="82">
        <f t="shared" si="69"/>
        <v>10.916666666666666</v>
      </c>
      <c r="AD78" s="82">
        <f t="shared" si="70"/>
        <v>752800</v>
      </c>
      <c r="AE78" s="82">
        <f t="shared" si="52"/>
        <v>47160</v>
      </c>
      <c r="AF78" s="82">
        <f t="shared" si="53"/>
        <v>65500</v>
      </c>
      <c r="AG78" s="82">
        <f t="shared" si="54"/>
        <v>26200</v>
      </c>
      <c r="AH78" s="82">
        <f t="shared" si="71"/>
        <v>102616.66666666666</v>
      </c>
      <c r="AI78" s="82">
        <f t="shared" si="55"/>
        <v>8733.3333333333321</v>
      </c>
      <c r="AJ78" s="82">
        <f t="shared" si="56"/>
        <v>0</v>
      </c>
      <c r="AK78" s="82">
        <f t="shared" si="57"/>
        <v>10480</v>
      </c>
      <c r="AL78" s="82">
        <f t="shared" si="58"/>
        <v>332520.44</v>
      </c>
      <c r="AM78" s="82">
        <f t="shared" si="72"/>
        <v>1346010.44</v>
      </c>
      <c r="AN78" s="82">
        <v>1302303.6099999999</v>
      </c>
      <c r="AO78" s="82"/>
      <c r="AP78" s="82">
        <v>30029.25</v>
      </c>
      <c r="AQ78" s="121">
        <f t="shared" si="59"/>
        <v>1332332.8599999999</v>
      </c>
      <c r="AR78" s="1230">
        <v>1569643</v>
      </c>
      <c r="AS78" s="1230"/>
      <c r="AT78" s="1230">
        <f t="shared" si="60"/>
        <v>1569643</v>
      </c>
      <c r="AU78" s="121">
        <f t="shared" si="61"/>
        <v>-237310.14000000013</v>
      </c>
      <c r="AV78" s="174"/>
      <c r="AW78" s="1232">
        <f t="shared" si="38"/>
        <v>-237310.14000000013</v>
      </c>
      <c r="AX78" s="121"/>
      <c r="AY78" s="121"/>
      <c r="AZ78" s="82"/>
    </row>
    <row r="79" spans="1:52" ht="21.95" customHeight="1">
      <c r="A79" s="79" t="s">
        <v>4</v>
      </c>
      <c r="B79" s="80" t="s">
        <v>263</v>
      </c>
      <c r="C79" s="80" t="s">
        <v>959</v>
      </c>
      <c r="D79" s="1234"/>
      <c r="E79" s="86">
        <v>13.551724137931046</v>
      </c>
      <c r="F79" s="86">
        <v>13.5</v>
      </c>
      <c r="G79" s="86">
        <v>0</v>
      </c>
      <c r="H79" s="86">
        <v>8</v>
      </c>
      <c r="I79" s="82">
        <f t="shared" si="64"/>
        <v>35.051724137931046</v>
      </c>
      <c r="J79" s="81">
        <v>0</v>
      </c>
      <c r="K79" s="81">
        <v>0</v>
      </c>
      <c r="L79" s="81">
        <v>0</v>
      </c>
      <c r="M79" s="81">
        <v>0</v>
      </c>
      <c r="N79" s="82">
        <f t="shared" si="65"/>
        <v>0</v>
      </c>
      <c r="O79" s="82">
        <f t="shared" si="66"/>
        <v>13.551724137931046</v>
      </c>
      <c r="P79" s="82">
        <f t="shared" si="66"/>
        <v>13.5</v>
      </c>
      <c r="Q79" s="82">
        <f t="shared" si="66"/>
        <v>0</v>
      </c>
      <c r="R79" s="82">
        <f t="shared" si="66"/>
        <v>8</v>
      </c>
      <c r="S79" s="93">
        <f t="shared" si="67"/>
        <v>35.051724137931046</v>
      </c>
      <c r="T79" s="81">
        <v>5.5</v>
      </c>
      <c r="U79" s="81">
        <v>9</v>
      </c>
      <c r="V79" s="81">
        <v>0</v>
      </c>
      <c r="W79" s="81">
        <v>7.916666666666667</v>
      </c>
      <c r="X79" s="93">
        <f t="shared" si="68"/>
        <v>22.416666666666668</v>
      </c>
      <c r="Y79" s="81">
        <v>5.5</v>
      </c>
      <c r="Z79" s="81">
        <v>9</v>
      </c>
      <c r="AA79" s="81">
        <v>0</v>
      </c>
      <c r="AB79" s="81">
        <v>7.916666666666667</v>
      </c>
      <c r="AC79" s="82">
        <f t="shared" si="69"/>
        <v>22.416666666666668</v>
      </c>
      <c r="AD79" s="82">
        <f t="shared" si="70"/>
        <v>1487800</v>
      </c>
      <c r="AE79" s="82">
        <f t="shared" si="52"/>
        <v>96840</v>
      </c>
      <c r="AF79" s="82">
        <f t="shared" si="53"/>
        <v>134500</v>
      </c>
      <c r="AG79" s="82">
        <f t="shared" si="54"/>
        <v>53800</v>
      </c>
      <c r="AH79" s="82">
        <f t="shared" si="71"/>
        <v>210716.66666666669</v>
      </c>
      <c r="AI79" s="82">
        <f t="shared" si="55"/>
        <v>17933.333333333336</v>
      </c>
      <c r="AJ79" s="82">
        <f t="shared" si="56"/>
        <v>0</v>
      </c>
      <c r="AK79" s="82">
        <f t="shared" si="57"/>
        <v>21520</v>
      </c>
      <c r="AL79" s="82">
        <f t="shared" si="58"/>
        <v>682809.16</v>
      </c>
      <c r="AM79" s="82">
        <f t="shared" si="72"/>
        <v>2705919.16</v>
      </c>
      <c r="AN79" s="82">
        <v>2626565.84</v>
      </c>
      <c r="AO79" s="82"/>
      <c r="AP79" s="82">
        <v>30796.5</v>
      </c>
      <c r="AQ79" s="121">
        <f t="shared" si="59"/>
        <v>2657362.34</v>
      </c>
      <c r="AR79" s="1230">
        <v>2962217</v>
      </c>
      <c r="AS79" s="1230"/>
      <c r="AT79" s="1230">
        <f t="shared" si="60"/>
        <v>2962217</v>
      </c>
      <c r="AU79" s="121">
        <f t="shared" si="61"/>
        <v>-304854.66000000015</v>
      </c>
      <c r="AV79" s="174"/>
      <c r="AW79" s="1232">
        <f t="shared" si="38"/>
        <v>-304854.66000000015</v>
      </c>
      <c r="AX79" s="121"/>
      <c r="AY79" s="121"/>
      <c r="AZ79" s="82"/>
    </row>
    <row r="80" spans="1:52" ht="21.95" customHeight="1">
      <c r="A80" s="79" t="s">
        <v>4</v>
      </c>
      <c r="B80" s="80" t="s">
        <v>241</v>
      </c>
      <c r="C80" s="80" t="s">
        <v>959</v>
      </c>
      <c r="D80" s="1234"/>
      <c r="E80" s="86">
        <v>42.413793103448256</v>
      </c>
      <c r="F80" s="86">
        <v>36</v>
      </c>
      <c r="G80" s="86">
        <v>0</v>
      </c>
      <c r="H80" s="86">
        <v>24</v>
      </c>
      <c r="I80" s="82">
        <f t="shared" si="64"/>
        <v>102.41379310344826</v>
      </c>
      <c r="J80" s="81">
        <v>0</v>
      </c>
      <c r="K80" s="81">
        <v>0</v>
      </c>
      <c r="L80" s="81">
        <v>0</v>
      </c>
      <c r="M80" s="81">
        <v>0</v>
      </c>
      <c r="N80" s="82">
        <f t="shared" si="65"/>
        <v>0</v>
      </c>
      <c r="O80" s="82">
        <f t="shared" si="66"/>
        <v>42.413793103448256</v>
      </c>
      <c r="P80" s="82">
        <f t="shared" si="66"/>
        <v>36</v>
      </c>
      <c r="Q80" s="82">
        <f t="shared" si="66"/>
        <v>0</v>
      </c>
      <c r="R80" s="82">
        <f t="shared" si="66"/>
        <v>24</v>
      </c>
      <c r="S80" s="93">
        <f t="shared" si="67"/>
        <v>102.41379310344826</v>
      </c>
      <c r="T80" s="81">
        <v>8.5833333333333339</v>
      </c>
      <c r="U80" s="81">
        <v>11.333333333333334</v>
      </c>
      <c r="V80" s="81">
        <v>0</v>
      </c>
      <c r="W80" s="81">
        <v>16.833333333333332</v>
      </c>
      <c r="X80" s="93">
        <f t="shared" si="68"/>
        <v>36.75</v>
      </c>
      <c r="Y80" s="81">
        <v>8.5833333333333339</v>
      </c>
      <c r="Z80" s="81">
        <v>11.333333333333334</v>
      </c>
      <c r="AA80" s="81">
        <v>0</v>
      </c>
      <c r="AB80" s="81">
        <v>16.833333333333332</v>
      </c>
      <c r="AC80" s="82">
        <f t="shared" si="69"/>
        <v>36.75</v>
      </c>
      <c r="AD80" s="82">
        <f t="shared" si="70"/>
        <v>2371200</v>
      </c>
      <c r="AE80" s="82">
        <f t="shared" si="52"/>
        <v>158760</v>
      </c>
      <c r="AF80" s="82">
        <f t="shared" si="53"/>
        <v>220500</v>
      </c>
      <c r="AG80" s="82">
        <f t="shared" si="54"/>
        <v>88200</v>
      </c>
      <c r="AH80" s="82">
        <f t="shared" si="71"/>
        <v>345450</v>
      </c>
      <c r="AI80" s="82">
        <f t="shared" si="55"/>
        <v>29400</v>
      </c>
      <c r="AJ80" s="82">
        <f t="shared" si="56"/>
        <v>0</v>
      </c>
      <c r="AK80" s="82">
        <f t="shared" si="57"/>
        <v>35280</v>
      </c>
      <c r="AL80" s="82">
        <f t="shared" si="58"/>
        <v>1119400.8799999999</v>
      </c>
      <c r="AM80" s="82">
        <f t="shared" si="72"/>
        <v>4368190.88</v>
      </c>
      <c r="AN80" s="82">
        <v>4049262.07</v>
      </c>
      <c r="AO80" s="82"/>
      <c r="AP80" s="82">
        <v>60095.5</v>
      </c>
      <c r="AQ80" s="121">
        <f t="shared" si="59"/>
        <v>4109357.57</v>
      </c>
      <c r="AR80" s="1230">
        <v>5405746.75</v>
      </c>
      <c r="AS80" s="1230"/>
      <c r="AT80" s="1230">
        <f t="shared" si="60"/>
        <v>5405746.75</v>
      </c>
      <c r="AU80" s="121">
        <f t="shared" si="61"/>
        <v>-1296389.1800000002</v>
      </c>
      <c r="AV80" s="174"/>
      <c r="AW80" s="1232">
        <f t="shared" si="38"/>
        <v>-1296389.1800000002</v>
      </c>
      <c r="AX80" s="121"/>
      <c r="AY80" s="121"/>
      <c r="AZ80" s="82"/>
    </row>
    <row r="81" spans="1:52" s="83" customFormat="1" ht="21.95" customHeight="1">
      <c r="A81" s="79" t="s">
        <v>4</v>
      </c>
      <c r="B81" s="80" t="s">
        <v>703</v>
      </c>
      <c r="C81" s="80" t="s">
        <v>959</v>
      </c>
      <c r="D81" s="1234"/>
      <c r="E81" s="86">
        <v>0</v>
      </c>
      <c r="F81" s="86">
        <v>8</v>
      </c>
      <c r="G81" s="86">
        <v>0</v>
      </c>
      <c r="H81" s="86">
        <v>5</v>
      </c>
      <c r="I81" s="82">
        <f t="shared" si="64"/>
        <v>13</v>
      </c>
      <c r="J81" s="81">
        <v>0</v>
      </c>
      <c r="K81" s="81">
        <v>0</v>
      </c>
      <c r="L81" s="81">
        <v>0</v>
      </c>
      <c r="M81" s="81">
        <v>0</v>
      </c>
      <c r="N81" s="82">
        <f t="shared" si="65"/>
        <v>0</v>
      </c>
      <c r="O81" s="82">
        <f t="shared" si="66"/>
        <v>0</v>
      </c>
      <c r="P81" s="82">
        <f t="shared" si="66"/>
        <v>8</v>
      </c>
      <c r="Q81" s="82">
        <f t="shared" si="66"/>
        <v>0</v>
      </c>
      <c r="R81" s="82">
        <f t="shared" si="66"/>
        <v>5</v>
      </c>
      <c r="S81" s="93">
        <f t="shared" si="67"/>
        <v>13</v>
      </c>
      <c r="T81" s="81">
        <v>2</v>
      </c>
      <c r="U81" s="81">
        <v>4</v>
      </c>
      <c r="V81" s="81">
        <v>0</v>
      </c>
      <c r="W81" s="81">
        <v>5</v>
      </c>
      <c r="X81" s="93">
        <f t="shared" si="68"/>
        <v>11</v>
      </c>
      <c r="Y81" s="81">
        <v>2</v>
      </c>
      <c r="Z81" s="81">
        <v>4</v>
      </c>
      <c r="AA81" s="81">
        <v>0</v>
      </c>
      <c r="AB81" s="81">
        <v>5</v>
      </c>
      <c r="AC81" s="82">
        <f t="shared" si="69"/>
        <v>11</v>
      </c>
      <c r="AD81" s="82">
        <f t="shared" si="70"/>
        <v>703200</v>
      </c>
      <c r="AE81" s="82">
        <f t="shared" si="52"/>
        <v>47520</v>
      </c>
      <c r="AF81" s="82">
        <f t="shared" si="53"/>
        <v>66000</v>
      </c>
      <c r="AG81" s="82">
        <f t="shared" si="54"/>
        <v>26400</v>
      </c>
      <c r="AH81" s="82">
        <f t="shared" si="71"/>
        <v>103400</v>
      </c>
      <c r="AI81" s="82">
        <f t="shared" si="55"/>
        <v>8800</v>
      </c>
      <c r="AJ81" s="82">
        <f t="shared" si="56"/>
        <v>0</v>
      </c>
      <c r="AK81" s="82">
        <f t="shared" si="57"/>
        <v>10560</v>
      </c>
      <c r="AL81" s="82">
        <f t="shared" si="58"/>
        <v>335058.77</v>
      </c>
      <c r="AM81" s="82">
        <f t="shared" si="72"/>
        <v>1300938.77</v>
      </c>
      <c r="AN81" s="82">
        <v>1285142.8</v>
      </c>
      <c r="AO81" s="82"/>
      <c r="AP81" s="82">
        <v>20017.5</v>
      </c>
      <c r="AQ81" s="121">
        <f t="shared" si="59"/>
        <v>1305160.3</v>
      </c>
      <c r="AR81" s="1231">
        <v>1383926.5</v>
      </c>
      <c r="AS81" s="1231"/>
      <c r="AT81" s="1230">
        <f t="shared" si="60"/>
        <v>1383926.5</v>
      </c>
      <c r="AU81" s="82">
        <f t="shared" si="61"/>
        <v>-78766.199999999953</v>
      </c>
      <c r="AV81" s="174"/>
      <c r="AW81" s="1232">
        <f t="shared" si="38"/>
        <v>-78766.199999999953</v>
      </c>
      <c r="AX81" s="82"/>
      <c r="AY81" s="121"/>
      <c r="AZ81" s="82"/>
    </row>
    <row r="82" spans="1:52" ht="21.95" customHeight="1">
      <c r="A82" s="79" t="s">
        <v>4</v>
      </c>
      <c r="B82" s="80" t="s">
        <v>238</v>
      </c>
      <c r="C82" s="80" t="s">
        <v>464</v>
      </c>
      <c r="D82" s="1234"/>
      <c r="E82" s="86">
        <v>27.033613445378151</v>
      </c>
      <c r="F82" s="86">
        <v>11</v>
      </c>
      <c r="G82" s="86">
        <v>0</v>
      </c>
      <c r="H82" s="86">
        <v>6</v>
      </c>
      <c r="I82" s="82">
        <f t="shared" si="64"/>
        <v>44.033613445378151</v>
      </c>
      <c r="J82" s="81">
        <v>1.0833333333333333</v>
      </c>
      <c r="K82" s="81">
        <v>0</v>
      </c>
      <c r="L82" s="81">
        <v>0</v>
      </c>
      <c r="M82" s="81">
        <v>0</v>
      </c>
      <c r="N82" s="82">
        <f t="shared" si="65"/>
        <v>1.0833333333333333</v>
      </c>
      <c r="O82" s="82">
        <f t="shared" si="66"/>
        <v>28.116946778711483</v>
      </c>
      <c r="P82" s="82">
        <f t="shared" si="66"/>
        <v>11</v>
      </c>
      <c r="Q82" s="82">
        <f t="shared" si="66"/>
        <v>0</v>
      </c>
      <c r="R82" s="82">
        <f t="shared" si="66"/>
        <v>6</v>
      </c>
      <c r="S82" s="93">
        <f t="shared" si="67"/>
        <v>45.11694677871148</v>
      </c>
      <c r="T82" s="81">
        <v>4.5</v>
      </c>
      <c r="U82" s="81">
        <v>6.6666666666666661</v>
      </c>
      <c r="V82" s="81">
        <v>2</v>
      </c>
      <c r="W82" s="81">
        <v>6.333333333333333</v>
      </c>
      <c r="X82" s="93">
        <f t="shared" si="68"/>
        <v>19.5</v>
      </c>
      <c r="Y82" s="81">
        <v>4.5</v>
      </c>
      <c r="Z82" s="81">
        <v>6.6666666666666661</v>
      </c>
      <c r="AA82" s="81">
        <v>2</v>
      </c>
      <c r="AB82" s="81">
        <v>6.333333333333333</v>
      </c>
      <c r="AC82" s="82">
        <f t="shared" si="69"/>
        <v>19.5</v>
      </c>
      <c r="AD82" s="82">
        <f>(Y82*7800+Z82*5750+AA82*5295+AB82*4400)*12</f>
        <v>1342680</v>
      </c>
      <c r="AE82" s="82">
        <f t="shared" si="52"/>
        <v>84240</v>
      </c>
      <c r="AF82" s="82">
        <f t="shared" si="53"/>
        <v>117000</v>
      </c>
      <c r="AG82" s="82">
        <f t="shared" si="54"/>
        <v>46800</v>
      </c>
      <c r="AH82" s="82">
        <f t="shared" ref="AH82:AH85" si="73">Y82*15400+(Z82+AA82+AB82)*9400</f>
        <v>210300</v>
      </c>
      <c r="AI82" s="82">
        <f t="shared" si="55"/>
        <v>15600</v>
      </c>
      <c r="AJ82" s="82">
        <f t="shared" si="56"/>
        <v>0</v>
      </c>
      <c r="AK82" s="82">
        <f t="shared" si="57"/>
        <v>18720</v>
      </c>
      <c r="AL82" s="82">
        <f t="shared" si="58"/>
        <v>593967.81999999995</v>
      </c>
      <c r="AM82" s="82">
        <f t="shared" si="72"/>
        <v>2429307.8199999998</v>
      </c>
      <c r="AN82" s="82">
        <v>2328394.4300000002</v>
      </c>
      <c r="AO82" s="82"/>
      <c r="AP82" s="82">
        <v>20234.25</v>
      </c>
      <c r="AQ82" s="121">
        <f t="shared" si="59"/>
        <v>2348628.6800000002</v>
      </c>
      <c r="AR82" s="1230">
        <v>2655322.38</v>
      </c>
      <c r="AS82" s="1230"/>
      <c r="AT82" s="1230">
        <f t="shared" si="60"/>
        <v>2655322.38</v>
      </c>
      <c r="AU82" s="121">
        <f t="shared" si="61"/>
        <v>-306693.69999999972</v>
      </c>
      <c r="AV82" s="174"/>
      <c r="AW82" s="1232">
        <f t="shared" si="38"/>
        <v>-306693.69999999972</v>
      </c>
      <c r="AX82" s="121"/>
      <c r="AY82" s="121"/>
      <c r="AZ82" s="82"/>
    </row>
    <row r="83" spans="1:52" s="83" customFormat="1" ht="21.95" customHeight="1">
      <c r="A83" s="79" t="s">
        <v>4</v>
      </c>
      <c r="B83" s="80" t="s">
        <v>704</v>
      </c>
      <c r="C83" s="80" t="s">
        <v>464</v>
      </c>
      <c r="D83" s="1234"/>
      <c r="E83" s="86">
        <v>38.773109243697462</v>
      </c>
      <c r="F83" s="86">
        <v>10</v>
      </c>
      <c r="G83" s="86">
        <v>0</v>
      </c>
      <c r="H83" s="86">
        <v>9</v>
      </c>
      <c r="I83" s="82">
        <f t="shared" si="64"/>
        <v>57.773109243697462</v>
      </c>
      <c r="J83" s="81">
        <v>0</v>
      </c>
      <c r="K83" s="81">
        <v>0</v>
      </c>
      <c r="L83" s="81">
        <v>0</v>
      </c>
      <c r="M83" s="81">
        <v>0.58333333333333337</v>
      </c>
      <c r="N83" s="82">
        <f t="shared" si="65"/>
        <v>0.58333333333333337</v>
      </c>
      <c r="O83" s="82">
        <f t="shared" si="66"/>
        <v>38.773109243697462</v>
      </c>
      <c r="P83" s="82">
        <f t="shared" si="66"/>
        <v>10</v>
      </c>
      <c r="Q83" s="82">
        <f t="shared" si="66"/>
        <v>0</v>
      </c>
      <c r="R83" s="82">
        <f t="shared" si="66"/>
        <v>9.5833333333333339</v>
      </c>
      <c r="S83" s="93">
        <f t="shared" si="67"/>
        <v>58.356442577030798</v>
      </c>
      <c r="T83" s="81">
        <v>3.8333333333333335</v>
      </c>
      <c r="U83" s="81">
        <v>8.9166666666666661</v>
      </c>
      <c r="V83" s="81">
        <v>0</v>
      </c>
      <c r="W83" s="81">
        <v>9.4166666666666661</v>
      </c>
      <c r="X83" s="93">
        <f t="shared" si="68"/>
        <v>22.166666666666664</v>
      </c>
      <c r="Y83" s="81">
        <v>3.8333333333333335</v>
      </c>
      <c r="Z83" s="81">
        <v>8.9166666666666661</v>
      </c>
      <c r="AA83" s="81">
        <v>0</v>
      </c>
      <c r="AB83" s="81">
        <v>9.4166666666666661</v>
      </c>
      <c r="AC83" s="82">
        <f t="shared" si="69"/>
        <v>22.166666666666664</v>
      </c>
      <c r="AD83" s="82">
        <f>(Y83*7800+Z83*5750+AA83*5295+AB83*4400)*12</f>
        <v>1471250</v>
      </c>
      <c r="AE83" s="82">
        <f t="shared" si="52"/>
        <v>95759.999999999985</v>
      </c>
      <c r="AF83" s="82">
        <f t="shared" si="53"/>
        <v>133000</v>
      </c>
      <c r="AG83" s="82">
        <f t="shared" si="54"/>
        <v>53199.999999999993</v>
      </c>
      <c r="AH83" s="82">
        <f t="shared" si="73"/>
        <v>231366.66666666666</v>
      </c>
      <c r="AI83" s="82">
        <f t="shared" si="55"/>
        <v>17733.333333333332</v>
      </c>
      <c r="AJ83" s="82">
        <f t="shared" si="56"/>
        <v>0</v>
      </c>
      <c r="AK83" s="82">
        <f t="shared" si="57"/>
        <v>21279.999999999996</v>
      </c>
      <c r="AL83" s="82">
        <f t="shared" si="58"/>
        <v>675194.18</v>
      </c>
      <c r="AM83" s="82">
        <f t="shared" si="72"/>
        <v>2698784.18</v>
      </c>
      <c r="AN83" s="82">
        <v>2551850.59</v>
      </c>
      <c r="AO83" s="82">
        <v>4100</v>
      </c>
      <c r="AP83" s="82"/>
      <c r="AQ83" s="121">
        <f t="shared" si="59"/>
        <v>2555950.59</v>
      </c>
      <c r="AR83" s="1231">
        <v>2574902.25</v>
      </c>
      <c r="AS83" s="1231"/>
      <c r="AT83" s="1230">
        <f t="shared" si="60"/>
        <v>2574902.25</v>
      </c>
      <c r="AU83" s="82">
        <f t="shared" si="61"/>
        <v>-18951.660000000149</v>
      </c>
      <c r="AV83" s="174"/>
      <c r="AW83" s="1232">
        <f t="shared" si="38"/>
        <v>-18951.660000000149</v>
      </c>
      <c r="AX83" s="82"/>
      <c r="AY83" s="121"/>
      <c r="AZ83" s="82"/>
    </row>
    <row r="84" spans="1:52" ht="21.95" customHeight="1">
      <c r="A84" s="79" t="s">
        <v>4</v>
      </c>
      <c r="B84" s="80" t="s">
        <v>705</v>
      </c>
      <c r="C84" s="80" t="s">
        <v>464</v>
      </c>
      <c r="D84" s="1234"/>
      <c r="E84" s="86">
        <v>67.689075630252091</v>
      </c>
      <c r="F84" s="86">
        <v>28</v>
      </c>
      <c r="G84" s="86">
        <v>0</v>
      </c>
      <c r="H84" s="86">
        <v>18</v>
      </c>
      <c r="I84" s="82">
        <f t="shared" si="64"/>
        <v>113.68907563025209</v>
      </c>
      <c r="J84" s="81">
        <v>1.75</v>
      </c>
      <c r="K84" s="81">
        <v>1.6666666666666667</v>
      </c>
      <c r="L84" s="81">
        <v>0</v>
      </c>
      <c r="M84" s="81">
        <v>0</v>
      </c>
      <c r="N84" s="82">
        <f t="shared" si="65"/>
        <v>3.416666666666667</v>
      </c>
      <c r="O84" s="82">
        <f t="shared" si="66"/>
        <v>69.439075630252091</v>
      </c>
      <c r="P84" s="82">
        <f t="shared" si="66"/>
        <v>29.666666666666668</v>
      </c>
      <c r="Q84" s="82">
        <f t="shared" si="66"/>
        <v>0</v>
      </c>
      <c r="R84" s="82">
        <f t="shared" si="66"/>
        <v>18</v>
      </c>
      <c r="S84" s="93">
        <f t="shared" si="67"/>
        <v>117.10574229691876</v>
      </c>
      <c r="T84" s="81">
        <v>6</v>
      </c>
      <c r="U84" s="81">
        <v>14.416666666666666</v>
      </c>
      <c r="V84" s="81">
        <v>0</v>
      </c>
      <c r="W84" s="81">
        <v>12.5</v>
      </c>
      <c r="X84" s="93">
        <f t="shared" si="68"/>
        <v>32.916666666666664</v>
      </c>
      <c r="Y84" s="81">
        <v>6</v>
      </c>
      <c r="Z84" s="81">
        <v>14.416666666666666</v>
      </c>
      <c r="AA84" s="81">
        <v>0</v>
      </c>
      <c r="AB84" s="81">
        <v>12.5</v>
      </c>
      <c r="AC84" s="82">
        <f t="shared" si="69"/>
        <v>32.916666666666664</v>
      </c>
      <c r="AD84" s="82">
        <f>(Y84*7800+Z84*5750+AA84*5295+AB84*4400)*12</f>
        <v>2216350</v>
      </c>
      <c r="AE84" s="82">
        <f t="shared" si="52"/>
        <v>142200</v>
      </c>
      <c r="AF84" s="82">
        <f t="shared" si="53"/>
        <v>197500</v>
      </c>
      <c r="AG84" s="82">
        <f t="shared" si="54"/>
        <v>79000</v>
      </c>
      <c r="AH84" s="82">
        <f t="shared" si="73"/>
        <v>345416.66666666663</v>
      </c>
      <c r="AI84" s="82">
        <f t="shared" si="55"/>
        <v>26333.333333333332</v>
      </c>
      <c r="AJ84" s="82">
        <f t="shared" si="56"/>
        <v>0</v>
      </c>
      <c r="AK84" s="82">
        <f t="shared" si="57"/>
        <v>31599.999999999996</v>
      </c>
      <c r="AL84" s="82">
        <f t="shared" si="58"/>
        <v>1002637.98</v>
      </c>
      <c r="AM84" s="82">
        <f t="shared" si="72"/>
        <v>4041037.98</v>
      </c>
      <c r="AN84" s="82">
        <v>3868572.7</v>
      </c>
      <c r="AO84" s="82"/>
      <c r="AP84" s="82">
        <v>81855</v>
      </c>
      <c r="AQ84" s="121">
        <f t="shared" si="59"/>
        <v>3950427.7</v>
      </c>
      <c r="AR84" s="1230">
        <v>4309976</v>
      </c>
      <c r="AS84" s="1230"/>
      <c r="AT84" s="1230">
        <f t="shared" si="60"/>
        <v>4309976</v>
      </c>
      <c r="AU84" s="121">
        <f t="shared" si="61"/>
        <v>-359548.29999999981</v>
      </c>
      <c r="AV84" s="174"/>
      <c r="AW84" s="1232">
        <f t="shared" si="38"/>
        <v>-359548.29999999981</v>
      </c>
      <c r="AX84" s="121"/>
      <c r="AY84" s="121"/>
      <c r="AZ84" s="82"/>
    </row>
    <row r="85" spans="1:52" ht="21.95" customHeight="1">
      <c r="A85" s="79" t="s">
        <v>4</v>
      </c>
      <c r="B85" s="80" t="s">
        <v>236</v>
      </c>
      <c r="C85" s="80" t="s">
        <v>464</v>
      </c>
      <c r="D85" s="1234"/>
      <c r="E85" s="86">
        <v>24.680672268907557</v>
      </c>
      <c r="F85" s="86">
        <v>10.5</v>
      </c>
      <c r="G85" s="86">
        <v>0</v>
      </c>
      <c r="H85" s="86">
        <v>6</v>
      </c>
      <c r="I85" s="82">
        <f t="shared" si="64"/>
        <v>41.180672268907557</v>
      </c>
      <c r="J85" s="81">
        <v>0</v>
      </c>
      <c r="K85" s="81">
        <v>0</v>
      </c>
      <c r="L85" s="81">
        <v>0</v>
      </c>
      <c r="M85" s="81">
        <v>0</v>
      </c>
      <c r="N85" s="82">
        <f t="shared" si="65"/>
        <v>0</v>
      </c>
      <c r="O85" s="82">
        <f t="shared" si="66"/>
        <v>24.680672268907557</v>
      </c>
      <c r="P85" s="82">
        <f t="shared" si="66"/>
        <v>10.5</v>
      </c>
      <c r="Q85" s="82">
        <f t="shared" si="66"/>
        <v>0</v>
      </c>
      <c r="R85" s="82">
        <f t="shared" si="66"/>
        <v>6</v>
      </c>
      <c r="S85" s="93">
        <f t="shared" si="67"/>
        <v>41.180672268907557</v>
      </c>
      <c r="T85" s="81">
        <v>2.75</v>
      </c>
      <c r="U85" s="81">
        <v>5.083333333333333</v>
      </c>
      <c r="V85" s="81">
        <v>0</v>
      </c>
      <c r="W85" s="81">
        <v>8.0833333333333339</v>
      </c>
      <c r="X85" s="93">
        <f t="shared" si="68"/>
        <v>15.916666666666668</v>
      </c>
      <c r="Y85" s="81">
        <v>2.75</v>
      </c>
      <c r="Z85" s="81">
        <v>5.083333333333333</v>
      </c>
      <c r="AA85" s="81">
        <v>0</v>
      </c>
      <c r="AB85" s="81">
        <v>8.0833333333333339</v>
      </c>
      <c r="AC85" s="82">
        <f t="shared" si="69"/>
        <v>15.916666666666668</v>
      </c>
      <c r="AD85" s="82">
        <f>(Y85*7800+Z85*5750+AA85*5295+AB85*4400)*12</f>
        <v>1034950.0000000001</v>
      </c>
      <c r="AE85" s="82">
        <f t="shared" si="52"/>
        <v>68760</v>
      </c>
      <c r="AF85" s="82">
        <f t="shared" si="53"/>
        <v>95500</v>
      </c>
      <c r="AG85" s="82">
        <f t="shared" si="54"/>
        <v>38200</v>
      </c>
      <c r="AH85" s="82">
        <f t="shared" si="73"/>
        <v>166116.66666666669</v>
      </c>
      <c r="AI85" s="82">
        <f t="shared" si="55"/>
        <v>12733.333333333334</v>
      </c>
      <c r="AJ85" s="82">
        <f t="shared" si="56"/>
        <v>0</v>
      </c>
      <c r="AK85" s="82">
        <f t="shared" si="57"/>
        <v>15280.000000000002</v>
      </c>
      <c r="AL85" s="82">
        <f t="shared" si="58"/>
        <v>484819.88</v>
      </c>
      <c r="AM85" s="82">
        <f t="shared" si="72"/>
        <v>1916359.88</v>
      </c>
      <c r="AN85" s="82">
        <v>1808619.82</v>
      </c>
      <c r="AO85" s="82"/>
      <c r="AP85" s="82">
        <v>26137.5</v>
      </c>
      <c r="AQ85" s="121">
        <f t="shared" si="59"/>
        <v>1834757.32</v>
      </c>
      <c r="AR85" s="1230">
        <v>2525160.75</v>
      </c>
      <c r="AS85" s="1230"/>
      <c r="AT85" s="1230">
        <f t="shared" si="60"/>
        <v>2525160.75</v>
      </c>
      <c r="AU85" s="121">
        <f t="shared" si="61"/>
        <v>-690403.42999999993</v>
      </c>
      <c r="AV85" s="174"/>
      <c r="AW85" s="1232">
        <f t="shared" si="38"/>
        <v>-690403.42999999993</v>
      </c>
      <c r="AX85" s="121"/>
      <c r="AY85" s="121"/>
      <c r="AZ85" s="82"/>
    </row>
    <row r="86" spans="1:52" s="83" customFormat="1" ht="21.95" customHeight="1">
      <c r="A86" s="79" t="s">
        <v>4</v>
      </c>
      <c r="B86" s="80" t="s">
        <v>706</v>
      </c>
      <c r="C86" s="80" t="s">
        <v>649</v>
      </c>
      <c r="D86" s="1234">
        <v>1</v>
      </c>
      <c r="E86" s="86">
        <v>0</v>
      </c>
      <c r="F86" s="86">
        <v>2</v>
      </c>
      <c r="G86" s="86">
        <v>19.862500000000001</v>
      </c>
      <c r="H86" s="86">
        <v>2</v>
      </c>
      <c r="I86" s="82">
        <f t="shared" si="64"/>
        <v>23.862500000000001</v>
      </c>
      <c r="J86" s="81">
        <v>0</v>
      </c>
      <c r="K86" s="81">
        <v>0</v>
      </c>
      <c r="L86" s="81">
        <v>1</v>
      </c>
      <c r="M86" s="81">
        <v>0.58333333333333337</v>
      </c>
      <c r="N86" s="82">
        <f t="shared" si="65"/>
        <v>1.5833333333333335</v>
      </c>
      <c r="O86" s="82">
        <f t="shared" si="66"/>
        <v>0</v>
      </c>
      <c r="P86" s="82">
        <f t="shared" si="66"/>
        <v>2</v>
      </c>
      <c r="Q86" s="82">
        <f t="shared" si="66"/>
        <v>20.862500000000001</v>
      </c>
      <c r="R86" s="82">
        <f t="shared" si="66"/>
        <v>2.5833333333333335</v>
      </c>
      <c r="S86" s="93">
        <f t="shared" si="67"/>
        <v>25.445833333333333</v>
      </c>
      <c r="T86" s="81">
        <v>0.5</v>
      </c>
      <c r="U86" s="81">
        <v>3</v>
      </c>
      <c r="V86" s="81">
        <v>16</v>
      </c>
      <c r="W86" s="81">
        <v>1.5833333333333333</v>
      </c>
      <c r="X86" s="93">
        <f t="shared" si="68"/>
        <v>21.083333333333332</v>
      </c>
      <c r="Y86" s="81">
        <v>0.5</v>
      </c>
      <c r="Z86" s="81">
        <v>3</v>
      </c>
      <c r="AA86" s="81">
        <v>16</v>
      </c>
      <c r="AB86" s="81">
        <v>1.5833333333333333</v>
      </c>
      <c r="AC86" s="82">
        <f t="shared" si="69"/>
        <v>21.083333333333332</v>
      </c>
      <c r="AD86" s="82">
        <f>(Y86*6800+Z86*5750+AA86*5295+AB86*4400)*12</f>
        <v>1348040</v>
      </c>
      <c r="AE86" s="82">
        <f t="shared" si="52"/>
        <v>91080</v>
      </c>
      <c r="AF86" s="82">
        <f t="shared" si="53"/>
        <v>126500</v>
      </c>
      <c r="AG86" s="82">
        <f t="shared" si="54"/>
        <v>50600</v>
      </c>
      <c r="AH86" s="82">
        <f t="shared" si="71"/>
        <v>198183.33333333331</v>
      </c>
      <c r="AI86" s="82">
        <f t="shared" si="55"/>
        <v>16866.666666666664</v>
      </c>
      <c r="AJ86" s="82">
        <f t="shared" si="56"/>
        <v>10000</v>
      </c>
      <c r="AK86" s="82">
        <f t="shared" si="57"/>
        <v>20240</v>
      </c>
      <c r="AL86" s="82">
        <f t="shared" si="58"/>
        <v>642195.97</v>
      </c>
      <c r="AM86" s="82">
        <f t="shared" si="72"/>
        <v>2503705.9699999997</v>
      </c>
      <c r="AN86" s="82">
        <v>2390199.7399999998</v>
      </c>
      <c r="AO86" s="82">
        <v>59273</v>
      </c>
      <c r="AP86" s="82"/>
      <c r="AQ86" s="121">
        <f t="shared" si="59"/>
        <v>2449472.7399999998</v>
      </c>
      <c r="AR86" s="1231">
        <v>2391698</v>
      </c>
      <c r="AS86" s="1231"/>
      <c r="AT86" s="1230">
        <f t="shared" si="60"/>
        <v>2391698</v>
      </c>
      <c r="AU86" s="82">
        <f t="shared" si="61"/>
        <v>57774.739999999758</v>
      </c>
      <c r="AV86" s="174"/>
      <c r="AW86" s="1232">
        <f t="shared" si="38"/>
        <v>57774.739999999758</v>
      </c>
      <c r="AX86" s="82"/>
      <c r="AY86" s="121"/>
      <c r="AZ86" s="82"/>
    </row>
    <row r="87" spans="1:52" s="83" customFormat="1" ht="21.95" customHeight="1">
      <c r="A87" s="79" t="s">
        <v>4</v>
      </c>
      <c r="B87" s="80" t="s">
        <v>708</v>
      </c>
      <c r="C87" s="80" t="s">
        <v>649</v>
      </c>
      <c r="D87" s="1234">
        <v>1</v>
      </c>
      <c r="E87" s="86">
        <v>0</v>
      </c>
      <c r="F87" s="86">
        <v>2</v>
      </c>
      <c r="G87" s="86">
        <v>13.1875</v>
      </c>
      <c r="H87" s="86">
        <v>2</v>
      </c>
      <c r="I87" s="82">
        <f>SUM(E87:H87)</f>
        <v>17.1875</v>
      </c>
      <c r="J87" s="81">
        <v>0</v>
      </c>
      <c r="K87" s="81">
        <v>0.58333333333333337</v>
      </c>
      <c r="L87" s="81">
        <v>1</v>
      </c>
      <c r="M87" s="81">
        <v>0.91666666666666663</v>
      </c>
      <c r="N87" s="82">
        <f>SUM(J87:M87)</f>
        <v>2.5</v>
      </c>
      <c r="O87" s="82">
        <f t="shared" si="66"/>
        <v>0</v>
      </c>
      <c r="P87" s="82">
        <f t="shared" si="66"/>
        <v>2.5833333333333335</v>
      </c>
      <c r="Q87" s="82">
        <f t="shared" si="66"/>
        <v>14.1875</v>
      </c>
      <c r="R87" s="82">
        <f t="shared" si="66"/>
        <v>2.9166666666666665</v>
      </c>
      <c r="S87" s="93">
        <f>SUM(O87:R87)</f>
        <v>19.6875</v>
      </c>
      <c r="T87" s="81">
        <v>1</v>
      </c>
      <c r="U87" s="81">
        <v>1.9166666666666665</v>
      </c>
      <c r="V87" s="81">
        <v>13.75</v>
      </c>
      <c r="W87" s="81">
        <v>1.8333333333333333</v>
      </c>
      <c r="X87" s="93">
        <f>SUM(T87:W87)</f>
        <v>18.5</v>
      </c>
      <c r="Y87" s="81">
        <v>1</v>
      </c>
      <c r="Z87" s="81">
        <v>1.9166666666666665</v>
      </c>
      <c r="AA87" s="81">
        <v>13.75</v>
      </c>
      <c r="AB87" s="81">
        <v>1.8333333333333333</v>
      </c>
      <c r="AC87" s="82">
        <f>SUM(Y87:AB87)</f>
        <v>18.5</v>
      </c>
      <c r="AD87" s="82">
        <f>(Y87*6800+Z87*5750+AA87*5295+AB87*4400)*12</f>
        <v>1184325</v>
      </c>
      <c r="AE87" s="82">
        <f t="shared" si="52"/>
        <v>79920</v>
      </c>
      <c r="AF87" s="82">
        <f t="shared" si="53"/>
        <v>111000</v>
      </c>
      <c r="AG87" s="82">
        <f t="shared" si="54"/>
        <v>44400</v>
      </c>
      <c r="AH87" s="82">
        <f t="shared" si="71"/>
        <v>173900</v>
      </c>
      <c r="AI87" s="82">
        <f t="shared" si="55"/>
        <v>14800</v>
      </c>
      <c r="AJ87" s="82">
        <f t="shared" si="56"/>
        <v>10000</v>
      </c>
      <c r="AK87" s="82">
        <f t="shared" si="57"/>
        <v>17760</v>
      </c>
      <c r="AL87" s="82">
        <f t="shared" si="58"/>
        <v>563507.93000000005</v>
      </c>
      <c r="AM87" s="82">
        <f t="shared" si="72"/>
        <v>2199612.9300000002</v>
      </c>
      <c r="AN87" s="82">
        <v>2105136.46</v>
      </c>
      <c r="AO87" s="82">
        <v>37750</v>
      </c>
      <c r="AP87" s="82"/>
      <c r="AQ87" s="121">
        <f t="shared" si="59"/>
        <v>2142886.46</v>
      </c>
      <c r="AR87" s="1231">
        <v>2335048</v>
      </c>
      <c r="AS87" s="1231"/>
      <c r="AT87" s="1230">
        <f t="shared" si="60"/>
        <v>2335048</v>
      </c>
      <c r="AU87" s="82">
        <f t="shared" si="61"/>
        <v>-192161.54000000004</v>
      </c>
      <c r="AV87" s="174"/>
      <c r="AW87" s="1232">
        <f t="shared" si="38"/>
        <v>-192161.54000000004</v>
      </c>
      <c r="AX87" s="82"/>
      <c r="AY87" s="121"/>
      <c r="AZ87" s="82"/>
    </row>
    <row r="88" spans="1:52" ht="21.95" customHeight="1">
      <c r="A88" s="79" t="s">
        <v>4</v>
      </c>
      <c r="B88" s="80" t="s">
        <v>709</v>
      </c>
      <c r="C88" s="80" t="s">
        <v>972</v>
      </c>
      <c r="D88" s="1234"/>
      <c r="E88" s="86">
        <v>20.294117647058826</v>
      </c>
      <c r="F88" s="86">
        <v>11</v>
      </c>
      <c r="G88" s="86">
        <v>0</v>
      </c>
      <c r="H88" s="86">
        <v>9</v>
      </c>
      <c r="I88" s="82">
        <f>SUM(E88:H88)</f>
        <v>40.294117647058826</v>
      </c>
      <c r="J88" s="81">
        <v>0</v>
      </c>
      <c r="K88" s="81">
        <v>0</v>
      </c>
      <c r="L88" s="81">
        <v>0</v>
      </c>
      <c r="M88" s="81">
        <v>0</v>
      </c>
      <c r="N88" s="82">
        <f>SUM(J88:M88)</f>
        <v>0</v>
      </c>
      <c r="O88" s="82">
        <f t="shared" si="66"/>
        <v>20.294117647058826</v>
      </c>
      <c r="P88" s="82">
        <f t="shared" si="66"/>
        <v>11</v>
      </c>
      <c r="Q88" s="82">
        <f t="shared" si="66"/>
        <v>0</v>
      </c>
      <c r="R88" s="82">
        <f t="shared" si="66"/>
        <v>9</v>
      </c>
      <c r="S88" s="93">
        <f>SUM(O88:R88)</f>
        <v>40.294117647058826</v>
      </c>
      <c r="T88" s="81">
        <v>14.333333333333332</v>
      </c>
      <c r="U88" s="81">
        <v>5.166666666666667</v>
      </c>
      <c r="V88" s="81">
        <v>0</v>
      </c>
      <c r="W88" s="81">
        <v>9.3333333333333339</v>
      </c>
      <c r="X88" s="93">
        <f>SUM(T88:W88)</f>
        <v>28.833333333333336</v>
      </c>
      <c r="Y88" s="81">
        <v>14.333333333333332</v>
      </c>
      <c r="Z88" s="81">
        <v>5.166666666666667</v>
      </c>
      <c r="AA88" s="81">
        <v>0</v>
      </c>
      <c r="AB88" s="81">
        <v>9.3333333333333339</v>
      </c>
      <c r="AC88" s="82">
        <f>SUM(Y88:AB88)</f>
        <v>28.833333333333336</v>
      </c>
      <c r="AD88" s="82">
        <f>(Y88*7300+Z88*5750+AA88*5295+AB88*4400)*12</f>
        <v>2104900</v>
      </c>
      <c r="AE88" s="82">
        <f t="shared" si="52"/>
        <v>124560.00000000001</v>
      </c>
      <c r="AF88" s="82">
        <f t="shared" si="53"/>
        <v>173000</v>
      </c>
      <c r="AG88" s="82">
        <f t="shared" si="54"/>
        <v>69200</v>
      </c>
      <c r="AH88" s="82">
        <f>Y88*15400+(Z88+AA88+AB88)*9400</f>
        <v>357033.33333333331</v>
      </c>
      <c r="AI88" s="82">
        <f t="shared" si="55"/>
        <v>23066.666666666668</v>
      </c>
      <c r="AJ88" s="82">
        <f t="shared" si="56"/>
        <v>0</v>
      </c>
      <c r="AK88" s="82">
        <f t="shared" si="57"/>
        <v>27680.000000000004</v>
      </c>
      <c r="AL88" s="82">
        <f t="shared" si="58"/>
        <v>878260.1</v>
      </c>
      <c r="AM88" s="82">
        <f t="shared" si="72"/>
        <v>3757700.1</v>
      </c>
      <c r="AN88" s="82">
        <v>3526536</v>
      </c>
      <c r="AO88" s="82"/>
      <c r="AP88" s="82">
        <v>137481</v>
      </c>
      <c r="AQ88" s="121">
        <f t="shared" si="59"/>
        <v>3664017</v>
      </c>
      <c r="AR88" s="1230">
        <v>3824040.75</v>
      </c>
      <c r="AS88" s="1230"/>
      <c r="AT88" s="1230">
        <f t="shared" si="60"/>
        <v>3824040.75</v>
      </c>
      <c r="AU88" s="121">
        <f t="shared" si="61"/>
        <v>-160023.75</v>
      </c>
      <c r="AV88" s="174"/>
      <c r="AW88" s="1232">
        <f t="shared" si="38"/>
        <v>-160023.75</v>
      </c>
      <c r="AX88" s="121"/>
      <c r="AY88" s="121"/>
      <c r="AZ88" s="82"/>
    </row>
    <row r="89" spans="1:52" s="83" customFormat="1" ht="21.95" customHeight="1">
      <c r="A89" s="79" t="s">
        <v>4</v>
      </c>
      <c r="B89" s="80" t="s">
        <v>3197</v>
      </c>
      <c r="C89" s="80" t="s">
        <v>649</v>
      </c>
      <c r="D89" s="1234">
        <v>1.5</v>
      </c>
      <c r="E89" s="86">
        <v>2.4444444444444464</v>
      </c>
      <c r="F89" s="86">
        <v>3</v>
      </c>
      <c r="G89" s="86">
        <v>14.574999999999999</v>
      </c>
      <c r="H89" s="86">
        <v>1</v>
      </c>
      <c r="I89" s="82">
        <f t="shared" si="64"/>
        <v>21.019444444444446</v>
      </c>
      <c r="J89" s="81">
        <v>0</v>
      </c>
      <c r="K89" s="81">
        <v>0</v>
      </c>
      <c r="L89" s="81">
        <v>1.5</v>
      </c>
      <c r="M89" s="81">
        <v>0</v>
      </c>
      <c r="N89" s="82">
        <f t="shared" si="65"/>
        <v>1.5</v>
      </c>
      <c r="O89" s="82">
        <f t="shared" si="66"/>
        <v>2.4444444444444464</v>
      </c>
      <c r="P89" s="82">
        <f t="shared" si="66"/>
        <v>3</v>
      </c>
      <c r="Q89" s="82">
        <f t="shared" si="66"/>
        <v>16.074999999999999</v>
      </c>
      <c r="R89" s="82">
        <f t="shared" si="66"/>
        <v>1</v>
      </c>
      <c r="S89" s="93">
        <f t="shared" si="67"/>
        <v>22.519444444444446</v>
      </c>
      <c r="T89" s="81">
        <v>2</v>
      </c>
      <c r="U89" s="81">
        <v>4.8333333333333339</v>
      </c>
      <c r="V89" s="81">
        <v>15</v>
      </c>
      <c r="W89" s="81">
        <v>1</v>
      </c>
      <c r="X89" s="93">
        <f t="shared" si="68"/>
        <v>22.833333333333336</v>
      </c>
      <c r="Y89" s="81">
        <v>2.4444444444444464</v>
      </c>
      <c r="Z89" s="81">
        <v>3</v>
      </c>
      <c r="AA89" s="81">
        <v>16.074999999999999</v>
      </c>
      <c r="AB89" s="81">
        <v>1</v>
      </c>
      <c r="AC89" s="82">
        <f t="shared" si="69"/>
        <v>22.519444444444446</v>
      </c>
      <c r="AD89" s="82">
        <f>(Y89*6800+Z89*5750+AA89*5295+AB89*4400)*12</f>
        <v>1480672.1666666667</v>
      </c>
      <c r="AE89" s="82">
        <f t="shared" si="52"/>
        <v>97284</v>
      </c>
      <c r="AF89" s="82">
        <f t="shared" si="53"/>
        <v>135116.66666666669</v>
      </c>
      <c r="AG89" s="82">
        <f t="shared" si="54"/>
        <v>54046.666666666672</v>
      </c>
      <c r="AH89" s="82">
        <f t="shared" si="71"/>
        <v>211682.77777777778</v>
      </c>
      <c r="AI89" s="82">
        <f t="shared" si="55"/>
        <v>18015.555555555555</v>
      </c>
      <c r="AJ89" s="82">
        <f t="shared" si="56"/>
        <v>15000</v>
      </c>
      <c r="AK89" s="82">
        <f t="shared" si="57"/>
        <v>21618.666666666668</v>
      </c>
      <c r="AL89" s="82">
        <f t="shared" si="58"/>
        <v>685939.76</v>
      </c>
      <c r="AM89" s="82">
        <f t="shared" si="72"/>
        <v>2719376.2600000002</v>
      </c>
      <c r="AN89" s="82">
        <v>2652052.62</v>
      </c>
      <c r="AO89" s="82">
        <v>42928.67</v>
      </c>
      <c r="AP89" s="82"/>
      <c r="AQ89" s="121">
        <f t="shared" si="59"/>
        <v>2694981.29</v>
      </c>
      <c r="AR89" s="1231">
        <v>2824638</v>
      </c>
      <c r="AS89" s="1231"/>
      <c r="AT89" s="1230">
        <f t="shared" si="60"/>
        <v>2824638</v>
      </c>
      <c r="AU89" s="82">
        <f t="shared" si="61"/>
        <v>-129656.70999999996</v>
      </c>
      <c r="AV89" s="174"/>
      <c r="AW89" s="1232">
        <f t="shared" si="38"/>
        <v>-129656.70999999996</v>
      </c>
      <c r="AX89" s="82"/>
      <c r="AY89" s="121"/>
      <c r="AZ89" s="82"/>
    </row>
    <row r="90" spans="1:52" s="85" customFormat="1" ht="21.95" customHeight="1">
      <c r="A90" s="1225"/>
      <c r="B90" s="1225" t="s">
        <v>710</v>
      </c>
      <c r="C90" s="1225"/>
      <c r="D90" s="1235">
        <f>SUM(D72:D89)</f>
        <v>16.5</v>
      </c>
      <c r="E90" s="84">
        <f t="shared" ref="E90:AZ90" si="74">SUM(E72:E89)</f>
        <v>259.01848095560058</v>
      </c>
      <c r="F90" s="84">
        <f t="shared" si="74"/>
        <v>165.5</v>
      </c>
      <c r="G90" s="84">
        <f t="shared" si="74"/>
        <v>204.02499999999998</v>
      </c>
      <c r="H90" s="84">
        <f t="shared" si="74"/>
        <v>115</v>
      </c>
      <c r="I90" s="84">
        <f t="shared" si="74"/>
        <v>743.54348095560044</v>
      </c>
      <c r="J90" s="84">
        <f t="shared" si="74"/>
        <v>7.833333333333333</v>
      </c>
      <c r="K90" s="84">
        <f t="shared" si="74"/>
        <v>7.333333333333333</v>
      </c>
      <c r="L90" s="84">
        <f t="shared" si="74"/>
        <v>10.433333333333334</v>
      </c>
      <c r="M90" s="84">
        <f t="shared" si="74"/>
        <v>2.0833333333333335</v>
      </c>
      <c r="N90" s="84">
        <f t="shared" si="74"/>
        <v>27.68333333333333</v>
      </c>
      <c r="O90" s="84">
        <f t="shared" si="74"/>
        <v>266.85181428893395</v>
      </c>
      <c r="P90" s="84">
        <f t="shared" si="74"/>
        <v>172.83333333333334</v>
      </c>
      <c r="Q90" s="84">
        <f t="shared" si="74"/>
        <v>214.45833333333331</v>
      </c>
      <c r="R90" s="84">
        <f t="shared" si="74"/>
        <v>117.08333333333333</v>
      </c>
      <c r="S90" s="1238">
        <f t="shared" si="74"/>
        <v>771.22681428893384</v>
      </c>
      <c r="T90" s="84">
        <f t="shared" si="74"/>
        <v>66.916666666666671</v>
      </c>
      <c r="U90" s="84">
        <f t="shared" si="74"/>
        <v>87.833333333333329</v>
      </c>
      <c r="V90" s="84">
        <f t="shared" si="74"/>
        <v>212</v>
      </c>
      <c r="W90" s="84">
        <f t="shared" si="74"/>
        <v>103.74999999999999</v>
      </c>
      <c r="X90" s="1238">
        <f t="shared" si="74"/>
        <v>470.5</v>
      </c>
      <c r="Y90" s="84">
        <f t="shared" si="74"/>
        <v>67.361111111111114</v>
      </c>
      <c r="Z90" s="84">
        <f t="shared" si="74"/>
        <v>86</v>
      </c>
      <c r="AA90" s="84">
        <f t="shared" si="74"/>
        <v>213.07499999999999</v>
      </c>
      <c r="AB90" s="84">
        <f t="shared" si="74"/>
        <v>103.74999999999999</v>
      </c>
      <c r="AC90" s="84">
        <f t="shared" si="74"/>
        <v>470.18611111111113</v>
      </c>
      <c r="AD90" s="84">
        <f t="shared" si="74"/>
        <v>30738452.166666668</v>
      </c>
      <c r="AE90" s="84">
        <f t="shared" si="74"/>
        <v>2031204</v>
      </c>
      <c r="AF90" s="84">
        <f t="shared" si="74"/>
        <v>2821116.6666666665</v>
      </c>
      <c r="AG90" s="84">
        <f t="shared" si="74"/>
        <v>1128446.6666666667</v>
      </c>
      <c r="AH90" s="84">
        <f t="shared" si="74"/>
        <v>4608249.444444445</v>
      </c>
      <c r="AI90" s="84">
        <f t="shared" si="74"/>
        <v>376148.88888888893</v>
      </c>
      <c r="AJ90" s="84">
        <f t="shared" si="74"/>
        <v>165000</v>
      </c>
      <c r="AK90" s="84">
        <f t="shared" si="74"/>
        <v>451378.66666666669</v>
      </c>
      <c r="AL90" s="84">
        <f t="shared" si="74"/>
        <v>14321816.280000001</v>
      </c>
      <c r="AM90" s="84">
        <f t="shared" si="74"/>
        <v>56641812.780000001</v>
      </c>
      <c r="AN90" s="84">
        <f t="shared" si="74"/>
        <v>54708493.329999998</v>
      </c>
      <c r="AO90" s="84">
        <f t="shared" si="74"/>
        <v>338919.17</v>
      </c>
      <c r="AP90" s="84">
        <f t="shared" si="74"/>
        <v>456626.5</v>
      </c>
      <c r="AQ90" s="84">
        <f t="shared" si="74"/>
        <v>55504039</v>
      </c>
      <c r="AR90" s="84">
        <f t="shared" si="74"/>
        <v>61558758.380000003</v>
      </c>
      <c r="AS90" s="84">
        <f t="shared" si="74"/>
        <v>0</v>
      </c>
      <c r="AT90" s="84">
        <f t="shared" si="74"/>
        <v>61558758.380000003</v>
      </c>
      <c r="AU90" s="84">
        <f t="shared" si="74"/>
        <v>-6054719.3800000008</v>
      </c>
      <c r="AV90" s="84">
        <f t="shared" si="74"/>
        <v>0</v>
      </c>
      <c r="AW90" s="84">
        <f t="shared" si="74"/>
        <v>-6054719.3800000008</v>
      </c>
      <c r="AX90" s="84">
        <f t="shared" si="74"/>
        <v>0</v>
      </c>
      <c r="AY90" s="84">
        <f t="shared" si="74"/>
        <v>0</v>
      </c>
      <c r="AZ90" s="84">
        <f t="shared" si="74"/>
        <v>0</v>
      </c>
    </row>
    <row r="91" spans="1:52" ht="21.95" customHeight="1">
      <c r="A91" s="79" t="s">
        <v>3</v>
      </c>
      <c r="B91" s="80" t="s">
        <v>711</v>
      </c>
      <c r="C91" s="80" t="s">
        <v>649</v>
      </c>
      <c r="D91" s="1234">
        <v>2</v>
      </c>
      <c r="E91" s="82">
        <v>20.136752136752136</v>
      </c>
      <c r="F91" s="82">
        <v>3</v>
      </c>
      <c r="G91" s="82">
        <v>41.55</v>
      </c>
      <c r="H91" s="82">
        <v>4</v>
      </c>
      <c r="I91" s="82">
        <f t="shared" si="64"/>
        <v>68.686752136752133</v>
      </c>
      <c r="J91" s="81">
        <v>0</v>
      </c>
      <c r="K91" s="81">
        <v>0.41666666666666669</v>
      </c>
      <c r="L91" s="81">
        <v>0</v>
      </c>
      <c r="M91" s="81">
        <v>0</v>
      </c>
      <c r="N91" s="82">
        <f t="shared" si="65"/>
        <v>0.41666666666666669</v>
      </c>
      <c r="O91" s="82">
        <f t="shared" ref="O91:R93" si="75">E91+J91</f>
        <v>20.136752136752136</v>
      </c>
      <c r="P91" s="82">
        <f t="shared" si="75"/>
        <v>3.4166666666666665</v>
      </c>
      <c r="Q91" s="82">
        <f t="shared" si="75"/>
        <v>41.55</v>
      </c>
      <c r="R91" s="82">
        <f t="shared" si="75"/>
        <v>4</v>
      </c>
      <c r="S91" s="93">
        <f t="shared" si="67"/>
        <v>69.103418803418805</v>
      </c>
      <c r="T91" s="81">
        <v>7.5</v>
      </c>
      <c r="U91" s="81">
        <v>5</v>
      </c>
      <c r="V91" s="81">
        <v>43.833333333333336</v>
      </c>
      <c r="W91" s="81">
        <v>3.8333333333333335</v>
      </c>
      <c r="X91" s="93">
        <f t="shared" si="68"/>
        <v>60.166666666666671</v>
      </c>
      <c r="Y91" s="81">
        <v>7.5</v>
      </c>
      <c r="Z91" s="81">
        <v>5</v>
      </c>
      <c r="AA91" s="81">
        <v>43.833333333333336</v>
      </c>
      <c r="AB91" s="81">
        <v>3.8333333333333335</v>
      </c>
      <c r="AC91" s="82">
        <f t="shared" si="69"/>
        <v>60.166666666666671</v>
      </c>
      <c r="AD91" s="82">
        <f>(Y91*6800+Z91*5750+AA91*5295+AB91*4400)*12</f>
        <v>3944570</v>
      </c>
      <c r="AE91" s="82">
        <f t="shared" si="52"/>
        <v>259920.00000000003</v>
      </c>
      <c r="AF91" s="82">
        <f t="shared" si="53"/>
        <v>361000</v>
      </c>
      <c r="AG91" s="82">
        <f t="shared" si="54"/>
        <v>144400</v>
      </c>
      <c r="AH91" s="82">
        <f t="shared" si="71"/>
        <v>565566.66666666674</v>
      </c>
      <c r="AI91" s="82">
        <f t="shared" si="55"/>
        <v>48133.333333333336</v>
      </c>
      <c r="AJ91" s="82">
        <f t="shared" si="56"/>
        <v>20000</v>
      </c>
      <c r="AK91" s="82">
        <f t="shared" si="57"/>
        <v>57760.000000000007</v>
      </c>
      <c r="AL91" s="82">
        <f t="shared" si="58"/>
        <v>1832669.93</v>
      </c>
      <c r="AM91" s="82">
        <f t="shared" si="72"/>
        <v>7234019.9299999997</v>
      </c>
      <c r="AN91" s="1247">
        <v>7226147.6399999997</v>
      </c>
      <c r="AO91" s="82">
        <v>14088</v>
      </c>
      <c r="AP91" s="82"/>
      <c r="AQ91" s="121">
        <f t="shared" si="59"/>
        <v>7240235.6399999997</v>
      </c>
      <c r="AR91" s="1230">
        <v>7532640</v>
      </c>
      <c r="AS91" s="1230"/>
      <c r="AT91" s="1230">
        <f t="shared" si="60"/>
        <v>7532640</v>
      </c>
      <c r="AU91" s="121">
        <f t="shared" si="61"/>
        <v>-292404.36000000034</v>
      </c>
      <c r="AV91" s="121">
        <v>90000</v>
      </c>
      <c r="AW91" s="1232">
        <f t="shared" ref="AW91:AW113" si="76">AU91-AV91</f>
        <v>-382404.36000000034</v>
      </c>
      <c r="AX91" s="121">
        <v>0</v>
      </c>
      <c r="AY91" s="121">
        <v>400000</v>
      </c>
      <c r="AZ91" s="82">
        <v>-400000</v>
      </c>
    </row>
    <row r="92" spans="1:52" s="83" customFormat="1" ht="21.95" customHeight="1">
      <c r="A92" s="79"/>
      <c r="B92" s="1248" t="s">
        <v>2870</v>
      </c>
      <c r="C92" s="80" t="s">
        <v>3243</v>
      </c>
      <c r="D92" s="1234">
        <v>2</v>
      </c>
      <c r="E92" s="81">
        <v>0</v>
      </c>
      <c r="F92" s="81">
        <v>3.5833333333333335</v>
      </c>
      <c r="G92" s="81">
        <v>30.203125</v>
      </c>
      <c r="H92" s="81">
        <v>3.5833333333333335</v>
      </c>
      <c r="I92" s="82">
        <f t="shared" si="64"/>
        <v>37.369791666666671</v>
      </c>
      <c r="J92" s="81">
        <v>0</v>
      </c>
      <c r="K92" s="81">
        <v>0</v>
      </c>
      <c r="L92" s="81">
        <v>1.75</v>
      </c>
      <c r="M92" s="81">
        <v>0.91666666666666663</v>
      </c>
      <c r="N92" s="81">
        <v>2.6666666666666665</v>
      </c>
      <c r="O92" s="82">
        <f t="shared" si="75"/>
        <v>0</v>
      </c>
      <c r="P92" s="82">
        <f t="shared" si="75"/>
        <v>3.5833333333333335</v>
      </c>
      <c r="Q92" s="82">
        <f t="shared" si="75"/>
        <v>31.953125</v>
      </c>
      <c r="R92" s="82">
        <f t="shared" si="75"/>
        <v>4.5</v>
      </c>
      <c r="S92" s="82">
        <f t="shared" si="67"/>
        <v>40.036458333333336</v>
      </c>
      <c r="T92" s="81">
        <v>3.4166666666666665</v>
      </c>
      <c r="U92" s="81">
        <v>2.0833333333333335</v>
      </c>
      <c r="V92" s="81">
        <v>29.416666666666668</v>
      </c>
      <c r="W92" s="81">
        <v>2.75</v>
      </c>
      <c r="X92" s="81">
        <v>37.666666666666671</v>
      </c>
      <c r="Y92" s="81">
        <v>3.4166666666666665</v>
      </c>
      <c r="Z92" s="81">
        <v>2.0833333333333335</v>
      </c>
      <c r="AA92" s="81">
        <v>29.416666666666668</v>
      </c>
      <c r="AB92" s="81">
        <v>2.75</v>
      </c>
      <c r="AC92" s="82">
        <f t="shared" si="69"/>
        <v>37.666666666666671</v>
      </c>
      <c r="AD92" s="82">
        <f>(Y92*6800+Z92*5750+AA92*5295+AB92*4400)*12</f>
        <v>2436885</v>
      </c>
      <c r="AE92" s="82">
        <f t="shared" si="52"/>
        <v>162720.00000000003</v>
      </c>
      <c r="AF92" s="82">
        <f t="shared" si="53"/>
        <v>226000.00000000003</v>
      </c>
      <c r="AG92" s="82">
        <f t="shared" si="54"/>
        <v>90400.000000000015</v>
      </c>
      <c r="AH92" s="82">
        <f t="shared" si="71"/>
        <v>354066.66666666669</v>
      </c>
      <c r="AI92" s="82">
        <f t="shared" si="55"/>
        <v>30133.333333333336</v>
      </c>
      <c r="AJ92" s="82">
        <f t="shared" si="56"/>
        <v>20000</v>
      </c>
      <c r="AK92" s="82">
        <f t="shared" si="57"/>
        <v>36160.000000000007</v>
      </c>
      <c r="AL92" s="82">
        <f t="shared" si="58"/>
        <v>1147322.45</v>
      </c>
      <c r="AM92" s="82">
        <f t="shared" si="72"/>
        <v>4503687.45</v>
      </c>
      <c r="AN92" s="82">
        <v>4467526.88</v>
      </c>
      <c r="AO92" s="82"/>
      <c r="AP92" s="82"/>
      <c r="AQ92" s="82">
        <f t="shared" si="59"/>
        <v>4467526.88</v>
      </c>
      <c r="AR92" s="1231">
        <v>4658121</v>
      </c>
      <c r="AS92" s="1231"/>
      <c r="AT92" s="1230">
        <f t="shared" si="60"/>
        <v>4658121</v>
      </c>
      <c r="AU92" s="82">
        <f t="shared" si="61"/>
        <v>-190594.12000000011</v>
      </c>
      <c r="AV92" s="174"/>
      <c r="AW92" s="1232">
        <f t="shared" si="76"/>
        <v>-190594.12000000011</v>
      </c>
      <c r="AX92" s="82"/>
      <c r="AY92" s="121"/>
      <c r="AZ92" s="82"/>
    </row>
    <row r="93" spans="1:52" ht="21.95" customHeight="1">
      <c r="A93" s="79" t="s">
        <v>3</v>
      </c>
      <c r="B93" s="80" t="s">
        <v>713</v>
      </c>
      <c r="C93" s="81" t="s">
        <v>959</v>
      </c>
      <c r="D93" s="1234"/>
      <c r="E93" s="82">
        <v>17.41379310344827</v>
      </c>
      <c r="F93" s="82">
        <v>9</v>
      </c>
      <c r="G93" s="82">
        <v>0</v>
      </c>
      <c r="H93" s="82">
        <v>5.5</v>
      </c>
      <c r="I93" s="82">
        <f t="shared" si="64"/>
        <v>31.91379310344827</v>
      </c>
      <c r="J93" s="81">
        <v>7</v>
      </c>
      <c r="K93" s="81">
        <v>0.41666666666666669</v>
      </c>
      <c r="L93" s="81">
        <v>0</v>
      </c>
      <c r="M93" s="81">
        <v>0.58333333333333337</v>
      </c>
      <c r="N93" s="82">
        <f t="shared" si="65"/>
        <v>8</v>
      </c>
      <c r="O93" s="82">
        <f t="shared" si="75"/>
        <v>24.41379310344827</v>
      </c>
      <c r="P93" s="82">
        <f t="shared" si="75"/>
        <v>9.4166666666666661</v>
      </c>
      <c r="Q93" s="82">
        <f t="shared" si="75"/>
        <v>0</v>
      </c>
      <c r="R93" s="82">
        <f t="shared" si="75"/>
        <v>6.083333333333333</v>
      </c>
      <c r="S93" s="93">
        <f t="shared" si="67"/>
        <v>39.91379310344827</v>
      </c>
      <c r="T93" s="81">
        <v>6.333333333333333</v>
      </c>
      <c r="U93" s="81">
        <v>3</v>
      </c>
      <c r="V93" s="81">
        <v>0</v>
      </c>
      <c r="W93" s="81">
        <v>6</v>
      </c>
      <c r="X93" s="93">
        <f t="shared" si="68"/>
        <v>15.333333333333332</v>
      </c>
      <c r="Y93" s="81">
        <v>6.333333333333333</v>
      </c>
      <c r="Z93" s="81">
        <v>3</v>
      </c>
      <c r="AA93" s="81">
        <v>0</v>
      </c>
      <c r="AB93" s="81">
        <v>6</v>
      </c>
      <c r="AC93" s="82">
        <f t="shared" si="69"/>
        <v>15.333333333333332</v>
      </c>
      <c r="AD93" s="82">
        <f>(Y93*6800+Z93*5750+AA93*5295+AB93*4400)*12</f>
        <v>1040599.9999999999</v>
      </c>
      <c r="AE93" s="82">
        <f t="shared" si="52"/>
        <v>66240</v>
      </c>
      <c r="AF93" s="82">
        <f t="shared" si="53"/>
        <v>92000</v>
      </c>
      <c r="AG93" s="82">
        <f t="shared" si="54"/>
        <v>36800</v>
      </c>
      <c r="AH93" s="82">
        <f t="shared" si="71"/>
        <v>144133.33333333331</v>
      </c>
      <c r="AI93" s="82">
        <f t="shared" si="55"/>
        <v>12266.666666666666</v>
      </c>
      <c r="AJ93" s="82">
        <f t="shared" si="56"/>
        <v>0</v>
      </c>
      <c r="AK93" s="82">
        <f t="shared" si="57"/>
        <v>14719.999999999998</v>
      </c>
      <c r="AL93" s="82">
        <f t="shared" si="58"/>
        <v>467051.62</v>
      </c>
      <c r="AM93" s="82">
        <f t="shared" si="72"/>
        <v>1873811.62</v>
      </c>
      <c r="AN93" s="82">
        <v>1799233</v>
      </c>
      <c r="AO93" s="82"/>
      <c r="AP93" s="82">
        <v>103594.5</v>
      </c>
      <c r="AQ93" s="121">
        <f t="shared" si="59"/>
        <v>1902827.5</v>
      </c>
      <c r="AR93" s="1230">
        <v>1387091.5</v>
      </c>
      <c r="AS93" s="1230"/>
      <c r="AT93" s="1230">
        <f t="shared" si="60"/>
        <v>1387091.5</v>
      </c>
      <c r="AU93" s="121">
        <f t="shared" si="61"/>
        <v>515736</v>
      </c>
      <c r="AV93" s="174"/>
      <c r="AW93" s="1232">
        <f t="shared" si="76"/>
        <v>515736</v>
      </c>
      <c r="AX93" s="121"/>
      <c r="AY93" s="121"/>
      <c r="AZ93" s="82"/>
    </row>
    <row r="94" spans="1:52" s="85" customFormat="1" ht="21.95" customHeight="1">
      <c r="A94" s="1225"/>
      <c r="B94" s="1225" t="s">
        <v>714</v>
      </c>
      <c r="C94" s="1225"/>
      <c r="D94" s="1235">
        <f t="shared" ref="D94:AW94" si="77">SUM(D91:D93)</f>
        <v>4</v>
      </c>
      <c r="E94" s="84">
        <f t="shared" si="77"/>
        <v>37.550545240200407</v>
      </c>
      <c r="F94" s="84">
        <f t="shared" si="77"/>
        <v>15.583333333333334</v>
      </c>
      <c r="G94" s="84">
        <f t="shared" si="77"/>
        <v>71.753124999999997</v>
      </c>
      <c r="H94" s="84">
        <f t="shared" si="77"/>
        <v>13.083333333333334</v>
      </c>
      <c r="I94" s="84">
        <f t="shared" si="77"/>
        <v>137.97033690686709</v>
      </c>
      <c r="J94" s="84">
        <f t="shared" si="77"/>
        <v>7</v>
      </c>
      <c r="K94" s="84">
        <f t="shared" si="77"/>
        <v>0.83333333333333337</v>
      </c>
      <c r="L94" s="84">
        <f t="shared" si="77"/>
        <v>1.75</v>
      </c>
      <c r="M94" s="84">
        <f t="shared" si="77"/>
        <v>1.5</v>
      </c>
      <c r="N94" s="84">
        <f t="shared" si="77"/>
        <v>11.083333333333332</v>
      </c>
      <c r="O94" s="84">
        <f t="shared" si="77"/>
        <v>44.550545240200407</v>
      </c>
      <c r="P94" s="84">
        <f t="shared" si="77"/>
        <v>16.416666666666664</v>
      </c>
      <c r="Q94" s="84">
        <f t="shared" si="77"/>
        <v>73.503124999999997</v>
      </c>
      <c r="R94" s="84">
        <f t="shared" si="77"/>
        <v>14.583333333333332</v>
      </c>
      <c r="S94" s="1238">
        <f t="shared" si="77"/>
        <v>149.0536702402004</v>
      </c>
      <c r="T94" s="84">
        <f t="shared" si="77"/>
        <v>17.25</v>
      </c>
      <c r="U94" s="84">
        <f t="shared" si="77"/>
        <v>10.083333333333334</v>
      </c>
      <c r="V94" s="84">
        <f t="shared" si="77"/>
        <v>73.25</v>
      </c>
      <c r="W94" s="84">
        <f t="shared" si="77"/>
        <v>12.583333333333334</v>
      </c>
      <c r="X94" s="1238">
        <f t="shared" si="77"/>
        <v>113.16666666666667</v>
      </c>
      <c r="Y94" s="84">
        <f t="shared" si="77"/>
        <v>17.25</v>
      </c>
      <c r="Z94" s="84">
        <f t="shared" si="77"/>
        <v>10.083333333333334</v>
      </c>
      <c r="AA94" s="84">
        <f t="shared" si="77"/>
        <v>73.25</v>
      </c>
      <c r="AB94" s="84">
        <f t="shared" si="77"/>
        <v>12.583333333333334</v>
      </c>
      <c r="AC94" s="84">
        <f t="shared" si="77"/>
        <v>113.16666666666667</v>
      </c>
      <c r="AD94" s="84">
        <f t="shared" si="77"/>
        <v>7422055</v>
      </c>
      <c r="AE94" s="84">
        <f t="shared" si="77"/>
        <v>488880.00000000006</v>
      </c>
      <c r="AF94" s="84">
        <f t="shared" si="77"/>
        <v>679000</v>
      </c>
      <c r="AG94" s="84">
        <f t="shared" si="77"/>
        <v>271600</v>
      </c>
      <c r="AH94" s="84">
        <f t="shared" si="77"/>
        <v>1063766.6666666667</v>
      </c>
      <c r="AI94" s="84">
        <f t="shared" si="77"/>
        <v>90533.333333333343</v>
      </c>
      <c r="AJ94" s="84">
        <f t="shared" si="77"/>
        <v>40000</v>
      </c>
      <c r="AK94" s="84">
        <f t="shared" si="77"/>
        <v>108640.00000000001</v>
      </c>
      <c r="AL94" s="84">
        <f t="shared" si="77"/>
        <v>3447044</v>
      </c>
      <c r="AM94" s="84">
        <f t="shared" si="77"/>
        <v>13611519</v>
      </c>
      <c r="AN94" s="84">
        <f t="shared" si="77"/>
        <v>13492907.52</v>
      </c>
      <c r="AO94" s="84">
        <f t="shared" si="77"/>
        <v>14088</v>
      </c>
      <c r="AP94" s="84">
        <f t="shared" si="77"/>
        <v>103594.5</v>
      </c>
      <c r="AQ94" s="84">
        <f t="shared" si="77"/>
        <v>13610590.02</v>
      </c>
      <c r="AR94" s="84">
        <f t="shared" si="77"/>
        <v>13577852.5</v>
      </c>
      <c r="AS94" s="84">
        <f t="shared" si="77"/>
        <v>0</v>
      </c>
      <c r="AT94" s="84">
        <f t="shared" si="77"/>
        <v>13577852.5</v>
      </c>
      <c r="AU94" s="84">
        <f t="shared" si="77"/>
        <v>32737.519999999553</v>
      </c>
      <c r="AV94" s="84">
        <f t="shared" si="77"/>
        <v>90000</v>
      </c>
      <c r="AW94" s="84">
        <f t="shared" si="77"/>
        <v>-57262.480000000447</v>
      </c>
      <c r="AX94" s="84">
        <f t="shared" ref="AX94:AZ94" si="78">SUM(AX91:AX93)</f>
        <v>0</v>
      </c>
      <c r="AY94" s="84">
        <f t="shared" si="78"/>
        <v>400000</v>
      </c>
      <c r="AZ94" s="84">
        <f t="shared" si="78"/>
        <v>-400000</v>
      </c>
    </row>
    <row r="95" spans="1:52" ht="21.95" customHeight="1">
      <c r="A95" s="79" t="s">
        <v>2</v>
      </c>
      <c r="B95" s="87" t="s">
        <v>715</v>
      </c>
      <c r="C95" s="80" t="s">
        <v>649</v>
      </c>
      <c r="D95" s="1234">
        <v>2</v>
      </c>
      <c r="E95" s="86">
        <v>0</v>
      </c>
      <c r="F95" s="86">
        <v>3</v>
      </c>
      <c r="G95" s="86">
        <v>24.4</v>
      </c>
      <c r="H95" s="86">
        <v>3</v>
      </c>
      <c r="I95" s="82">
        <f t="shared" si="64"/>
        <v>30.4</v>
      </c>
      <c r="J95" s="81">
        <v>0</v>
      </c>
      <c r="K95" s="81">
        <v>0</v>
      </c>
      <c r="L95" s="81">
        <v>2</v>
      </c>
      <c r="M95" s="81">
        <v>0.1</v>
      </c>
      <c r="N95" s="82">
        <f t="shared" si="65"/>
        <v>2.1</v>
      </c>
      <c r="O95" s="82">
        <f>E95+J95</f>
        <v>0</v>
      </c>
      <c r="P95" s="82">
        <f t="shared" ref="P95:R98" si="79">F95+K95</f>
        <v>3</v>
      </c>
      <c r="Q95" s="82">
        <f t="shared" si="79"/>
        <v>26.4</v>
      </c>
      <c r="R95" s="82">
        <f t="shared" si="79"/>
        <v>3.1</v>
      </c>
      <c r="S95" s="93">
        <f t="shared" si="67"/>
        <v>32.5</v>
      </c>
      <c r="T95" s="81">
        <v>0</v>
      </c>
      <c r="U95" s="81">
        <v>2</v>
      </c>
      <c r="V95" s="81">
        <v>27</v>
      </c>
      <c r="W95" s="81">
        <v>3.0833333333333335</v>
      </c>
      <c r="X95" s="93">
        <f t="shared" si="68"/>
        <v>32.083333333333336</v>
      </c>
      <c r="Y95" s="81">
        <v>0</v>
      </c>
      <c r="Z95" s="81">
        <v>2</v>
      </c>
      <c r="AA95" s="81">
        <v>27</v>
      </c>
      <c r="AB95" s="81">
        <v>3.0833333333333335</v>
      </c>
      <c r="AC95" s="82">
        <f t="shared" si="69"/>
        <v>32.083333333333336</v>
      </c>
      <c r="AD95" s="82">
        <f>(Y95*6800+Z95*5750+AA95*5295+AB95*4400)*12</f>
        <v>2016380</v>
      </c>
      <c r="AE95" s="82">
        <f t="shared" si="52"/>
        <v>138600</v>
      </c>
      <c r="AF95" s="82">
        <f t="shared" si="53"/>
        <v>192500</v>
      </c>
      <c r="AG95" s="82">
        <f t="shared" si="54"/>
        <v>77000</v>
      </c>
      <c r="AH95" s="82">
        <f t="shared" si="71"/>
        <v>301583.33333333337</v>
      </c>
      <c r="AI95" s="82">
        <f t="shared" si="55"/>
        <v>25666.666666666668</v>
      </c>
      <c r="AJ95" s="82">
        <f t="shared" si="56"/>
        <v>20000</v>
      </c>
      <c r="AK95" s="82">
        <f t="shared" si="57"/>
        <v>30800.000000000004</v>
      </c>
      <c r="AL95" s="82">
        <f t="shared" si="58"/>
        <v>977254.74</v>
      </c>
      <c r="AM95" s="82">
        <f t="shared" si="72"/>
        <v>3779784.74</v>
      </c>
      <c r="AN95" s="82">
        <v>3713564.9899999998</v>
      </c>
      <c r="AO95" s="82">
        <v>16752.240000000002</v>
      </c>
      <c r="AP95" s="82"/>
      <c r="AQ95" s="121">
        <f t="shared" si="59"/>
        <v>3730317.23</v>
      </c>
      <c r="AR95" s="1230">
        <v>3966714</v>
      </c>
      <c r="AS95" s="1230">
        <v>2938136.8</v>
      </c>
      <c r="AT95" s="1230">
        <f t="shared" si="60"/>
        <v>1028577.2000000002</v>
      </c>
      <c r="AU95" s="121">
        <f>AQ95-AR95</f>
        <v>-236396.77000000002</v>
      </c>
      <c r="AV95" s="121">
        <v>50000</v>
      </c>
      <c r="AW95" s="1232">
        <f t="shared" si="76"/>
        <v>-286396.77</v>
      </c>
      <c r="AX95" s="121">
        <v>0</v>
      </c>
      <c r="AY95" s="121">
        <v>400000</v>
      </c>
      <c r="AZ95" s="82">
        <v>-400000</v>
      </c>
    </row>
    <row r="96" spans="1:52" ht="21.95" customHeight="1">
      <c r="A96" s="79" t="s">
        <v>2</v>
      </c>
      <c r="B96" s="87" t="s">
        <v>716</v>
      </c>
      <c r="C96" s="80" t="s">
        <v>649</v>
      </c>
      <c r="D96" s="1234">
        <v>3</v>
      </c>
      <c r="E96" s="86">
        <v>0</v>
      </c>
      <c r="F96" s="86">
        <v>2</v>
      </c>
      <c r="G96" s="86">
        <v>29.112500000000001</v>
      </c>
      <c r="H96" s="86">
        <v>4</v>
      </c>
      <c r="I96" s="82">
        <f t="shared" si="64"/>
        <v>35.112499999999997</v>
      </c>
      <c r="J96" s="81">
        <v>0</v>
      </c>
      <c r="K96" s="81">
        <v>0</v>
      </c>
      <c r="L96" s="81">
        <v>0</v>
      </c>
      <c r="M96" s="81">
        <v>0</v>
      </c>
      <c r="N96" s="82">
        <f t="shared" si="65"/>
        <v>0</v>
      </c>
      <c r="O96" s="82">
        <f>E96+J96</f>
        <v>0</v>
      </c>
      <c r="P96" s="82">
        <f t="shared" si="79"/>
        <v>2</v>
      </c>
      <c r="Q96" s="82">
        <f t="shared" si="79"/>
        <v>29.112500000000001</v>
      </c>
      <c r="R96" s="82">
        <f t="shared" si="79"/>
        <v>4</v>
      </c>
      <c r="S96" s="93">
        <f t="shared" si="67"/>
        <v>35.112499999999997</v>
      </c>
      <c r="T96" s="81">
        <v>0</v>
      </c>
      <c r="U96" s="81">
        <v>0</v>
      </c>
      <c r="V96" s="81">
        <v>31.5</v>
      </c>
      <c r="W96" s="81">
        <v>2.5833333333333335</v>
      </c>
      <c r="X96" s="93">
        <f t="shared" si="68"/>
        <v>34.083333333333336</v>
      </c>
      <c r="Y96" s="82">
        <v>0</v>
      </c>
      <c r="Z96" s="82">
        <v>0</v>
      </c>
      <c r="AA96" s="82">
        <v>31.5</v>
      </c>
      <c r="AB96" s="82">
        <v>2.5833333333333335</v>
      </c>
      <c r="AC96" s="82">
        <f t="shared" si="69"/>
        <v>34.083333333333336</v>
      </c>
      <c r="AD96" s="82">
        <f>(Y96*6800+Z96*5750+AA96*5295+AB96*4400)*12</f>
        <v>2137910</v>
      </c>
      <c r="AE96" s="82">
        <f t="shared" si="52"/>
        <v>147240</v>
      </c>
      <c r="AF96" s="82">
        <f t="shared" si="53"/>
        <v>204500</v>
      </c>
      <c r="AG96" s="82">
        <f t="shared" si="54"/>
        <v>81800</v>
      </c>
      <c r="AH96" s="82">
        <f t="shared" si="71"/>
        <v>320383.33333333337</v>
      </c>
      <c r="AI96" s="82">
        <f t="shared" si="55"/>
        <v>27266.666666666668</v>
      </c>
      <c r="AJ96" s="82">
        <f t="shared" si="56"/>
        <v>30000</v>
      </c>
      <c r="AK96" s="82">
        <f t="shared" si="57"/>
        <v>32720.000000000004</v>
      </c>
      <c r="AL96" s="82">
        <f t="shared" si="58"/>
        <v>1038174.52</v>
      </c>
      <c r="AM96" s="82">
        <f t="shared" si="72"/>
        <v>4019994.52</v>
      </c>
      <c r="AN96" s="82">
        <v>3911507.68</v>
      </c>
      <c r="AO96" s="82">
        <v>74750.5</v>
      </c>
      <c r="AP96" s="82"/>
      <c r="AQ96" s="121">
        <f t="shared" si="59"/>
        <v>3986258.18</v>
      </c>
      <c r="AR96" s="1230">
        <v>4339994</v>
      </c>
      <c r="AS96" s="1230"/>
      <c r="AT96" s="1230">
        <f t="shared" si="60"/>
        <v>4339994</v>
      </c>
      <c r="AU96" s="121">
        <f t="shared" ref="AU96:AU98" si="80">AQ96-AR96</f>
        <v>-353735.81999999983</v>
      </c>
      <c r="AV96" s="174"/>
      <c r="AW96" s="1232">
        <f t="shared" si="76"/>
        <v>-353735.81999999983</v>
      </c>
      <c r="AX96" s="121"/>
      <c r="AY96" s="121"/>
      <c r="AZ96" s="82"/>
    </row>
    <row r="97" spans="1:52" s="83" customFormat="1" ht="21.95" customHeight="1">
      <c r="A97" s="79" t="s">
        <v>2</v>
      </c>
      <c r="B97" s="80" t="s">
        <v>717</v>
      </c>
      <c r="C97" s="80" t="s">
        <v>972</v>
      </c>
      <c r="D97" s="1234"/>
      <c r="E97" s="86">
        <v>18</v>
      </c>
      <c r="F97" s="86">
        <v>10</v>
      </c>
      <c r="G97" s="86">
        <v>0</v>
      </c>
      <c r="H97" s="86">
        <v>9</v>
      </c>
      <c r="I97" s="82">
        <f t="shared" si="64"/>
        <v>37</v>
      </c>
      <c r="J97" s="81">
        <v>0</v>
      </c>
      <c r="K97" s="81">
        <v>0</v>
      </c>
      <c r="L97" s="81">
        <v>0</v>
      </c>
      <c r="M97" s="81">
        <v>0</v>
      </c>
      <c r="N97" s="82">
        <f t="shared" si="65"/>
        <v>0</v>
      </c>
      <c r="O97" s="82">
        <f>E97+J97</f>
        <v>18</v>
      </c>
      <c r="P97" s="82">
        <f t="shared" si="79"/>
        <v>10</v>
      </c>
      <c r="Q97" s="82">
        <f t="shared" si="79"/>
        <v>0</v>
      </c>
      <c r="R97" s="82">
        <f t="shared" si="79"/>
        <v>9</v>
      </c>
      <c r="S97" s="93">
        <f t="shared" si="67"/>
        <v>37</v>
      </c>
      <c r="T97" s="81">
        <v>1</v>
      </c>
      <c r="U97" s="81">
        <v>6.083333333333333</v>
      </c>
      <c r="V97" s="81">
        <v>0</v>
      </c>
      <c r="W97" s="81">
        <v>0</v>
      </c>
      <c r="X97" s="93">
        <f t="shared" si="68"/>
        <v>7.083333333333333</v>
      </c>
      <c r="Y97" s="81">
        <v>1</v>
      </c>
      <c r="Z97" s="81">
        <v>6.083333333333333</v>
      </c>
      <c r="AA97" s="81">
        <v>0</v>
      </c>
      <c r="AB97" s="81">
        <v>0</v>
      </c>
      <c r="AC97" s="82">
        <f t="shared" si="69"/>
        <v>7.083333333333333</v>
      </c>
      <c r="AD97" s="82">
        <f>(Y97*7300+Z97*5750+AA97*5295+AB97*4400)*12</f>
        <v>507350</v>
      </c>
      <c r="AE97" s="82">
        <f t="shared" si="52"/>
        <v>30600</v>
      </c>
      <c r="AF97" s="82">
        <f t="shared" si="53"/>
        <v>42500</v>
      </c>
      <c r="AG97" s="82">
        <f t="shared" si="54"/>
        <v>17000</v>
      </c>
      <c r="AH97" s="82">
        <f>Y97*15400+(Z97+AA97+AB97)*9400</f>
        <v>72583.333333333328</v>
      </c>
      <c r="AI97" s="82">
        <f t="shared" si="55"/>
        <v>5666.6666666666661</v>
      </c>
      <c r="AJ97" s="82">
        <f t="shared" si="56"/>
        <v>0</v>
      </c>
      <c r="AK97" s="82">
        <f t="shared" si="57"/>
        <v>6800</v>
      </c>
      <c r="AL97" s="82">
        <f t="shared" si="58"/>
        <v>215757.54</v>
      </c>
      <c r="AM97" s="82">
        <f t="shared" si="72"/>
        <v>898257.54</v>
      </c>
      <c r="AN97" s="82">
        <v>893499.54</v>
      </c>
      <c r="AP97" s="82">
        <v>127.5</v>
      </c>
      <c r="AQ97" s="121">
        <f t="shared" si="59"/>
        <v>893627.04</v>
      </c>
      <c r="AR97" s="1231">
        <v>1015875</v>
      </c>
      <c r="AS97" s="1231"/>
      <c r="AT97" s="1230">
        <f t="shared" si="60"/>
        <v>1015875</v>
      </c>
      <c r="AU97" s="82">
        <f t="shared" si="80"/>
        <v>-122247.95999999996</v>
      </c>
      <c r="AV97" s="174"/>
      <c r="AW97" s="1232">
        <f t="shared" si="76"/>
        <v>-122247.95999999996</v>
      </c>
      <c r="AX97" s="82"/>
      <c r="AY97" s="121"/>
      <c r="AZ97" s="82"/>
    </row>
    <row r="98" spans="1:52" s="88" customFormat="1" ht="21.95" customHeight="1">
      <c r="A98" s="82" t="s">
        <v>2</v>
      </c>
      <c r="B98" s="81" t="s">
        <v>264</v>
      </c>
      <c r="C98" s="81" t="s">
        <v>649</v>
      </c>
      <c r="D98" s="1234">
        <v>1.5</v>
      </c>
      <c r="E98" s="86">
        <v>0</v>
      </c>
      <c r="F98" s="86">
        <v>0</v>
      </c>
      <c r="G98" s="86">
        <v>22</v>
      </c>
      <c r="H98" s="86">
        <v>2</v>
      </c>
      <c r="I98" s="82">
        <f t="shared" si="64"/>
        <v>24</v>
      </c>
      <c r="J98" s="81">
        <v>0</v>
      </c>
      <c r="K98" s="81">
        <v>0.58333333333333337</v>
      </c>
      <c r="L98" s="81">
        <v>7.833333333333333</v>
      </c>
      <c r="M98" s="81">
        <v>0.83333333333333337</v>
      </c>
      <c r="N98" s="82">
        <f t="shared" si="65"/>
        <v>9.25</v>
      </c>
      <c r="O98" s="82">
        <f>E98+J98</f>
        <v>0</v>
      </c>
      <c r="P98" s="82">
        <f t="shared" si="79"/>
        <v>0.58333333333333337</v>
      </c>
      <c r="Q98" s="82">
        <f t="shared" si="79"/>
        <v>29.833333333333332</v>
      </c>
      <c r="R98" s="82">
        <f t="shared" si="79"/>
        <v>2.8333333333333335</v>
      </c>
      <c r="S98" s="93">
        <f t="shared" si="67"/>
        <v>33.25</v>
      </c>
      <c r="T98" s="81">
        <v>0</v>
      </c>
      <c r="U98" s="81">
        <v>1.1666666666666667</v>
      </c>
      <c r="V98" s="81">
        <v>18</v>
      </c>
      <c r="W98" s="81">
        <v>2.5</v>
      </c>
      <c r="X98" s="93">
        <f t="shared" si="68"/>
        <v>21.666666666666668</v>
      </c>
      <c r="Y98" s="81">
        <v>0</v>
      </c>
      <c r="Z98" s="81">
        <v>1.1666666666666667</v>
      </c>
      <c r="AA98" s="81">
        <v>18</v>
      </c>
      <c r="AB98" s="81">
        <v>2.5</v>
      </c>
      <c r="AC98" s="82">
        <f t="shared" si="69"/>
        <v>21.666666666666668</v>
      </c>
      <c r="AD98" s="82">
        <f>(Y98*6800+Z98*5750+AA98*5295+AB98*4400)*12</f>
        <v>1356220</v>
      </c>
      <c r="AE98" s="82">
        <f t="shared" si="52"/>
        <v>93600</v>
      </c>
      <c r="AF98" s="82">
        <f t="shared" si="53"/>
        <v>130000</v>
      </c>
      <c r="AG98" s="82">
        <f t="shared" si="54"/>
        <v>52000</v>
      </c>
      <c r="AH98" s="82">
        <f t="shared" si="71"/>
        <v>203666.66666666669</v>
      </c>
      <c r="AI98" s="82">
        <f t="shared" si="55"/>
        <v>17333.333333333336</v>
      </c>
      <c r="AJ98" s="82">
        <f t="shared" si="56"/>
        <v>15000</v>
      </c>
      <c r="AK98" s="82">
        <f t="shared" si="57"/>
        <v>20800</v>
      </c>
      <c r="AL98" s="82">
        <f t="shared" si="58"/>
        <v>659964.24</v>
      </c>
      <c r="AM98" s="82">
        <f t="shared" si="72"/>
        <v>2548584.2400000002</v>
      </c>
      <c r="AN98" s="82">
        <v>2513259.9</v>
      </c>
      <c r="AO98" s="82"/>
      <c r="AP98" s="82"/>
      <c r="AQ98" s="121">
        <f t="shared" si="59"/>
        <v>2513259.9</v>
      </c>
      <c r="AR98" s="1230">
        <v>1948137</v>
      </c>
      <c r="AS98" s="1230"/>
      <c r="AT98" s="1230">
        <f t="shared" si="60"/>
        <v>1948137</v>
      </c>
      <c r="AU98" s="121">
        <f t="shared" si="80"/>
        <v>565122.89999999991</v>
      </c>
      <c r="AV98" s="174"/>
      <c r="AW98" s="1232">
        <f t="shared" si="76"/>
        <v>565122.89999999991</v>
      </c>
      <c r="AX98" s="121"/>
      <c r="AY98" s="121"/>
      <c r="AZ98" s="82"/>
    </row>
    <row r="99" spans="1:52" s="85" customFormat="1" ht="21.95" customHeight="1">
      <c r="A99" s="1225"/>
      <c r="B99" s="1225" t="s">
        <v>718</v>
      </c>
      <c r="C99" s="1225"/>
      <c r="D99" s="1235">
        <f>SUM(D95:D98)</f>
        <v>6.5</v>
      </c>
      <c r="E99" s="84">
        <f t="shared" ref="E99:AZ99" si="81">SUM(E95:E98)</f>
        <v>18</v>
      </c>
      <c r="F99" s="84">
        <f t="shared" si="81"/>
        <v>15</v>
      </c>
      <c r="G99" s="84">
        <f t="shared" si="81"/>
        <v>75.512500000000003</v>
      </c>
      <c r="H99" s="84">
        <f t="shared" si="81"/>
        <v>18</v>
      </c>
      <c r="I99" s="84">
        <f t="shared" si="81"/>
        <v>126.51249999999999</v>
      </c>
      <c r="J99" s="84">
        <f t="shared" si="81"/>
        <v>0</v>
      </c>
      <c r="K99" s="84">
        <f t="shared" si="81"/>
        <v>0.58333333333333337</v>
      </c>
      <c r="L99" s="84">
        <f t="shared" si="81"/>
        <v>9.8333333333333321</v>
      </c>
      <c r="M99" s="84">
        <f t="shared" si="81"/>
        <v>0.93333333333333335</v>
      </c>
      <c r="N99" s="84">
        <f t="shared" si="81"/>
        <v>11.35</v>
      </c>
      <c r="O99" s="84">
        <f t="shared" si="81"/>
        <v>18</v>
      </c>
      <c r="P99" s="84">
        <f t="shared" si="81"/>
        <v>15.583333333333334</v>
      </c>
      <c r="Q99" s="84">
        <f t="shared" si="81"/>
        <v>85.345833333333331</v>
      </c>
      <c r="R99" s="84">
        <f t="shared" si="81"/>
        <v>18.933333333333334</v>
      </c>
      <c r="S99" s="1238">
        <f t="shared" si="81"/>
        <v>137.86250000000001</v>
      </c>
      <c r="T99" s="84">
        <f t="shared" si="81"/>
        <v>1</v>
      </c>
      <c r="U99" s="84">
        <f t="shared" si="81"/>
        <v>9.2499999999999982</v>
      </c>
      <c r="V99" s="84">
        <f t="shared" si="81"/>
        <v>76.5</v>
      </c>
      <c r="W99" s="84">
        <f t="shared" si="81"/>
        <v>8.1666666666666679</v>
      </c>
      <c r="X99" s="1238">
        <f t="shared" si="81"/>
        <v>94.916666666666671</v>
      </c>
      <c r="Y99" s="84">
        <f t="shared" si="81"/>
        <v>1</v>
      </c>
      <c r="Z99" s="84">
        <f t="shared" si="81"/>
        <v>9.2499999999999982</v>
      </c>
      <c r="AA99" s="84">
        <f t="shared" si="81"/>
        <v>76.5</v>
      </c>
      <c r="AB99" s="84">
        <f t="shared" si="81"/>
        <v>8.1666666666666679</v>
      </c>
      <c r="AC99" s="84">
        <f t="shared" si="81"/>
        <v>94.916666666666671</v>
      </c>
      <c r="AD99" s="84">
        <f t="shared" si="81"/>
        <v>6017860</v>
      </c>
      <c r="AE99" s="84">
        <f t="shared" si="81"/>
        <v>410040</v>
      </c>
      <c r="AF99" s="84">
        <f t="shared" si="81"/>
        <v>569500</v>
      </c>
      <c r="AG99" s="84">
        <f t="shared" si="81"/>
        <v>227800</v>
      </c>
      <c r="AH99" s="84">
        <f t="shared" si="81"/>
        <v>898216.66666666674</v>
      </c>
      <c r="AI99" s="84">
        <f t="shared" si="81"/>
        <v>75933.333333333343</v>
      </c>
      <c r="AJ99" s="84">
        <f t="shared" si="81"/>
        <v>65000</v>
      </c>
      <c r="AK99" s="84">
        <f t="shared" si="81"/>
        <v>91120</v>
      </c>
      <c r="AL99" s="84">
        <f t="shared" si="81"/>
        <v>2891151.04</v>
      </c>
      <c r="AM99" s="84">
        <f t="shared" si="81"/>
        <v>11246621.040000001</v>
      </c>
      <c r="AN99" s="84">
        <f t="shared" si="81"/>
        <v>11031832.110000001</v>
      </c>
      <c r="AO99" s="84">
        <f t="shared" si="81"/>
        <v>91502.74</v>
      </c>
      <c r="AP99" s="84">
        <f t="shared" si="81"/>
        <v>127.5</v>
      </c>
      <c r="AQ99" s="84">
        <f t="shared" si="81"/>
        <v>11123462.35</v>
      </c>
      <c r="AR99" s="84">
        <f t="shared" si="81"/>
        <v>11270720</v>
      </c>
      <c r="AS99" s="84">
        <f t="shared" si="81"/>
        <v>2938136.8</v>
      </c>
      <c r="AT99" s="84">
        <f t="shared" si="81"/>
        <v>8332583.2000000002</v>
      </c>
      <c r="AU99" s="84">
        <f t="shared" si="81"/>
        <v>-147257.64999999991</v>
      </c>
      <c r="AV99" s="84">
        <f t="shared" si="81"/>
        <v>50000</v>
      </c>
      <c r="AW99" s="84">
        <f t="shared" si="81"/>
        <v>-197257.64999999991</v>
      </c>
      <c r="AX99" s="84">
        <f t="shared" si="81"/>
        <v>0</v>
      </c>
      <c r="AY99" s="84">
        <f t="shared" si="81"/>
        <v>400000</v>
      </c>
      <c r="AZ99" s="84">
        <f t="shared" si="81"/>
        <v>-400000</v>
      </c>
    </row>
    <row r="100" spans="1:52" ht="21.95" customHeight="1">
      <c r="A100" s="79" t="s">
        <v>9</v>
      </c>
      <c r="B100" s="80" t="s">
        <v>719</v>
      </c>
      <c r="C100" s="80" t="s">
        <v>649</v>
      </c>
      <c r="D100" s="1234">
        <v>2</v>
      </c>
      <c r="E100" s="86">
        <v>1.1282051282051313</v>
      </c>
      <c r="F100" s="86">
        <v>3</v>
      </c>
      <c r="G100" s="86">
        <v>25.6</v>
      </c>
      <c r="H100" s="86">
        <v>2</v>
      </c>
      <c r="I100" s="82">
        <f t="shared" si="64"/>
        <v>31.728205128205133</v>
      </c>
      <c r="J100" s="81">
        <v>4</v>
      </c>
      <c r="K100" s="81">
        <v>0</v>
      </c>
      <c r="L100" s="81">
        <v>2.5</v>
      </c>
      <c r="M100" s="81">
        <v>0</v>
      </c>
      <c r="N100" s="82">
        <f t="shared" si="65"/>
        <v>6.5</v>
      </c>
      <c r="O100" s="82">
        <f>E100+J100</f>
        <v>5.1282051282051313</v>
      </c>
      <c r="P100" s="82">
        <f t="shared" ref="P100:R113" si="82">F100+K100</f>
        <v>3</v>
      </c>
      <c r="Q100" s="82">
        <f t="shared" si="82"/>
        <v>28.1</v>
      </c>
      <c r="R100" s="82">
        <f t="shared" si="82"/>
        <v>2</v>
      </c>
      <c r="S100" s="93">
        <f t="shared" si="67"/>
        <v>38.228205128205133</v>
      </c>
      <c r="T100" s="82">
        <v>4.916666666666667</v>
      </c>
      <c r="U100" s="82">
        <v>2.8333333333333335</v>
      </c>
      <c r="V100" s="82">
        <v>28.5</v>
      </c>
      <c r="W100" s="82">
        <v>2</v>
      </c>
      <c r="X100" s="93">
        <f t="shared" si="68"/>
        <v>38.25</v>
      </c>
      <c r="Y100" s="81">
        <v>5.1282051282051313</v>
      </c>
      <c r="Z100" s="81">
        <v>3</v>
      </c>
      <c r="AA100" s="81">
        <v>28.1</v>
      </c>
      <c r="AB100" s="81">
        <v>2</v>
      </c>
      <c r="AC100" s="82">
        <f t="shared" si="69"/>
        <v>38.228205128205133</v>
      </c>
      <c r="AD100" s="82">
        <f t="shared" ref="AD100:AD107" si="83">(Y100*6800+Z100*5750+AA100*5295+AB100*4400)*12</f>
        <v>2516535.5384615385</v>
      </c>
      <c r="AE100" s="82">
        <f t="shared" si="52"/>
        <v>165145.84615384619</v>
      </c>
      <c r="AF100" s="82">
        <f t="shared" si="53"/>
        <v>229369.23076923081</v>
      </c>
      <c r="AG100" s="82">
        <f t="shared" si="54"/>
        <v>91747.692307692312</v>
      </c>
      <c r="AH100" s="82">
        <f t="shared" si="71"/>
        <v>359345.12820512825</v>
      </c>
      <c r="AI100" s="82">
        <f t="shared" si="55"/>
        <v>30582.564102564105</v>
      </c>
      <c r="AJ100" s="82">
        <f t="shared" si="56"/>
        <v>20000</v>
      </c>
      <c r="AK100" s="82">
        <f t="shared" si="57"/>
        <v>36699.076923076929</v>
      </c>
      <c r="AL100" s="82">
        <f t="shared" si="58"/>
        <v>1164426.8500000001</v>
      </c>
      <c r="AM100" s="82">
        <f t="shared" si="72"/>
        <v>4613851.9269230776</v>
      </c>
      <c r="AN100" s="82">
        <v>4481510.46</v>
      </c>
      <c r="AO100" s="82">
        <v>85800</v>
      </c>
      <c r="AP100" s="82"/>
      <c r="AQ100" s="121">
        <f t="shared" si="59"/>
        <v>4567310.46</v>
      </c>
      <c r="AR100" s="1230">
        <v>5374069</v>
      </c>
      <c r="AS100" s="1230">
        <v>4283383.96</v>
      </c>
      <c r="AT100" s="1230">
        <f t="shared" si="60"/>
        <v>1090685.04</v>
      </c>
      <c r="AU100" s="121">
        <f t="shared" si="61"/>
        <v>-806758.54</v>
      </c>
      <c r="AV100" s="174"/>
      <c r="AW100" s="1232">
        <f t="shared" si="76"/>
        <v>-806758.54</v>
      </c>
      <c r="AX100" s="121"/>
      <c r="AY100" s="121"/>
      <c r="AZ100" s="82"/>
    </row>
    <row r="101" spans="1:52" ht="21.95" customHeight="1">
      <c r="A101" s="79" t="s">
        <v>9</v>
      </c>
      <c r="B101" s="80" t="s">
        <v>720</v>
      </c>
      <c r="C101" s="80" t="s">
        <v>649</v>
      </c>
      <c r="D101" s="1234">
        <v>2</v>
      </c>
      <c r="E101" s="86">
        <v>-0.1538461538461533</v>
      </c>
      <c r="F101" s="86">
        <v>2</v>
      </c>
      <c r="G101" s="86">
        <v>26.412500000000001</v>
      </c>
      <c r="H101" s="86">
        <v>2</v>
      </c>
      <c r="I101" s="82">
        <f t="shared" si="64"/>
        <v>30.258653846153848</v>
      </c>
      <c r="J101" s="81">
        <v>5</v>
      </c>
      <c r="K101" s="81">
        <v>2</v>
      </c>
      <c r="L101" s="81">
        <v>0</v>
      </c>
      <c r="M101" s="81">
        <v>0</v>
      </c>
      <c r="N101" s="82">
        <f t="shared" si="65"/>
        <v>7</v>
      </c>
      <c r="O101" s="82">
        <f t="shared" ref="O101:O113" si="84">E101+J101</f>
        <v>4.8461538461538467</v>
      </c>
      <c r="P101" s="82">
        <f t="shared" si="82"/>
        <v>4</v>
      </c>
      <c r="Q101" s="82">
        <f t="shared" si="82"/>
        <v>26.412500000000001</v>
      </c>
      <c r="R101" s="82">
        <f t="shared" si="82"/>
        <v>2</v>
      </c>
      <c r="S101" s="93">
        <f t="shared" si="67"/>
        <v>37.258653846153848</v>
      </c>
      <c r="T101" s="81">
        <v>5</v>
      </c>
      <c r="U101" s="81">
        <v>4</v>
      </c>
      <c r="V101" s="81">
        <v>25.833333333333332</v>
      </c>
      <c r="W101" s="81">
        <v>1.8333333333333333</v>
      </c>
      <c r="X101" s="93">
        <f t="shared" si="68"/>
        <v>36.666666666666664</v>
      </c>
      <c r="Y101" s="82">
        <v>5</v>
      </c>
      <c r="Z101" s="82">
        <v>4</v>
      </c>
      <c r="AA101" s="82">
        <v>25.833333333333332</v>
      </c>
      <c r="AB101" s="82">
        <v>1.8333333333333333</v>
      </c>
      <c r="AC101" s="82">
        <f t="shared" si="69"/>
        <v>36.666666666666664</v>
      </c>
      <c r="AD101" s="82">
        <f t="shared" si="83"/>
        <v>2422250</v>
      </c>
      <c r="AE101" s="82">
        <f t="shared" si="52"/>
        <v>158400</v>
      </c>
      <c r="AF101" s="82">
        <f t="shared" si="53"/>
        <v>220000</v>
      </c>
      <c r="AG101" s="82">
        <f t="shared" si="54"/>
        <v>88000</v>
      </c>
      <c r="AH101" s="82">
        <f t="shared" si="71"/>
        <v>344666.66666666663</v>
      </c>
      <c r="AI101" s="82">
        <f t="shared" si="55"/>
        <v>29333.333333333332</v>
      </c>
      <c r="AJ101" s="82">
        <f t="shared" si="56"/>
        <v>20000</v>
      </c>
      <c r="AK101" s="82">
        <f t="shared" si="57"/>
        <v>35200</v>
      </c>
      <c r="AL101" s="82">
        <f t="shared" si="58"/>
        <v>1116862.56</v>
      </c>
      <c r="AM101" s="82">
        <f t="shared" si="72"/>
        <v>4434712.5600000005</v>
      </c>
      <c r="AN101" s="82">
        <v>4413348.71</v>
      </c>
      <c r="AO101" s="82">
        <v>266394</v>
      </c>
      <c r="AP101" s="82"/>
      <c r="AQ101" s="121">
        <f t="shared" si="59"/>
        <v>4679742.71</v>
      </c>
      <c r="AR101" s="1230">
        <v>4577848</v>
      </c>
      <c r="AS101" s="1230"/>
      <c r="AT101" s="1230">
        <f t="shared" si="60"/>
        <v>4577848</v>
      </c>
      <c r="AU101" s="121">
        <f t="shared" si="61"/>
        <v>101894.70999999996</v>
      </c>
      <c r="AV101" s="174"/>
      <c r="AW101" s="1232">
        <f t="shared" si="76"/>
        <v>101894.70999999996</v>
      </c>
      <c r="AX101" s="121"/>
      <c r="AY101" s="121"/>
      <c r="AZ101" s="82"/>
    </row>
    <row r="102" spans="1:52" ht="21.95" customHeight="1">
      <c r="A102" s="79" t="s">
        <v>9</v>
      </c>
      <c r="B102" s="80" t="s">
        <v>721</v>
      </c>
      <c r="C102" s="80" t="s">
        <v>649</v>
      </c>
      <c r="D102" s="1234">
        <v>2</v>
      </c>
      <c r="E102" s="86">
        <v>0</v>
      </c>
      <c r="F102" s="86">
        <v>3</v>
      </c>
      <c r="G102" s="86">
        <v>28.975000000000001</v>
      </c>
      <c r="H102" s="86">
        <v>5</v>
      </c>
      <c r="I102" s="82">
        <f t="shared" si="64"/>
        <v>36.975000000000001</v>
      </c>
      <c r="J102" s="81">
        <v>1.5</v>
      </c>
      <c r="K102" s="81">
        <v>1.5</v>
      </c>
      <c r="L102" s="81">
        <v>1.5</v>
      </c>
      <c r="M102" s="81">
        <v>0</v>
      </c>
      <c r="N102" s="82">
        <f t="shared" si="65"/>
        <v>4.5</v>
      </c>
      <c r="O102" s="82">
        <f t="shared" si="84"/>
        <v>1.5</v>
      </c>
      <c r="P102" s="82">
        <f t="shared" si="82"/>
        <v>4.5</v>
      </c>
      <c r="Q102" s="82">
        <f t="shared" si="82"/>
        <v>30.475000000000001</v>
      </c>
      <c r="R102" s="82">
        <f t="shared" si="82"/>
        <v>5</v>
      </c>
      <c r="S102" s="93">
        <f t="shared" si="67"/>
        <v>41.475000000000001</v>
      </c>
      <c r="T102" s="81">
        <v>1.5</v>
      </c>
      <c r="U102" s="81">
        <v>4.5</v>
      </c>
      <c r="V102" s="81">
        <v>30.416666666666668</v>
      </c>
      <c r="W102" s="81">
        <v>5</v>
      </c>
      <c r="X102" s="93">
        <f t="shared" si="68"/>
        <v>41.416666666666671</v>
      </c>
      <c r="Y102" s="82">
        <v>1.5</v>
      </c>
      <c r="Z102" s="82">
        <v>4.5</v>
      </c>
      <c r="AA102" s="82">
        <v>30.416666666666668</v>
      </c>
      <c r="AB102" s="82">
        <v>5</v>
      </c>
      <c r="AC102" s="82">
        <f t="shared" si="69"/>
        <v>41.416666666666671</v>
      </c>
      <c r="AD102" s="82">
        <f t="shared" si="83"/>
        <v>2629575</v>
      </c>
      <c r="AE102" s="82">
        <f t="shared" si="52"/>
        <v>178920.00000000003</v>
      </c>
      <c r="AF102" s="82">
        <f t="shared" si="53"/>
        <v>248500.00000000003</v>
      </c>
      <c r="AG102" s="82">
        <f t="shared" si="54"/>
        <v>99400.000000000015</v>
      </c>
      <c r="AH102" s="82">
        <f t="shared" si="71"/>
        <v>389316.66666666669</v>
      </c>
      <c r="AI102" s="82">
        <f t="shared" si="55"/>
        <v>33133.333333333336</v>
      </c>
      <c r="AJ102" s="82">
        <f t="shared" si="56"/>
        <v>20000</v>
      </c>
      <c r="AK102" s="82">
        <f t="shared" si="57"/>
        <v>39760.000000000007</v>
      </c>
      <c r="AL102" s="82">
        <f t="shared" si="58"/>
        <v>1261547.03</v>
      </c>
      <c r="AM102" s="82">
        <f t="shared" si="72"/>
        <v>4900152.03</v>
      </c>
      <c r="AN102" s="82">
        <v>4751352.88</v>
      </c>
      <c r="AO102" s="82">
        <v>53759.5</v>
      </c>
      <c r="AP102" s="82"/>
      <c r="AQ102" s="121">
        <f t="shared" si="59"/>
        <v>4805112.38</v>
      </c>
      <c r="AR102" s="1230">
        <v>5616390</v>
      </c>
      <c r="AS102" s="1230"/>
      <c r="AT102" s="1230">
        <f t="shared" si="60"/>
        <v>5616390</v>
      </c>
      <c r="AU102" s="121">
        <f t="shared" si="61"/>
        <v>-811277.62000000011</v>
      </c>
      <c r="AV102" s="174"/>
      <c r="AW102" s="1232">
        <f t="shared" si="76"/>
        <v>-811277.62000000011</v>
      </c>
      <c r="AX102" s="121"/>
      <c r="AY102" s="121"/>
      <c r="AZ102" s="82"/>
    </row>
    <row r="103" spans="1:52" ht="21.95" customHeight="1">
      <c r="A103" s="79" t="s">
        <v>9</v>
      </c>
      <c r="B103" s="80" t="s">
        <v>722</v>
      </c>
      <c r="C103" s="80" t="s">
        <v>649</v>
      </c>
      <c r="D103" s="1234">
        <v>3.5</v>
      </c>
      <c r="E103" s="86">
        <v>3.4017094017094038</v>
      </c>
      <c r="F103" s="86">
        <v>3</v>
      </c>
      <c r="G103" s="86">
        <v>29.225000000000001</v>
      </c>
      <c r="H103" s="86">
        <v>3</v>
      </c>
      <c r="I103" s="82">
        <f t="shared" si="64"/>
        <v>38.626709401709405</v>
      </c>
      <c r="J103" s="81">
        <v>0</v>
      </c>
      <c r="K103" s="81">
        <v>1.1666666666666667</v>
      </c>
      <c r="L103" s="81">
        <v>4.666666666666667</v>
      </c>
      <c r="M103" s="81">
        <v>1</v>
      </c>
      <c r="N103" s="82">
        <f t="shared" si="65"/>
        <v>6.8333333333333339</v>
      </c>
      <c r="O103" s="82">
        <f t="shared" si="84"/>
        <v>3.4017094017094038</v>
      </c>
      <c r="P103" s="82">
        <f t="shared" si="82"/>
        <v>4.166666666666667</v>
      </c>
      <c r="Q103" s="82">
        <f t="shared" si="82"/>
        <v>33.891666666666666</v>
      </c>
      <c r="R103" s="82">
        <f t="shared" si="82"/>
        <v>4</v>
      </c>
      <c r="S103" s="93">
        <f t="shared" si="67"/>
        <v>45.460042735042734</v>
      </c>
      <c r="T103" s="81">
        <v>2.0833333333333335</v>
      </c>
      <c r="U103" s="81">
        <v>3.25</v>
      </c>
      <c r="V103" s="81">
        <v>28.416666666666668</v>
      </c>
      <c r="W103" s="81">
        <v>6.833333333333333</v>
      </c>
      <c r="X103" s="93">
        <f t="shared" si="68"/>
        <v>40.583333333333336</v>
      </c>
      <c r="Y103" s="82">
        <v>2.0833333333333335</v>
      </c>
      <c r="Z103" s="82">
        <v>3.25</v>
      </c>
      <c r="AA103" s="82">
        <v>28.416666666666668</v>
      </c>
      <c r="AB103" s="82">
        <v>6.833333333333333</v>
      </c>
      <c r="AC103" s="82">
        <f t="shared" si="69"/>
        <v>40.583333333333336</v>
      </c>
      <c r="AD103" s="82">
        <f t="shared" si="83"/>
        <v>2560645</v>
      </c>
      <c r="AE103" s="82">
        <f t="shared" si="52"/>
        <v>175320</v>
      </c>
      <c r="AF103" s="82">
        <f t="shared" si="53"/>
        <v>243500</v>
      </c>
      <c r="AG103" s="82">
        <f t="shared" si="54"/>
        <v>97400</v>
      </c>
      <c r="AH103" s="82">
        <f t="shared" si="71"/>
        <v>381483.33333333337</v>
      </c>
      <c r="AI103" s="82">
        <f t="shared" si="55"/>
        <v>32466.666666666668</v>
      </c>
      <c r="AJ103" s="82">
        <f t="shared" si="56"/>
        <v>35000</v>
      </c>
      <c r="AK103" s="82">
        <f t="shared" si="57"/>
        <v>38960</v>
      </c>
      <c r="AL103" s="82">
        <f t="shared" si="58"/>
        <v>1236163.79</v>
      </c>
      <c r="AM103" s="82">
        <f t="shared" si="72"/>
        <v>4800938.79</v>
      </c>
      <c r="AN103" s="82">
        <v>4422167.74</v>
      </c>
      <c r="AO103" s="82">
        <v>4300</v>
      </c>
      <c r="AP103" s="82"/>
      <c r="AQ103" s="121">
        <f t="shared" si="59"/>
        <v>4426467.74</v>
      </c>
      <c r="AR103" s="1230">
        <v>4197625</v>
      </c>
      <c r="AS103" s="1230"/>
      <c r="AT103" s="1230">
        <f t="shared" si="60"/>
        <v>4197625</v>
      </c>
      <c r="AU103" s="121">
        <f t="shared" si="61"/>
        <v>228842.74000000022</v>
      </c>
      <c r="AV103" s="174"/>
      <c r="AW103" s="1232">
        <f t="shared" si="76"/>
        <v>228842.74000000022</v>
      </c>
      <c r="AX103" s="121"/>
      <c r="AY103" s="121"/>
      <c r="AZ103" s="82"/>
    </row>
    <row r="104" spans="1:52" ht="21.95" customHeight="1">
      <c r="A104" s="79" t="s">
        <v>9</v>
      </c>
      <c r="B104" s="80" t="s">
        <v>250</v>
      </c>
      <c r="C104" s="80" t="s">
        <v>959</v>
      </c>
      <c r="D104" s="1234"/>
      <c r="E104" s="86">
        <v>0</v>
      </c>
      <c r="F104" s="86">
        <v>9</v>
      </c>
      <c r="G104" s="86">
        <v>0</v>
      </c>
      <c r="H104" s="86">
        <v>5.5</v>
      </c>
      <c r="I104" s="82">
        <f t="shared" si="64"/>
        <v>14.5</v>
      </c>
      <c r="J104" s="81">
        <v>0</v>
      </c>
      <c r="K104" s="81">
        <v>0</v>
      </c>
      <c r="L104" s="81">
        <v>0</v>
      </c>
      <c r="M104" s="81">
        <v>0</v>
      </c>
      <c r="N104" s="82">
        <f t="shared" si="65"/>
        <v>0</v>
      </c>
      <c r="O104" s="82">
        <f t="shared" si="84"/>
        <v>0</v>
      </c>
      <c r="P104" s="82">
        <f t="shared" si="82"/>
        <v>9</v>
      </c>
      <c r="Q104" s="82">
        <f t="shared" si="82"/>
        <v>0</v>
      </c>
      <c r="R104" s="82">
        <f t="shared" si="82"/>
        <v>5.5</v>
      </c>
      <c r="S104" s="93">
        <f t="shared" si="67"/>
        <v>14.5</v>
      </c>
      <c r="T104" s="81">
        <v>0</v>
      </c>
      <c r="U104" s="81">
        <v>0</v>
      </c>
      <c r="V104" s="81">
        <v>0</v>
      </c>
      <c r="W104" s="81">
        <v>5</v>
      </c>
      <c r="X104" s="93">
        <f t="shared" si="68"/>
        <v>5</v>
      </c>
      <c r="Y104" s="82">
        <v>0</v>
      </c>
      <c r="Z104" s="82">
        <v>0</v>
      </c>
      <c r="AA104" s="82">
        <v>0</v>
      </c>
      <c r="AB104" s="82">
        <v>5</v>
      </c>
      <c r="AC104" s="82">
        <f t="shared" si="69"/>
        <v>5</v>
      </c>
      <c r="AD104" s="82">
        <f t="shared" si="83"/>
        <v>264000</v>
      </c>
      <c r="AE104" s="82">
        <f t="shared" si="52"/>
        <v>21600</v>
      </c>
      <c r="AF104" s="82">
        <f t="shared" si="53"/>
        <v>30000</v>
      </c>
      <c r="AG104" s="82">
        <f t="shared" si="54"/>
        <v>12000</v>
      </c>
      <c r="AH104" s="82">
        <f t="shared" si="71"/>
        <v>47000</v>
      </c>
      <c r="AI104" s="82">
        <f t="shared" si="55"/>
        <v>4000</v>
      </c>
      <c r="AJ104" s="82">
        <f t="shared" si="56"/>
        <v>0</v>
      </c>
      <c r="AK104" s="82">
        <f t="shared" si="57"/>
        <v>4800</v>
      </c>
      <c r="AL104" s="82">
        <f t="shared" si="58"/>
        <v>152299.44</v>
      </c>
      <c r="AM104" s="82">
        <f t="shared" si="72"/>
        <v>535699.43999999994</v>
      </c>
      <c r="AN104" s="82">
        <v>331200</v>
      </c>
      <c r="AO104" s="82"/>
      <c r="AP104" s="82"/>
      <c r="AQ104" s="121">
        <f t="shared" si="59"/>
        <v>331200</v>
      </c>
      <c r="AR104" s="1230">
        <v>678328.5</v>
      </c>
      <c r="AS104" s="1230"/>
      <c r="AT104" s="1230">
        <f t="shared" si="60"/>
        <v>678328.5</v>
      </c>
      <c r="AU104" s="121">
        <f t="shared" si="61"/>
        <v>-347128.5</v>
      </c>
      <c r="AV104" s="174"/>
      <c r="AW104" s="1232">
        <f t="shared" si="76"/>
        <v>-347128.5</v>
      </c>
      <c r="AX104" s="121"/>
      <c r="AY104" s="121"/>
      <c r="AZ104" s="82"/>
    </row>
    <row r="105" spans="1:52" ht="21.95" customHeight="1">
      <c r="A105" s="79" t="s">
        <v>9</v>
      </c>
      <c r="B105" s="80" t="s">
        <v>723</v>
      </c>
      <c r="C105" s="80" t="s">
        <v>959</v>
      </c>
      <c r="D105" s="1234"/>
      <c r="E105" s="86">
        <v>32.275862068965523</v>
      </c>
      <c r="F105" s="86">
        <v>24</v>
      </c>
      <c r="G105" s="86">
        <v>0</v>
      </c>
      <c r="H105" s="86">
        <v>12</v>
      </c>
      <c r="I105" s="82">
        <f t="shared" si="64"/>
        <v>68.275862068965523</v>
      </c>
      <c r="J105" s="81">
        <v>0</v>
      </c>
      <c r="K105" s="81">
        <v>0</v>
      </c>
      <c r="L105" s="81">
        <v>0</v>
      </c>
      <c r="M105" s="81">
        <v>0.75</v>
      </c>
      <c r="N105" s="82">
        <f t="shared" si="65"/>
        <v>0.75</v>
      </c>
      <c r="O105" s="82">
        <f t="shared" si="84"/>
        <v>32.275862068965523</v>
      </c>
      <c r="P105" s="82">
        <f t="shared" si="82"/>
        <v>24</v>
      </c>
      <c r="Q105" s="82">
        <f t="shared" si="82"/>
        <v>0</v>
      </c>
      <c r="R105" s="82">
        <f t="shared" si="82"/>
        <v>12.75</v>
      </c>
      <c r="S105" s="93">
        <f t="shared" si="67"/>
        <v>69.025862068965523</v>
      </c>
      <c r="T105" s="81">
        <v>13.25</v>
      </c>
      <c r="U105" s="81">
        <v>15.416666666666666</v>
      </c>
      <c r="V105" s="81">
        <v>0</v>
      </c>
      <c r="W105" s="81">
        <v>5.75</v>
      </c>
      <c r="X105" s="93">
        <f t="shared" si="68"/>
        <v>34.416666666666664</v>
      </c>
      <c r="Y105" s="82">
        <v>13.25</v>
      </c>
      <c r="Z105" s="82">
        <v>15.416666666666666</v>
      </c>
      <c r="AA105" s="82">
        <v>0</v>
      </c>
      <c r="AB105" s="82">
        <v>5.75</v>
      </c>
      <c r="AC105" s="82">
        <f t="shared" si="69"/>
        <v>34.416666666666664</v>
      </c>
      <c r="AD105" s="82">
        <f t="shared" si="83"/>
        <v>2448550</v>
      </c>
      <c r="AE105" s="82">
        <f t="shared" si="52"/>
        <v>148680</v>
      </c>
      <c r="AF105" s="82">
        <f t="shared" si="53"/>
        <v>206500</v>
      </c>
      <c r="AG105" s="82">
        <f t="shared" si="54"/>
        <v>82600</v>
      </c>
      <c r="AH105" s="82">
        <f t="shared" si="71"/>
        <v>323516.66666666663</v>
      </c>
      <c r="AI105" s="82">
        <f t="shared" si="55"/>
        <v>27533.333333333332</v>
      </c>
      <c r="AJ105" s="82">
        <f t="shared" si="56"/>
        <v>0</v>
      </c>
      <c r="AK105" s="82">
        <f t="shared" si="57"/>
        <v>33040</v>
      </c>
      <c r="AL105" s="82">
        <f t="shared" si="58"/>
        <v>1048327.81</v>
      </c>
      <c r="AM105" s="82">
        <f t="shared" si="72"/>
        <v>4318747.8100000005</v>
      </c>
      <c r="AN105" s="82">
        <v>4159771.75</v>
      </c>
      <c r="AO105" s="82"/>
      <c r="AP105" s="82">
        <v>162581.75</v>
      </c>
      <c r="AQ105" s="121">
        <f t="shared" si="59"/>
        <v>4322353.5</v>
      </c>
      <c r="AR105" s="1230">
        <v>5279369.25</v>
      </c>
      <c r="AS105" s="1230"/>
      <c r="AT105" s="1230">
        <f t="shared" si="60"/>
        <v>5279369.25</v>
      </c>
      <c r="AU105" s="121">
        <f t="shared" si="61"/>
        <v>-957015.75</v>
      </c>
      <c r="AV105" s="174"/>
      <c r="AW105" s="1232">
        <f t="shared" si="76"/>
        <v>-957015.75</v>
      </c>
      <c r="AX105" s="121"/>
      <c r="AY105" s="121"/>
      <c r="AZ105" s="82"/>
    </row>
    <row r="106" spans="1:52" ht="21.95" customHeight="1">
      <c r="A106" s="79" t="s">
        <v>9</v>
      </c>
      <c r="B106" s="80" t="s">
        <v>724</v>
      </c>
      <c r="C106" s="80" t="s">
        <v>959</v>
      </c>
      <c r="D106" s="1234"/>
      <c r="E106" s="86">
        <v>6.5172413793103487</v>
      </c>
      <c r="F106" s="86">
        <v>8</v>
      </c>
      <c r="G106" s="86">
        <v>0</v>
      </c>
      <c r="H106" s="86">
        <v>5</v>
      </c>
      <c r="I106" s="82">
        <f t="shared" si="64"/>
        <v>19.517241379310349</v>
      </c>
      <c r="J106" s="81">
        <v>0</v>
      </c>
      <c r="K106" s="81">
        <v>0</v>
      </c>
      <c r="L106" s="81">
        <v>0</v>
      </c>
      <c r="M106" s="81">
        <v>0</v>
      </c>
      <c r="N106" s="82">
        <f t="shared" si="65"/>
        <v>0</v>
      </c>
      <c r="O106" s="82">
        <f t="shared" si="84"/>
        <v>6.5172413793103487</v>
      </c>
      <c r="P106" s="82">
        <f t="shared" si="82"/>
        <v>8</v>
      </c>
      <c r="Q106" s="82">
        <f t="shared" si="82"/>
        <v>0</v>
      </c>
      <c r="R106" s="82">
        <f t="shared" si="82"/>
        <v>5</v>
      </c>
      <c r="S106" s="93">
        <f t="shared" si="67"/>
        <v>19.517241379310349</v>
      </c>
      <c r="T106" s="81">
        <v>4.333333333333333</v>
      </c>
      <c r="U106" s="81">
        <v>4</v>
      </c>
      <c r="V106" s="81">
        <v>0</v>
      </c>
      <c r="W106" s="81">
        <v>2.3333333333333335</v>
      </c>
      <c r="X106" s="93">
        <f t="shared" si="68"/>
        <v>10.666666666666666</v>
      </c>
      <c r="Y106" s="82">
        <v>4.333333333333333</v>
      </c>
      <c r="Z106" s="82">
        <v>4</v>
      </c>
      <c r="AA106" s="82">
        <v>0</v>
      </c>
      <c r="AB106" s="82">
        <v>2.3333333333333335</v>
      </c>
      <c r="AC106" s="82">
        <f t="shared" si="69"/>
        <v>10.666666666666666</v>
      </c>
      <c r="AD106" s="82">
        <f t="shared" si="83"/>
        <v>752800</v>
      </c>
      <c r="AE106" s="82">
        <f t="shared" si="52"/>
        <v>46080</v>
      </c>
      <c r="AF106" s="82">
        <f t="shared" si="53"/>
        <v>64000</v>
      </c>
      <c r="AG106" s="82">
        <f t="shared" si="54"/>
        <v>25600</v>
      </c>
      <c r="AH106" s="82">
        <f t="shared" si="71"/>
        <v>100266.66666666666</v>
      </c>
      <c r="AI106" s="82">
        <f t="shared" si="55"/>
        <v>8533.3333333333321</v>
      </c>
      <c r="AJ106" s="82">
        <f t="shared" si="56"/>
        <v>0</v>
      </c>
      <c r="AK106" s="82">
        <f t="shared" si="57"/>
        <v>10240</v>
      </c>
      <c r="AL106" s="82">
        <f t="shared" si="58"/>
        <v>324905.46999999997</v>
      </c>
      <c r="AM106" s="82">
        <f t="shared" si="72"/>
        <v>1332425.47</v>
      </c>
      <c r="AN106" s="82">
        <v>1219508.24</v>
      </c>
      <c r="AO106" s="82"/>
      <c r="AP106" s="82">
        <v>46733</v>
      </c>
      <c r="AQ106" s="121">
        <f t="shared" si="59"/>
        <v>1266241.24</v>
      </c>
      <c r="AR106" s="1230">
        <v>1088835.5</v>
      </c>
      <c r="AS106" s="1230"/>
      <c r="AT106" s="1230">
        <f t="shared" si="60"/>
        <v>1088835.5</v>
      </c>
      <c r="AU106" s="121">
        <f t="shared" si="61"/>
        <v>177405.74</v>
      </c>
      <c r="AV106" s="174"/>
      <c r="AW106" s="1232">
        <f t="shared" si="76"/>
        <v>177405.74</v>
      </c>
      <c r="AX106" s="121"/>
      <c r="AY106" s="121"/>
      <c r="AZ106" s="82"/>
    </row>
    <row r="107" spans="1:52" s="83" customFormat="1" ht="21.95" customHeight="1">
      <c r="A107" s="79" t="s">
        <v>9</v>
      </c>
      <c r="B107" s="80" t="s">
        <v>725</v>
      </c>
      <c r="C107" s="80" t="s">
        <v>959</v>
      </c>
      <c r="D107" s="1234"/>
      <c r="E107" s="86">
        <v>11.793103448275858</v>
      </c>
      <c r="F107" s="86">
        <v>9</v>
      </c>
      <c r="G107" s="86">
        <v>0</v>
      </c>
      <c r="H107" s="86">
        <v>5.5</v>
      </c>
      <c r="I107" s="82">
        <f t="shared" si="64"/>
        <v>26.293103448275858</v>
      </c>
      <c r="J107" s="81">
        <v>0</v>
      </c>
      <c r="K107" s="81">
        <v>0</v>
      </c>
      <c r="L107" s="81">
        <v>0</v>
      </c>
      <c r="M107" s="81">
        <v>0.58333333333333337</v>
      </c>
      <c r="N107" s="82">
        <f t="shared" si="65"/>
        <v>0.58333333333333337</v>
      </c>
      <c r="O107" s="82">
        <f t="shared" si="84"/>
        <v>11.793103448275858</v>
      </c>
      <c r="P107" s="82">
        <f t="shared" si="82"/>
        <v>9</v>
      </c>
      <c r="Q107" s="82">
        <f t="shared" si="82"/>
        <v>0</v>
      </c>
      <c r="R107" s="82">
        <f t="shared" si="82"/>
        <v>6.083333333333333</v>
      </c>
      <c r="S107" s="93">
        <f t="shared" si="67"/>
        <v>26.87643678160919</v>
      </c>
      <c r="T107" s="81">
        <v>5.666666666666667</v>
      </c>
      <c r="U107" s="81">
        <v>2.4166666666666665</v>
      </c>
      <c r="V107" s="81">
        <v>0</v>
      </c>
      <c r="W107" s="81">
        <v>5.833333333333333</v>
      </c>
      <c r="X107" s="93">
        <f t="shared" si="68"/>
        <v>13.916666666666668</v>
      </c>
      <c r="Y107" s="82">
        <v>5.666666666666667</v>
      </c>
      <c r="Z107" s="82">
        <v>2.4166666666666665</v>
      </c>
      <c r="AA107" s="82">
        <v>0</v>
      </c>
      <c r="AB107" s="82">
        <v>5.833333333333333</v>
      </c>
      <c r="AC107" s="82">
        <f t="shared" si="69"/>
        <v>13.916666666666668</v>
      </c>
      <c r="AD107" s="82">
        <f t="shared" si="83"/>
        <v>937150.00000000012</v>
      </c>
      <c r="AE107" s="82">
        <f t="shared" si="52"/>
        <v>60120.000000000007</v>
      </c>
      <c r="AF107" s="82">
        <f t="shared" si="53"/>
        <v>83500</v>
      </c>
      <c r="AG107" s="82">
        <f t="shared" si="54"/>
        <v>33400</v>
      </c>
      <c r="AH107" s="82">
        <f t="shared" si="71"/>
        <v>130816.66666666667</v>
      </c>
      <c r="AI107" s="82">
        <f t="shared" si="55"/>
        <v>11133.333333333334</v>
      </c>
      <c r="AJ107" s="82">
        <f t="shared" si="56"/>
        <v>0</v>
      </c>
      <c r="AK107" s="82">
        <f t="shared" si="57"/>
        <v>13360.000000000002</v>
      </c>
      <c r="AL107" s="82">
        <f t="shared" si="58"/>
        <v>423900.11</v>
      </c>
      <c r="AM107" s="82">
        <f t="shared" si="72"/>
        <v>1693380.1099999999</v>
      </c>
      <c r="AN107" s="82">
        <v>1647085.65</v>
      </c>
      <c r="AO107" s="82"/>
      <c r="AP107" s="82">
        <v>35130.5</v>
      </c>
      <c r="AQ107" s="121">
        <f t="shared" si="59"/>
        <v>1682216.15</v>
      </c>
      <c r="AR107" s="1231">
        <v>1497643</v>
      </c>
      <c r="AS107" s="1231"/>
      <c r="AT107" s="1230">
        <f t="shared" si="60"/>
        <v>1497643</v>
      </c>
      <c r="AU107" s="82">
        <f t="shared" si="61"/>
        <v>184573.14999999991</v>
      </c>
      <c r="AV107" s="174"/>
      <c r="AW107" s="1232">
        <f t="shared" si="76"/>
        <v>184573.14999999991</v>
      </c>
      <c r="AX107" s="82"/>
      <c r="AY107" s="121"/>
      <c r="AZ107" s="82"/>
    </row>
    <row r="108" spans="1:52" ht="21.95" customHeight="1">
      <c r="A108" s="79" t="s">
        <v>9</v>
      </c>
      <c r="B108" s="80" t="s">
        <v>726</v>
      </c>
      <c r="C108" s="80" t="s">
        <v>464</v>
      </c>
      <c r="D108" s="1234"/>
      <c r="E108" s="86">
        <v>18.386554621848731</v>
      </c>
      <c r="F108" s="86">
        <v>10.5</v>
      </c>
      <c r="G108" s="86">
        <v>0</v>
      </c>
      <c r="H108" s="86">
        <v>6</v>
      </c>
      <c r="I108" s="82">
        <f t="shared" si="64"/>
        <v>34.886554621848731</v>
      </c>
      <c r="J108" s="81">
        <v>1</v>
      </c>
      <c r="K108" s="81">
        <v>1.8333333333333333</v>
      </c>
      <c r="L108" s="81">
        <v>0</v>
      </c>
      <c r="M108" s="81">
        <v>0</v>
      </c>
      <c r="N108" s="82">
        <f t="shared" si="65"/>
        <v>2.833333333333333</v>
      </c>
      <c r="O108" s="82">
        <f t="shared" si="84"/>
        <v>19.386554621848731</v>
      </c>
      <c r="P108" s="82">
        <f t="shared" si="82"/>
        <v>12.333333333333334</v>
      </c>
      <c r="Q108" s="82">
        <f t="shared" si="82"/>
        <v>0</v>
      </c>
      <c r="R108" s="82">
        <f t="shared" si="82"/>
        <v>6</v>
      </c>
      <c r="S108" s="93">
        <f t="shared" si="67"/>
        <v>37.719887955182067</v>
      </c>
      <c r="T108" s="81">
        <v>5.333333333333333</v>
      </c>
      <c r="U108" s="81">
        <v>6.8333333333333339</v>
      </c>
      <c r="V108" s="81">
        <v>0</v>
      </c>
      <c r="W108" s="81">
        <v>4</v>
      </c>
      <c r="X108" s="93">
        <f t="shared" si="68"/>
        <v>16.166666666666668</v>
      </c>
      <c r="Y108" s="82">
        <v>5.333333333333333</v>
      </c>
      <c r="Z108" s="82">
        <v>6.8333333333333339</v>
      </c>
      <c r="AA108" s="82">
        <v>0</v>
      </c>
      <c r="AB108" s="82">
        <v>4</v>
      </c>
      <c r="AC108" s="82">
        <f t="shared" si="69"/>
        <v>16.166666666666668</v>
      </c>
      <c r="AD108" s="82">
        <f>(Y108*7800+Z108*5750+AA108*5295+AB108*4400)*12</f>
        <v>1181900</v>
      </c>
      <c r="AE108" s="82">
        <f t="shared" si="52"/>
        <v>69840</v>
      </c>
      <c r="AF108" s="82">
        <f t="shared" si="53"/>
        <v>97000</v>
      </c>
      <c r="AG108" s="82">
        <f t="shared" si="54"/>
        <v>38800</v>
      </c>
      <c r="AH108" s="82">
        <f t="shared" ref="AH108:AH111" si="85">Y108*15400+(Z108+AA108+AB108)*9400</f>
        <v>183966.66666666669</v>
      </c>
      <c r="AI108" s="82">
        <f t="shared" si="55"/>
        <v>12933.333333333334</v>
      </c>
      <c r="AJ108" s="82">
        <f t="shared" si="56"/>
        <v>0</v>
      </c>
      <c r="AK108" s="82">
        <f t="shared" si="57"/>
        <v>15520.000000000002</v>
      </c>
      <c r="AL108" s="82">
        <f t="shared" si="58"/>
        <v>492434.86</v>
      </c>
      <c r="AM108" s="82">
        <f t="shared" si="72"/>
        <v>2092394.8599999999</v>
      </c>
      <c r="AN108" s="82">
        <v>2023293.49</v>
      </c>
      <c r="AO108" s="82"/>
      <c r="AP108" s="82">
        <v>87911.5</v>
      </c>
      <c r="AQ108" s="121">
        <f t="shared" si="59"/>
        <v>2111204.9900000002</v>
      </c>
      <c r="AR108" s="1230">
        <v>2497607.5</v>
      </c>
      <c r="AS108" s="1230"/>
      <c r="AT108" s="1230">
        <f t="shared" si="60"/>
        <v>2497607.5</v>
      </c>
      <c r="AU108" s="121">
        <f t="shared" si="61"/>
        <v>-386402.50999999978</v>
      </c>
      <c r="AV108" s="174"/>
      <c r="AW108" s="1232">
        <f t="shared" si="76"/>
        <v>-386402.50999999978</v>
      </c>
      <c r="AX108" s="121"/>
      <c r="AY108" s="121"/>
      <c r="AZ108" s="82"/>
    </row>
    <row r="109" spans="1:52" ht="21.95" customHeight="1">
      <c r="A109" s="79" t="s">
        <v>9</v>
      </c>
      <c r="B109" s="80" t="s">
        <v>727</v>
      </c>
      <c r="C109" s="80" t="s">
        <v>464</v>
      </c>
      <c r="D109" s="1234"/>
      <c r="E109" s="86">
        <v>42.991596638655466</v>
      </c>
      <c r="F109" s="86">
        <v>10</v>
      </c>
      <c r="G109" s="86">
        <v>0</v>
      </c>
      <c r="H109" s="86">
        <v>9</v>
      </c>
      <c r="I109" s="82">
        <f t="shared" si="64"/>
        <v>61.991596638655466</v>
      </c>
      <c r="J109" s="81">
        <v>2.9166666666666665</v>
      </c>
      <c r="K109" s="81">
        <v>0</v>
      </c>
      <c r="L109" s="81">
        <v>0</v>
      </c>
      <c r="M109" s="81">
        <v>0</v>
      </c>
      <c r="N109" s="82">
        <f t="shared" si="65"/>
        <v>2.9166666666666665</v>
      </c>
      <c r="O109" s="82">
        <f t="shared" si="84"/>
        <v>45.90826330532213</v>
      </c>
      <c r="P109" s="82">
        <f t="shared" si="82"/>
        <v>10</v>
      </c>
      <c r="Q109" s="82">
        <f t="shared" si="82"/>
        <v>0</v>
      </c>
      <c r="R109" s="82">
        <f t="shared" si="82"/>
        <v>9</v>
      </c>
      <c r="S109" s="93">
        <f t="shared" si="67"/>
        <v>64.908263305322123</v>
      </c>
      <c r="T109" s="81">
        <v>7.166666666666667</v>
      </c>
      <c r="U109" s="81">
        <v>8.3333333333333339</v>
      </c>
      <c r="V109" s="81">
        <v>0</v>
      </c>
      <c r="W109" s="81">
        <v>7</v>
      </c>
      <c r="X109" s="93">
        <f t="shared" si="68"/>
        <v>22.5</v>
      </c>
      <c r="Y109" s="82">
        <v>7.166666666666667</v>
      </c>
      <c r="Z109" s="82">
        <v>8.3333333333333339</v>
      </c>
      <c r="AA109" s="82">
        <v>0</v>
      </c>
      <c r="AB109" s="82">
        <v>7</v>
      </c>
      <c r="AC109" s="82">
        <f t="shared" si="69"/>
        <v>22.5</v>
      </c>
      <c r="AD109" s="82">
        <f>(Y109*7800+Z109*5750+AA109*5295+AB109*4400)*12</f>
        <v>1615400.0000000002</v>
      </c>
      <c r="AE109" s="82">
        <f t="shared" si="52"/>
        <v>97200</v>
      </c>
      <c r="AF109" s="82">
        <f t="shared" si="53"/>
        <v>135000</v>
      </c>
      <c r="AG109" s="82">
        <f t="shared" si="54"/>
        <v>54000</v>
      </c>
      <c r="AH109" s="82">
        <f t="shared" si="85"/>
        <v>254500</v>
      </c>
      <c r="AI109" s="82">
        <f t="shared" si="55"/>
        <v>18000</v>
      </c>
      <c r="AJ109" s="82">
        <f t="shared" si="56"/>
        <v>0</v>
      </c>
      <c r="AK109" s="82">
        <f t="shared" si="57"/>
        <v>21600</v>
      </c>
      <c r="AL109" s="82">
        <f t="shared" si="58"/>
        <v>685347.48</v>
      </c>
      <c r="AM109" s="82">
        <f t="shared" si="72"/>
        <v>2881047.48</v>
      </c>
      <c r="AN109" s="82">
        <v>2831657.25</v>
      </c>
      <c r="AO109" s="82"/>
      <c r="AP109" s="82">
        <v>138551.5</v>
      </c>
      <c r="AQ109" s="121">
        <f t="shared" si="59"/>
        <v>2970208.75</v>
      </c>
      <c r="AR109" s="1230">
        <v>2719027</v>
      </c>
      <c r="AS109" s="1230"/>
      <c r="AT109" s="1230">
        <f t="shared" si="60"/>
        <v>2719027</v>
      </c>
      <c r="AU109" s="121">
        <f t="shared" si="61"/>
        <v>251181.75</v>
      </c>
      <c r="AV109" s="174"/>
      <c r="AW109" s="1232">
        <f t="shared" si="76"/>
        <v>251181.75</v>
      </c>
      <c r="AX109" s="121"/>
      <c r="AY109" s="121"/>
      <c r="AZ109" s="82"/>
    </row>
    <row r="110" spans="1:52" ht="21.95" customHeight="1">
      <c r="A110" s="79" t="s">
        <v>9</v>
      </c>
      <c r="B110" s="80" t="s">
        <v>728</v>
      </c>
      <c r="C110" s="80" t="s">
        <v>972</v>
      </c>
      <c r="D110" s="1234"/>
      <c r="E110" s="86">
        <v>25</v>
      </c>
      <c r="F110" s="86">
        <v>12</v>
      </c>
      <c r="G110" s="86">
        <v>0</v>
      </c>
      <c r="H110" s="86">
        <v>10</v>
      </c>
      <c r="I110" s="82">
        <f t="shared" si="64"/>
        <v>47</v>
      </c>
      <c r="J110" s="81">
        <v>2.3333333333333335</v>
      </c>
      <c r="K110" s="81">
        <v>0.91666666666666663</v>
      </c>
      <c r="L110" s="81">
        <v>0</v>
      </c>
      <c r="M110" s="81">
        <v>0</v>
      </c>
      <c r="N110" s="82">
        <f t="shared" si="65"/>
        <v>3.25</v>
      </c>
      <c r="O110" s="82">
        <f t="shared" si="84"/>
        <v>27.333333333333332</v>
      </c>
      <c r="P110" s="82">
        <f t="shared" si="82"/>
        <v>12.916666666666666</v>
      </c>
      <c r="Q110" s="82">
        <f t="shared" si="82"/>
        <v>0</v>
      </c>
      <c r="R110" s="82">
        <f t="shared" si="82"/>
        <v>10</v>
      </c>
      <c r="S110" s="93">
        <f t="shared" si="67"/>
        <v>50.25</v>
      </c>
      <c r="T110" s="81">
        <v>7.833333333333333</v>
      </c>
      <c r="U110" s="81">
        <v>8.8333333333333339</v>
      </c>
      <c r="V110" s="81">
        <v>0</v>
      </c>
      <c r="W110" s="81">
        <v>6.833333333333333</v>
      </c>
      <c r="X110" s="93">
        <f t="shared" si="68"/>
        <v>23.5</v>
      </c>
      <c r="Y110" s="82">
        <v>7.833333333333333</v>
      </c>
      <c r="Z110" s="82">
        <v>8.8333333333333339</v>
      </c>
      <c r="AA110" s="82">
        <v>0</v>
      </c>
      <c r="AB110" s="82">
        <v>6.833333333333333</v>
      </c>
      <c r="AC110" s="82">
        <f t="shared" si="69"/>
        <v>23.5</v>
      </c>
      <c r="AD110" s="82">
        <f>(Y110*7300+Z110*5750+AA110*5295+AB110*4400)*12</f>
        <v>1656500</v>
      </c>
      <c r="AE110" s="82">
        <f t="shared" si="52"/>
        <v>101520</v>
      </c>
      <c r="AF110" s="82">
        <f t="shared" si="53"/>
        <v>141000</v>
      </c>
      <c r="AG110" s="82">
        <f t="shared" si="54"/>
        <v>56400</v>
      </c>
      <c r="AH110" s="82">
        <f t="shared" si="85"/>
        <v>267900</v>
      </c>
      <c r="AI110" s="82">
        <f t="shared" si="55"/>
        <v>18800</v>
      </c>
      <c r="AJ110" s="82">
        <f t="shared" si="56"/>
        <v>0</v>
      </c>
      <c r="AK110" s="82">
        <f t="shared" si="57"/>
        <v>22560</v>
      </c>
      <c r="AL110" s="82">
        <f t="shared" si="58"/>
        <v>715807.37</v>
      </c>
      <c r="AM110" s="82">
        <f t="shared" si="72"/>
        <v>2980487.37</v>
      </c>
      <c r="AN110" s="82">
        <v>2957882.36</v>
      </c>
      <c r="AO110" s="82"/>
      <c r="AP110" s="82">
        <v>125031</v>
      </c>
      <c r="AQ110" s="121">
        <f t="shared" si="59"/>
        <v>3082913.36</v>
      </c>
      <c r="AR110" s="1230">
        <v>2974371.5</v>
      </c>
      <c r="AS110" s="1230"/>
      <c r="AT110" s="1230">
        <f t="shared" si="60"/>
        <v>2974371.5</v>
      </c>
      <c r="AU110" s="121">
        <f t="shared" si="61"/>
        <v>108541.85999999987</v>
      </c>
      <c r="AV110" s="174"/>
      <c r="AW110" s="1232">
        <f t="shared" si="76"/>
        <v>108541.85999999987</v>
      </c>
      <c r="AX110" s="121"/>
      <c r="AY110" s="121"/>
      <c r="AZ110" s="82"/>
    </row>
    <row r="111" spans="1:52" ht="21.95" customHeight="1">
      <c r="A111" s="79" t="s">
        <v>9</v>
      </c>
      <c r="B111" s="80" t="s">
        <v>729</v>
      </c>
      <c r="C111" s="80" t="s">
        <v>464</v>
      </c>
      <c r="D111" s="1234"/>
      <c r="E111" s="86">
        <v>34.789915966386545</v>
      </c>
      <c r="F111" s="86">
        <v>11</v>
      </c>
      <c r="G111" s="86">
        <v>0</v>
      </c>
      <c r="H111" s="86">
        <v>6</v>
      </c>
      <c r="I111" s="82">
        <f t="shared" si="64"/>
        <v>51.789915966386545</v>
      </c>
      <c r="J111" s="81">
        <v>0</v>
      </c>
      <c r="K111" s="81">
        <v>0</v>
      </c>
      <c r="L111" s="81">
        <v>0</v>
      </c>
      <c r="M111" s="81">
        <v>0</v>
      </c>
      <c r="N111" s="82">
        <f t="shared" si="65"/>
        <v>0</v>
      </c>
      <c r="O111" s="82">
        <f t="shared" si="84"/>
        <v>34.789915966386545</v>
      </c>
      <c r="P111" s="82">
        <f t="shared" si="82"/>
        <v>11</v>
      </c>
      <c r="Q111" s="82">
        <f t="shared" si="82"/>
        <v>0</v>
      </c>
      <c r="R111" s="82">
        <f t="shared" si="82"/>
        <v>6</v>
      </c>
      <c r="S111" s="93">
        <f t="shared" si="67"/>
        <v>51.789915966386545</v>
      </c>
      <c r="T111" s="81">
        <v>1.4166666666666667</v>
      </c>
      <c r="U111" s="81">
        <v>5.6666666666666661</v>
      </c>
      <c r="V111" s="81">
        <v>0</v>
      </c>
      <c r="W111" s="81">
        <v>4.166666666666667</v>
      </c>
      <c r="X111" s="93">
        <f t="shared" si="68"/>
        <v>11.25</v>
      </c>
      <c r="Y111" s="82">
        <v>1.4166666666666667</v>
      </c>
      <c r="Z111" s="82">
        <v>5.6666666666666661</v>
      </c>
      <c r="AA111" s="82">
        <v>0</v>
      </c>
      <c r="AB111" s="82">
        <v>4.166666666666667</v>
      </c>
      <c r="AC111" s="82">
        <f t="shared" si="69"/>
        <v>11.25</v>
      </c>
      <c r="AD111" s="82">
        <f>(Y111*7800+Z111*5750+AA111*5295+AB111*4400)*12</f>
        <v>743600</v>
      </c>
      <c r="AE111" s="82">
        <f t="shared" si="52"/>
        <v>48600</v>
      </c>
      <c r="AF111" s="82">
        <f t="shared" si="53"/>
        <v>67500</v>
      </c>
      <c r="AG111" s="82">
        <f t="shared" si="54"/>
        <v>27000</v>
      </c>
      <c r="AH111" s="82">
        <f t="shared" si="85"/>
        <v>114250</v>
      </c>
      <c r="AI111" s="82">
        <f t="shared" si="55"/>
        <v>9000</v>
      </c>
      <c r="AJ111" s="82">
        <f t="shared" si="56"/>
        <v>0</v>
      </c>
      <c r="AK111" s="82">
        <f t="shared" si="57"/>
        <v>10800</v>
      </c>
      <c r="AL111" s="82">
        <f t="shared" si="58"/>
        <v>342673.74</v>
      </c>
      <c r="AM111" s="82">
        <f t="shared" si="72"/>
        <v>1363423.74</v>
      </c>
      <c r="AN111" s="82">
        <v>1335305.02</v>
      </c>
      <c r="AO111" s="82"/>
      <c r="AP111" s="82">
        <v>15696.5</v>
      </c>
      <c r="AQ111" s="121">
        <f t="shared" si="59"/>
        <v>1351001.52</v>
      </c>
      <c r="AR111" s="1230">
        <v>1943640</v>
      </c>
      <c r="AS111" s="1230"/>
      <c r="AT111" s="1230">
        <f t="shared" si="60"/>
        <v>1943640</v>
      </c>
      <c r="AU111" s="121">
        <f t="shared" si="61"/>
        <v>-592638.48</v>
      </c>
      <c r="AV111" s="174"/>
      <c r="AW111" s="1232">
        <f t="shared" si="76"/>
        <v>-592638.48</v>
      </c>
      <c r="AX111" s="121"/>
      <c r="AY111" s="121"/>
      <c r="AZ111" s="82"/>
    </row>
    <row r="112" spans="1:52" s="83" customFormat="1" ht="21.95" customHeight="1">
      <c r="A112" s="79" t="s">
        <v>9</v>
      </c>
      <c r="B112" s="80" t="s">
        <v>730</v>
      </c>
      <c r="C112" s="80" t="s">
        <v>649</v>
      </c>
      <c r="D112" s="1234">
        <v>2</v>
      </c>
      <c r="E112" s="86">
        <v>0</v>
      </c>
      <c r="F112" s="86">
        <v>3</v>
      </c>
      <c r="G112" s="86">
        <v>17.3</v>
      </c>
      <c r="H112" s="86">
        <v>2</v>
      </c>
      <c r="I112" s="82">
        <f t="shared" si="64"/>
        <v>22.3</v>
      </c>
      <c r="J112" s="81">
        <v>2.6</v>
      </c>
      <c r="K112" s="81">
        <v>1</v>
      </c>
      <c r="L112" s="81">
        <v>3</v>
      </c>
      <c r="M112" s="81">
        <v>0</v>
      </c>
      <c r="N112" s="82">
        <f t="shared" si="65"/>
        <v>6.6</v>
      </c>
      <c r="O112" s="82">
        <f t="shared" si="84"/>
        <v>2.6</v>
      </c>
      <c r="P112" s="82">
        <f t="shared" si="82"/>
        <v>4</v>
      </c>
      <c r="Q112" s="82">
        <f t="shared" si="82"/>
        <v>20.3</v>
      </c>
      <c r="R112" s="82">
        <f t="shared" si="82"/>
        <v>2</v>
      </c>
      <c r="S112" s="93">
        <f t="shared" si="67"/>
        <v>28.9</v>
      </c>
      <c r="T112" s="81">
        <v>2.5833333333333335</v>
      </c>
      <c r="U112" s="81">
        <v>4</v>
      </c>
      <c r="V112" s="81">
        <v>20</v>
      </c>
      <c r="W112" s="81">
        <v>2</v>
      </c>
      <c r="X112" s="93">
        <f t="shared" si="68"/>
        <v>28.583333333333336</v>
      </c>
      <c r="Y112" s="82">
        <v>2.5833333333333335</v>
      </c>
      <c r="Z112" s="82">
        <v>4</v>
      </c>
      <c r="AA112" s="82">
        <v>20</v>
      </c>
      <c r="AB112" s="82">
        <v>2</v>
      </c>
      <c r="AC112" s="82">
        <f t="shared" si="69"/>
        <v>28.583333333333336</v>
      </c>
      <c r="AD112" s="82">
        <f>(Y112*6800+Z112*5750+AA112*5295+AB112*4400)*12</f>
        <v>1863200.0000000002</v>
      </c>
      <c r="AE112" s="82">
        <f t="shared" si="52"/>
        <v>123480.00000000001</v>
      </c>
      <c r="AF112" s="82">
        <f t="shared" si="53"/>
        <v>171500</v>
      </c>
      <c r="AG112" s="82">
        <f t="shared" si="54"/>
        <v>68600</v>
      </c>
      <c r="AH112" s="82">
        <f t="shared" si="71"/>
        <v>268683.33333333337</v>
      </c>
      <c r="AI112" s="82">
        <f t="shared" si="55"/>
        <v>22866.666666666668</v>
      </c>
      <c r="AJ112" s="82">
        <f t="shared" si="56"/>
        <v>20000</v>
      </c>
      <c r="AK112" s="82">
        <f t="shared" si="57"/>
        <v>27440.000000000004</v>
      </c>
      <c r="AL112" s="82">
        <f t="shared" si="58"/>
        <v>870645.13</v>
      </c>
      <c r="AM112" s="82">
        <f t="shared" si="72"/>
        <v>3436415.13</v>
      </c>
      <c r="AN112" s="82">
        <v>3340096.2199999997</v>
      </c>
      <c r="AO112" s="82">
        <v>141725</v>
      </c>
      <c r="AP112" s="82"/>
      <c r="AQ112" s="121">
        <f t="shared" si="59"/>
        <v>3481821.2199999997</v>
      </c>
      <c r="AR112" s="1231">
        <v>4083954</v>
      </c>
      <c r="AS112" s="1231"/>
      <c r="AT112" s="1230">
        <f t="shared" si="60"/>
        <v>4083954</v>
      </c>
      <c r="AU112" s="82">
        <f t="shared" si="61"/>
        <v>-602132.78000000026</v>
      </c>
      <c r="AV112" s="174"/>
      <c r="AW112" s="1232">
        <f t="shared" si="76"/>
        <v>-602132.78000000026</v>
      </c>
      <c r="AX112" s="82"/>
      <c r="AY112" s="121"/>
      <c r="AZ112" s="82"/>
    </row>
    <row r="113" spans="1:52" s="83" customFormat="1" ht="21.95" customHeight="1">
      <c r="A113" s="79" t="s">
        <v>9</v>
      </c>
      <c r="B113" s="80" t="s">
        <v>731</v>
      </c>
      <c r="C113" s="80" t="s">
        <v>649</v>
      </c>
      <c r="D113" s="1234">
        <v>1</v>
      </c>
      <c r="E113" s="86">
        <v>0</v>
      </c>
      <c r="F113" s="86">
        <v>2</v>
      </c>
      <c r="G113" s="86">
        <v>10.55</v>
      </c>
      <c r="H113" s="86">
        <v>1</v>
      </c>
      <c r="I113" s="82">
        <f t="shared" si="64"/>
        <v>13.55</v>
      </c>
      <c r="J113" s="81">
        <v>3</v>
      </c>
      <c r="K113" s="81">
        <v>0</v>
      </c>
      <c r="L113" s="81">
        <v>1.5</v>
      </c>
      <c r="M113" s="81">
        <v>0</v>
      </c>
      <c r="N113" s="82">
        <f t="shared" si="65"/>
        <v>4.5</v>
      </c>
      <c r="O113" s="82">
        <f t="shared" si="84"/>
        <v>3</v>
      </c>
      <c r="P113" s="82">
        <f t="shared" si="82"/>
        <v>2</v>
      </c>
      <c r="Q113" s="82">
        <f t="shared" si="82"/>
        <v>12.05</v>
      </c>
      <c r="R113" s="82">
        <f t="shared" si="82"/>
        <v>1</v>
      </c>
      <c r="S113" s="93">
        <f t="shared" si="67"/>
        <v>18.05</v>
      </c>
      <c r="T113" s="81">
        <v>3.5</v>
      </c>
      <c r="U113" s="81">
        <v>1</v>
      </c>
      <c r="V113" s="81">
        <v>12.5</v>
      </c>
      <c r="W113" s="81">
        <v>1</v>
      </c>
      <c r="X113" s="93">
        <f t="shared" si="68"/>
        <v>18</v>
      </c>
      <c r="Y113" s="82">
        <v>3.5</v>
      </c>
      <c r="Z113" s="82">
        <v>1</v>
      </c>
      <c r="AA113" s="82">
        <v>12.5</v>
      </c>
      <c r="AB113" s="82">
        <v>1</v>
      </c>
      <c r="AC113" s="82">
        <f t="shared" si="69"/>
        <v>18</v>
      </c>
      <c r="AD113" s="82">
        <f>(Y113*6800+Z113*5750+AA113*5295+AB113*4400)*12</f>
        <v>1201650</v>
      </c>
      <c r="AE113" s="82">
        <f t="shared" si="52"/>
        <v>77760</v>
      </c>
      <c r="AF113" s="82">
        <f t="shared" si="53"/>
        <v>108000</v>
      </c>
      <c r="AG113" s="82">
        <f t="shared" si="54"/>
        <v>43200</v>
      </c>
      <c r="AH113" s="82">
        <f t="shared" si="71"/>
        <v>169200</v>
      </c>
      <c r="AI113" s="82">
        <f t="shared" si="55"/>
        <v>14400</v>
      </c>
      <c r="AJ113" s="82">
        <f t="shared" si="56"/>
        <v>10000</v>
      </c>
      <c r="AK113" s="82">
        <f t="shared" si="57"/>
        <v>17280</v>
      </c>
      <c r="AL113" s="82">
        <f t="shared" si="58"/>
        <v>548277.98</v>
      </c>
      <c r="AM113" s="82">
        <f t="shared" si="72"/>
        <v>2189767.98</v>
      </c>
      <c r="AN113" s="82">
        <v>2129051.16</v>
      </c>
      <c r="AO113" s="82"/>
      <c r="AP113" s="82"/>
      <c r="AQ113" s="121">
        <f t="shared" si="59"/>
        <v>2129051.16</v>
      </c>
      <c r="AR113" s="1231">
        <v>2471260</v>
      </c>
      <c r="AS113" s="1231"/>
      <c r="AT113" s="1230">
        <f t="shared" si="60"/>
        <v>2471260</v>
      </c>
      <c r="AU113" s="82">
        <f t="shared" si="61"/>
        <v>-342208.83999999985</v>
      </c>
      <c r="AV113" s="174"/>
      <c r="AW113" s="1232">
        <f t="shared" si="76"/>
        <v>-342208.83999999985</v>
      </c>
      <c r="AX113" s="82"/>
      <c r="AY113" s="121"/>
      <c r="AZ113" s="82"/>
    </row>
    <row r="114" spans="1:52" s="85" customFormat="1" ht="21.95" customHeight="1">
      <c r="A114" s="1225"/>
      <c r="B114" s="1225" t="s">
        <v>732</v>
      </c>
      <c r="C114" s="1225"/>
      <c r="D114" s="1235">
        <f>SUM(D100:D113)</f>
        <v>12.5</v>
      </c>
      <c r="E114" s="84">
        <f t="shared" ref="E114:AZ114" si="86">SUM(E100:E113)</f>
        <v>176.13034249951085</v>
      </c>
      <c r="F114" s="84">
        <f t="shared" si="86"/>
        <v>109.5</v>
      </c>
      <c r="G114" s="84">
        <f t="shared" si="86"/>
        <v>138.0625</v>
      </c>
      <c r="H114" s="84">
        <f t="shared" si="86"/>
        <v>74</v>
      </c>
      <c r="I114" s="84">
        <f t="shared" si="86"/>
        <v>497.69284249951096</v>
      </c>
      <c r="J114" s="84">
        <f t="shared" si="86"/>
        <v>22.35</v>
      </c>
      <c r="K114" s="84">
        <f t="shared" si="86"/>
        <v>8.4166666666666679</v>
      </c>
      <c r="L114" s="84">
        <f t="shared" si="86"/>
        <v>13.166666666666668</v>
      </c>
      <c r="M114" s="84">
        <f t="shared" si="86"/>
        <v>2.3333333333333335</v>
      </c>
      <c r="N114" s="84">
        <f t="shared" si="86"/>
        <v>46.266666666666673</v>
      </c>
      <c r="O114" s="84">
        <f t="shared" si="86"/>
        <v>198.48034249951084</v>
      </c>
      <c r="P114" s="84">
        <f t="shared" si="86"/>
        <v>117.91666666666667</v>
      </c>
      <c r="Q114" s="84">
        <f t="shared" si="86"/>
        <v>151.22916666666669</v>
      </c>
      <c r="R114" s="84">
        <f t="shared" si="86"/>
        <v>76.333333333333343</v>
      </c>
      <c r="S114" s="1238">
        <f t="shared" si="86"/>
        <v>543.95950916617744</v>
      </c>
      <c r="T114" s="84">
        <f t="shared" si="86"/>
        <v>64.583333333333343</v>
      </c>
      <c r="U114" s="84">
        <f t="shared" si="86"/>
        <v>71.083333333333343</v>
      </c>
      <c r="V114" s="84">
        <f t="shared" si="86"/>
        <v>145.66666666666669</v>
      </c>
      <c r="W114" s="84">
        <f t="shared" si="86"/>
        <v>59.583333333333329</v>
      </c>
      <c r="X114" s="1238">
        <f t="shared" si="86"/>
        <v>340.91666666666657</v>
      </c>
      <c r="Y114" s="84">
        <f t="shared" si="86"/>
        <v>64.794871794871796</v>
      </c>
      <c r="Z114" s="84">
        <f t="shared" si="86"/>
        <v>71.25</v>
      </c>
      <c r="AA114" s="84">
        <f t="shared" si="86"/>
        <v>145.26666666666668</v>
      </c>
      <c r="AB114" s="84">
        <f t="shared" si="86"/>
        <v>59.583333333333329</v>
      </c>
      <c r="AC114" s="84">
        <f t="shared" si="86"/>
        <v>340.89487179487173</v>
      </c>
      <c r="AD114" s="84">
        <f t="shared" si="86"/>
        <v>22793755.53846154</v>
      </c>
      <c r="AE114" s="84">
        <f t="shared" si="86"/>
        <v>1472665.8461538462</v>
      </c>
      <c r="AF114" s="84">
        <f t="shared" si="86"/>
        <v>2045369.230769231</v>
      </c>
      <c r="AG114" s="84">
        <f t="shared" si="86"/>
        <v>818147.69230769225</v>
      </c>
      <c r="AH114" s="84">
        <f t="shared" si="86"/>
        <v>3334911.794871795</v>
      </c>
      <c r="AI114" s="84">
        <f t="shared" si="86"/>
        <v>272715.8974358975</v>
      </c>
      <c r="AJ114" s="84">
        <f t="shared" si="86"/>
        <v>125000</v>
      </c>
      <c r="AK114" s="84">
        <f t="shared" si="86"/>
        <v>327259.07692307694</v>
      </c>
      <c r="AL114" s="84">
        <f t="shared" si="86"/>
        <v>10383619.620000001</v>
      </c>
      <c r="AM114" s="84">
        <f t="shared" si="86"/>
        <v>41573444.696923077</v>
      </c>
      <c r="AN114" s="84">
        <f t="shared" si="86"/>
        <v>40043230.929999992</v>
      </c>
      <c r="AO114" s="84">
        <f t="shared" si="86"/>
        <v>551978.5</v>
      </c>
      <c r="AP114" s="84">
        <f t="shared" si="86"/>
        <v>611635.75</v>
      </c>
      <c r="AQ114" s="84">
        <f t="shared" si="86"/>
        <v>41206845.179999992</v>
      </c>
      <c r="AR114" s="84">
        <f t="shared" si="86"/>
        <v>44999968.25</v>
      </c>
      <c r="AS114" s="84">
        <f t="shared" si="86"/>
        <v>4283383.96</v>
      </c>
      <c r="AT114" s="84">
        <f t="shared" si="86"/>
        <v>40716584.289999999</v>
      </c>
      <c r="AU114" s="84">
        <f t="shared" si="86"/>
        <v>-3793123.07</v>
      </c>
      <c r="AV114" s="84">
        <f t="shared" si="86"/>
        <v>0</v>
      </c>
      <c r="AW114" s="84">
        <f t="shared" si="86"/>
        <v>-3793123.07</v>
      </c>
      <c r="AX114" s="84">
        <f t="shared" si="86"/>
        <v>0</v>
      </c>
      <c r="AY114" s="84">
        <f t="shared" si="86"/>
        <v>0</v>
      </c>
      <c r="AZ114" s="84">
        <f t="shared" si="86"/>
        <v>0</v>
      </c>
    </row>
    <row r="115" spans="1:52" s="85" customFormat="1" ht="21.95" customHeight="1">
      <c r="A115" s="1225"/>
      <c r="B115" s="1225" t="s">
        <v>252</v>
      </c>
      <c r="C115" s="1225"/>
      <c r="D115" s="1235">
        <f t="shared" ref="D115:AW115" si="87">SUM(D114,D99,D94,D90,D71,D52,D36,D24,D15)</f>
        <v>97.5</v>
      </c>
      <c r="E115" s="84">
        <f t="shared" si="87"/>
        <v>1185.969167861663</v>
      </c>
      <c r="F115" s="84">
        <f t="shared" si="87"/>
        <v>694.08333333333337</v>
      </c>
      <c r="G115" s="84">
        <f t="shared" si="87"/>
        <v>1222.965625</v>
      </c>
      <c r="H115" s="84">
        <f t="shared" si="87"/>
        <v>493.58333333333331</v>
      </c>
      <c r="I115" s="84">
        <f t="shared" si="87"/>
        <v>3596.6014595283295</v>
      </c>
      <c r="J115" s="84">
        <f t="shared" si="87"/>
        <v>120.19999999999999</v>
      </c>
      <c r="K115" s="84">
        <f t="shared" si="87"/>
        <v>39.38333333333334</v>
      </c>
      <c r="L115" s="84">
        <f t="shared" si="87"/>
        <v>88.416666666666671</v>
      </c>
      <c r="M115" s="84">
        <f t="shared" si="87"/>
        <v>23.683333333333334</v>
      </c>
      <c r="N115" s="84">
        <f t="shared" si="87"/>
        <v>271.68333333333334</v>
      </c>
      <c r="O115" s="84">
        <f t="shared" si="87"/>
        <v>1306.1691678616626</v>
      </c>
      <c r="P115" s="84">
        <f t="shared" si="87"/>
        <v>733.4666666666667</v>
      </c>
      <c r="Q115" s="84">
        <f t="shared" si="87"/>
        <v>1311.3822916666666</v>
      </c>
      <c r="R115" s="84">
        <f t="shared" si="87"/>
        <v>517.26666666666665</v>
      </c>
      <c r="S115" s="1238">
        <f t="shared" si="87"/>
        <v>3868.2847928616625</v>
      </c>
      <c r="T115" s="84">
        <f t="shared" si="87"/>
        <v>432.25000000000006</v>
      </c>
      <c r="U115" s="84">
        <f t="shared" si="87"/>
        <v>448.58333333333331</v>
      </c>
      <c r="V115" s="84">
        <f t="shared" si="87"/>
        <v>1289.9166666666665</v>
      </c>
      <c r="W115" s="84">
        <f t="shared" si="87"/>
        <v>455.08333333333331</v>
      </c>
      <c r="X115" s="1238">
        <f t="shared" si="87"/>
        <v>2625.8333333333335</v>
      </c>
      <c r="Y115" s="84">
        <f t="shared" si="87"/>
        <v>433.22222222222223</v>
      </c>
      <c r="Z115" s="84">
        <f t="shared" si="87"/>
        <v>445</v>
      </c>
      <c r="AA115" s="84">
        <f t="shared" si="87"/>
        <v>1287.4041666666667</v>
      </c>
      <c r="AB115" s="84">
        <f t="shared" si="87"/>
        <v>459.33333333333331</v>
      </c>
      <c r="AC115" s="84">
        <f t="shared" si="87"/>
        <v>2624.9597222222224</v>
      </c>
      <c r="AD115" s="84">
        <f t="shared" si="87"/>
        <v>173587394.08333334</v>
      </c>
      <c r="AE115" s="84">
        <f t="shared" si="87"/>
        <v>11339826</v>
      </c>
      <c r="AF115" s="84">
        <f t="shared" si="87"/>
        <v>15749758.333333336</v>
      </c>
      <c r="AG115" s="84">
        <f t="shared" si="87"/>
        <v>6299903.333333334</v>
      </c>
      <c r="AH115" s="84">
        <f t="shared" si="87"/>
        <v>25600121.388888888</v>
      </c>
      <c r="AI115" s="84">
        <f t="shared" si="87"/>
        <v>2099967.777777778</v>
      </c>
      <c r="AJ115" s="84">
        <f t="shared" si="87"/>
        <v>975000</v>
      </c>
      <c r="AK115" s="84">
        <f t="shared" si="87"/>
        <v>2519961.3333333335</v>
      </c>
      <c r="AL115" s="84">
        <f t="shared" si="87"/>
        <v>79955979.150000006</v>
      </c>
      <c r="AM115" s="84">
        <f t="shared" si="87"/>
        <v>318127911.39999998</v>
      </c>
      <c r="AN115" s="84">
        <f t="shared" si="87"/>
        <v>307354776.28280038</v>
      </c>
      <c r="AO115" s="84">
        <f t="shared" si="87"/>
        <v>2671765.98</v>
      </c>
      <c r="AP115" s="84">
        <f t="shared" si="87"/>
        <v>3565855.625</v>
      </c>
      <c r="AQ115" s="84">
        <f t="shared" si="87"/>
        <v>313592397.8878004</v>
      </c>
      <c r="AR115" s="84">
        <f t="shared" si="87"/>
        <v>325260940.13</v>
      </c>
      <c r="AS115" s="84">
        <f t="shared" si="87"/>
        <v>9558228.5699999984</v>
      </c>
      <c r="AT115" s="84">
        <f t="shared" si="87"/>
        <v>315702711.56</v>
      </c>
      <c r="AU115" s="84">
        <f t="shared" si="87"/>
        <v>-11668542.242199579</v>
      </c>
      <c r="AV115" s="84">
        <f t="shared" si="87"/>
        <v>1585100</v>
      </c>
      <c r="AW115" s="84">
        <f t="shared" si="87"/>
        <v>-13253642.242199579</v>
      </c>
      <c r="AX115" s="84">
        <f t="shared" ref="AX115:AZ115" si="88">SUM(AX114,AX99,AX94,AX90,AX71,AX52,AX36,AX24,AX15)</f>
        <v>0</v>
      </c>
      <c r="AY115" s="84">
        <f t="shared" si="88"/>
        <v>1400000</v>
      </c>
      <c r="AZ115" s="84">
        <f t="shared" si="88"/>
        <v>-1400000</v>
      </c>
    </row>
    <row r="116" spans="1:52">
      <c r="AM116" s="88"/>
      <c r="AN116" s="88"/>
      <c r="AO116" s="1250"/>
      <c r="AP116" s="88"/>
      <c r="AQ116" s="1233"/>
    </row>
  </sheetData>
  <autoFilter ref="A4:AV115">
    <filterColumn colId="41"/>
    <filterColumn colId="44"/>
    <filterColumn colId="45"/>
  </autoFilter>
  <mergeCells count="16">
    <mergeCell ref="AX3:AZ3"/>
    <mergeCell ref="AR3:AT3"/>
    <mergeCell ref="AU3:AW3"/>
    <mergeCell ref="B2:AW2"/>
    <mergeCell ref="A1:AU1"/>
    <mergeCell ref="A3:A4"/>
    <mergeCell ref="B3:B4"/>
    <mergeCell ref="C3:C4"/>
    <mergeCell ref="D3:D4"/>
    <mergeCell ref="E3:I3"/>
    <mergeCell ref="J3:N3"/>
    <mergeCell ref="O3:S3"/>
    <mergeCell ref="T3:X3"/>
    <mergeCell ref="Y3:AC3"/>
    <mergeCell ref="AD3:AM3"/>
    <mergeCell ref="AN3:AQ3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2" orientation="landscape" r:id="rId1"/>
  <headerFooter>
    <oddFooter>第 &amp;P 页，共 &amp;N 页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I126"/>
  <sheetViews>
    <sheetView topLeftCell="A46" workbookViewId="0">
      <selection activeCell="F67" sqref="F67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63" customFormat="1" ht="24.95" customHeight="1">
      <c r="A1" s="1630" t="s">
        <v>3206</v>
      </c>
      <c r="B1" s="1631"/>
      <c r="C1" s="1631"/>
      <c r="D1" s="1631"/>
      <c r="E1" s="1631"/>
      <c r="F1" s="1632"/>
      <c r="G1" s="1632"/>
    </row>
    <row r="2" spans="1:7" s="95" customFormat="1" ht="20.100000000000001" customHeight="1">
      <c r="A2" s="1633" t="s">
        <v>3249</v>
      </c>
      <c r="B2" s="1634"/>
      <c r="C2" s="1634"/>
      <c r="D2" s="1634"/>
      <c r="E2" s="1634"/>
      <c r="F2" s="1634"/>
      <c r="G2" s="1634"/>
    </row>
    <row r="3" spans="1:7" s="744" customFormat="1" ht="19.5" customHeight="1">
      <c r="A3" s="1264" t="s">
        <v>253</v>
      </c>
      <c r="B3" s="1264" t="s">
        <v>737</v>
      </c>
      <c r="C3" s="1264" t="s">
        <v>3207</v>
      </c>
      <c r="D3" s="1264" t="s">
        <v>738</v>
      </c>
      <c r="E3" s="1264" t="s">
        <v>739</v>
      </c>
      <c r="F3" s="1264" t="s">
        <v>3208</v>
      </c>
      <c r="G3" s="1264" t="s">
        <v>3209</v>
      </c>
    </row>
    <row r="4" spans="1:7" s="744" customFormat="1" ht="19.5" customHeight="1">
      <c r="A4" s="1264" t="s">
        <v>740</v>
      </c>
      <c r="B4" s="1269" t="s">
        <v>741</v>
      </c>
      <c r="C4" s="1269" t="s">
        <v>460</v>
      </c>
      <c r="D4" s="1265">
        <v>189518.7</v>
      </c>
      <c r="E4" s="1265">
        <f>ROUND(D4*1.1,2)</f>
        <v>208470.57</v>
      </c>
      <c r="F4" s="1264">
        <v>193683.31</v>
      </c>
      <c r="G4" s="1265">
        <f>F4-E4</f>
        <v>-14787.260000000009</v>
      </c>
    </row>
    <row r="5" spans="1:7" s="744" customFormat="1" ht="19.5" customHeight="1">
      <c r="A5" s="1264" t="s">
        <v>740</v>
      </c>
      <c r="B5" s="1269" t="s">
        <v>742</v>
      </c>
      <c r="C5" s="1269" t="s">
        <v>460</v>
      </c>
      <c r="D5" s="1265">
        <v>129269.9</v>
      </c>
      <c r="E5" s="1265">
        <f t="shared" ref="E5:E68" si="0">ROUND(D5*1.1,2)</f>
        <v>142196.89000000001</v>
      </c>
      <c r="F5" s="1264">
        <v>131951.76999999999</v>
      </c>
      <c r="G5" s="1265">
        <f t="shared" ref="G5:G8" si="1">F5-E5</f>
        <v>-10245.120000000024</v>
      </c>
    </row>
    <row r="6" spans="1:7" s="744" customFormat="1" ht="19.5" customHeight="1">
      <c r="A6" s="1264" t="s">
        <v>740</v>
      </c>
      <c r="B6" s="1269" t="s">
        <v>743</v>
      </c>
      <c r="C6" s="1269" t="s">
        <v>460</v>
      </c>
      <c r="D6" s="1265">
        <v>69546.2</v>
      </c>
      <c r="E6" s="1265">
        <f t="shared" si="0"/>
        <v>76500.820000000007</v>
      </c>
      <c r="F6" s="1264">
        <v>74522.509999999995</v>
      </c>
      <c r="G6" s="1265">
        <f t="shared" si="1"/>
        <v>-1978.3100000000122</v>
      </c>
    </row>
    <row r="7" spans="1:7" s="744" customFormat="1" ht="19.5" customHeight="1">
      <c r="A7" s="1264" t="s">
        <v>740</v>
      </c>
      <c r="B7" s="1269" t="s">
        <v>744</v>
      </c>
      <c r="C7" s="1269" t="s">
        <v>3071</v>
      </c>
      <c r="D7" s="1265"/>
      <c r="E7" s="1265">
        <f t="shared" si="0"/>
        <v>0</v>
      </c>
      <c r="F7" s="1264"/>
      <c r="G7" s="1265">
        <f t="shared" si="1"/>
        <v>0</v>
      </c>
    </row>
    <row r="8" spans="1:7" s="744" customFormat="1" ht="19.5" customHeight="1">
      <c r="A8" s="1264" t="s">
        <v>740</v>
      </c>
      <c r="B8" s="247" t="s">
        <v>244</v>
      </c>
      <c r="C8" s="247" t="s">
        <v>2381</v>
      </c>
      <c r="D8" s="1265">
        <v>396192.1</v>
      </c>
      <c r="E8" s="1265">
        <f t="shared" si="0"/>
        <v>435811.31</v>
      </c>
      <c r="F8" s="1266"/>
      <c r="G8" s="1265">
        <f t="shared" si="1"/>
        <v>-435811.31</v>
      </c>
    </row>
    <row r="9" spans="1:7" s="744" customFormat="1" ht="19.5" customHeight="1">
      <c r="A9" s="1267" t="s">
        <v>254</v>
      </c>
      <c r="B9" s="1268"/>
      <c r="C9" s="1268"/>
      <c r="D9" s="1265">
        <f>SUM(D4:D8)</f>
        <v>784526.89999999991</v>
      </c>
      <c r="E9" s="1265">
        <f>SUM(E4:E8)</f>
        <v>862979.59000000008</v>
      </c>
      <c r="F9" s="1265">
        <f t="shared" ref="F9:G9" si="2">SUM(F4:F8)</f>
        <v>400157.58999999997</v>
      </c>
      <c r="G9" s="1265">
        <f t="shared" si="2"/>
        <v>-462822.00000000006</v>
      </c>
    </row>
    <row r="10" spans="1:7" s="744" customFormat="1" ht="19.5" customHeight="1">
      <c r="A10" s="1264" t="s">
        <v>745</v>
      </c>
      <c r="B10" s="1268" t="s">
        <v>165</v>
      </c>
      <c r="C10" s="1268" t="s">
        <v>463</v>
      </c>
      <c r="D10" s="1265">
        <v>209862.5</v>
      </c>
      <c r="E10" s="1265">
        <f t="shared" si="0"/>
        <v>230848.75</v>
      </c>
      <c r="F10" s="1264">
        <v>208304.27</v>
      </c>
      <c r="G10" s="1265">
        <f>F10-E10</f>
        <v>-22544.48000000001</v>
      </c>
    </row>
    <row r="11" spans="1:7" s="744" customFormat="1" ht="19.5" customHeight="1">
      <c r="A11" s="1264" t="s">
        <v>745</v>
      </c>
      <c r="B11" s="1268" t="s">
        <v>166</v>
      </c>
      <c r="C11" s="1268" t="s">
        <v>460</v>
      </c>
      <c r="D11" s="1265">
        <v>42995.4</v>
      </c>
      <c r="E11" s="1265">
        <f t="shared" si="0"/>
        <v>47294.94</v>
      </c>
      <c r="F11" s="1264">
        <v>43832.26</v>
      </c>
      <c r="G11" s="1265">
        <f t="shared" ref="G11:G14" si="3">F11-E11</f>
        <v>-3462.6800000000003</v>
      </c>
    </row>
    <row r="12" spans="1:7" s="744" customFormat="1" ht="19.5" customHeight="1">
      <c r="A12" s="1264" t="s">
        <v>745</v>
      </c>
      <c r="B12" s="1268" t="s">
        <v>167</v>
      </c>
      <c r="C12" s="1268" t="s">
        <v>460</v>
      </c>
      <c r="D12" s="1265">
        <v>93588.800000000003</v>
      </c>
      <c r="E12" s="1265">
        <f t="shared" si="0"/>
        <v>102947.68</v>
      </c>
      <c r="F12" s="1264">
        <v>100267.45</v>
      </c>
      <c r="G12" s="1265">
        <f t="shared" si="3"/>
        <v>-2680.2299999999959</v>
      </c>
    </row>
    <row r="13" spans="1:7" s="744" customFormat="1" ht="19.5" customHeight="1">
      <c r="A13" s="1264" t="s">
        <v>745</v>
      </c>
      <c r="B13" s="1268" t="s">
        <v>168</v>
      </c>
      <c r="C13" s="1268" t="s">
        <v>460</v>
      </c>
      <c r="D13" s="1265">
        <v>131567.6</v>
      </c>
      <c r="E13" s="1265">
        <f t="shared" si="0"/>
        <v>144724.35999999999</v>
      </c>
      <c r="F13" s="1264">
        <v>147012.81</v>
      </c>
      <c r="G13" s="1265">
        <f t="shared" si="3"/>
        <v>2288.4500000000116</v>
      </c>
    </row>
    <row r="14" spans="1:7" s="744" customFormat="1" ht="19.5" customHeight="1">
      <c r="A14" s="1264" t="s">
        <v>745</v>
      </c>
      <c r="B14" s="1268" t="s">
        <v>169</v>
      </c>
      <c r="C14" s="1268" t="s">
        <v>3071</v>
      </c>
      <c r="D14" s="1265">
        <v>16092</v>
      </c>
      <c r="E14" s="1265">
        <f t="shared" si="0"/>
        <v>17701.2</v>
      </c>
      <c r="F14" s="1264">
        <v>13452.99</v>
      </c>
      <c r="G14" s="1265">
        <f t="shared" si="3"/>
        <v>-4248.2100000000009</v>
      </c>
    </row>
    <row r="15" spans="1:7" s="744" customFormat="1" ht="19.5" customHeight="1">
      <c r="A15" s="1267" t="s">
        <v>255</v>
      </c>
      <c r="B15" s="1268"/>
      <c r="C15" s="1268"/>
      <c r="D15" s="1265">
        <f>SUM(D10:D14)</f>
        <v>494106.30000000005</v>
      </c>
      <c r="E15" s="1265">
        <f>SUM(E10:E14)</f>
        <v>543516.92999999993</v>
      </c>
      <c r="F15" s="1265">
        <f t="shared" ref="F15:G15" si="4">SUM(F10:F14)</f>
        <v>512869.77999999997</v>
      </c>
      <c r="G15" s="1265">
        <f t="shared" si="4"/>
        <v>-30647.149999999994</v>
      </c>
    </row>
    <row r="16" spans="1:7" s="744" customFormat="1" ht="19.5" customHeight="1">
      <c r="A16" s="1264" t="s">
        <v>746</v>
      </c>
      <c r="B16" s="247" t="s">
        <v>237</v>
      </c>
      <c r="C16" s="247" t="s">
        <v>464</v>
      </c>
      <c r="D16" s="1265">
        <v>865549.6</v>
      </c>
      <c r="E16" s="1265">
        <f t="shared" si="0"/>
        <v>952104.56</v>
      </c>
      <c r="F16" s="1264">
        <v>924669.67</v>
      </c>
      <c r="G16" s="1265">
        <f>F16-E16</f>
        <v>-27434.890000000014</v>
      </c>
    </row>
    <row r="17" spans="1:7" s="744" customFormat="1" ht="19.5" customHeight="1">
      <c r="A17" s="1264" t="s">
        <v>746</v>
      </c>
      <c r="B17" s="247" t="s">
        <v>238</v>
      </c>
      <c r="C17" s="247" t="s">
        <v>464</v>
      </c>
      <c r="D17" s="1265">
        <v>295481.5</v>
      </c>
      <c r="E17" s="1265">
        <f t="shared" si="0"/>
        <v>325029.65000000002</v>
      </c>
      <c r="F17" s="1264">
        <v>309908.96999999997</v>
      </c>
      <c r="G17" s="1265">
        <f t="shared" ref="G17:G35" si="5">F17-E17</f>
        <v>-15120.680000000051</v>
      </c>
    </row>
    <row r="18" spans="1:7" s="744" customFormat="1" ht="19.5" customHeight="1">
      <c r="A18" s="1264" t="s">
        <v>746</v>
      </c>
      <c r="B18" s="247" t="s">
        <v>236</v>
      </c>
      <c r="C18" s="247" t="s">
        <v>464</v>
      </c>
      <c r="D18" s="1265">
        <v>246474.3</v>
      </c>
      <c r="E18" s="1265">
        <f t="shared" si="0"/>
        <v>271121.73</v>
      </c>
      <c r="F18" s="1264">
        <v>254270.78</v>
      </c>
      <c r="G18" s="1265">
        <f t="shared" si="5"/>
        <v>-16850.949999999983</v>
      </c>
    </row>
    <row r="19" spans="1:7" s="744" customFormat="1" ht="19.5" customHeight="1">
      <c r="A19" s="1264" t="s">
        <v>746</v>
      </c>
      <c r="B19" s="247" t="s">
        <v>239</v>
      </c>
      <c r="C19" s="247" t="s">
        <v>464</v>
      </c>
      <c r="D19" s="1265">
        <v>314137.90000000002</v>
      </c>
      <c r="E19" s="1265">
        <f t="shared" si="0"/>
        <v>345551.69</v>
      </c>
      <c r="F19" s="1264">
        <v>339627.28</v>
      </c>
      <c r="G19" s="1265">
        <f t="shared" si="5"/>
        <v>-5924.4099999999744</v>
      </c>
    </row>
    <row r="20" spans="1:7" s="744" customFormat="1" ht="19.5" customHeight="1">
      <c r="A20" s="1264" t="s">
        <v>746</v>
      </c>
      <c r="B20" s="247" t="s">
        <v>241</v>
      </c>
      <c r="C20" s="247" t="s">
        <v>463</v>
      </c>
      <c r="D20" s="1265">
        <v>1068709.5</v>
      </c>
      <c r="E20" s="1265">
        <f t="shared" si="0"/>
        <v>1175580.45</v>
      </c>
      <c r="F20" s="1264">
        <v>1135887</v>
      </c>
      <c r="G20" s="1265">
        <f t="shared" si="5"/>
        <v>-39693.449999999953</v>
      </c>
    </row>
    <row r="21" spans="1:7" s="744" customFormat="1" ht="19.5" customHeight="1">
      <c r="A21" s="1264" t="s">
        <v>746</v>
      </c>
      <c r="B21" s="247" t="s">
        <v>242</v>
      </c>
      <c r="C21" s="247" t="s">
        <v>463</v>
      </c>
      <c r="D21" s="1265">
        <v>190081.3</v>
      </c>
      <c r="E21" s="1265">
        <f t="shared" si="0"/>
        <v>209089.43</v>
      </c>
      <c r="F21" s="1264">
        <v>191124.42</v>
      </c>
      <c r="G21" s="1265">
        <f t="shared" si="5"/>
        <v>-17965.00999999998</v>
      </c>
    </row>
    <row r="22" spans="1:7" s="744" customFormat="1" ht="19.5" customHeight="1">
      <c r="A22" s="1264" t="s">
        <v>746</v>
      </c>
      <c r="B22" s="247" t="s">
        <v>243</v>
      </c>
      <c r="C22" s="247" t="s">
        <v>463</v>
      </c>
      <c r="D22" s="1265">
        <v>415048.9</v>
      </c>
      <c r="E22" s="1265">
        <f t="shared" si="0"/>
        <v>456553.79</v>
      </c>
      <c r="F22" s="1264">
        <v>436583.54</v>
      </c>
      <c r="G22" s="1265">
        <f t="shared" si="5"/>
        <v>-19970.25</v>
      </c>
    </row>
    <row r="23" spans="1:7" s="744" customFormat="1" ht="19.5" customHeight="1">
      <c r="A23" s="1264" t="s">
        <v>746</v>
      </c>
      <c r="B23" s="247" t="s">
        <v>240</v>
      </c>
      <c r="C23" s="247" t="s">
        <v>463</v>
      </c>
      <c r="D23" s="1265">
        <v>179132.4</v>
      </c>
      <c r="E23" s="1265">
        <f t="shared" si="0"/>
        <v>197045.64</v>
      </c>
      <c r="F23" s="1264">
        <v>183019.23</v>
      </c>
      <c r="G23" s="1265">
        <f t="shared" si="5"/>
        <v>-14026.410000000003</v>
      </c>
    </row>
    <row r="24" spans="1:7" s="744" customFormat="1" ht="19.5" customHeight="1">
      <c r="A24" s="1264" t="s">
        <v>746</v>
      </c>
      <c r="B24" s="247" t="s">
        <v>747</v>
      </c>
      <c r="C24" s="247" t="s">
        <v>463</v>
      </c>
      <c r="D24" s="1265">
        <v>384835.5</v>
      </c>
      <c r="E24" s="1265">
        <f t="shared" si="0"/>
        <v>423319.05</v>
      </c>
      <c r="F24" s="1264">
        <v>417040.48</v>
      </c>
      <c r="G24" s="1265">
        <f t="shared" si="5"/>
        <v>-6278.570000000007</v>
      </c>
    </row>
    <row r="25" spans="1:7" s="744" customFormat="1" ht="19.5" customHeight="1">
      <c r="A25" s="1264" t="s">
        <v>746</v>
      </c>
      <c r="B25" s="1269" t="s">
        <v>748</v>
      </c>
      <c r="C25" s="1269" t="s">
        <v>460</v>
      </c>
      <c r="D25" s="1265">
        <v>267909</v>
      </c>
      <c r="E25" s="1265">
        <f t="shared" si="0"/>
        <v>294699.90000000002</v>
      </c>
      <c r="F25" s="1264">
        <v>283036.45</v>
      </c>
      <c r="G25" s="1265">
        <f t="shared" si="5"/>
        <v>-11663.450000000012</v>
      </c>
    </row>
    <row r="26" spans="1:7" s="744" customFormat="1" ht="19.5" customHeight="1">
      <c r="A26" s="1264" t="s">
        <v>746</v>
      </c>
      <c r="B26" s="1269" t="s">
        <v>749</v>
      </c>
      <c r="C26" s="1269" t="s">
        <v>460</v>
      </c>
      <c r="D26" s="1265">
        <v>124082.2</v>
      </c>
      <c r="E26" s="1265">
        <f t="shared" si="0"/>
        <v>136490.42000000001</v>
      </c>
      <c r="F26" s="1264">
        <v>123145.57</v>
      </c>
      <c r="G26" s="1265">
        <f t="shared" si="5"/>
        <v>-13344.850000000006</v>
      </c>
    </row>
    <row r="27" spans="1:7" s="744" customFormat="1" ht="19.5" customHeight="1">
      <c r="A27" s="1264" t="s">
        <v>746</v>
      </c>
      <c r="B27" s="1269" t="s">
        <v>750</v>
      </c>
      <c r="C27" s="1269" t="s">
        <v>460</v>
      </c>
      <c r="D27" s="1265">
        <v>125060.4</v>
      </c>
      <c r="E27" s="1265">
        <f t="shared" si="0"/>
        <v>137566.44</v>
      </c>
      <c r="F27" s="1264">
        <v>134361.5</v>
      </c>
      <c r="G27" s="1265">
        <f t="shared" si="5"/>
        <v>-3204.9400000000023</v>
      </c>
    </row>
    <row r="28" spans="1:7" s="744" customFormat="1" ht="19.5" customHeight="1">
      <c r="A28" s="1264" t="s">
        <v>746</v>
      </c>
      <c r="B28" s="1269" t="s">
        <v>751</v>
      </c>
      <c r="C28" s="1269" t="s">
        <v>460</v>
      </c>
      <c r="D28" s="1265">
        <v>82606.600000000006</v>
      </c>
      <c r="E28" s="1265">
        <f t="shared" si="0"/>
        <v>90867.26</v>
      </c>
      <c r="F28" s="1264">
        <v>85637.52</v>
      </c>
      <c r="G28" s="1265">
        <f t="shared" si="5"/>
        <v>-5229.7399999999907</v>
      </c>
    </row>
    <row r="29" spans="1:7" s="744" customFormat="1" ht="19.5" customHeight="1">
      <c r="A29" s="1264" t="s">
        <v>746</v>
      </c>
      <c r="B29" s="1269" t="s">
        <v>752</v>
      </c>
      <c r="C29" s="1269" t="s">
        <v>460</v>
      </c>
      <c r="D29" s="1265">
        <v>115195</v>
      </c>
      <c r="E29" s="1265">
        <f t="shared" si="0"/>
        <v>126714.5</v>
      </c>
      <c r="F29" s="1264">
        <v>116543.74</v>
      </c>
      <c r="G29" s="1265">
        <f t="shared" si="5"/>
        <v>-10170.759999999995</v>
      </c>
    </row>
    <row r="30" spans="1:7" s="744" customFormat="1" ht="19.5" customHeight="1">
      <c r="A30" s="1264" t="s">
        <v>746</v>
      </c>
      <c r="B30" s="1269" t="s">
        <v>509</v>
      </c>
      <c r="C30" s="1269" t="s">
        <v>460</v>
      </c>
      <c r="D30" s="1265">
        <v>55772.3</v>
      </c>
      <c r="E30" s="1265">
        <f t="shared" si="0"/>
        <v>61349.53</v>
      </c>
      <c r="F30" s="1264">
        <v>83917.19</v>
      </c>
      <c r="G30" s="1265">
        <f t="shared" si="5"/>
        <v>22567.660000000003</v>
      </c>
    </row>
    <row r="31" spans="1:7" s="744" customFormat="1" ht="19.5" customHeight="1">
      <c r="A31" s="1264" t="s">
        <v>746</v>
      </c>
      <c r="B31" s="1269" t="s">
        <v>511</v>
      </c>
      <c r="C31" s="1269" t="s">
        <v>460</v>
      </c>
      <c r="D31" s="1265">
        <v>46494.9</v>
      </c>
      <c r="E31" s="1265">
        <f t="shared" si="0"/>
        <v>51144.39</v>
      </c>
      <c r="F31" s="1264">
        <v>53683.56</v>
      </c>
      <c r="G31" s="1265">
        <f t="shared" si="5"/>
        <v>2539.1699999999983</v>
      </c>
    </row>
    <row r="32" spans="1:7" s="744" customFormat="1" ht="19.5" customHeight="1">
      <c r="A32" s="1264" t="s">
        <v>746</v>
      </c>
      <c r="B32" s="1269" t="s">
        <v>755</v>
      </c>
      <c r="C32" s="1269" t="s">
        <v>460</v>
      </c>
      <c r="D32" s="1265">
        <v>225245.2</v>
      </c>
      <c r="E32" s="1265">
        <f t="shared" si="0"/>
        <v>247769.72</v>
      </c>
      <c r="F32" s="1264">
        <v>14121.14</v>
      </c>
      <c r="G32" s="1265">
        <f t="shared" si="5"/>
        <v>-233648.58000000002</v>
      </c>
    </row>
    <row r="33" spans="1:7" s="744" customFormat="1" ht="19.5" customHeight="1">
      <c r="A33" s="1264" t="s">
        <v>746</v>
      </c>
      <c r="B33" s="1269" t="s">
        <v>513</v>
      </c>
      <c r="C33" s="1269" t="s">
        <v>460</v>
      </c>
      <c r="D33" s="1265">
        <v>26357</v>
      </c>
      <c r="E33" s="1265">
        <f t="shared" si="0"/>
        <v>28992.7</v>
      </c>
      <c r="F33" s="1264">
        <v>30792.94</v>
      </c>
      <c r="G33" s="1265">
        <f t="shared" si="5"/>
        <v>1800.239999999998</v>
      </c>
    </row>
    <row r="34" spans="1:7" s="744" customFormat="1" ht="19.5" customHeight="1">
      <c r="A34" s="1264" t="s">
        <v>746</v>
      </c>
      <c r="B34" s="1269" t="s">
        <v>265</v>
      </c>
      <c r="C34" s="1269" t="s">
        <v>2381</v>
      </c>
      <c r="D34" s="1265">
        <v>166267.35999999999</v>
      </c>
      <c r="E34" s="1265">
        <f t="shared" si="0"/>
        <v>182894.1</v>
      </c>
      <c r="F34" s="1264">
        <v>275780.02</v>
      </c>
      <c r="G34" s="1265">
        <f t="shared" si="5"/>
        <v>92885.920000000013</v>
      </c>
    </row>
    <row r="35" spans="1:7" s="744" customFormat="1" ht="19.5" customHeight="1">
      <c r="A35" s="1264" t="s">
        <v>746</v>
      </c>
      <c r="B35" s="1269" t="s">
        <v>757</v>
      </c>
      <c r="C35" s="1269" t="s">
        <v>3071</v>
      </c>
      <c r="D35" s="1265">
        <v>23315</v>
      </c>
      <c r="E35" s="1265">
        <f t="shared" si="0"/>
        <v>25646.5</v>
      </c>
      <c r="F35" s="1264">
        <v>24003.040000000001</v>
      </c>
      <c r="G35" s="1265">
        <f t="shared" si="5"/>
        <v>-1643.4599999999991</v>
      </c>
    </row>
    <row r="36" spans="1:7" s="744" customFormat="1" ht="19.5" customHeight="1">
      <c r="A36" s="1267" t="s">
        <v>256</v>
      </c>
      <c r="B36" s="1268"/>
      <c r="C36" s="1268"/>
      <c r="D36" s="1265">
        <f>SUM(D16:D35)</f>
        <v>5217755.8600000013</v>
      </c>
      <c r="E36" s="1265">
        <f>SUM(E16:E35)</f>
        <v>5739531.4500000002</v>
      </c>
      <c r="F36" s="1265">
        <f t="shared" ref="F36:G36" si="6">SUM(F16:F35)</f>
        <v>5417154.04</v>
      </c>
      <c r="G36" s="1265">
        <f t="shared" si="6"/>
        <v>-322377.40999999997</v>
      </c>
    </row>
    <row r="37" spans="1:7" s="744" customFormat="1" ht="19.5" customHeight="1">
      <c r="A37" s="1264" t="s">
        <v>758</v>
      </c>
      <c r="B37" s="247" t="s">
        <v>227</v>
      </c>
      <c r="C37" s="247" t="s">
        <v>464</v>
      </c>
      <c r="D37" s="1265">
        <v>275160.5</v>
      </c>
      <c r="E37" s="1265">
        <f t="shared" si="0"/>
        <v>302676.55</v>
      </c>
      <c r="F37" s="1264">
        <v>274838.28999999998</v>
      </c>
      <c r="G37" s="1265">
        <f>F37-E37</f>
        <v>-27838.260000000009</v>
      </c>
    </row>
    <row r="38" spans="1:7" s="744" customFormat="1" ht="19.5" customHeight="1">
      <c r="A38" s="1264" t="s">
        <v>758</v>
      </c>
      <c r="B38" s="247" t="s">
        <v>228</v>
      </c>
      <c r="C38" s="247" t="s">
        <v>464</v>
      </c>
      <c r="D38" s="1265">
        <v>266052.40000000002</v>
      </c>
      <c r="E38" s="1265">
        <f t="shared" si="0"/>
        <v>292657.64</v>
      </c>
      <c r="F38" s="1264">
        <v>276102.53999999998</v>
      </c>
      <c r="G38" s="1265">
        <f t="shared" ref="G38:G55" si="7">F38-E38</f>
        <v>-16555.100000000035</v>
      </c>
    </row>
    <row r="39" spans="1:7" s="744" customFormat="1" ht="19.5" customHeight="1">
      <c r="A39" s="1264" t="s">
        <v>758</v>
      </c>
      <c r="B39" s="1269" t="s">
        <v>230</v>
      </c>
      <c r="C39" s="1269" t="s">
        <v>2381</v>
      </c>
      <c r="D39" s="1265">
        <v>190670.4</v>
      </c>
      <c r="E39" s="1265">
        <f t="shared" si="0"/>
        <v>209737.44</v>
      </c>
      <c r="F39" s="1264">
        <v>276047.02</v>
      </c>
      <c r="G39" s="1265">
        <f t="shared" si="7"/>
        <v>66309.580000000016</v>
      </c>
    </row>
    <row r="40" spans="1:7" s="744" customFormat="1" ht="19.5" customHeight="1">
      <c r="A40" s="1264" t="s">
        <v>758</v>
      </c>
      <c r="B40" s="247" t="s">
        <v>229</v>
      </c>
      <c r="C40" s="247" t="s">
        <v>464</v>
      </c>
      <c r="D40" s="1265">
        <v>229771.8</v>
      </c>
      <c r="E40" s="1265">
        <f t="shared" si="0"/>
        <v>252748.98</v>
      </c>
      <c r="F40" s="1264">
        <v>268267.24</v>
      </c>
      <c r="G40" s="1265">
        <f t="shared" si="7"/>
        <v>15518.25999999998</v>
      </c>
    </row>
    <row r="41" spans="1:7" s="744" customFormat="1" ht="19.5" customHeight="1">
      <c r="A41" s="1264" t="s">
        <v>758</v>
      </c>
      <c r="B41" s="1269" t="s">
        <v>235</v>
      </c>
      <c r="C41" s="1269" t="s">
        <v>2381</v>
      </c>
      <c r="D41" s="1265">
        <v>37480</v>
      </c>
      <c r="E41" s="1265">
        <f t="shared" si="0"/>
        <v>41228</v>
      </c>
      <c r="F41" s="1264">
        <v>76843.02</v>
      </c>
      <c r="G41" s="1265">
        <f t="shared" si="7"/>
        <v>35615.020000000004</v>
      </c>
    </row>
    <row r="42" spans="1:7" s="744" customFormat="1" ht="19.5" customHeight="1">
      <c r="A42" s="1264" t="s">
        <v>758</v>
      </c>
      <c r="B42" s="247" t="s">
        <v>231</v>
      </c>
      <c r="C42" s="247" t="s">
        <v>463</v>
      </c>
      <c r="D42" s="1265">
        <v>264193.8</v>
      </c>
      <c r="E42" s="1265">
        <f t="shared" si="0"/>
        <v>290613.18</v>
      </c>
      <c r="F42" s="1264">
        <v>298994.18</v>
      </c>
      <c r="G42" s="1265">
        <f t="shared" si="7"/>
        <v>8381</v>
      </c>
    </row>
    <row r="43" spans="1:7" s="744" customFormat="1" ht="19.5" customHeight="1">
      <c r="A43" s="1264" t="s">
        <v>758</v>
      </c>
      <c r="B43" s="247" t="s">
        <v>232</v>
      </c>
      <c r="C43" s="247" t="s">
        <v>463</v>
      </c>
      <c r="D43" s="1265">
        <v>242458.6</v>
      </c>
      <c r="E43" s="1265">
        <f t="shared" si="0"/>
        <v>266704.46000000002</v>
      </c>
      <c r="F43" s="1264">
        <v>263795.69</v>
      </c>
      <c r="G43" s="1265">
        <f t="shared" si="7"/>
        <v>-2908.7700000000186</v>
      </c>
    </row>
    <row r="44" spans="1:7" s="744" customFormat="1" ht="19.5" customHeight="1">
      <c r="A44" s="1264" t="s">
        <v>758</v>
      </c>
      <c r="B44" s="247" t="s">
        <v>234</v>
      </c>
      <c r="C44" s="247" t="s">
        <v>463</v>
      </c>
      <c r="D44" s="1265">
        <v>149211</v>
      </c>
      <c r="E44" s="1265">
        <f t="shared" si="0"/>
        <v>164132.1</v>
      </c>
      <c r="F44" s="1264">
        <v>177473.63</v>
      </c>
      <c r="G44" s="1265">
        <f t="shared" si="7"/>
        <v>13341.529999999999</v>
      </c>
    </row>
    <row r="45" spans="1:7" s="744" customFormat="1" ht="19.5" customHeight="1">
      <c r="A45" s="1264" t="s">
        <v>758</v>
      </c>
      <c r="B45" s="247" t="s">
        <v>233</v>
      </c>
      <c r="C45" s="247" t="s">
        <v>463</v>
      </c>
      <c r="D45" s="1265">
        <v>265218.40000000002</v>
      </c>
      <c r="E45" s="1265">
        <f t="shared" si="0"/>
        <v>291740.24</v>
      </c>
      <c r="F45" s="1264">
        <v>283463.56</v>
      </c>
      <c r="G45" s="1265">
        <f t="shared" si="7"/>
        <v>-8276.679999999993</v>
      </c>
    </row>
    <row r="46" spans="1:7" s="744" customFormat="1" ht="19.5" customHeight="1">
      <c r="A46" s="1264" t="s">
        <v>758</v>
      </c>
      <c r="B46" s="1268" t="s">
        <v>759</v>
      </c>
      <c r="C46" s="1268" t="s">
        <v>463</v>
      </c>
      <c r="D46" s="1265">
        <v>176846.3</v>
      </c>
      <c r="E46" s="1265">
        <f t="shared" si="0"/>
        <v>194530.93</v>
      </c>
      <c r="F46" s="1264">
        <v>202925.92</v>
      </c>
      <c r="G46" s="1265">
        <f t="shared" si="7"/>
        <v>8394.9900000000198</v>
      </c>
    </row>
    <row r="47" spans="1:7" s="744" customFormat="1" ht="19.5" customHeight="1">
      <c r="A47" s="1264" t="s">
        <v>758</v>
      </c>
      <c r="B47" s="1269" t="s">
        <v>760</v>
      </c>
      <c r="C47" s="1269" t="s">
        <v>460</v>
      </c>
      <c r="D47" s="1265">
        <v>161498.79999999999</v>
      </c>
      <c r="E47" s="1265">
        <f t="shared" si="0"/>
        <v>177648.68</v>
      </c>
      <c r="F47" s="1264">
        <v>170452.59</v>
      </c>
      <c r="G47" s="1265">
        <f t="shared" si="7"/>
        <v>-7196.0899999999965</v>
      </c>
    </row>
    <row r="48" spans="1:7" s="744" customFormat="1" ht="19.5" customHeight="1">
      <c r="A48" s="1264" t="s">
        <v>758</v>
      </c>
      <c r="B48" s="1269" t="s">
        <v>761</v>
      </c>
      <c r="C48" s="1269" t="s">
        <v>460</v>
      </c>
      <c r="D48" s="1265">
        <v>173582.7</v>
      </c>
      <c r="E48" s="1265">
        <f t="shared" si="0"/>
        <v>190940.97</v>
      </c>
      <c r="F48" s="1264">
        <v>185442.83</v>
      </c>
      <c r="G48" s="1265">
        <f t="shared" si="7"/>
        <v>-5498.140000000014</v>
      </c>
    </row>
    <row r="49" spans="1:9" s="744" customFormat="1" ht="19.5" customHeight="1" outlineLevel="2">
      <c r="A49" s="1264" t="s">
        <v>758</v>
      </c>
      <c r="B49" s="1269" t="s">
        <v>537</v>
      </c>
      <c r="C49" s="1269" t="s">
        <v>460</v>
      </c>
      <c r="D49" s="1265">
        <v>145546.4</v>
      </c>
      <c r="E49" s="1265">
        <f t="shared" si="0"/>
        <v>160101.04</v>
      </c>
      <c r="F49" s="1264">
        <v>161768.26</v>
      </c>
      <c r="G49" s="1265">
        <f t="shared" si="7"/>
        <v>1667.2200000000012</v>
      </c>
    </row>
    <row r="50" spans="1:9" s="744" customFormat="1" ht="19.5" customHeight="1" outlineLevel="2">
      <c r="A50" s="1264" t="s">
        <v>758</v>
      </c>
      <c r="B50" s="1269" t="s">
        <v>763</v>
      </c>
      <c r="C50" s="1269" t="s">
        <v>460</v>
      </c>
      <c r="D50" s="1265">
        <v>48239.5</v>
      </c>
      <c r="E50" s="1265">
        <f t="shared" si="0"/>
        <v>53063.45</v>
      </c>
      <c r="F50" s="1264">
        <v>56119.48</v>
      </c>
      <c r="G50" s="1265">
        <f t="shared" si="7"/>
        <v>3056.0300000000061</v>
      </c>
    </row>
    <row r="51" spans="1:9" s="744" customFormat="1" ht="19.5" customHeight="1" outlineLevel="2">
      <c r="A51" s="1264" t="s">
        <v>758</v>
      </c>
      <c r="B51" s="1269" t="s">
        <v>764</v>
      </c>
      <c r="C51" s="1269" t="s">
        <v>460</v>
      </c>
      <c r="D51" s="1265">
        <v>62856.6</v>
      </c>
      <c r="E51" s="1265">
        <f t="shared" si="0"/>
        <v>69142.259999999995</v>
      </c>
      <c r="F51" s="1264">
        <v>69282.89</v>
      </c>
      <c r="G51" s="1265">
        <f t="shared" si="7"/>
        <v>140.63000000000466</v>
      </c>
    </row>
    <row r="52" spans="1:9" s="744" customFormat="1" ht="19.5" customHeight="1" outlineLevel="2">
      <c r="A52" s="1264" t="s">
        <v>758</v>
      </c>
      <c r="B52" s="1269" t="s">
        <v>535</v>
      </c>
      <c r="C52" s="1269" t="s">
        <v>460</v>
      </c>
      <c r="D52" s="1265">
        <v>60660.1</v>
      </c>
      <c r="E52" s="1265">
        <f t="shared" si="0"/>
        <v>66726.11</v>
      </c>
      <c r="F52" s="1264">
        <v>71718.95</v>
      </c>
      <c r="G52" s="1265">
        <f t="shared" si="7"/>
        <v>4992.8399999999965</v>
      </c>
    </row>
    <row r="53" spans="1:9" s="744" customFormat="1" ht="19.5" customHeight="1" outlineLevel="2">
      <c r="A53" s="1264" t="s">
        <v>758</v>
      </c>
      <c r="B53" s="1269" t="s">
        <v>766</v>
      </c>
      <c r="C53" s="1269" t="s">
        <v>460</v>
      </c>
      <c r="D53" s="1265">
        <v>104392.9</v>
      </c>
      <c r="E53" s="1265">
        <f t="shared" si="0"/>
        <v>114832.19</v>
      </c>
      <c r="F53" s="1264">
        <v>114132.01</v>
      </c>
      <c r="G53" s="1265">
        <f t="shared" si="7"/>
        <v>-700.18000000000757</v>
      </c>
    </row>
    <row r="54" spans="1:9" s="744" customFormat="1" ht="19.5" customHeight="1" outlineLevel="2">
      <c r="A54" s="1264" t="s">
        <v>758</v>
      </c>
      <c r="B54" s="1269" t="s">
        <v>767</v>
      </c>
      <c r="C54" s="1269" t="s">
        <v>460</v>
      </c>
      <c r="D54" s="1265">
        <v>99826.2</v>
      </c>
      <c r="E54" s="1265">
        <f t="shared" si="0"/>
        <v>109808.82</v>
      </c>
      <c r="F54" s="1264">
        <v>113054.15</v>
      </c>
      <c r="G54" s="1265">
        <f t="shared" si="7"/>
        <v>3245.3299999999872</v>
      </c>
    </row>
    <row r="55" spans="1:9" s="744" customFormat="1" ht="19.5" customHeight="1" outlineLevel="2">
      <c r="A55" s="1264" t="s">
        <v>758</v>
      </c>
      <c r="B55" s="1269" t="s">
        <v>768</v>
      </c>
      <c r="C55" s="1269" t="s">
        <v>3071</v>
      </c>
      <c r="D55" s="1265">
        <v>18453.5</v>
      </c>
      <c r="E55" s="1265">
        <f t="shared" si="0"/>
        <v>20298.849999999999</v>
      </c>
      <c r="F55" s="1264">
        <v>17328.55</v>
      </c>
      <c r="G55" s="1265">
        <f t="shared" si="7"/>
        <v>-2970.2999999999993</v>
      </c>
    </row>
    <row r="56" spans="1:9" s="744" customFormat="1" ht="19.5" customHeight="1" outlineLevel="1">
      <c r="A56" s="1267" t="s">
        <v>257</v>
      </c>
      <c r="B56" s="1268"/>
      <c r="C56" s="1268"/>
      <c r="D56" s="1265">
        <f>SUM(D37:D55)</f>
        <v>2972119.9000000008</v>
      </c>
      <c r="E56" s="1265">
        <f>SUM(E37:E55)</f>
        <v>3269331.89</v>
      </c>
      <c r="F56" s="1265">
        <f t="shared" ref="F56:G56" si="8">SUM(F37:F55)</f>
        <v>3358050.7999999993</v>
      </c>
      <c r="G56" s="1265">
        <f t="shared" si="8"/>
        <v>88718.909999999945</v>
      </c>
    </row>
    <row r="57" spans="1:9" s="744" customFormat="1" ht="19.5" customHeight="1" outlineLevel="2">
      <c r="A57" s="1264" t="s">
        <v>769</v>
      </c>
      <c r="B57" s="1268" t="s">
        <v>770</v>
      </c>
      <c r="C57" s="1268" t="s">
        <v>2381</v>
      </c>
      <c r="D57" s="1265">
        <v>3192.6</v>
      </c>
      <c r="E57" s="1265">
        <f t="shared" si="0"/>
        <v>3511.86</v>
      </c>
      <c r="F57" s="1264">
        <v>0</v>
      </c>
      <c r="G57" s="1265">
        <f>F57-E57</f>
        <v>-3511.86</v>
      </c>
    </row>
    <row r="58" spans="1:9" s="744" customFormat="1" ht="19.5" customHeight="1" outlineLevel="2">
      <c r="A58" s="1264" t="s">
        <v>769</v>
      </c>
      <c r="B58" s="1268" t="s">
        <v>771</v>
      </c>
      <c r="C58" s="1268" t="s">
        <v>464</v>
      </c>
      <c r="D58" s="1265">
        <v>219612.6</v>
      </c>
      <c r="E58" s="1265">
        <f t="shared" si="0"/>
        <v>241573.86</v>
      </c>
      <c r="F58" s="1264">
        <v>237285.37</v>
      </c>
      <c r="G58" s="1265">
        <f t="shared" ref="G58:G72" si="9">F58-E58</f>
        <v>-4288.4899999999907</v>
      </c>
    </row>
    <row r="59" spans="1:9" s="744" customFormat="1" ht="19.5" customHeight="1" outlineLevel="2">
      <c r="A59" s="1264" t="s">
        <v>769</v>
      </c>
      <c r="B59" s="1268" t="s">
        <v>380</v>
      </c>
      <c r="C59" s="1268" t="s">
        <v>464</v>
      </c>
      <c r="D59" s="1265">
        <v>221121.5</v>
      </c>
      <c r="E59" s="1265">
        <f t="shared" si="0"/>
        <v>243233.65</v>
      </c>
      <c r="F59" s="1264">
        <v>236628.94</v>
      </c>
      <c r="G59" s="1265">
        <f t="shared" si="9"/>
        <v>-6604.7099999999919</v>
      </c>
      <c r="H59" s="1270"/>
      <c r="I59" s="1270"/>
    </row>
    <row r="60" spans="1:9" s="744" customFormat="1" ht="19.5" customHeight="1" outlineLevel="2">
      <c r="A60" s="1264" t="s">
        <v>769</v>
      </c>
      <c r="B60" s="1268" t="s">
        <v>773</v>
      </c>
      <c r="C60" s="1268" t="s">
        <v>464</v>
      </c>
      <c r="D60" s="1265">
        <v>244049.3</v>
      </c>
      <c r="E60" s="1265">
        <f t="shared" si="0"/>
        <v>268454.23</v>
      </c>
      <c r="F60" s="1264">
        <v>280064.95</v>
      </c>
      <c r="G60" s="1265">
        <f t="shared" si="9"/>
        <v>11610.72000000003</v>
      </c>
      <c r="H60" s="1270"/>
      <c r="I60" s="1270"/>
    </row>
    <row r="61" spans="1:9" s="744" customFormat="1" ht="19.5" customHeight="1" outlineLevel="2">
      <c r="A61" s="1264" t="s">
        <v>769</v>
      </c>
      <c r="B61" s="1268" t="s">
        <v>774</v>
      </c>
      <c r="C61" s="1268" t="s">
        <v>463</v>
      </c>
      <c r="D61" s="1265"/>
      <c r="E61" s="1265">
        <f t="shared" si="0"/>
        <v>0</v>
      </c>
      <c r="F61" s="1264">
        <v>0</v>
      </c>
      <c r="G61" s="1265">
        <f t="shared" si="9"/>
        <v>0</v>
      </c>
      <c r="H61" s="1270"/>
      <c r="I61" s="1270"/>
    </row>
    <row r="62" spans="1:9" s="744" customFormat="1" ht="19.5" customHeight="1" outlineLevel="2">
      <c r="A62" s="1264" t="s">
        <v>769</v>
      </c>
      <c r="B62" s="1268" t="s">
        <v>775</v>
      </c>
      <c r="C62" s="1268" t="s">
        <v>463</v>
      </c>
      <c r="D62" s="1265">
        <v>192547</v>
      </c>
      <c r="E62" s="1265">
        <f t="shared" si="0"/>
        <v>211801.7</v>
      </c>
      <c r="F62" s="1264">
        <v>206131.9</v>
      </c>
      <c r="G62" s="1265">
        <f t="shared" si="9"/>
        <v>-5669.8000000000175</v>
      </c>
      <c r="H62" s="1270"/>
      <c r="I62" s="1270"/>
    </row>
    <row r="63" spans="1:9" s="744" customFormat="1" ht="19.5" customHeight="1" outlineLevel="2">
      <c r="A63" s="1264" t="s">
        <v>769</v>
      </c>
      <c r="B63" s="1268" t="s">
        <v>381</v>
      </c>
      <c r="C63" s="1268" t="s">
        <v>463</v>
      </c>
      <c r="D63" s="1265">
        <v>347807.6</v>
      </c>
      <c r="E63" s="1265">
        <f t="shared" si="0"/>
        <v>382588.36</v>
      </c>
      <c r="F63" s="1264">
        <v>365770.96</v>
      </c>
      <c r="G63" s="1265">
        <f t="shared" si="9"/>
        <v>-16817.399999999965</v>
      </c>
      <c r="H63" s="1270"/>
      <c r="I63" s="1270"/>
    </row>
    <row r="64" spans="1:9" s="744" customFormat="1" ht="19.5" customHeight="1" outlineLevel="2">
      <c r="A64" s="1264" t="s">
        <v>769</v>
      </c>
      <c r="B64" s="1268" t="s">
        <v>777</v>
      </c>
      <c r="C64" s="1268" t="s">
        <v>460</v>
      </c>
      <c r="D64" s="1265">
        <v>165588.1</v>
      </c>
      <c r="E64" s="1265">
        <f t="shared" si="0"/>
        <v>182146.91</v>
      </c>
      <c r="F64" s="1264">
        <v>168421.63</v>
      </c>
      <c r="G64" s="1265">
        <f t="shared" si="9"/>
        <v>-13725.279999999999</v>
      </c>
      <c r="H64" s="1270"/>
      <c r="I64" s="1270"/>
    </row>
    <row r="65" spans="1:9" s="744" customFormat="1" ht="19.5" customHeight="1" outlineLevel="2">
      <c r="A65" s="1264" t="s">
        <v>769</v>
      </c>
      <c r="B65" s="1268" t="s">
        <v>778</v>
      </c>
      <c r="C65" s="1268" t="s">
        <v>460</v>
      </c>
      <c r="D65" s="1265"/>
      <c r="E65" s="1265">
        <f t="shared" si="0"/>
        <v>0</v>
      </c>
      <c r="F65" s="1264">
        <v>0</v>
      </c>
      <c r="G65" s="1265">
        <f t="shared" si="9"/>
        <v>0</v>
      </c>
      <c r="H65" s="1270"/>
      <c r="I65" s="1270"/>
    </row>
    <row r="66" spans="1:9" s="744" customFormat="1" ht="19.5" customHeight="1" outlineLevel="2">
      <c r="A66" s="1264" t="s">
        <v>769</v>
      </c>
      <c r="B66" s="1268" t="s">
        <v>779</v>
      </c>
      <c r="C66" s="1268" t="s">
        <v>460</v>
      </c>
      <c r="D66" s="1265">
        <v>188546.3</v>
      </c>
      <c r="E66" s="1265">
        <f t="shared" si="0"/>
        <v>207400.93</v>
      </c>
      <c r="F66" s="1264">
        <f>196843.49+11109.02</f>
        <v>207952.50999999998</v>
      </c>
      <c r="G66" s="1265">
        <f t="shared" si="9"/>
        <v>551.57999999998719</v>
      </c>
      <c r="H66" s="1270"/>
      <c r="I66" s="1270"/>
    </row>
    <row r="67" spans="1:9" s="744" customFormat="1" ht="19.5" customHeight="1" outlineLevel="2">
      <c r="A67" s="1264" t="s">
        <v>769</v>
      </c>
      <c r="B67" s="1268" t="s">
        <v>780</v>
      </c>
      <c r="C67" s="1268" t="s">
        <v>460</v>
      </c>
      <c r="D67" s="1265">
        <v>132932.79999999999</v>
      </c>
      <c r="E67" s="1265">
        <f t="shared" si="0"/>
        <v>146226.07999999999</v>
      </c>
      <c r="F67" s="1264">
        <v>139052.29</v>
      </c>
      <c r="G67" s="1265">
        <f t="shared" si="9"/>
        <v>-7173.789999999979</v>
      </c>
      <c r="H67" s="1270"/>
      <c r="I67" s="1270"/>
    </row>
    <row r="68" spans="1:9" s="744" customFormat="1" ht="19.5" customHeight="1" outlineLevel="2">
      <c r="A68" s="1264" t="s">
        <v>769</v>
      </c>
      <c r="B68" s="1268" t="s">
        <v>781</v>
      </c>
      <c r="C68" s="1268" t="s">
        <v>460</v>
      </c>
      <c r="D68" s="1265">
        <v>92065.5</v>
      </c>
      <c r="E68" s="1265">
        <f t="shared" si="0"/>
        <v>101272.05</v>
      </c>
      <c r="F68" s="1264">
        <v>133816.59</v>
      </c>
      <c r="G68" s="1265">
        <f t="shared" si="9"/>
        <v>32544.539999999994</v>
      </c>
      <c r="H68" s="1270"/>
      <c r="I68" s="1270"/>
    </row>
    <row r="69" spans="1:9" s="744" customFormat="1" ht="19.5" customHeight="1" outlineLevel="2">
      <c r="A69" s="1264" t="s">
        <v>769</v>
      </c>
      <c r="B69" s="1268" t="s">
        <v>382</v>
      </c>
      <c r="C69" s="1268" t="s">
        <v>460</v>
      </c>
      <c r="D69" s="1265">
        <v>107874.6</v>
      </c>
      <c r="E69" s="1265">
        <f t="shared" ref="E69:E123" si="10">ROUND(D69*1.1,2)</f>
        <v>118662.06</v>
      </c>
      <c r="F69" s="1264">
        <v>115953.9</v>
      </c>
      <c r="G69" s="1265">
        <f t="shared" si="9"/>
        <v>-2708.1600000000035</v>
      </c>
      <c r="H69" s="1270"/>
      <c r="I69" s="1270"/>
    </row>
    <row r="70" spans="1:9" s="744" customFormat="1" ht="19.5" customHeight="1" outlineLevel="2">
      <c r="A70" s="1264" t="s">
        <v>769</v>
      </c>
      <c r="B70" s="1268" t="s">
        <v>783</v>
      </c>
      <c r="C70" s="1268" t="s">
        <v>460</v>
      </c>
      <c r="D70" s="1265">
        <v>42524.1</v>
      </c>
      <c r="E70" s="1265">
        <f t="shared" si="10"/>
        <v>46776.51</v>
      </c>
      <c r="F70" s="1264">
        <v>47815.6</v>
      </c>
      <c r="G70" s="1265">
        <f t="shared" si="9"/>
        <v>1039.0899999999965</v>
      </c>
      <c r="H70" s="1270"/>
      <c r="I70" s="1270"/>
    </row>
    <row r="71" spans="1:9" s="744" customFormat="1" ht="19.5" customHeight="1" outlineLevel="2">
      <c r="A71" s="1264" t="s">
        <v>769</v>
      </c>
      <c r="B71" s="1268" t="s">
        <v>784</v>
      </c>
      <c r="C71" s="1268" t="s">
        <v>460</v>
      </c>
      <c r="D71" s="1265">
        <v>17997.7</v>
      </c>
      <c r="E71" s="1265">
        <f t="shared" si="10"/>
        <v>19797.47</v>
      </c>
      <c r="F71" s="1264">
        <v>24496.799999999999</v>
      </c>
      <c r="G71" s="1265">
        <f t="shared" si="9"/>
        <v>4699.3299999999981</v>
      </c>
      <c r="H71" s="1270"/>
      <c r="I71" s="1270"/>
    </row>
    <row r="72" spans="1:9" s="744" customFormat="1" ht="19.5" customHeight="1" outlineLevel="2">
      <c r="A72" s="1264" t="s">
        <v>769</v>
      </c>
      <c r="B72" s="1268" t="s">
        <v>3210</v>
      </c>
      <c r="C72" s="1268" t="s">
        <v>3071</v>
      </c>
      <c r="D72" s="1265">
        <v>12787.7</v>
      </c>
      <c r="E72" s="1265">
        <f t="shared" si="10"/>
        <v>14066.47</v>
      </c>
      <c r="F72" s="1264">
        <v>13368.02</v>
      </c>
      <c r="G72" s="1265">
        <f t="shared" si="9"/>
        <v>-698.44999999999891</v>
      </c>
      <c r="H72" s="1270"/>
      <c r="I72" s="1270"/>
    </row>
    <row r="73" spans="1:9" s="744" customFormat="1" ht="19.5" customHeight="1" outlineLevel="1">
      <c r="A73" s="1267" t="s">
        <v>258</v>
      </c>
      <c r="B73" s="1268"/>
      <c r="C73" s="1268"/>
      <c r="D73" s="1265">
        <f>SUM(D57:D72)</f>
        <v>1988647.4000000004</v>
      </c>
      <c r="E73" s="1265">
        <f>SUM(E57:E72)</f>
        <v>2187512.14</v>
      </c>
      <c r="F73" s="1265">
        <f t="shared" ref="F73:G73" si="11">SUM(F57:F72)</f>
        <v>2176759.46</v>
      </c>
      <c r="G73" s="1265">
        <f t="shared" si="11"/>
        <v>-10752.67999999994</v>
      </c>
    </row>
    <row r="74" spans="1:9" s="744" customFormat="1" ht="19.5" customHeight="1" outlineLevel="2">
      <c r="A74" s="1264" t="s">
        <v>2726</v>
      </c>
      <c r="B74" s="1269" t="s">
        <v>787</v>
      </c>
      <c r="C74" s="1269" t="s">
        <v>3071</v>
      </c>
      <c r="D74" s="1265">
        <v>31608.51</v>
      </c>
      <c r="E74" s="1265">
        <f t="shared" si="10"/>
        <v>34769.360000000001</v>
      </c>
      <c r="F74" s="1264">
        <v>28672.45</v>
      </c>
      <c r="G74" s="1265">
        <f>F74-E74</f>
        <v>-6096.91</v>
      </c>
    </row>
    <row r="75" spans="1:9" s="744" customFormat="1" ht="19.5" customHeight="1" outlineLevel="2">
      <c r="A75" s="1264" t="s">
        <v>2726</v>
      </c>
      <c r="B75" s="1268" t="s">
        <v>562</v>
      </c>
      <c r="C75" s="1268" t="s">
        <v>2381</v>
      </c>
      <c r="D75" s="1265">
        <v>298061.40000000002</v>
      </c>
      <c r="E75" s="1265">
        <f t="shared" si="10"/>
        <v>327867.53999999998</v>
      </c>
      <c r="F75" s="1264">
        <v>345990.76</v>
      </c>
      <c r="G75" s="1265">
        <f t="shared" ref="G75:G85" si="12">F75-E75</f>
        <v>18123.22000000003</v>
      </c>
    </row>
    <row r="76" spans="1:9" s="744" customFormat="1" ht="19.5" customHeight="1" outlineLevel="2">
      <c r="A76" s="1264" t="s">
        <v>2726</v>
      </c>
      <c r="B76" s="1268" t="s">
        <v>384</v>
      </c>
      <c r="C76" s="1268" t="s">
        <v>2381</v>
      </c>
      <c r="D76" s="1265">
        <v>545717.5</v>
      </c>
      <c r="E76" s="1265">
        <f t="shared" si="10"/>
        <v>600289.25</v>
      </c>
      <c r="F76" s="1264">
        <v>535319.6</v>
      </c>
      <c r="G76" s="1265">
        <f t="shared" si="12"/>
        <v>-64969.650000000023</v>
      </c>
    </row>
    <row r="77" spans="1:9" s="744" customFormat="1" ht="19.5" customHeight="1" outlineLevel="2">
      <c r="A77" s="1264" t="s">
        <v>2726</v>
      </c>
      <c r="B77" s="1268" t="s">
        <v>383</v>
      </c>
      <c r="C77" s="1268" t="s">
        <v>464</v>
      </c>
      <c r="D77" s="1265">
        <v>232820.4</v>
      </c>
      <c r="E77" s="1265">
        <f t="shared" si="10"/>
        <v>256102.44</v>
      </c>
      <c r="F77" s="1264">
        <v>264459.68</v>
      </c>
      <c r="G77" s="1265">
        <f t="shared" si="12"/>
        <v>8357.2399999999907</v>
      </c>
    </row>
    <row r="78" spans="1:9" s="744" customFormat="1" ht="19.5" customHeight="1" outlineLevel="2">
      <c r="A78" s="1264" t="s">
        <v>2726</v>
      </c>
      <c r="B78" s="1268" t="s">
        <v>385</v>
      </c>
      <c r="C78" s="1268" t="s">
        <v>463</v>
      </c>
      <c r="D78" s="1265">
        <v>266762.09999999998</v>
      </c>
      <c r="E78" s="1265">
        <f t="shared" si="10"/>
        <v>293438.31</v>
      </c>
      <c r="F78" s="1264">
        <v>68231.679999999993</v>
      </c>
      <c r="G78" s="1265">
        <f t="shared" si="12"/>
        <v>-225206.63</v>
      </c>
    </row>
    <row r="79" spans="1:9" s="744" customFormat="1" ht="19.5" customHeight="1" outlineLevel="2">
      <c r="A79" s="1264" t="s">
        <v>2726</v>
      </c>
      <c r="B79" s="1268" t="s">
        <v>386</v>
      </c>
      <c r="C79" s="1268" t="s">
        <v>460</v>
      </c>
      <c r="D79" s="1265">
        <v>76232.100000000006</v>
      </c>
      <c r="E79" s="1265">
        <f t="shared" si="10"/>
        <v>83855.31</v>
      </c>
      <c r="F79" s="1264">
        <v>79021.600000000006</v>
      </c>
      <c r="G79" s="1265">
        <f t="shared" si="12"/>
        <v>-4833.7099999999919</v>
      </c>
    </row>
    <row r="80" spans="1:9" s="744" customFormat="1" ht="19.5" customHeight="1" outlineLevel="2">
      <c r="A80" s="1264" t="s">
        <v>2726</v>
      </c>
      <c r="B80" s="1268" t="s">
        <v>390</v>
      </c>
      <c r="C80" s="1268" t="s">
        <v>460</v>
      </c>
      <c r="D80" s="1265">
        <v>60770.2</v>
      </c>
      <c r="E80" s="1265">
        <f t="shared" si="10"/>
        <v>66847.22</v>
      </c>
      <c r="F80" s="1264">
        <v>62807.13</v>
      </c>
      <c r="G80" s="1265">
        <f t="shared" si="12"/>
        <v>-4040.0900000000038</v>
      </c>
    </row>
    <row r="81" spans="1:7" s="744" customFormat="1" ht="19.5" customHeight="1">
      <c r="A81" s="1264" t="s">
        <v>2726</v>
      </c>
      <c r="B81" s="1268" t="s">
        <v>388</v>
      </c>
      <c r="C81" s="1268" t="s">
        <v>460</v>
      </c>
      <c r="D81" s="1265">
        <v>78359.149999999994</v>
      </c>
      <c r="E81" s="1265">
        <f t="shared" si="10"/>
        <v>86195.07</v>
      </c>
      <c r="F81" s="1264">
        <v>69973.06</v>
      </c>
      <c r="G81" s="1265">
        <f t="shared" si="12"/>
        <v>-16222.010000000009</v>
      </c>
    </row>
    <row r="82" spans="1:7" s="744" customFormat="1" ht="19.5" customHeight="1">
      <c r="A82" s="1264" t="s">
        <v>2726</v>
      </c>
      <c r="B82" s="1268" t="s">
        <v>389</v>
      </c>
      <c r="C82" s="1268" t="s">
        <v>460</v>
      </c>
      <c r="D82" s="1265">
        <v>158913</v>
      </c>
      <c r="E82" s="1265">
        <f t="shared" si="10"/>
        <v>174804.3</v>
      </c>
      <c r="F82" s="1264">
        <v>131413.48000000001</v>
      </c>
      <c r="G82" s="1265">
        <f t="shared" si="12"/>
        <v>-43390.819999999978</v>
      </c>
    </row>
    <row r="83" spans="1:7" s="744" customFormat="1" ht="19.5" customHeight="1">
      <c r="A83" s="1264" t="s">
        <v>2726</v>
      </c>
      <c r="B83" s="1268" t="s">
        <v>3211</v>
      </c>
      <c r="C83" s="1268" t="s">
        <v>460</v>
      </c>
      <c r="D83" s="1265">
        <v>83760.2</v>
      </c>
      <c r="E83" s="1265">
        <f t="shared" si="10"/>
        <v>92136.22</v>
      </c>
      <c r="F83" s="1264">
        <v>87074.19</v>
      </c>
      <c r="G83" s="1265">
        <f t="shared" si="12"/>
        <v>-5062.0299999999988</v>
      </c>
    </row>
    <row r="84" spans="1:7" s="744" customFormat="1" ht="19.5" customHeight="1">
      <c r="A84" s="1264" t="s">
        <v>2726</v>
      </c>
      <c r="B84" s="1268" t="s">
        <v>175</v>
      </c>
      <c r="C84" s="1268" t="s">
        <v>460</v>
      </c>
      <c r="D84" s="1265">
        <v>57413.3</v>
      </c>
      <c r="E84" s="1265">
        <f t="shared" si="10"/>
        <v>63154.63</v>
      </c>
      <c r="F84" s="1264">
        <v>71711.95</v>
      </c>
      <c r="G84" s="1265">
        <f t="shared" si="12"/>
        <v>8557.32</v>
      </c>
    </row>
    <row r="85" spans="1:7" s="744" customFormat="1" ht="19.5" customHeight="1">
      <c r="A85" s="1264" t="s">
        <v>2726</v>
      </c>
      <c r="B85" s="1268" t="s">
        <v>387</v>
      </c>
      <c r="C85" s="1268" t="s">
        <v>460</v>
      </c>
      <c r="D85" s="1265">
        <v>57821</v>
      </c>
      <c r="E85" s="1265">
        <f t="shared" si="10"/>
        <v>63603.1</v>
      </c>
      <c r="F85" s="1264">
        <v>64738.79</v>
      </c>
      <c r="G85" s="1265">
        <f t="shared" si="12"/>
        <v>1135.6900000000023</v>
      </c>
    </row>
    <row r="86" spans="1:7" s="744" customFormat="1" ht="19.5" customHeight="1">
      <c r="A86" s="1267" t="s">
        <v>259</v>
      </c>
      <c r="B86" s="1268"/>
      <c r="C86" s="1268"/>
      <c r="D86" s="1265">
        <f>SUM(D74:D85)</f>
        <v>1948238.86</v>
      </c>
      <c r="E86" s="1265">
        <f>SUM(E74:E85)</f>
        <v>2143062.75</v>
      </c>
      <c r="F86" s="1265">
        <f t="shared" ref="F86:G86" si="13">SUM(F74:F85)</f>
        <v>1809414.3699999999</v>
      </c>
      <c r="G86" s="1265">
        <f t="shared" si="13"/>
        <v>-333648.38</v>
      </c>
    </row>
    <row r="87" spans="1:7" s="744" customFormat="1" ht="19.5" customHeight="1">
      <c r="A87" s="1264" t="s">
        <v>1661</v>
      </c>
      <c r="B87" s="1264" t="s">
        <v>3212</v>
      </c>
      <c r="C87" s="1264" t="s">
        <v>2381</v>
      </c>
      <c r="D87" s="1265">
        <v>458185.4</v>
      </c>
      <c r="E87" s="1265">
        <f t="shared" si="10"/>
        <v>504003.94</v>
      </c>
      <c r="F87" s="1264">
        <v>484518.99</v>
      </c>
      <c r="G87" s="1265">
        <f>F87-E87</f>
        <v>-19484.950000000012</v>
      </c>
    </row>
    <row r="88" spans="1:7" s="744" customFormat="1" ht="19.5" customHeight="1">
      <c r="A88" s="1264" t="s">
        <v>1661</v>
      </c>
      <c r="B88" s="1264" t="s">
        <v>3213</v>
      </c>
      <c r="C88" s="1264" t="s">
        <v>2381</v>
      </c>
      <c r="D88" s="1265">
        <v>460477.2</v>
      </c>
      <c r="E88" s="1265">
        <f t="shared" si="10"/>
        <v>506524.92</v>
      </c>
      <c r="F88" s="1264">
        <v>476506.56</v>
      </c>
      <c r="G88" s="1265">
        <f t="shared" ref="G88:G95" si="14">F88-E88</f>
        <v>-30018.359999999986</v>
      </c>
    </row>
    <row r="89" spans="1:7" s="744" customFormat="1" ht="19.5" customHeight="1">
      <c r="A89" s="1264" t="s">
        <v>1661</v>
      </c>
      <c r="B89" s="1264" t="s">
        <v>2351</v>
      </c>
      <c r="C89" s="1264" t="s">
        <v>2381</v>
      </c>
      <c r="D89" s="1265"/>
      <c r="E89" s="1265">
        <f t="shared" si="10"/>
        <v>0</v>
      </c>
      <c r="F89" s="1264"/>
      <c r="G89" s="1265">
        <f t="shared" si="14"/>
        <v>0</v>
      </c>
    </row>
    <row r="90" spans="1:7" s="744" customFormat="1" ht="19.5" customHeight="1">
      <c r="A90" s="1264" t="s">
        <v>1661</v>
      </c>
      <c r="B90" s="1264" t="s">
        <v>3214</v>
      </c>
      <c r="C90" s="1264" t="s">
        <v>460</v>
      </c>
      <c r="D90" s="1265"/>
      <c r="E90" s="1265">
        <f t="shared" si="10"/>
        <v>0</v>
      </c>
      <c r="F90" s="1264"/>
      <c r="G90" s="1265">
        <f t="shared" si="14"/>
        <v>0</v>
      </c>
    </row>
    <row r="91" spans="1:7" s="744" customFormat="1" ht="19.5" customHeight="1">
      <c r="A91" s="1264" t="s">
        <v>1661</v>
      </c>
      <c r="B91" s="1264" t="s">
        <v>3215</v>
      </c>
      <c r="C91" s="1264" t="s">
        <v>460</v>
      </c>
      <c r="D91" s="1265"/>
      <c r="E91" s="1265">
        <f t="shared" si="10"/>
        <v>0</v>
      </c>
      <c r="F91" s="1264"/>
      <c r="G91" s="1265">
        <f t="shared" si="14"/>
        <v>0</v>
      </c>
    </row>
    <row r="92" spans="1:7" s="744" customFormat="1" ht="19.5" customHeight="1">
      <c r="A92" s="1264" t="s">
        <v>1661</v>
      </c>
      <c r="B92" s="1264" t="s">
        <v>3216</v>
      </c>
      <c r="C92" s="1264" t="s">
        <v>460</v>
      </c>
      <c r="D92" s="1265">
        <v>89731.9</v>
      </c>
      <c r="E92" s="1265">
        <f t="shared" si="10"/>
        <v>98705.09</v>
      </c>
      <c r="F92" s="1264">
        <v>103428.98</v>
      </c>
      <c r="G92" s="1265">
        <f t="shared" si="14"/>
        <v>4723.8899999999994</v>
      </c>
    </row>
    <row r="93" spans="1:7" s="744" customFormat="1" ht="19.5" customHeight="1">
      <c r="A93" s="1264" t="s">
        <v>1661</v>
      </c>
      <c r="B93" s="1264" t="s">
        <v>3217</v>
      </c>
      <c r="C93" s="1264" t="s">
        <v>460</v>
      </c>
      <c r="D93" s="1265">
        <v>55548.5</v>
      </c>
      <c r="E93" s="1265">
        <f t="shared" si="10"/>
        <v>61103.35</v>
      </c>
      <c r="F93" s="1266"/>
      <c r="G93" s="1265">
        <f t="shared" si="14"/>
        <v>-61103.35</v>
      </c>
    </row>
    <row r="94" spans="1:7" s="744" customFormat="1" ht="19.5" customHeight="1">
      <c r="A94" s="1264" t="s">
        <v>1661</v>
      </c>
      <c r="B94" s="1264" t="s">
        <v>1042</v>
      </c>
      <c r="C94" s="1264" t="s">
        <v>460</v>
      </c>
      <c r="D94" s="1265"/>
      <c r="E94" s="1265"/>
      <c r="F94" s="1264">
        <v>6878.03</v>
      </c>
      <c r="G94" s="1265">
        <f t="shared" si="14"/>
        <v>6878.03</v>
      </c>
    </row>
    <row r="95" spans="1:7" s="744" customFormat="1" ht="19.5" customHeight="1">
      <c r="A95" s="1264" t="s">
        <v>1661</v>
      </c>
      <c r="B95" s="1264" t="s">
        <v>3218</v>
      </c>
      <c r="C95" s="1264" t="s">
        <v>3071</v>
      </c>
      <c r="D95" s="1265">
        <v>22879.7</v>
      </c>
      <c r="E95" s="1265">
        <f t="shared" si="10"/>
        <v>25167.67</v>
      </c>
      <c r="F95" s="1264">
        <v>24755.69</v>
      </c>
      <c r="G95" s="1265">
        <f t="shared" si="14"/>
        <v>-411.97999999999956</v>
      </c>
    </row>
    <row r="96" spans="1:7" s="744" customFormat="1" ht="19.5" customHeight="1">
      <c r="A96" s="1267" t="s">
        <v>260</v>
      </c>
      <c r="B96" s="1264"/>
      <c r="C96" s="1264"/>
      <c r="D96" s="1265">
        <f>SUM(D87:D95)</f>
        <v>1086822.7</v>
      </c>
      <c r="E96" s="1265">
        <f>SUM(E87:E95)</f>
        <v>1195504.97</v>
      </c>
      <c r="F96" s="1265">
        <f t="shared" ref="F96:G96" si="15">SUM(F87:F95)</f>
        <v>1096088.25</v>
      </c>
      <c r="G96" s="1265">
        <f t="shared" si="15"/>
        <v>-99416.719999999987</v>
      </c>
    </row>
    <row r="97" spans="1:7" s="744" customFormat="1" ht="19.5" customHeight="1">
      <c r="A97" s="1264" t="s">
        <v>1665</v>
      </c>
      <c r="B97" s="247" t="s">
        <v>245</v>
      </c>
      <c r="C97" s="247" t="s">
        <v>464</v>
      </c>
      <c r="D97" s="1265">
        <v>371833.1</v>
      </c>
      <c r="E97" s="1265">
        <f t="shared" si="10"/>
        <v>409016.41</v>
      </c>
      <c r="F97" s="1264">
        <v>399423.66</v>
      </c>
      <c r="G97" s="1265">
        <f>F97-E97</f>
        <v>-9592.75</v>
      </c>
    </row>
    <row r="98" spans="1:7" s="744" customFormat="1" ht="19.5" customHeight="1">
      <c r="A98" s="1264" t="s">
        <v>1665</v>
      </c>
      <c r="B98" s="247" t="s">
        <v>246</v>
      </c>
      <c r="C98" s="247" t="s">
        <v>464</v>
      </c>
      <c r="D98" s="1265">
        <v>241920.9</v>
      </c>
      <c r="E98" s="1265">
        <f t="shared" si="10"/>
        <v>266112.99</v>
      </c>
      <c r="F98" s="1264">
        <v>252882.66</v>
      </c>
      <c r="G98" s="1265">
        <f t="shared" ref="G98:G111" si="16">F98-E98</f>
        <v>-13230.329999999987</v>
      </c>
    </row>
    <row r="99" spans="1:7" s="744" customFormat="1" ht="19.5" customHeight="1">
      <c r="A99" s="1264" t="s">
        <v>1665</v>
      </c>
      <c r="B99" s="247" t="s">
        <v>809</v>
      </c>
      <c r="C99" s="247" t="s">
        <v>463</v>
      </c>
      <c r="D99" s="1265">
        <v>22838.9</v>
      </c>
      <c r="E99" s="1265">
        <f t="shared" si="10"/>
        <v>25122.79</v>
      </c>
      <c r="F99" s="1264">
        <v>20660.71</v>
      </c>
      <c r="G99" s="1265">
        <f t="shared" si="16"/>
        <v>-4462.0800000000017</v>
      </c>
    </row>
    <row r="100" spans="1:7" s="744" customFormat="1" ht="19.5" customHeight="1">
      <c r="A100" s="1264" t="s">
        <v>1665</v>
      </c>
      <c r="B100" s="247" t="s">
        <v>810</v>
      </c>
      <c r="C100" s="247" t="s">
        <v>463</v>
      </c>
      <c r="D100" s="1265"/>
      <c r="E100" s="1265">
        <f t="shared" si="10"/>
        <v>0</v>
      </c>
      <c r="F100" s="1264"/>
      <c r="G100" s="1265">
        <f t="shared" si="16"/>
        <v>0</v>
      </c>
    </row>
    <row r="101" spans="1:7" s="744" customFormat="1" ht="19.5" customHeight="1">
      <c r="A101" s="1264" t="s">
        <v>1665</v>
      </c>
      <c r="B101" s="247" t="s">
        <v>249</v>
      </c>
      <c r="C101" s="247" t="s">
        <v>463</v>
      </c>
      <c r="D101" s="1265">
        <v>370255.4</v>
      </c>
      <c r="E101" s="1265">
        <f t="shared" si="10"/>
        <v>407280.94</v>
      </c>
      <c r="F101" s="1264">
        <v>434764.08</v>
      </c>
      <c r="G101" s="1265">
        <f t="shared" si="16"/>
        <v>27483.140000000014</v>
      </c>
    </row>
    <row r="102" spans="1:7" s="744" customFormat="1" ht="19.5" customHeight="1">
      <c r="A102" s="1264" t="s">
        <v>1665</v>
      </c>
      <c r="B102" s="247" t="s">
        <v>251</v>
      </c>
      <c r="C102" s="247" t="s">
        <v>463</v>
      </c>
      <c r="D102" s="1265">
        <v>147109.4</v>
      </c>
      <c r="E102" s="1265">
        <f t="shared" si="10"/>
        <v>161820.34</v>
      </c>
      <c r="F102" s="1264">
        <v>175702.46</v>
      </c>
      <c r="G102" s="1265">
        <f t="shared" si="16"/>
        <v>13882.119999999995</v>
      </c>
    </row>
    <row r="103" spans="1:7" s="744" customFormat="1" ht="19.5" customHeight="1">
      <c r="A103" s="1264" t="s">
        <v>1665</v>
      </c>
      <c r="B103" s="1269" t="s">
        <v>3219</v>
      </c>
      <c r="C103" s="1269" t="s">
        <v>460</v>
      </c>
      <c r="D103" s="1265">
        <v>165579.1</v>
      </c>
      <c r="E103" s="1265">
        <f t="shared" si="10"/>
        <v>182137.01</v>
      </c>
      <c r="F103" s="1264">
        <v>169668.32</v>
      </c>
      <c r="G103" s="1265">
        <f t="shared" si="16"/>
        <v>-12468.690000000002</v>
      </c>
    </row>
    <row r="104" spans="1:7" s="744" customFormat="1" ht="19.5" customHeight="1">
      <c r="A104" s="1264" t="s">
        <v>1665</v>
      </c>
      <c r="B104" s="1269" t="s">
        <v>3220</v>
      </c>
      <c r="C104" s="1269" t="s">
        <v>460</v>
      </c>
      <c r="D104" s="1265">
        <v>130448.4</v>
      </c>
      <c r="E104" s="1265">
        <f t="shared" si="10"/>
        <v>143493.24</v>
      </c>
      <c r="F104" s="1264">
        <v>131406.51999999999</v>
      </c>
      <c r="G104" s="1265">
        <f t="shared" si="16"/>
        <v>-12086.720000000001</v>
      </c>
    </row>
    <row r="105" spans="1:7" s="744" customFormat="1" ht="19.5" customHeight="1">
      <c r="A105" s="1264" t="s">
        <v>1665</v>
      </c>
      <c r="B105" s="1269" t="s">
        <v>3221</v>
      </c>
      <c r="C105" s="1269" t="s">
        <v>460</v>
      </c>
      <c r="D105" s="1265">
        <v>117479</v>
      </c>
      <c r="E105" s="1265">
        <f t="shared" si="10"/>
        <v>129226.9</v>
      </c>
      <c r="F105" s="1264">
        <v>120935.94</v>
      </c>
      <c r="G105" s="1265">
        <f t="shared" si="16"/>
        <v>-8290.9599999999919</v>
      </c>
    </row>
    <row r="106" spans="1:7" s="744" customFormat="1" ht="19.5" customHeight="1">
      <c r="A106" s="1264" t="s">
        <v>1665</v>
      </c>
      <c r="B106" s="1269" t="s">
        <v>3222</v>
      </c>
      <c r="C106" s="1269" t="s">
        <v>460</v>
      </c>
      <c r="D106" s="1265">
        <v>121738.8</v>
      </c>
      <c r="E106" s="1265">
        <f t="shared" si="10"/>
        <v>133912.68</v>
      </c>
      <c r="F106" s="1264">
        <v>129106.47</v>
      </c>
      <c r="G106" s="1265">
        <f t="shared" si="16"/>
        <v>-4806.2099999999919</v>
      </c>
    </row>
    <row r="107" spans="1:7" s="744" customFormat="1" ht="19.5" customHeight="1">
      <c r="A107" s="1264" t="s">
        <v>1665</v>
      </c>
      <c r="B107" s="247" t="s">
        <v>248</v>
      </c>
      <c r="C107" s="247" t="s">
        <v>2381</v>
      </c>
      <c r="D107" s="1265">
        <v>412146</v>
      </c>
      <c r="E107" s="1265">
        <f t="shared" si="10"/>
        <v>453360.6</v>
      </c>
      <c r="F107" s="1264">
        <v>418124.61</v>
      </c>
      <c r="G107" s="1265">
        <f t="shared" si="16"/>
        <v>-35235.989999999991</v>
      </c>
    </row>
    <row r="108" spans="1:7" s="744" customFormat="1" ht="19.5" customHeight="1">
      <c r="A108" s="1264" t="s">
        <v>1665</v>
      </c>
      <c r="B108" s="1269" t="s">
        <v>815</v>
      </c>
      <c r="C108" s="1269" t="s">
        <v>3071</v>
      </c>
      <c r="D108" s="1265">
        <v>15132.3</v>
      </c>
      <c r="E108" s="1265">
        <f t="shared" si="10"/>
        <v>16645.53</v>
      </c>
      <c r="F108" s="1264">
        <v>15209.33</v>
      </c>
      <c r="G108" s="1265">
        <f t="shared" si="16"/>
        <v>-1436.1999999999989</v>
      </c>
    </row>
    <row r="109" spans="1:7" s="744" customFormat="1" ht="19.5" customHeight="1">
      <c r="A109" s="1264" t="s">
        <v>1665</v>
      </c>
      <c r="B109" s="1269" t="s">
        <v>3223</v>
      </c>
      <c r="C109" s="1269" t="s">
        <v>460</v>
      </c>
      <c r="D109" s="1265">
        <v>36493</v>
      </c>
      <c r="E109" s="1265">
        <f t="shared" si="10"/>
        <v>40142.300000000003</v>
      </c>
      <c r="F109" s="1264">
        <v>43610.02</v>
      </c>
      <c r="G109" s="1265">
        <f t="shared" si="16"/>
        <v>3467.7199999999939</v>
      </c>
    </row>
    <row r="110" spans="1:7" s="744" customFormat="1" ht="19.5" customHeight="1">
      <c r="A110" s="1264" t="s">
        <v>1665</v>
      </c>
      <c r="B110" s="247" t="s">
        <v>247</v>
      </c>
      <c r="C110" s="247" t="s">
        <v>464</v>
      </c>
      <c r="D110" s="1265">
        <v>217656.5</v>
      </c>
      <c r="E110" s="1265">
        <f t="shared" si="10"/>
        <v>239422.15</v>
      </c>
      <c r="F110" s="1264">
        <v>259825.46</v>
      </c>
      <c r="G110" s="1265">
        <f t="shared" si="16"/>
        <v>20403.309999999998</v>
      </c>
    </row>
    <row r="111" spans="1:7" s="744" customFormat="1" ht="19.5" customHeight="1">
      <c r="A111" s="1264" t="s">
        <v>1665</v>
      </c>
      <c r="B111" s="247" t="s">
        <v>3224</v>
      </c>
      <c r="C111" s="247" t="s">
        <v>460</v>
      </c>
      <c r="D111" s="1265">
        <v>80436</v>
      </c>
      <c r="E111" s="1265">
        <f t="shared" si="10"/>
        <v>88479.6</v>
      </c>
      <c r="F111" s="1264">
        <v>92591.27</v>
      </c>
      <c r="G111" s="1265">
        <f t="shared" si="16"/>
        <v>4111.6699999999983</v>
      </c>
    </row>
    <row r="112" spans="1:7" s="744" customFormat="1" ht="19.5" customHeight="1">
      <c r="A112" s="1267" t="s">
        <v>261</v>
      </c>
      <c r="B112" s="1268"/>
      <c r="C112" s="1268"/>
      <c r="D112" s="1265">
        <f>SUM(D97:D111)</f>
        <v>2451066.7999999998</v>
      </c>
      <c r="E112" s="1265">
        <f>SUM(E97:E111)</f>
        <v>2696173.4799999995</v>
      </c>
      <c r="F112" s="1265">
        <f t="shared" ref="F112:G112" si="17">SUM(F97:F111)</f>
        <v>2663911.5099999998</v>
      </c>
      <c r="G112" s="1265">
        <f t="shared" si="17"/>
        <v>-32261.969999999965</v>
      </c>
    </row>
    <row r="113" spans="1:7" s="744" customFormat="1" ht="19.5" customHeight="1">
      <c r="A113" s="1264" t="s">
        <v>2722</v>
      </c>
      <c r="B113" s="247" t="s">
        <v>654</v>
      </c>
      <c r="C113" s="247" t="s">
        <v>464</v>
      </c>
      <c r="D113" s="1265">
        <v>243099.6</v>
      </c>
      <c r="E113" s="1265">
        <f t="shared" si="10"/>
        <v>267409.56</v>
      </c>
      <c r="F113" s="1264">
        <v>241807.75</v>
      </c>
      <c r="G113" s="1265">
        <f>F113-E113</f>
        <v>-25601.809999999998</v>
      </c>
    </row>
    <row r="114" spans="1:7" s="744" customFormat="1" ht="19.5" customHeight="1">
      <c r="A114" s="1264" t="s">
        <v>2722</v>
      </c>
      <c r="B114" s="247" t="s">
        <v>221</v>
      </c>
      <c r="C114" s="247" t="s">
        <v>464</v>
      </c>
      <c r="D114" s="1265">
        <v>186346.3</v>
      </c>
      <c r="E114" s="1265">
        <f t="shared" si="10"/>
        <v>204980.93</v>
      </c>
      <c r="F114" s="1264">
        <v>198921.03</v>
      </c>
      <c r="G114" s="1265">
        <f t="shared" ref="G114:G123" si="18">F114-E114</f>
        <v>-6059.8999999999942</v>
      </c>
    </row>
    <row r="115" spans="1:7" s="744" customFormat="1" ht="19.5" customHeight="1">
      <c r="A115" s="1264" t="s">
        <v>2722</v>
      </c>
      <c r="B115" s="247" t="s">
        <v>3225</v>
      </c>
      <c r="C115" s="247" t="s">
        <v>2381</v>
      </c>
      <c r="D115" s="1265">
        <v>340722.3</v>
      </c>
      <c r="E115" s="1265">
        <f t="shared" si="10"/>
        <v>374794.53</v>
      </c>
      <c r="F115" s="1264">
        <v>343509.76000000001</v>
      </c>
      <c r="G115" s="1265">
        <f t="shared" si="18"/>
        <v>-31284.770000000019</v>
      </c>
    </row>
    <row r="116" spans="1:7" s="744" customFormat="1" ht="19.5" customHeight="1">
      <c r="A116" s="1264" t="s">
        <v>2722</v>
      </c>
      <c r="B116" s="247" t="s">
        <v>222</v>
      </c>
      <c r="C116" s="247" t="s">
        <v>463</v>
      </c>
      <c r="D116" s="1265">
        <v>26131.9</v>
      </c>
      <c r="E116" s="1265">
        <f t="shared" si="10"/>
        <v>28745.09</v>
      </c>
      <c r="F116" s="1264">
        <v>24156.9</v>
      </c>
      <c r="G116" s="1265">
        <f t="shared" si="18"/>
        <v>-4588.1899999999987</v>
      </c>
    </row>
    <row r="117" spans="1:7" s="744" customFormat="1" ht="19.5" customHeight="1">
      <c r="A117" s="1264" t="s">
        <v>2722</v>
      </c>
      <c r="B117" s="247" t="s">
        <v>223</v>
      </c>
      <c r="C117" s="247" t="s">
        <v>463</v>
      </c>
      <c r="D117" s="1265">
        <v>222994.8</v>
      </c>
      <c r="E117" s="1265">
        <f t="shared" si="10"/>
        <v>245294.28</v>
      </c>
      <c r="F117" s="1264">
        <v>227667.67</v>
      </c>
      <c r="G117" s="1265">
        <f t="shared" si="18"/>
        <v>-17626.609999999986</v>
      </c>
    </row>
    <row r="118" spans="1:7" s="744" customFormat="1" ht="19.5" customHeight="1">
      <c r="A118" s="1264" t="s">
        <v>2722</v>
      </c>
      <c r="B118" s="1269" t="s">
        <v>3226</v>
      </c>
      <c r="C118" s="1269" t="s">
        <v>460</v>
      </c>
      <c r="D118" s="1265">
        <v>152137.4</v>
      </c>
      <c r="E118" s="1265">
        <f t="shared" si="10"/>
        <v>167351.14000000001</v>
      </c>
      <c r="F118" s="1264">
        <v>155861.07</v>
      </c>
      <c r="G118" s="1265">
        <f t="shared" si="18"/>
        <v>-11490.070000000007</v>
      </c>
    </row>
    <row r="119" spans="1:7" s="744" customFormat="1" ht="19.5" customHeight="1">
      <c r="A119" s="1264" t="s">
        <v>2722</v>
      </c>
      <c r="B119" s="1269" t="s">
        <v>3227</v>
      </c>
      <c r="C119" s="1269" t="s">
        <v>460</v>
      </c>
      <c r="D119" s="1265">
        <v>140763.9</v>
      </c>
      <c r="E119" s="1265">
        <f t="shared" si="10"/>
        <v>154840.29</v>
      </c>
      <c r="F119" s="1264">
        <v>133864.57</v>
      </c>
      <c r="G119" s="1265">
        <f t="shared" si="18"/>
        <v>-20975.72</v>
      </c>
    </row>
    <row r="120" spans="1:7" s="744" customFormat="1" ht="19.5" customHeight="1">
      <c r="A120" s="1264" t="s">
        <v>2722</v>
      </c>
      <c r="B120" s="1269" t="s">
        <v>3228</v>
      </c>
      <c r="C120" s="1269" t="s">
        <v>460</v>
      </c>
      <c r="D120" s="1265">
        <v>102866.3</v>
      </c>
      <c r="E120" s="1265">
        <f t="shared" si="10"/>
        <v>113152.93</v>
      </c>
      <c r="F120" s="1264">
        <v>113628.91</v>
      </c>
      <c r="G120" s="1265">
        <f t="shared" si="18"/>
        <v>475.98000000001048</v>
      </c>
    </row>
    <row r="121" spans="1:7" s="744" customFormat="1" ht="19.5" customHeight="1">
      <c r="A121" s="1264" t="s">
        <v>2722</v>
      </c>
      <c r="B121" s="1269" t="s">
        <v>3229</v>
      </c>
      <c r="C121" s="1269" t="s">
        <v>460</v>
      </c>
      <c r="D121" s="1265">
        <v>128020.4</v>
      </c>
      <c r="E121" s="1265">
        <f t="shared" si="10"/>
        <v>140822.44</v>
      </c>
      <c r="F121" s="1264">
        <v>135508.22</v>
      </c>
      <c r="G121" s="1265">
        <f t="shared" si="18"/>
        <v>-5314.2200000000012</v>
      </c>
    </row>
    <row r="122" spans="1:7" s="744" customFormat="1" ht="19.5" customHeight="1">
      <c r="A122" s="1264" t="s">
        <v>2722</v>
      </c>
      <c r="B122" s="1269" t="s">
        <v>2491</v>
      </c>
      <c r="C122" s="1269" t="s">
        <v>460</v>
      </c>
      <c r="D122" s="1265"/>
      <c r="E122" s="1265">
        <v>0</v>
      </c>
      <c r="F122" s="1264">
        <v>5081.6899999999996</v>
      </c>
      <c r="G122" s="1265">
        <f t="shared" si="18"/>
        <v>5081.6899999999996</v>
      </c>
    </row>
    <row r="123" spans="1:7" s="744" customFormat="1" ht="19.5" customHeight="1">
      <c r="A123" s="1264" t="s">
        <v>2722</v>
      </c>
      <c r="B123" s="1269" t="s">
        <v>824</v>
      </c>
      <c r="C123" s="1269" t="s">
        <v>3071</v>
      </c>
      <c r="D123" s="1265">
        <v>3801.3</v>
      </c>
      <c r="E123" s="1265">
        <f t="shared" si="10"/>
        <v>4181.43</v>
      </c>
      <c r="F123" s="1264">
        <v>3960.54</v>
      </c>
      <c r="G123" s="1265">
        <f t="shared" si="18"/>
        <v>-220.89000000000033</v>
      </c>
    </row>
    <row r="124" spans="1:7" s="744" customFormat="1" ht="19.5" customHeight="1">
      <c r="A124" s="1267" t="s">
        <v>262</v>
      </c>
      <c r="B124" s="1264"/>
      <c r="C124" s="1264"/>
      <c r="D124" s="1265">
        <f>SUM(D113:D123)</f>
        <v>1546884.1999999997</v>
      </c>
      <c r="E124" s="1265">
        <f>SUM(E113:E123)</f>
        <v>1701572.6199999996</v>
      </c>
      <c r="F124" s="1265">
        <f t="shared" ref="F124:G124" si="19">SUM(F113:F123)</f>
        <v>1583968.11</v>
      </c>
      <c r="G124" s="1265">
        <f t="shared" si="19"/>
        <v>-117604.51</v>
      </c>
    </row>
    <row r="125" spans="1:7" s="744" customFormat="1" ht="19.5" customHeight="1">
      <c r="A125" s="1267" t="s">
        <v>252</v>
      </c>
      <c r="B125" s="1264"/>
      <c r="C125" s="1264"/>
      <c r="D125" s="1265">
        <f>SUM(D124,D112,D96,D86,D73,D56,D36,D15,D9)</f>
        <v>18490168.920000002</v>
      </c>
      <c r="E125" s="1265">
        <f>SUM(E124,E112,E96,E86,E73,E56,E36,E15,E9)</f>
        <v>20339185.82</v>
      </c>
      <c r="F125" s="1265">
        <f t="shared" ref="F125:G125" si="20">SUM(F124,F112,F96,F86,F73,F56,F36,F15,F9)</f>
        <v>19018373.91</v>
      </c>
      <c r="G125" s="1265">
        <f t="shared" si="20"/>
        <v>-1320811.9100000001</v>
      </c>
    </row>
    <row r="126" spans="1:7" s="97" customFormat="1" ht="11.25"/>
  </sheetData>
  <mergeCells count="2">
    <mergeCell ref="A1:G1"/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F11" sqref="F11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63" customFormat="1" ht="24.95" customHeight="1">
      <c r="A1" s="1635" t="s">
        <v>3236</v>
      </c>
      <c r="B1" s="1635"/>
      <c r="C1" s="1635"/>
      <c r="D1" s="1635"/>
      <c r="E1" s="1635"/>
      <c r="F1" s="1635"/>
      <c r="G1" s="1635"/>
    </row>
    <row r="2" spans="1:7" s="95" customFormat="1" ht="20.100000000000001" customHeight="1">
      <c r="G2" s="1271" t="s">
        <v>3247</v>
      </c>
    </row>
    <row r="3" spans="1:7" s="1272" customFormat="1" ht="20.100000000000001" customHeight="1">
      <c r="A3" s="119" t="s">
        <v>736</v>
      </c>
      <c r="B3" s="119" t="s">
        <v>737</v>
      </c>
      <c r="C3" s="119" t="s">
        <v>955</v>
      </c>
      <c r="D3" s="119" t="s">
        <v>738</v>
      </c>
      <c r="E3" s="119" t="s">
        <v>3230</v>
      </c>
      <c r="F3" s="119" t="s">
        <v>3231</v>
      </c>
      <c r="G3" s="119" t="s">
        <v>3235</v>
      </c>
    </row>
    <row r="4" spans="1:7" s="1272" customFormat="1" ht="20.100000000000001" customHeight="1" outlineLevel="2">
      <c r="A4" s="119" t="s">
        <v>740</v>
      </c>
      <c r="B4" s="247" t="s">
        <v>244</v>
      </c>
      <c r="C4" s="247" t="s">
        <v>958</v>
      </c>
      <c r="D4" s="121">
        <v>396192.1</v>
      </c>
      <c r="E4" s="121">
        <v>141336</v>
      </c>
      <c r="F4" s="119">
        <v>249874</v>
      </c>
      <c r="G4" s="121">
        <f t="shared" ref="G4:G21" si="0">F4-E4</f>
        <v>108538</v>
      </c>
    </row>
    <row r="5" spans="1:7" s="1272" customFormat="1" ht="20.100000000000001" customHeight="1" outlineLevel="1">
      <c r="A5" s="1240" t="s">
        <v>254</v>
      </c>
      <c r="B5" s="247"/>
      <c r="C5" s="247"/>
      <c r="D5" s="121"/>
      <c r="E5" s="121">
        <f>SUBTOTAL(9,E4:E4)</f>
        <v>141336</v>
      </c>
      <c r="F5" s="119">
        <f>SUBTOTAL(9,F4:F4)</f>
        <v>249874</v>
      </c>
      <c r="G5" s="121">
        <f>SUBTOTAL(9,G4:G4)</f>
        <v>108538</v>
      </c>
    </row>
    <row r="6" spans="1:7" s="1272" customFormat="1" ht="20.100000000000001" customHeight="1" outlineLevel="2">
      <c r="A6" s="119" t="s">
        <v>3233</v>
      </c>
      <c r="B6" s="247" t="s">
        <v>165</v>
      </c>
      <c r="C6" s="247" t="s">
        <v>3234</v>
      </c>
      <c r="D6" s="121"/>
      <c r="E6" s="121"/>
      <c r="F6" s="119">
        <v>140036</v>
      </c>
      <c r="G6" s="121">
        <f t="shared" si="0"/>
        <v>140036</v>
      </c>
    </row>
    <row r="7" spans="1:7" s="1272" customFormat="1" ht="20.100000000000001" customHeight="1" outlineLevel="1">
      <c r="A7" s="1240" t="s">
        <v>255</v>
      </c>
      <c r="B7" s="247"/>
      <c r="C7" s="247"/>
      <c r="D7" s="121"/>
      <c r="E7" s="121">
        <f>SUBTOTAL(9,E6:E6)</f>
        <v>0</v>
      </c>
      <c r="F7" s="119">
        <f>SUBTOTAL(9,F6:F6)</f>
        <v>140036</v>
      </c>
      <c r="G7" s="121">
        <f>SUBTOTAL(9,G6:G6)</f>
        <v>140036</v>
      </c>
    </row>
    <row r="8" spans="1:7" s="1272" customFormat="1" ht="20.100000000000001" customHeight="1" outlineLevel="2">
      <c r="A8" s="119" t="s">
        <v>746</v>
      </c>
      <c r="B8" s="1273" t="s">
        <v>237</v>
      </c>
      <c r="C8" s="1273" t="s">
        <v>464</v>
      </c>
      <c r="D8" s="121">
        <v>865549.6</v>
      </c>
      <c r="E8" s="121">
        <v>127464</v>
      </c>
      <c r="F8" s="119">
        <v>127464</v>
      </c>
      <c r="G8" s="121">
        <f t="shared" si="0"/>
        <v>0</v>
      </c>
    </row>
    <row r="9" spans="1:7" s="1272" customFormat="1" ht="20.100000000000001" customHeight="1" outlineLevel="2">
      <c r="A9" s="119" t="s">
        <v>746</v>
      </c>
      <c r="B9" s="1273" t="s">
        <v>238</v>
      </c>
      <c r="C9" s="1273" t="s">
        <v>464</v>
      </c>
      <c r="D9" s="121">
        <v>295481.5</v>
      </c>
      <c r="E9" s="121">
        <v>143438</v>
      </c>
      <c r="F9" s="119">
        <v>343438</v>
      </c>
      <c r="G9" s="121">
        <f t="shared" si="0"/>
        <v>200000</v>
      </c>
    </row>
    <row r="10" spans="1:7" s="1272" customFormat="1" ht="20.100000000000001" customHeight="1" outlineLevel="2">
      <c r="A10" s="119" t="s">
        <v>746</v>
      </c>
      <c r="B10" s="1273" t="s">
        <v>236</v>
      </c>
      <c r="C10" s="1273" t="s">
        <v>464</v>
      </c>
      <c r="D10" s="121">
        <v>246474.3</v>
      </c>
      <c r="E10" s="121">
        <v>95436</v>
      </c>
      <c r="F10" s="119">
        <f>95436+124524</f>
        <v>219960</v>
      </c>
      <c r="G10" s="121">
        <f t="shared" si="0"/>
        <v>124524</v>
      </c>
    </row>
    <row r="11" spans="1:7" s="1272" customFormat="1" ht="20.100000000000001" customHeight="1" outlineLevel="2">
      <c r="A11" s="119" t="s">
        <v>746</v>
      </c>
      <c r="B11" s="1273" t="s">
        <v>241</v>
      </c>
      <c r="C11" s="1273" t="s">
        <v>959</v>
      </c>
      <c r="D11" s="121">
        <v>1068709.5</v>
      </c>
      <c r="E11" s="121">
        <v>455656</v>
      </c>
      <c r="F11" s="119">
        <f>455656+112196</f>
        <v>567852</v>
      </c>
      <c r="G11" s="121">
        <f t="shared" si="0"/>
        <v>112196</v>
      </c>
    </row>
    <row r="12" spans="1:7" s="1272" customFormat="1" ht="20.100000000000001" customHeight="1" outlineLevel="1">
      <c r="A12" s="1240" t="s">
        <v>256</v>
      </c>
      <c r="B12" s="1273"/>
      <c r="C12" s="1273"/>
      <c r="D12" s="121"/>
      <c r="E12" s="121">
        <f>SUBTOTAL(9,E8:E11)</f>
        <v>821994</v>
      </c>
      <c r="F12" s="119">
        <f>SUBTOTAL(9,F8:F11)</f>
        <v>1258714</v>
      </c>
      <c r="G12" s="121">
        <f>SUBTOTAL(9,G8:G11)</f>
        <v>436720</v>
      </c>
    </row>
    <row r="13" spans="1:7" s="1272" customFormat="1" ht="20.100000000000001" customHeight="1" outlineLevel="2">
      <c r="A13" s="119" t="s">
        <v>758</v>
      </c>
      <c r="B13" s="247" t="s">
        <v>228</v>
      </c>
      <c r="C13" s="247" t="s">
        <v>464</v>
      </c>
      <c r="D13" s="121">
        <v>266052.40000000002</v>
      </c>
      <c r="E13" s="121">
        <v>109704</v>
      </c>
      <c r="F13" s="119">
        <v>254702</v>
      </c>
      <c r="G13" s="121">
        <f t="shared" si="0"/>
        <v>144998</v>
      </c>
    </row>
    <row r="14" spans="1:7" s="1272" customFormat="1" ht="20.100000000000001" customHeight="1" outlineLevel="2">
      <c r="A14" s="119" t="s">
        <v>758</v>
      </c>
      <c r="B14" s="247" t="s">
        <v>231</v>
      </c>
      <c r="C14" s="247" t="s">
        <v>959</v>
      </c>
      <c r="D14" s="121">
        <v>264193.8</v>
      </c>
      <c r="E14" s="121">
        <v>126650</v>
      </c>
      <c r="F14" s="119">
        <f>237536+146824</f>
        <v>384360</v>
      </c>
      <c r="G14" s="121">
        <f t="shared" si="0"/>
        <v>257710</v>
      </c>
    </row>
    <row r="15" spans="1:7" s="1272" customFormat="1" ht="20.100000000000001" customHeight="1" outlineLevel="2">
      <c r="A15" s="119" t="s">
        <v>758</v>
      </c>
      <c r="B15" s="247" t="s">
        <v>232</v>
      </c>
      <c r="C15" s="247" t="s">
        <v>959</v>
      </c>
      <c r="D15" s="121">
        <v>242458.6</v>
      </c>
      <c r="E15" s="121">
        <v>107748</v>
      </c>
      <c r="F15" s="119">
        <v>336456</v>
      </c>
      <c r="G15" s="121">
        <f t="shared" si="0"/>
        <v>228708</v>
      </c>
    </row>
    <row r="16" spans="1:7" s="1272" customFormat="1" ht="20.100000000000001" customHeight="1" outlineLevel="2">
      <c r="A16" s="119" t="s">
        <v>758</v>
      </c>
      <c r="B16" s="1269" t="s">
        <v>761</v>
      </c>
      <c r="C16" s="1269" t="s">
        <v>460</v>
      </c>
      <c r="D16" s="121">
        <v>173582.7</v>
      </c>
      <c r="E16" s="121">
        <v>107260</v>
      </c>
      <c r="F16" s="119">
        <v>110322</v>
      </c>
      <c r="G16" s="121">
        <f t="shared" si="0"/>
        <v>3062</v>
      </c>
    </row>
    <row r="17" spans="1:7" s="1272" customFormat="1" ht="20.100000000000001" customHeight="1" outlineLevel="1">
      <c r="A17" s="1240" t="s">
        <v>257</v>
      </c>
      <c r="B17" s="1269"/>
      <c r="C17" s="1269"/>
      <c r="D17" s="121"/>
      <c r="E17" s="121">
        <f>SUBTOTAL(9,E13:E16)</f>
        <v>451362</v>
      </c>
      <c r="F17" s="119">
        <f>SUBTOTAL(9,F13:F16)</f>
        <v>1085840</v>
      </c>
      <c r="G17" s="121">
        <f>SUBTOTAL(9,G13:G16)</f>
        <v>634478</v>
      </c>
    </row>
    <row r="18" spans="1:7" s="1272" customFormat="1" ht="20.100000000000001" customHeight="1" outlineLevel="2">
      <c r="A18" s="119" t="s">
        <v>769</v>
      </c>
      <c r="B18" s="1274" t="s">
        <v>770</v>
      </c>
      <c r="C18" s="1274" t="s">
        <v>958</v>
      </c>
      <c r="D18" s="121">
        <v>3192.6</v>
      </c>
      <c r="E18" s="121">
        <v>287510</v>
      </c>
      <c r="F18" s="119">
        <v>287510</v>
      </c>
      <c r="G18" s="121">
        <f t="shared" si="0"/>
        <v>0</v>
      </c>
    </row>
    <row r="19" spans="1:7" s="1272" customFormat="1" ht="20.100000000000001" customHeight="1" outlineLevel="2">
      <c r="A19" s="119" t="s">
        <v>769</v>
      </c>
      <c r="B19" s="1275" t="s">
        <v>771</v>
      </c>
      <c r="C19" s="1275" t="s">
        <v>464</v>
      </c>
      <c r="D19" s="121">
        <v>219612.6</v>
      </c>
      <c r="E19" s="121"/>
      <c r="F19" s="119">
        <v>147872</v>
      </c>
      <c r="G19" s="121">
        <v>147872</v>
      </c>
    </row>
    <row r="20" spans="1:7" s="1272" customFormat="1" ht="20.100000000000001" customHeight="1" outlineLevel="2">
      <c r="A20" s="119" t="s">
        <v>769</v>
      </c>
      <c r="B20" s="1274" t="s">
        <v>380</v>
      </c>
      <c r="C20" s="1274" t="s">
        <v>464</v>
      </c>
      <c r="D20" s="121">
        <v>221121.5</v>
      </c>
      <c r="E20" s="121">
        <v>163664</v>
      </c>
      <c r="F20" s="119">
        <v>166890</v>
      </c>
      <c r="G20" s="121">
        <f t="shared" si="0"/>
        <v>3226</v>
      </c>
    </row>
    <row r="21" spans="1:7" s="1272" customFormat="1" ht="20.100000000000001" customHeight="1" outlineLevel="2">
      <c r="A21" s="119" t="s">
        <v>769</v>
      </c>
      <c r="B21" s="1274" t="s">
        <v>467</v>
      </c>
      <c r="C21" s="1274" t="s">
        <v>959</v>
      </c>
      <c r="D21" s="121"/>
      <c r="E21" s="121"/>
      <c r="F21" s="119">
        <v>110048</v>
      </c>
      <c r="G21" s="121">
        <f t="shared" si="0"/>
        <v>110048</v>
      </c>
    </row>
    <row r="22" spans="1:7" s="1272" customFormat="1" ht="20.100000000000001" customHeight="1" outlineLevel="1">
      <c r="A22" s="1240" t="s">
        <v>258</v>
      </c>
      <c r="B22" s="1274"/>
      <c r="C22" s="1274"/>
      <c r="D22" s="121"/>
      <c r="E22" s="121">
        <f>SUBTOTAL(9,E18:E21)</f>
        <v>451174</v>
      </c>
      <c r="F22" s="119">
        <f>SUBTOTAL(9,F18:F21)</f>
        <v>712320</v>
      </c>
      <c r="G22" s="121">
        <f>SUBTOTAL(9,G18:G21)</f>
        <v>261146</v>
      </c>
    </row>
    <row r="23" spans="1:7" s="1272" customFormat="1" ht="20.100000000000001" customHeight="1" outlineLevel="2">
      <c r="A23" s="119" t="s">
        <v>786</v>
      </c>
      <c r="B23" s="1274" t="s">
        <v>384</v>
      </c>
      <c r="C23" s="1274" t="s">
        <v>958</v>
      </c>
      <c r="D23" s="121">
        <v>545717.5</v>
      </c>
      <c r="E23" s="121">
        <v>318960</v>
      </c>
      <c r="F23" s="119">
        <v>707044</v>
      </c>
      <c r="G23" s="121">
        <f t="shared" ref="G23:G36" si="1">F23-E23</f>
        <v>388084</v>
      </c>
    </row>
    <row r="24" spans="1:7" s="1272" customFormat="1" ht="20.100000000000001" customHeight="1" outlineLevel="2">
      <c r="A24" s="119" t="s">
        <v>786</v>
      </c>
      <c r="B24" s="1274" t="s">
        <v>385</v>
      </c>
      <c r="C24" s="1274" t="s">
        <v>959</v>
      </c>
      <c r="D24" s="121">
        <v>266762.09999999998</v>
      </c>
      <c r="E24" s="121">
        <v>128102</v>
      </c>
      <c r="F24" s="119">
        <v>131064</v>
      </c>
      <c r="G24" s="121">
        <f t="shared" si="1"/>
        <v>2962</v>
      </c>
    </row>
    <row r="25" spans="1:7" s="1272" customFormat="1" ht="20.100000000000001" customHeight="1" outlineLevel="1">
      <c r="A25" s="1240" t="s">
        <v>259</v>
      </c>
      <c r="B25" s="1274"/>
      <c r="C25" s="1274"/>
      <c r="D25" s="121"/>
      <c r="E25" s="121">
        <f>SUBTOTAL(9,E23:E24)</f>
        <v>447062</v>
      </c>
      <c r="F25" s="119">
        <f>SUBTOTAL(9,F23:F24)</f>
        <v>838108</v>
      </c>
      <c r="G25" s="121">
        <f>SUBTOTAL(9,G23:G24)</f>
        <v>391046</v>
      </c>
    </row>
    <row r="26" spans="1:7" s="1272" customFormat="1" ht="20.100000000000001" customHeight="1" outlineLevel="2">
      <c r="A26" s="119" t="s">
        <v>799</v>
      </c>
      <c r="B26" s="1276" t="s">
        <v>800</v>
      </c>
      <c r="C26" s="1276" t="s">
        <v>958</v>
      </c>
      <c r="D26" s="121">
        <v>458185.4</v>
      </c>
      <c r="E26" s="121">
        <v>270916</v>
      </c>
      <c r="F26" s="119">
        <v>415266</v>
      </c>
      <c r="G26" s="121">
        <f t="shared" si="1"/>
        <v>144350</v>
      </c>
    </row>
    <row r="27" spans="1:7" s="1272" customFormat="1" ht="20.100000000000001" customHeight="1" outlineLevel="2">
      <c r="A27" s="119" t="s">
        <v>799</v>
      </c>
      <c r="B27" s="119" t="s">
        <v>801</v>
      </c>
      <c r="C27" s="1276" t="s">
        <v>958</v>
      </c>
      <c r="D27" s="121">
        <v>460477.2</v>
      </c>
      <c r="E27" s="121">
        <v>157730</v>
      </c>
      <c r="F27" s="119">
        <v>161052</v>
      </c>
      <c r="G27" s="121">
        <f t="shared" si="1"/>
        <v>3322</v>
      </c>
    </row>
    <row r="28" spans="1:7" s="1272" customFormat="1" ht="20.100000000000001" customHeight="1" outlineLevel="2">
      <c r="A28" s="119" t="s">
        <v>799</v>
      </c>
      <c r="B28" s="119" t="s">
        <v>802</v>
      </c>
      <c r="C28" s="1276" t="s">
        <v>958</v>
      </c>
      <c r="D28" s="121"/>
      <c r="E28" s="121"/>
      <c r="F28" s="119">
        <v>144020</v>
      </c>
      <c r="G28" s="121">
        <f t="shared" si="1"/>
        <v>144020</v>
      </c>
    </row>
    <row r="29" spans="1:7" s="1272" customFormat="1" ht="20.100000000000001" customHeight="1" outlineLevel="2">
      <c r="A29" s="119" t="s">
        <v>799</v>
      </c>
      <c r="B29" s="119" t="s">
        <v>807</v>
      </c>
      <c r="C29" s="119" t="s">
        <v>957</v>
      </c>
      <c r="D29" s="121">
        <v>22879.7</v>
      </c>
      <c r="E29" s="121">
        <v>141814</v>
      </c>
      <c r="F29" s="119">
        <v>144854</v>
      </c>
      <c r="G29" s="121">
        <f t="shared" si="1"/>
        <v>3040</v>
      </c>
    </row>
    <row r="30" spans="1:7" s="1272" customFormat="1" ht="20.100000000000001" customHeight="1" outlineLevel="1">
      <c r="A30" s="1240" t="s">
        <v>260</v>
      </c>
      <c r="B30" s="119"/>
      <c r="C30" s="119"/>
      <c r="D30" s="121"/>
      <c r="E30" s="121">
        <f>SUBTOTAL(9,E26:E29)</f>
        <v>570460</v>
      </c>
      <c r="F30" s="119">
        <f>SUBTOTAL(9,F26:F29)</f>
        <v>865192</v>
      </c>
      <c r="G30" s="121">
        <f>SUBTOTAL(9,G26:G29)</f>
        <v>294732</v>
      </c>
    </row>
    <row r="31" spans="1:7" s="1272" customFormat="1" ht="20.100000000000001" customHeight="1" outlineLevel="2">
      <c r="A31" s="119" t="s">
        <v>808</v>
      </c>
      <c r="B31" s="247" t="s">
        <v>245</v>
      </c>
      <c r="C31" s="247" t="s">
        <v>464</v>
      </c>
      <c r="D31" s="121">
        <v>371833.1</v>
      </c>
      <c r="E31" s="121"/>
      <c r="F31" s="119">
        <v>123900</v>
      </c>
      <c r="G31" s="121">
        <f t="shared" si="1"/>
        <v>123900</v>
      </c>
    </row>
    <row r="32" spans="1:7" s="1272" customFormat="1" ht="20.100000000000001" customHeight="1" outlineLevel="2">
      <c r="A32" s="119" t="s">
        <v>808</v>
      </c>
      <c r="B32" s="247" t="s">
        <v>809</v>
      </c>
      <c r="C32" s="247" t="s">
        <v>959</v>
      </c>
      <c r="D32" s="121">
        <v>22838.9</v>
      </c>
      <c r="E32" s="121">
        <v>119856</v>
      </c>
      <c r="F32" s="119">
        <v>119856</v>
      </c>
      <c r="G32" s="121">
        <f t="shared" si="1"/>
        <v>0</v>
      </c>
    </row>
    <row r="33" spans="1:7" s="1272" customFormat="1" ht="20.100000000000001" customHeight="1" outlineLevel="1">
      <c r="A33" s="1240" t="s">
        <v>261</v>
      </c>
      <c r="B33" s="247"/>
      <c r="C33" s="247"/>
      <c r="D33" s="121"/>
      <c r="E33" s="121">
        <f>SUBTOTAL(9,E31:E32)</f>
        <v>119856</v>
      </c>
      <c r="F33" s="119">
        <f>SUBTOTAL(9,F31:F32)</f>
        <v>243756</v>
      </c>
      <c r="G33" s="121">
        <f>SUBTOTAL(9,G31:G32)</f>
        <v>123900</v>
      </c>
    </row>
    <row r="34" spans="1:7" s="1272" customFormat="1" ht="20.100000000000001" customHeight="1" outlineLevel="2">
      <c r="A34" s="119" t="s">
        <v>818</v>
      </c>
      <c r="B34" s="247" t="s">
        <v>654</v>
      </c>
      <c r="C34" s="247" t="s">
        <v>464</v>
      </c>
      <c r="D34" s="121">
        <v>243099.6</v>
      </c>
      <c r="E34" s="121"/>
      <c r="F34" s="119">
        <v>3738</v>
      </c>
      <c r="G34" s="121">
        <f t="shared" si="1"/>
        <v>3738</v>
      </c>
    </row>
    <row r="35" spans="1:7" s="1272" customFormat="1" ht="20.100000000000001" customHeight="1" outlineLevel="2">
      <c r="A35" s="119" t="s">
        <v>818</v>
      </c>
      <c r="B35" s="247" t="s">
        <v>222</v>
      </c>
      <c r="C35" s="247" t="s">
        <v>959</v>
      </c>
      <c r="D35" s="121">
        <v>26131.9</v>
      </c>
      <c r="E35" s="121"/>
      <c r="F35" s="119">
        <v>604156</v>
      </c>
      <c r="G35" s="121">
        <f t="shared" si="1"/>
        <v>604156</v>
      </c>
    </row>
    <row r="36" spans="1:7" s="1272" customFormat="1" ht="20.100000000000001" customHeight="1" outlineLevel="2">
      <c r="A36" s="119" t="s">
        <v>818</v>
      </c>
      <c r="B36" s="1269" t="s">
        <v>820</v>
      </c>
      <c r="C36" s="1269" t="s">
        <v>460</v>
      </c>
      <c r="D36" s="121">
        <v>152137.4</v>
      </c>
      <c r="E36" s="121"/>
      <c r="F36" s="119">
        <v>154318</v>
      </c>
      <c r="G36" s="121">
        <f t="shared" si="1"/>
        <v>154318</v>
      </c>
    </row>
    <row r="37" spans="1:7" s="1272" customFormat="1" ht="20.100000000000001" customHeight="1" outlineLevel="1">
      <c r="A37" s="1240" t="s">
        <v>262</v>
      </c>
      <c r="B37" s="1269"/>
      <c r="C37" s="1269"/>
      <c r="D37" s="121"/>
      <c r="E37" s="121">
        <f>SUBTOTAL(9,E34:E36)</f>
        <v>0</v>
      </c>
      <c r="F37" s="119">
        <f>SUBTOTAL(9,F34:F36)</f>
        <v>762212</v>
      </c>
      <c r="G37" s="121">
        <f>SUBTOTAL(9,G34:G36)</f>
        <v>762212</v>
      </c>
    </row>
    <row r="38" spans="1:7" s="1272" customFormat="1" ht="20.100000000000001" customHeight="1">
      <c r="A38" s="1240" t="s">
        <v>252</v>
      </c>
      <c r="B38" s="1269"/>
      <c r="C38" s="1269"/>
      <c r="D38" s="121"/>
      <c r="E38" s="121">
        <f>SUBTOTAL(9,E4:E36)</f>
        <v>3003244</v>
      </c>
      <c r="F38" s="119">
        <f>SUBTOTAL(9,F4:F36)</f>
        <v>6156052</v>
      </c>
      <c r="G38" s="121">
        <f>SUBTOTAL(9,G4:G36)</f>
        <v>3152808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I87" sqref="I87:J87"/>
    </sheetView>
  </sheetViews>
  <sheetFormatPr defaultColWidth="9" defaultRowHeight="39.950000000000003" customHeight="1"/>
  <cols>
    <col min="1" max="1" width="23.375" style="1288" customWidth="1"/>
    <col min="2" max="2" width="22.875" style="1278" customWidth="1"/>
    <col min="3" max="3" width="14.375" style="1288" customWidth="1"/>
    <col min="4" max="4" width="13.75" style="1288" customWidth="1"/>
    <col min="5" max="5" width="13" style="1278" customWidth="1"/>
    <col min="6" max="6" width="15.625" style="1278" customWidth="1"/>
    <col min="7" max="7" width="12.75" style="1278" customWidth="1"/>
    <col min="8" max="8" width="11.75" style="1278" customWidth="1"/>
    <col min="9" max="9" width="14" style="1278" customWidth="1"/>
    <col min="10" max="10" width="13.75" style="1290" customWidth="1"/>
    <col min="11" max="11" width="15" style="1288" customWidth="1"/>
    <col min="12" max="16384" width="9" style="1278"/>
  </cols>
  <sheetData>
    <row r="1" spans="1:11" ht="24.95" customHeight="1">
      <c r="A1" s="1636" t="s">
        <v>3250</v>
      </c>
      <c r="B1" s="1637"/>
      <c r="C1" s="1636"/>
      <c r="D1" s="1636"/>
      <c r="E1" s="1637"/>
      <c r="F1" s="1637"/>
      <c r="G1" s="1637"/>
      <c r="H1" s="1637"/>
      <c r="I1" s="1637"/>
      <c r="J1" s="1637"/>
      <c r="K1" s="1390"/>
    </row>
    <row r="2" spans="1:11" s="1297" customFormat="1" ht="20.100000000000001" customHeight="1">
      <c r="A2" s="1295"/>
      <c r="B2" s="1296"/>
      <c r="C2" s="1295"/>
      <c r="D2" s="1295"/>
      <c r="E2" s="1296"/>
      <c r="F2" s="1296"/>
      <c r="G2" s="1296"/>
      <c r="H2" s="1296"/>
      <c r="I2" s="1296"/>
      <c r="J2" s="1296"/>
      <c r="K2" s="1277" t="s">
        <v>3251</v>
      </c>
    </row>
    <row r="3" spans="1:11" ht="30" customHeight="1">
      <c r="A3" s="1279" t="s">
        <v>632</v>
      </c>
      <c r="B3" s="1280" t="s">
        <v>13</v>
      </c>
      <c r="C3" s="1281" t="s">
        <v>3252</v>
      </c>
      <c r="D3" s="1281" t="s">
        <v>3253</v>
      </c>
      <c r="E3" s="1282" t="s">
        <v>3254</v>
      </c>
      <c r="F3" s="1282" t="s">
        <v>3255</v>
      </c>
      <c r="G3" s="1282" t="s">
        <v>1676</v>
      </c>
      <c r="H3" s="1282" t="s">
        <v>3256</v>
      </c>
      <c r="I3" s="1281" t="s">
        <v>3344</v>
      </c>
      <c r="J3" s="1281" t="s">
        <v>3345</v>
      </c>
      <c r="K3" s="1279" t="s">
        <v>18</v>
      </c>
    </row>
    <row r="4" spans="1:11" ht="30" customHeight="1">
      <c r="A4" s="1279" t="s">
        <v>657</v>
      </c>
      <c r="B4" s="1283" t="s">
        <v>3257</v>
      </c>
      <c r="C4" s="1284">
        <v>365436.96</v>
      </c>
      <c r="D4" s="1284">
        <v>309408</v>
      </c>
      <c r="E4" s="1284">
        <v>281577</v>
      </c>
      <c r="F4" s="883">
        <v>281577</v>
      </c>
      <c r="G4" s="883">
        <v>56028.959999999999</v>
      </c>
      <c r="H4" s="883">
        <f t="shared" ref="H4:H8" si="0">F4+G4</f>
        <v>337605.96</v>
      </c>
      <c r="I4" s="883">
        <v>292350</v>
      </c>
      <c r="J4" s="883">
        <f>H4-I4</f>
        <v>45255.960000000021</v>
      </c>
      <c r="K4" s="1283" t="s">
        <v>3258</v>
      </c>
    </row>
    <row r="5" spans="1:11" ht="30" customHeight="1">
      <c r="A5" s="1279" t="s">
        <v>1040</v>
      </c>
      <c r="B5" s="1283" t="s">
        <v>3259</v>
      </c>
      <c r="C5" s="1284">
        <v>1000699.86</v>
      </c>
      <c r="D5" s="1284">
        <v>898699.86</v>
      </c>
      <c r="E5" s="1284">
        <v>816092</v>
      </c>
      <c r="F5" s="883">
        <v>816092</v>
      </c>
      <c r="G5" s="883">
        <v>102000</v>
      </c>
      <c r="H5" s="883">
        <f t="shared" si="0"/>
        <v>918092</v>
      </c>
      <c r="I5" s="909">
        <v>900630</v>
      </c>
      <c r="J5" s="883">
        <f>H5-I5</f>
        <v>17462</v>
      </c>
      <c r="K5" s="1283" t="s">
        <v>3258</v>
      </c>
    </row>
    <row r="6" spans="1:11" ht="30" customHeight="1">
      <c r="A6" s="1279" t="s">
        <v>3260</v>
      </c>
      <c r="B6" s="1279" t="s">
        <v>3261</v>
      </c>
      <c r="C6" s="1284">
        <v>1286368.3500000001</v>
      </c>
      <c r="D6" s="1284">
        <v>1138018.3500000001</v>
      </c>
      <c r="E6" s="1284">
        <v>1100005.46</v>
      </c>
      <c r="F6" s="1284">
        <v>1100005.46</v>
      </c>
      <c r="G6" s="883">
        <v>148350</v>
      </c>
      <c r="H6" s="883">
        <f>E6+G6</f>
        <v>1248355.46</v>
      </c>
      <c r="I6" s="883">
        <v>1029095</v>
      </c>
      <c r="J6" s="883">
        <f>H6-I6</f>
        <v>219260.45999999996</v>
      </c>
      <c r="K6" s="1283" t="s">
        <v>3258</v>
      </c>
    </row>
    <row r="7" spans="1:11" ht="30" customHeight="1">
      <c r="A7" s="1279" t="s">
        <v>658</v>
      </c>
      <c r="B7" s="1279" t="s">
        <v>3259</v>
      </c>
      <c r="C7" s="1284">
        <v>512512</v>
      </c>
      <c r="D7" s="1284">
        <v>457600</v>
      </c>
      <c r="E7" s="1284">
        <v>417231</v>
      </c>
      <c r="F7" s="883">
        <v>417231</v>
      </c>
      <c r="G7" s="883">
        <v>54912</v>
      </c>
      <c r="H7" s="883">
        <f t="shared" si="0"/>
        <v>472143</v>
      </c>
      <c r="I7" s="909">
        <v>410010</v>
      </c>
      <c r="J7" s="883">
        <f>H7-I7</f>
        <v>62133</v>
      </c>
      <c r="K7" s="1283" t="s">
        <v>3258</v>
      </c>
    </row>
    <row r="8" spans="1:11" ht="30" customHeight="1">
      <c r="A8" s="1279" t="s">
        <v>3262</v>
      </c>
      <c r="B8" s="1279" t="s">
        <v>3263</v>
      </c>
      <c r="C8" s="1284">
        <v>2253495.94</v>
      </c>
      <c r="D8" s="1284">
        <v>2023323.58</v>
      </c>
      <c r="E8" s="1284">
        <v>1998273.67</v>
      </c>
      <c r="F8" s="1284">
        <v>1998273.67</v>
      </c>
      <c r="G8" s="883">
        <f>21.0631*10000</f>
        <v>210631</v>
      </c>
      <c r="H8" s="883">
        <f t="shared" si="0"/>
        <v>2208904.67</v>
      </c>
      <c r="I8" s="883">
        <v>2028146</v>
      </c>
      <c r="J8" s="883">
        <f>H8-I8</f>
        <v>180758.66999999993</v>
      </c>
      <c r="K8" s="1283" t="s">
        <v>3258</v>
      </c>
    </row>
    <row r="9" spans="1:11" ht="30" customHeight="1">
      <c r="A9" s="1279"/>
      <c r="B9" s="1279" t="s">
        <v>3346</v>
      </c>
      <c r="C9" s="883">
        <f t="shared" ref="C9:I9" si="1">SUM(C4:C8)</f>
        <v>5418513.1099999994</v>
      </c>
      <c r="D9" s="883">
        <f t="shared" si="1"/>
        <v>4827049.79</v>
      </c>
      <c r="E9" s="883">
        <f t="shared" si="1"/>
        <v>4613179.13</v>
      </c>
      <c r="F9" s="883">
        <f t="shared" si="1"/>
        <v>4613179.13</v>
      </c>
      <c r="G9" s="883">
        <f t="shared" si="1"/>
        <v>571921.96</v>
      </c>
      <c r="H9" s="883">
        <f t="shared" si="1"/>
        <v>5185101.09</v>
      </c>
      <c r="I9" s="883">
        <f t="shared" si="1"/>
        <v>4660231</v>
      </c>
      <c r="J9" s="883">
        <f>SUM(J4:J8)</f>
        <v>524870.08999999985</v>
      </c>
      <c r="K9" s="1283"/>
    </row>
    <row r="10" spans="1:11" ht="30" customHeight="1">
      <c r="A10" s="1279" t="s">
        <v>188</v>
      </c>
      <c r="B10" s="1279" t="s">
        <v>3264</v>
      </c>
      <c r="C10" s="1284">
        <v>4327561.68</v>
      </c>
      <c r="D10" s="1284">
        <v>3910419.71</v>
      </c>
      <c r="E10" s="1285">
        <v>3881805.77</v>
      </c>
      <c r="F10" s="1285">
        <v>3858045.51</v>
      </c>
      <c r="G10" s="1285">
        <v>413462</v>
      </c>
      <c r="H10" s="1285">
        <f>F10+G10</f>
        <v>4271507.51</v>
      </c>
      <c r="I10" s="1285">
        <v>3894806</v>
      </c>
      <c r="J10" s="1285">
        <f t="shared" ref="J10:J18" si="2">H10-I10</f>
        <v>376701.50999999978</v>
      </c>
      <c r="K10" s="1279"/>
    </row>
    <row r="11" spans="1:11" ht="30" customHeight="1">
      <c r="A11" s="1279" t="s">
        <v>223</v>
      </c>
      <c r="B11" s="1279" t="s">
        <v>3265</v>
      </c>
      <c r="C11" s="1284">
        <v>1829514.72</v>
      </c>
      <c r="D11" s="1284">
        <v>1633495</v>
      </c>
      <c r="E11" s="1285">
        <v>1603000</v>
      </c>
      <c r="F11" s="1285">
        <v>1603000</v>
      </c>
      <c r="G11" s="1285">
        <v>193235.37</v>
      </c>
      <c r="H11" s="1285">
        <f t="shared" ref="H11:H15" si="3">E11+G11</f>
        <v>1796235.37</v>
      </c>
      <c r="I11" s="1285">
        <v>1646563</v>
      </c>
      <c r="J11" s="1285">
        <f t="shared" si="2"/>
        <v>149672.37000000011</v>
      </c>
      <c r="K11" s="1283" t="s">
        <v>3258</v>
      </c>
    </row>
    <row r="12" spans="1:11" ht="30" customHeight="1">
      <c r="A12" s="1279" t="s">
        <v>3266</v>
      </c>
      <c r="B12" s="1279" t="s">
        <v>3267</v>
      </c>
      <c r="C12" s="1284">
        <v>2543787.4</v>
      </c>
      <c r="D12" s="1284">
        <v>2312522.75</v>
      </c>
      <c r="E12" s="1285">
        <v>2220000</v>
      </c>
      <c r="F12" s="1285">
        <v>2198934</v>
      </c>
      <c r="G12" s="1285">
        <v>217100</v>
      </c>
      <c r="H12" s="1285">
        <f>F12+G12</f>
        <v>2416034</v>
      </c>
      <c r="I12" s="1285">
        <v>2289409</v>
      </c>
      <c r="J12" s="1285">
        <f t="shared" si="2"/>
        <v>126625</v>
      </c>
      <c r="K12" s="1279"/>
    </row>
    <row r="13" spans="1:11" ht="30" customHeight="1">
      <c r="A13" s="1279" t="s">
        <v>1398</v>
      </c>
      <c r="B13" s="1279" t="s">
        <v>3268</v>
      </c>
      <c r="C13" s="1284">
        <v>1320256.32</v>
      </c>
      <c r="D13" s="1284">
        <v>1049336</v>
      </c>
      <c r="E13" s="1285">
        <v>1032495</v>
      </c>
      <c r="F13" s="1285">
        <v>1032495</v>
      </c>
      <c r="G13" s="1285">
        <v>131208.03</v>
      </c>
      <c r="H13" s="1285">
        <f t="shared" si="3"/>
        <v>1163703.03</v>
      </c>
      <c r="I13" s="1285">
        <v>1188231</v>
      </c>
      <c r="J13" s="1285">
        <f t="shared" si="2"/>
        <v>-24527.969999999972</v>
      </c>
      <c r="K13" s="1283" t="s">
        <v>3258</v>
      </c>
    </row>
    <row r="14" spans="1:11" ht="30" customHeight="1">
      <c r="A14" s="1279" t="s">
        <v>222</v>
      </c>
      <c r="B14" s="1279" t="s">
        <v>3269</v>
      </c>
      <c r="C14" s="1284">
        <v>802880</v>
      </c>
      <c r="D14" s="1284">
        <v>690430</v>
      </c>
      <c r="E14" s="1285">
        <v>627974</v>
      </c>
      <c r="F14" s="1285">
        <v>627974</v>
      </c>
      <c r="G14" s="1285">
        <v>91596.06</v>
      </c>
      <c r="H14" s="1285">
        <f t="shared" si="3"/>
        <v>719570.06</v>
      </c>
      <c r="I14" s="1285">
        <v>722592</v>
      </c>
      <c r="J14" s="1285">
        <f t="shared" si="2"/>
        <v>-3021.9399999999441</v>
      </c>
      <c r="K14" s="1283" t="s">
        <v>3258</v>
      </c>
    </row>
    <row r="15" spans="1:11" ht="30" customHeight="1">
      <c r="A15" s="1279" t="s">
        <v>3270</v>
      </c>
      <c r="B15" s="1279" t="s">
        <v>3271</v>
      </c>
      <c r="C15" s="1284">
        <v>521304</v>
      </c>
      <c r="D15" s="1284">
        <v>465450</v>
      </c>
      <c r="E15" s="1285">
        <v>424043</v>
      </c>
      <c r="F15" s="1285">
        <v>424043</v>
      </c>
      <c r="G15" s="1285">
        <v>40768</v>
      </c>
      <c r="H15" s="1285">
        <f t="shared" si="3"/>
        <v>464811</v>
      </c>
      <c r="I15" s="1285">
        <v>417043</v>
      </c>
      <c r="J15" s="1285">
        <f t="shared" si="2"/>
        <v>47768</v>
      </c>
      <c r="K15" s="1283" t="s">
        <v>3258</v>
      </c>
    </row>
    <row r="16" spans="1:11" ht="30" customHeight="1">
      <c r="A16" s="1279" t="s">
        <v>648</v>
      </c>
      <c r="B16" s="1279" t="s">
        <v>3272</v>
      </c>
      <c r="C16" s="1284">
        <v>377602.4</v>
      </c>
      <c r="D16" s="1284">
        <v>337145</v>
      </c>
      <c r="E16" s="1285">
        <v>306871</v>
      </c>
      <c r="F16" s="1285">
        <v>306618</v>
      </c>
      <c r="G16" s="1285">
        <v>34222.15</v>
      </c>
      <c r="H16" s="1285">
        <f>F16+G16</f>
        <v>340840.15</v>
      </c>
      <c r="I16" s="1285">
        <v>302082</v>
      </c>
      <c r="J16" s="1285">
        <f t="shared" si="2"/>
        <v>38758.150000000023</v>
      </c>
      <c r="K16" s="1279"/>
    </row>
    <row r="17" spans="1:11" ht="30" customHeight="1">
      <c r="A17" s="1279" t="s">
        <v>651</v>
      </c>
      <c r="B17" s="1279" t="s">
        <v>3273</v>
      </c>
      <c r="C17" s="1284">
        <v>152359.20000000001</v>
      </c>
      <c r="D17" s="1284">
        <v>136035</v>
      </c>
      <c r="E17" s="1285">
        <v>124657</v>
      </c>
      <c r="F17" s="1285">
        <v>124657</v>
      </c>
      <c r="G17" s="1285">
        <v>11767</v>
      </c>
      <c r="H17" s="1285">
        <f>E17+G17</f>
        <v>136424</v>
      </c>
      <c r="I17" s="1285">
        <v>121887</v>
      </c>
      <c r="J17" s="1285">
        <f t="shared" si="2"/>
        <v>14537</v>
      </c>
      <c r="K17" s="1283" t="s">
        <v>3258</v>
      </c>
    </row>
    <row r="18" spans="1:11" ht="30" customHeight="1">
      <c r="A18" s="1279" t="s">
        <v>650</v>
      </c>
      <c r="B18" s="1279" t="s">
        <v>3274</v>
      </c>
      <c r="C18" s="1284">
        <v>882500</v>
      </c>
      <c r="D18" s="1284">
        <v>778400</v>
      </c>
      <c r="E18" s="1285">
        <v>709036</v>
      </c>
      <c r="F18" s="1285">
        <v>709036</v>
      </c>
      <c r="G18" s="1285">
        <v>82893</v>
      </c>
      <c r="H18" s="1285">
        <f>E18+G18</f>
        <v>791929</v>
      </c>
      <c r="I18" s="1285">
        <v>706009</v>
      </c>
      <c r="J18" s="1285">
        <f t="shared" si="2"/>
        <v>85920</v>
      </c>
      <c r="K18" s="1283" t="s">
        <v>3258</v>
      </c>
    </row>
    <row r="19" spans="1:11" ht="30" customHeight="1">
      <c r="A19" s="1279"/>
      <c r="B19" s="1279" t="s">
        <v>3347</v>
      </c>
      <c r="C19" s="1285">
        <f t="shared" ref="C19:I19" si="4">SUM(C10:C18)</f>
        <v>12757765.719999999</v>
      </c>
      <c r="D19" s="1285">
        <f t="shared" si="4"/>
        <v>11313233.460000001</v>
      </c>
      <c r="E19" s="1285">
        <f t="shared" si="4"/>
        <v>10929881.77</v>
      </c>
      <c r="F19" s="1285">
        <f t="shared" si="4"/>
        <v>10884802.51</v>
      </c>
      <c r="G19" s="1285">
        <f t="shared" si="4"/>
        <v>1216251.6099999999</v>
      </c>
      <c r="H19" s="1285">
        <f t="shared" si="4"/>
        <v>12101054.119999999</v>
      </c>
      <c r="I19" s="1285">
        <f t="shared" si="4"/>
        <v>11288622</v>
      </c>
      <c r="J19" s="1285">
        <f>SUM(J10:J18)</f>
        <v>812432.12</v>
      </c>
      <c r="K19" s="1283"/>
    </row>
    <row r="20" spans="1:11" ht="30" customHeight="1">
      <c r="A20" s="1283" t="s">
        <v>3275</v>
      </c>
      <c r="B20" s="1283" t="s">
        <v>3276</v>
      </c>
      <c r="C20" s="1284">
        <v>1630568.1664</v>
      </c>
      <c r="D20" s="1284">
        <v>1429078.72</v>
      </c>
      <c r="E20" s="1285">
        <v>1409038</v>
      </c>
      <c r="F20" s="1285">
        <v>1406763.31</v>
      </c>
      <c r="G20" s="1285">
        <v>182188</v>
      </c>
      <c r="H20" s="1285">
        <f t="shared" ref="H20:H46" si="5">F20+G20</f>
        <v>1588951.31</v>
      </c>
      <c r="I20" s="1285">
        <v>1467511</v>
      </c>
      <c r="J20" s="1285">
        <f>H20-I20</f>
        <v>121440.31000000006</v>
      </c>
      <c r="K20" s="1279"/>
    </row>
    <row r="21" spans="1:11" ht="30" customHeight="1">
      <c r="A21" s="1283" t="s">
        <v>3277</v>
      </c>
      <c r="B21" s="1283" t="s">
        <v>3278</v>
      </c>
      <c r="C21" s="1284">
        <v>1817776.034</v>
      </c>
      <c r="D21" s="1284">
        <v>1640250.94</v>
      </c>
      <c r="E21" s="1285">
        <v>1628288.51</v>
      </c>
      <c r="F21" s="1285">
        <v>1596150.85</v>
      </c>
      <c r="G21" s="1285">
        <v>177720.82</v>
      </c>
      <c r="H21" s="1285">
        <f t="shared" si="5"/>
        <v>1773871.6700000002</v>
      </c>
      <c r="I21" s="1285">
        <v>1635998</v>
      </c>
      <c r="J21" s="1285">
        <f t="shared" ref="J21:J31" si="6">H21-I21</f>
        <v>137873.67000000016</v>
      </c>
      <c r="K21" s="1279"/>
    </row>
    <row r="22" spans="1:11" ht="30" customHeight="1">
      <c r="A22" s="1283" t="s">
        <v>1020</v>
      </c>
      <c r="B22" s="1283" t="s">
        <v>3279</v>
      </c>
      <c r="C22" s="1284">
        <v>2913570</v>
      </c>
      <c r="D22" s="1284">
        <v>2648700</v>
      </c>
      <c r="E22" s="1285">
        <v>2642643.62</v>
      </c>
      <c r="F22" s="1285">
        <v>2637710</v>
      </c>
      <c r="G22" s="1285">
        <v>266021</v>
      </c>
      <c r="H22" s="1285">
        <f t="shared" si="5"/>
        <v>2903731</v>
      </c>
      <c r="I22" s="1285">
        <v>2622213</v>
      </c>
      <c r="J22" s="1285">
        <f t="shared" si="6"/>
        <v>281518</v>
      </c>
      <c r="K22" s="1279"/>
    </row>
    <row r="23" spans="1:11" ht="30" customHeight="1">
      <c r="A23" s="1283" t="s">
        <v>3280</v>
      </c>
      <c r="B23" s="1283" t="s">
        <v>3281</v>
      </c>
      <c r="C23" s="1284">
        <v>1189155</v>
      </c>
      <c r="D23" s="1284">
        <v>1027605</v>
      </c>
      <c r="E23" s="1285">
        <v>985189.27</v>
      </c>
      <c r="F23" s="1285">
        <v>981499.47</v>
      </c>
      <c r="G23" s="1285">
        <v>158220</v>
      </c>
      <c r="H23" s="1285">
        <f t="shared" si="5"/>
        <v>1139719.47</v>
      </c>
      <c r="I23" s="1285">
        <v>1070240</v>
      </c>
      <c r="J23" s="1285">
        <f t="shared" si="6"/>
        <v>69479.469999999972</v>
      </c>
      <c r="K23" s="1279"/>
    </row>
    <row r="24" spans="1:11" ht="30" customHeight="1">
      <c r="A24" s="1283" t="s">
        <v>3282</v>
      </c>
      <c r="B24" s="1283" t="s">
        <v>3283</v>
      </c>
      <c r="C24" s="1284">
        <v>465625.58559999999</v>
      </c>
      <c r="D24" s="1284">
        <v>415737.13</v>
      </c>
      <c r="E24" s="1285">
        <v>412151.75</v>
      </c>
      <c r="F24" s="1285">
        <v>411804.86</v>
      </c>
      <c r="G24" s="1285">
        <v>43041.81</v>
      </c>
      <c r="H24" s="1285">
        <f t="shared" si="5"/>
        <v>454846.67</v>
      </c>
      <c r="I24" s="1285">
        <v>372500</v>
      </c>
      <c r="J24" s="1285">
        <f t="shared" si="6"/>
        <v>82346.669999999984</v>
      </c>
      <c r="K24" s="1279"/>
    </row>
    <row r="25" spans="1:11" ht="30" customHeight="1">
      <c r="A25" s="1283" t="s">
        <v>3284</v>
      </c>
      <c r="B25" s="1283" t="s">
        <v>3285</v>
      </c>
      <c r="C25" s="1284">
        <v>961113</v>
      </c>
      <c r="D25" s="1284">
        <v>821513</v>
      </c>
      <c r="E25" s="1285">
        <v>815261.16</v>
      </c>
      <c r="F25" s="1285">
        <v>814858.73</v>
      </c>
      <c r="G25" s="1285">
        <v>132292.9</v>
      </c>
      <c r="H25" s="1285">
        <f t="shared" si="5"/>
        <v>947151.63</v>
      </c>
      <c r="I25" s="1285">
        <v>865002</v>
      </c>
      <c r="J25" s="1285">
        <f t="shared" si="6"/>
        <v>82149.63</v>
      </c>
      <c r="K25" s="1279"/>
    </row>
    <row r="26" spans="1:11" ht="30" customHeight="1">
      <c r="A26" s="1283" t="s">
        <v>1837</v>
      </c>
      <c r="B26" s="1283" t="s">
        <v>3286</v>
      </c>
      <c r="C26" s="1284">
        <v>276250</v>
      </c>
      <c r="D26" s="1284">
        <v>244020</v>
      </c>
      <c r="E26" s="1285">
        <v>241152.65</v>
      </c>
      <c r="F26" s="1285">
        <v>240859.86</v>
      </c>
      <c r="G26" s="1285">
        <v>29306.43</v>
      </c>
      <c r="H26" s="1285">
        <f t="shared" si="5"/>
        <v>270166.28999999998</v>
      </c>
      <c r="I26" s="1285">
        <v>221000</v>
      </c>
      <c r="J26" s="1285">
        <f t="shared" si="6"/>
        <v>49166.289999999979</v>
      </c>
      <c r="K26" s="1279"/>
    </row>
    <row r="27" spans="1:11" ht="30" customHeight="1">
      <c r="A27" s="1283" t="s">
        <v>3287</v>
      </c>
      <c r="B27" s="1283" t="s">
        <v>3288</v>
      </c>
      <c r="C27" s="1284">
        <v>149770.1856</v>
      </c>
      <c r="D27" s="1284">
        <v>133723.38</v>
      </c>
      <c r="E27" s="1285">
        <v>130448.68</v>
      </c>
      <c r="F27" s="1285">
        <v>129943.55</v>
      </c>
      <c r="G27" s="1285">
        <v>13906.85</v>
      </c>
      <c r="H27" s="1285">
        <f t="shared" si="5"/>
        <v>143850.4</v>
      </c>
      <c r="I27" s="1285">
        <v>134793</v>
      </c>
      <c r="J27" s="1285">
        <f t="shared" si="6"/>
        <v>9057.3999999999942</v>
      </c>
      <c r="K27" s="1279"/>
    </row>
    <row r="28" spans="1:11" ht="30" customHeight="1">
      <c r="A28" s="1283" t="s">
        <v>468</v>
      </c>
      <c r="B28" s="1283" t="s">
        <v>3289</v>
      </c>
      <c r="C28" s="1284">
        <v>1007889.9312</v>
      </c>
      <c r="D28" s="1284">
        <v>873116.01</v>
      </c>
      <c r="E28" s="1285">
        <v>861587</v>
      </c>
      <c r="F28" s="1285">
        <v>860096</v>
      </c>
      <c r="G28" s="1285">
        <v>122763</v>
      </c>
      <c r="H28" s="1285">
        <f t="shared" si="5"/>
        <v>982859</v>
      </c>
      <c r="I28" s="1285">
        <v>907101</v>
      </c>
      <c r="J28" s="1285">
        <f t="shared" si="6"/>
        <v>75758</v>
      </c>
      <c r="K28" s="1279"/>
    </row>
    <row r="29" spans="1:11" ht="30" customHeight="1">
      <c r="A29" s="1283" t="s">
        <v>1024</v>
      </c>
      <c r="B29" s="1283" t="s">
        <v>3290</v>
      </c>
      <c r="C29" s="1284">
        <v>676280</v>
      </c>
      <c r="D29" s="1284">
        <v>580000</v>
      </c>
      <c r="E29" s="1285">
        <v>561635</v>
      </c>
      <c r="F29" s="1285">
        <v>560776</v>
      </c>
      <c r="G29" s="1285">
        <v>91304</v>
      </c>
      <c r="H29" s="1285">
        <f t="shared" si="5"/>
        <v>652080</v>
      </c>
      <c r="I29" s="1285">
        <v>541024</v>
      </c>
      <c r="J29" s="1285">
        <f t="shared" si="6"/>
        <v>111056</v>
      </c>
      <c r="K29" s="1279"/>
    </row>
    <row r="30" spans="1:11" ht="30" customHeight="1">
      <c r="A30" s="1283" t="s">
        <v>1025</v>
      </c>
      <c r="B30" s="1283" t="s">
        <v>3291</v>
      </c>
      <c r="C30" s="1284">
        <v>218695.4688</v>
      </c>
      <c r="D30" s="1284">
        <v>183210.23999999999</v>
      </c>
      <c r="E30" s="1285">
        <v>178797</v>
      </c>
      <c r="F30" s="1285">
        <v>176931</v>
      </c>
      <c r="G30" s="1285">
        <v>32682</v>
      </c>
      <c r="H30" s="1285">
        <f t="shared" si="5"/>
        <v>209613</v>
      </c>
      <c r="I30" s="1285">
        <v>174956</v>
      </c>
      <c r="J30" s="1285">
        <f t="shared" si="6"/>
        <v>34657</v>
      </c>
      <c r="K30" s="1279"/>
    </row>
    <row r="31" spans="1:11" ht="30" customHeight="1">
      <c r="A31" s="1283" t="s">
        <v>3292</v>
      </c>
      <c r="B31" s="1283" t="s">
        <v>3293</v>
      </c>
      <c r="C31" s="1284">
        <v>879694</v>
      </c>
      <c r="D31" s="1284">
        <v>851594</v>
      </c>
      <c r="E31" s="1285">
        <v>851594</v>
      </c>
      <c r="F31" s="1285">
        <v>848553.56</v>
      </c>
      <c r="G31" s="1285">
        <f>20000+10500</f>
        <v>30500</v>
      </c>
      <c r="H31" s="1285">
        <f t="shared" si="5"/>
        <v>879053.56</v>
      </c>
      <c r="I31" s="1285">
        <f>C31</f>
        <v>879694</v>
      </c>
      <c r="J31" s="1285">
        <f t="shared" si="6"/>
        <v>-640.43999999994412</v>
      </c>
      <c r="K31" s="1279"/>
    </row>
    <row r="32" spans="1:11" ht="30" customHeight="1">
      <c r="A32" s="1283"/>
      <c r="B32" s="1283" t="s">
        <v>3348</v>
      </c>
      <c r="C32" s="1285">
        <f t="shared" ref="C32:I32" si="7">SUM(C20:C31)</f>
        <v>12186387.3716</v>
      </c>
      <c r="D32" s="1285">
        <f t="shared" si="7"/>
        <v>10848548.42</v>
      </c>
      <c r="E32" s="1285">
        <f t="shared" si="7"/>
        <v>10717786.640000001</v>
      </c>
      <c r="F32" s="1285">
        <f t="shared" si="7"/>
        <v>10665947.190000001</v>
      </c>
      <c r="G32" s="1285">
        <f t="shared" si="7"/>
        <v>1279946.81</v>
      </c>
      <c r="H32" s="1285">
        <f t="shared" si="7"/>
        <v>11945894</v>
      </c>
      <c r="I32" s="1285">
        <f t="shared" si="7"/>
        <v>10892032</v>
      </c>
      <c r="J32" s="1285">
        <f>SUM(J20:J31)</f>
        <v>1053862</v>
      </c>
      <c r="K32" s="1279"/>
    </row>
    <row r="33" spans="1:11" ht="30" customHeight="1">
      <c r="A33" s="1279" t="s">
        <v>3294</v>
      </c>
      <c r="B33" s="1279" t="s">
        <v>3295</v>
      </c>
      <c r="C33" s="1284">
        <v>979000</v>
      </c>
      <c r="D33" s="1284">
        <v>844700</v>
      </c>
      <c r="E33" s="1286">
        <v>768082</v>
      </c>
      <c r="F33" s="1286">
        <v>768082</v>
      </c>
      <c r="G33" s="1285">
        <v>113048</v>
      </c>
      <c r="H33" s="1285">
        <f t="shared" si="5"/>
        <v>881130</v>
      </c>
      <c r="I33" s="1285">
        <v>783200</v>
      </c>
      <c r="J33" s="1285">
        <f>H33-I33</f>
        <v>97930</v>
      </c>
      <c r="K33" s="1638" t="s">
        <v>3258</v>
      </c>
    </row>
    <row r="34" spans="1:11" ht="30" customHeight="1">
      <c r="A34" s="1279" t="s">
        <v>3296</v>
      </c>
      <c r="B34" s="1279" t="s">
        <v>3297</v>
      </c>
      <c r="C34" s="1284">
        <v>664720</v>
      </c>
      <c r="D34" s="1284">
        <v>569450</v>
      </c>
      <c r="E34" s="1286">
        <v>517883</v>
      </c>
      <c r="F34" s="1286">
        <v>517883</v>
      </c>
      <c r="G34" s="1285">
        <v>78761</v>
      </c>
      <c r="H34" s="1285">
        <f t="shared" si="5"/>
        <v>596644</v>
      </c>
      <c r="I34" s="1285">
        <v>531776</v>
      </c>
      <c r="J34" s="1285">
        <f t="shared" ref="J34:J46" si="8">H34-I34</f>
        <v>64868</v>
      </c>
      <c r="K34" s="1638"/>
    </row>
    <row r="35" spans="1:11" ht="30" customHeight="1">
      <c r="A35" s="1279" t="s">
        <v>1848</v>
      </c>
      <c r="B35" s="1279" t="s">
        <v>3298</v>
      </c>
      <c r="C35" s="1287">
        <v>416700</v>
      </c>
      <c r="D35" s="1284">
        <v>368405</v>
      </c>
      <c r="E35" s="1286">
        <v>334397</v>
      </c>
      <c r="F35" s="1286">
        <v>334397</v>
      </c>
      <c r="G35" s="1285">
        <v>35073</v>
      </c>
      <c r="H35" s="1285">
        <f t="shared" si="5"/>
        <v>369470</v>
      </c>
      <c r="I35" s="1285">
        <v>375030</v>
      </c>
      <c r="J35" s="1285">
        <f t="shared" si="8"/>
        <v>-5560</v>
      </c>
      <c r="K35" s="1638"/>
    </row>
    <row r="36" spans="1:11" ht="30" customHeight="1">
      <c r="A36" s="1279" t="s">
        <v>3299</v>
      </c>
      <c r="B36" s="1279" t="s">
        <v>3300</v>
      </c>
      <c r="C36" s="1287">
        <v>226000</v>
      </c>
      <c r="D36" s="1284">
        <v>175000</v>
      </c>
      <c r="E36" s="1286">
        <v>158671</v>
      </c>
      <c r="F36" s="1286">
        <v>158671</v>
      </c>
      <c r="G36" s="1285">
        <v>43977</v>
      </c>
      <c r="H36" s="1285">
        <f t="shared" si="5"/>
        <v>202648</v>
      </c>
      <c r="I36" s="1285">
        <v>203400</v>
      </c>
      <c r="J36" s="1285">
        <f t="shared" si="8"/>
        <v>-752</v>
      </c>
      <c r="K36" s="1638"/>
    </row>
    <row r="37" spans="1:11" ht="30" customHeight="1">
      <c r="A37" s="1279" t="s">
        <v>3301</v>
      </c>
      <c r="B37" s="1279" t="s">
        <v>3302</v>
      </c>
      <c r="C37" s="1287">
        <v>298840</v>
      </c>
      <c r="D37" s="1284">
        <v>244500</v>
      </c>
      <c r="E37" s="1286">
        <v>222361</v>
      </c>
      <c r="F37" s="1286">
        <v>222361</v>
      </c>
      <c r="G37" s="1285">
        <v>21682</v>
      </c>
      <c r="H37" s="1285">
        <f t="shared" si="5"/>
        <v>244043</v>
      </c>
      <c r="I37" s="1285">
        <v>268956</v>
      </c>
      <c r="J37" s="1285">
        <f t="shared" si="8"/>
        <v>-24913</v>
      </c>
      <c r="K37" s="1638"/>
    </row>
    <row r="38" spans="1:11" ht="30" customHeight="1">
      <c r="A38" s="1279" t="s">
        <v>3303</v>
      </c>
      <c r="B38" s="1279" t="s">
        <v>3304</v>
      </c>
      <c r="C38" s="1287">
        <v>1343400</v>
      </c>
      <c r="D38" s="1284">
        <v>1200000</v>
      </c>
      <c r="E38" s="1286">
        <v>1178890.2</v>
      </c>
      <c r="F38" s="1286">
        <v>1178890.2</v>
      </c>
      <c r="G38" s="1285">
        <v>137614</v>
      </c>
      <c r="H38" s="1285">
        <f t="shared" si="5"/>
        <v>1316504.2</v>
      </c>
      <c r="I38" s="1285">
        <v>1209060</v>
      </c>
      <c r="J38" s="1285">
        <f t="shared" si="8"/>
        <v>107444.19999999995</v>
      </c>
      <c r="K38" s="1638"/>
    </row>
    <row r="39" spans="1:11" ht="30" customHeight="1">
      <c r="A39" s="1279" t="s">
        <v>3305</v>
      </c>
      <c r="B39" s="1279" t="s">
        <v>3306</v>
      </c>
      <c r="C39" s="1287">
        <v>1309080</v>
      </c>
      <c r="D39" s="1284">
        <v>1134000</v>
      </c>
      <c r="E39" s="1286">
        <v>1123442</v>
      </c>
      <c r="F39" s="1286">
        <v>1123442</v>
      </c>
      <c r="G39" s="1285">
        <v>160956</v>
      </c>
      <c r="H39" s="1285">
        <f t="shared" si="5"/>
        <v>1284398</v>
      </c>
      <c r="I39" s="1285">
        <v>1047264</v>
      </c>
      <c r="J39" s="1285">
        <f t="shared" si="8"/>
        <v>237134</v>
      </c>
      <c r="K39" s="1638"/>
    </row>
    <row r="40" spans="1:11" ht="30" customHeight="1">
      <c r="A40" s="1279" t="s">
        <v>707</v>
      </c>
      <c r="B40" s="1279" t="s">
        <v>3307</v>
      </c>
      <c r="C40" s="1287">
        <v>3573705.7</v>
      </c>
      <c r="D40" s="1284">
        <v>3247187</v>
      </c>
      <c r="E40" s="1286">
        <v>3210363.07</v>
      </c>
      <c r="F40" s="1286">
        <v>3210363.07</v>
      </c>
      <c r="G40" s="1285">
        <v>318124</v>
      </c>
      <c r="H40" s="1285">
        <f t="shared" si="5"/>
        <v>3528487.07</v>
      </c>
      <c r="I40" s="1285">
        <v>2858965</v>
      </c>
      <c r="J40" s="1285">
        <f t="shared" si="8"/>
        <v>669522.06999999983</v>
      </c>
      <c r="K40" s="1638"/>
    </row>
    <row r="41" spans="1:11" ht="30" customHeight="1">
      <c r="A41" s="1279" t="s">
        <v>3308</v>
      </c>
      <c r="B41" s="1279" t="s">
        <v>3309</v>
      </c>
      <c r="C41" s="1287">
        <v>2019716</v>
      </c>
      <c r="D41" s="1284">
        <v>1781560</v>
      </c>
      <c r="E41" s="1287">
        <v>1718000</v>
      </c>
      <c r="F41" s="1287">
        <v>1718000</v>
      </c>
      <c r="G41" s="1285">
        <v>213542</v>
      </c>
      <c r="H41" s="1285">
        <f t="shared" si="5"/>
        <v>1931542</v>
      </c>
      <c r="I41" s="1285">
        <v>1817744</v>
      </c>
      <c r="J41" s="1285">
        <f t="shared" si="8"/>
        <v>113798</v>
      </c>
      <c r="K41" s="1638"/>
    </row>
    <row r="42" spans="1:11" ht="30" customHeight="1">
      <c r="A42" s="1279" t="s">
        <v>3026</v>
      </c>
      <c r="B42" s="1279" t="s">
        <v>3310</v>
      </c>
      <c r="C42" s="1287">
        <v>1521400</v>
      </c>
      <c r="D42" s="1284">
        <v>1332500</v>
      </c>
      <c r="E42" s="1287">
        <v>1325994.97</v>
      </c>
      <c r="F42" s="1287">
        <v>1325994.97</v>
      </c>
      <c r="G42" s="1285">
        <v>139755</v>
      </c>
      <c r="H42" s="1285">
        <f t="shared" si="5"/>
        <v>1465749.97</v>
      </c>
      <c r="I42" s="1285">
        <v>1369260</v>
      </c>
      <c r="J42" s="1285">
        <f t="shared" si="8"/>
        <v>96489.969999999972</v>
      </c>
      <c r="K42" s="1638"/>
    </row>
    <row r="43" spans="1:11" ht="30" customHeight="1">
      <c r="A43" s="1279" t="s">
        <v>1904</v>
      </c>
      <c r="B43" s="1279" t="s">
        <v>3311</v>
      </c>
      <c r="C43" s="1287">
        <v>732000</v>
      </c>
      <c r="D43" s="1284">
        <v>640000</v>
      </c>
      <c r="E43" s="1287">
        <v>581838</v>
      </c>
      <c r="F43" s="1287">
        <v>581838</v>
      </c>
      <c r="G43" s="1285">
        <v>75480</v>
      </c>
      <c r="H43" s="1285">
        <f t="shared" si="5"/>
        <v>657318</v>
      </c>
      <c r="I43" s="1285">
        <v>658800</v>
      </c>
      <c r="J43" s="1285">
        <f t="shared" si="8"/>
        <v>-1482</v>
      </c>
      <c r="K43" s="1638"/>
    </row>
    <row r="44" spans="1:11" ht="30" customHeight="1">
      <c r="A44" s="1279" t="s">
        <v>707</v>
      </c>
      <c r="B44" s="1279" t="s">
        <v>3312</v>
      </c>
      <c r="C44" s="1287">
        <v>1368312.08</v>
      </c>
      <c r="D44" s="1284">
        <v>1221707.21</v>
      </c>
      <c r="E44" s="1287">
        <v>1212500.98</v>
      </c>
      <c r="F44" s="1287">
        <v>1212500.98</v>
      </c>
      <c r="G44" s="1285">
        <v>107506</v>
      </c>
      <c r="H44" s="1285">
        <f t="shared" si="5"/>
        <v>1320006.98</v>
      </c>
      <c r="I44" s="1285">
        <v>1094650</v>
      </c>
      <c r="J44" s="1285">
        <f t="shared" si="8"/>
        <v>225356.97999999998</v>
      </c>
      <c r="K44" s="1638"/>
    </row>
    <row r="45" spans="1:11" ht="30" customHeight="1">
      <c r="A45" s="1279" t="s">
        <v>3313</v>
      </c>
      <c r="B45" s="1279" t="s">
        <v>3314</v>
      </c>
      <c r="C45" s="1287">
        <v>112000</v>
      </c>
      <c r="D45" s="1284">
        <v>100000</v>
      </c>
      <c r="E45" s="1287">
        <v>90601</v>
      </c>
      <c r="F45" s="1287">
        <v>90601</v>
      </c>
      <c r="G45" s="1285">
        <v>9635</v>
      </c>
      <c r="H45" s="1285">
        <f t="shared" si="5"/>
        <v>100236</v>
      </c>
      <c r="I45" s="1285">
        <v>89600</v>
      </c>
      <c r="J45" s="1285">
        <f t="shared" si="8"/>
        <v>10636</v>
      </c>
      <c r="K45" s="1638"/>
    </row>
    <row r="46" spans="1:11" ht="30" customHeight="1">
      <c r="A46" s="1279" t="s">
        <v>3315</v>
      </c>
      <c r="B46" s="1279" t="s">
        <v>3316</v>
      </c>
      <c r="C46" s="1287">
        <v>924300</v>
      </c>
      <c r="D46" s="1284">
        <v>800000</v>
      </c>
      <c r="E46" s="1287">
        <v>728177</v>
      </c>
      <c r="F46" s="1287">
        <v>728177</v>
      </c>
      <c r="G46" s="1285">
        <v>90280</v>
      </c>
      <c r="H46" s="1285">
        <f t="shared" si="5"/>
        <v>818457</v>
      </c>
      <c r="I46" s="1285">
        <v>739445</v>
      </c>
      <c r="J46" s="1285">
        <f t="shared" si="8"/>
        <v>79012</v>
      </c>
      <c r="K46" s="1638"/>
    </row>
    <row r="47" spans="1:11" ht="30" customHeight="1">
      <c r="A47" s="1279"/>
      <c r="B47" s="1279" t="s">
        <v>3349</v>
      </c>
      <c r="C47" s="1285">
        <f t="shared" ref="C47:I47" si="9">SUM(C33:C46)</f>
        <v>15489173.779999999</v>
      </c>
      <c r="D47" s="1285">
        <f t="shared" si="9"/>
        <v>13659009.210000001</v>
      </c>
      <c r="E47" s="1285">
        <f t="shared" si="9"/>
        <v>13171201.220000001</v>
      </c>
      <c r="F47" s="1285">
        <f t="shared" si="9"/>
        <v>13171201.220000001</v>
      </c>
      <c r="G47" s="1285">
        <f t="shared" si="9"/>
        <v>1545433</v>
      </c>
      <c r="H47" s="1285">
        <f t="shared" si="9"/>
        <v>14716634.220000001</v>
      </c>
      <c r="I47" s="1285">
        <f t="shared" si="9"/>
        <v>13047150</v>
      </c>
      <c r="J47" s="1285">
        <f>SUM(J33:J46)</f>
        <v>1669484.2199999997</v>
      </c>
      <c r="K47" s="1279"/>
    </row>
    <row r="48" spans="1:11" s="1288" customFormat="1" ht="30" customHeight="1">
      <c r="A48" s="1279" t="s">
        <v>996</v>
      </c>
      <c r="B48" s="1279" t="s">
        <v>3317</v>
      </c>
      <c r="C48" s="1284">
        <v>1082580.5</v>
      </c>
      <c r="D48" s="1284">
        <v>975415.28</v>
      </c>
      <c r="E48" s="1284">
        <v>973800</v>
      </c>
      <c r="F48" s="1284">
        <v>973800</v>
      </c>
      <c r="G48" s="1284">
        <v>107165.22</v>
      </c>
      <c r="H48" s="1284">
        <f>SUM(F48:G48)</f>
        <v>1080965.22</v>
      </c>
      <c r="I48" s="1284">
        <v>866064</v>
      </c>
      <c r="J48" s="1284">
        <f>H48-I48</f>
        <v>214901.21999999997</v>
      </c>
      <c r="K48" s="1283" t="s">
        <v>3258</v>
      </c>
    </row>
    <row r="49" spans="1:11" ht="30" customHeight="1">
      <c r="A49" s="1279" t="s">
        <v>3318</v>
      </c>
      <c r="B49" s="1279" t="s">
        <v>3319</v>
      </c>
      <c r="C49" s="1284">
        <v>192600</v>
      </c>
      <c r="D49" s="1284">
        <v>168750</v>
      </c>
      <c r="E49" s="1285">
        <v>153522</v>
      </c>
      <c r="F49" s="1285">
        <v>153522</v>
      </c>
      <c r="G49" s="1285">
        <v>15686</v>
      </c>
      <c r="H49" s="1285">
        <f>F49+G49</f>
        <v>169208</v>
      </c>
      <c r="I49" s="1285">
        <v>154080</v>
      </c>
      <c r="J49" s="1284">
        <f>H49-I49</f>
        <v>15128</v>
      </c>
      <c r="K49" s="1283" t="s">
        <v>3258</v>
      </c>
    </row>
    <row r="50" spans="1:11" ht="30" customHeight="1">
      <c r="A50" s="1279"/>
      <c r="B50" s="1279" t="s">
        <v>3350</v>
      </c>
      <c r="C50" s="1284">
        <f t="shared" ref="C50:I50" si="10">SUM(C48:C49)</f>
        <v>1275180.5</v>
      </c>
      <c r="D50" s="1284">
        <f t="shared" si="10"/>
        <v>1144165.28</v>
      </c>
      <c r="E50" s="1284">
        <f t="shared" si="10"/>
        <v>1127322</v>
      </c>
      <c r="F50" s="1284">
        <f t="shared" si="10"/>
        <v>1127322</v>
      </c>
      <c r="G50" s="1284">
        <f t="shared" si="10"/>
        <v>122851.22</v>
      </c>
      <c r="H50" s="1284">
        <f t="shared" si="10"/>
        <v>1250173.22</v>
      </c>
      <c r="I50" s="1284">
        <f t="shared" si="10"/>
        <v>1020144</v>
      </c>
      <c r="J50" s="1284">
        <f>SUM(J48:J49)</f>
        <v>230029.21999999997</v>
      </c>
      <c r="K50" s="1283"/>
    </row>
    <row r="51" spans="1:11" ht="30" customHeight="1">
      <c r="A51" s="1289" t="s">
        <v>246</v>
      </c>
      <c r="B51" s="1289" t="s">
        <v>3320</v>
      </c>
      <c r="C51" s="1284">
        <v>1615568</v>
      </c>
      <c r="D51" s="1284">
        <v>1421400</v>
      </c>
      <c r="E51" s="1284">
        <v>1405332.72</v>
      </c>
      <c r="F51" s="883">
        <v>1405332.72</v>
      </c>
      <c r="G51" s="883">
        <v>194168</v>
      </c>
      <c r="H51" s="1285">
        <f t="shared" ref="H51:H62" si="11">SUM(F51+G51)</f>
        <v>1599500.72</v>
      </c>
      <c r="I51" s="1284">
        <v>1454011</v>
      </c>
      <c r="J51" s="909">
        <f>H51-I51</f>
        <v>145489.71999999997</v>
      </c>
      <c r="K51" s="1639" t="s">
        <v>3258</v>
      </c>
    </row>
    <row r="52" spans="1:11" ht="30" customHeight="1">
      <c r="A52" s="1289" t="s">
        <v>1048</v>
      </c>
      <c r="B52" s="1289" t="s">
        <v>3321</v>
      </c>
      <c r="C52" s="1284">
        <v>1364400</v>
      </c>
      <c r="D52" s="1284">
        <v>1208600</v>
      </c>
      <c r="E52" s="1284">
        <v>1206957.6299999999</v>
      </c>
      <c r="F52" s="883">
        <v>1206957.6299999999</v>
      </c>
      <c r="G52" s="883">
        <v>155800</v>
      </c>
      <c r="H52" s="1285">
        <f t="shared" si="11"/>
        <v>1362757.63</v>
      </c>
      <c r="I52" s="1284">
        <v>1091520</v>
      </c>
      <c r="J52" s="909">
        <f t="shared" ref="J52:J62" si="12">H52-I52</f>
        <v>271237.62999999989</v>
      </c>
      <c r="K52" s="1638"/>
    </row>
    <row r="53" spans="1:11" ht="30" customHeight="1">
      <c r="A53" s="1289" t="s">
        <v>251</v>
      </c>
      <c r="B53" s="1289" t="s">
        <v>3322</v>
      </c>
      <c r="C53" s="1284">
        <v>151200</v>
      </c>
      <c r="D53" s="1284">
        <v>135000</v>
      </c>
      <c r="E53" s="1284">
        <v>122880</v>
      </c>
      <c r="F53" s="883">
        <v>122880</v>
      </c>
      <c r="G53" s="883">
        <v>16200</v>
      </c>
      <c r="H53" s="1285">
        <f t="shared" si="11"/>
        <v>139080</v>
      </c>
      <c r="I53" s="1285">
        <v>136080</v>
      </c>
      <c r="J53" s="909">
        <f t="shared" si="12"/>
        <v>3000</v>
      </c>
      <c r="K53" s="1638"/>
    </row>
    <row r="54" spans="1:11" ht="30" customHeight="1">
      <c r="A54" s="1289" t="s">
        <v>809</v>
      </c>
      <c r="B54" s="1289" t="s">
        <v>3323</v>
      </c>
      <c r="C54" s="1284">
        <v>2105300</v>
      </c>
      <c r="D54" s="1284">
        <v>181500</v>
      </c>
      <c r="E54" s="1284">
        <v>1808018.02</v>
      </c>
      <c r="F54" s="883">
        <v>1808018.02</v>
      </c>
      <c r="G54" s="883">
        <v>290300</v>
      </c>
      <c r="H54" s="1285">
        <f t="shared" si="11"/>
        <v>2098318.02</v>
      </c>
      <c r="I54" s="1285">
        <v>1894770</v>
      </c>
      <c r="J54" s="909">
        <f t="shared" si="12"/>
        <v>203548.02000000002</v>
      </c>
      <c r="K54" s="1638"/>
    </row>
    <row r="55" spans="1:11" ht="30" customHeight="1">
      <c r="A55" s="1289" t="s">
        <v>1942</v>
      </c>
      <c r="B55" s="1289" t="s">
        <v>3324</v>
      </c>
      <c r="C55" s="1284">
        <v>584295</v>
      </c>
      <c r="D55" s="1284">
        <v>497350</v>
      </c>
      <c r="E55" s="1284">
        <v>453522</v>
      </c>
      <c r="F55" s="883">
        <v>453522</v>
      </c>
      <c r="G55" s="883">
        <v>86945</v>
      </c>
      <c r="H55" s="1285">
        <f t="shared" si="11"/>
        <v>540467</v>
      </c>
      <c r="I55" s="1285">
        <v>467436</v>
      </c>
      <c r="J55" s="909">
        <f t="shared" si="12"/>
        <v>73031</v>
      </c>
      <c r="K55" s="1638"/>
    </row>
    <row r="56" spans="1:11" ht="30" customHeight="1">
      <c r="A56" s="1289" t="s">
        <v>1945</v>
      </c>
      <c r="B56" s="1289" t="s">
        <v>3325</v>
      </c>
      <c r="C56" s="1284">
        <v>182800</v>
      </c>
      <c r="D56" s="1284">
        <v>160000</v>
      </c>
      <c r="E56" s="1284">
        <v>145670</v>
      </c>
      <c r="F56" s="883">
        <v>145670</v>
      </c>
      <c r="G56" s="883">
        <v>22800</v>
      </c>
      <c r="H56" s="1285">
        <f t="shared" si="11"/>
        <v>168470</v>
      </c>
      <c r="I56" s="1285">
        <v>146240</v>
      </c>
      <c r="J56" s="909">
        <f t="shared" si="12"/>
        <v>22230</v>
      </c>
      <c r="K56" s="1638"/>
    </row>
    <row r="57" spans="1:11" ht="30" customHeight="1">
      <c r="A57" s="1289" t="s">
        <v>1046</v>
      </c>
      <c r="B57" s="1289" t="s">
        <v>3326</v>
      </c>
      <c r="C57" s="1284">
        <v>697736</v>
      </c>
      <c r="D57" s="1284">
        <v>616550</v>
      </c>
      <c r="E57" s="1284">
        <v>561161</v>
      </c>
      <c r="F57" s="883">
        <v>561161</v>
      </c>
      <c r="G57" s="883">
        <v>81186</v>
      </c>
      <c r="H57" s="1285">
        <f t="shared" si="11"/>
        <v>642347</v>
      </c>
      <c r="I57" s="1285">
        <v>558189</v>
      </c>
      <c r="J57" s="909">
        <f t="shared" si="12"/>
        <v>84158</v>
      </c>
      <c r="K57" s="1638"/>
    </row>
    <row r="58" spans="1:11" ht="30" customHeight="1">
      <c r="A58" s="1289" t="s">
        <v>245</v>
      </c>
      <c r="B58" s="1289" t="s">
        <v>3327</v>
      </c>
      <c r="C58" s="1284">
        <v>2554852</v>
      </c>
      <c r="D58" s="1284">
        <v>2295320</v>
      </c>
      <c r="E58" s="1284">
        <v>2269241</v>
      </c>
      <c r="F58" s="883">
        <v>2269241</v>
      </c>
      <c r="G58" s="883">
        <v>259532</v>
      </c>
      <c r="H58" s="1285">
        <f t="shared" si="11"/>
        <v>2528773</v>
      </c>
      <c r="I58" s="1285">
        <v>2299367</v>
      </c>
      <c r="J58" s="909">
        <f t="shared" si="12"/>
        <v>229406</v>
      </c>
      <c r="K58" s="1638"/>
    </row>
    <row r="59" spans="1:11" ht="30" customHeight="1">
      <c r="A59" s="1289" t="s">
        <v>1962</v>
      </c>
      <c r="B59" s="1289" t="s">
        <v>3328</v>
      </c>
      <c r="C59" s="1284">
        <v>386685.44</v>
      </c>
      <c r="D59" s="1284">
        <v>341237</v>
      </c>
      <c r="E59" s="1284">
        <v>311179</v>
      </c>
      <c r="F59" s="883">
        <v>311179</v>
      </c>
      <c r="G59" s="883">
        <v>45448.44</v>
      </c>
      <c r="H59" s="1285">
        <f t="shared" si="11"/>
        <v>356627.44</v>
      </c>
      <c r="I59" s="1285">
        <v>309348</v>
      </c>
      <c r="J59" s="909">
        <f t="shared" si="12"/>
        <v>47279.44</v>
      </c>
      <c r="K59" s="1638"/>
    </row>
    <row r="60" spans="1:11" ht="30" customHeight="1">
      <c r="A60" s="1289" t="s">
        <v>247</v>
      </c>
      <c r="B60" s="1289" t="s">
        <v>3329</v>
      </c>
      <c r="C60" s="1284">
        <v>317196</v>
      </c>
      <c r="D60" s="1284">
        <v>280800</v>
      </c>
      <c r="E60" s="1284">
        <v>256403</v>
      </c>
      <c r="F60" s="883">
        <v>256403</v>
      </c>
      <c r="G60" s="883">
        <v>36396</v>
      </c>
      <c r="H60" s="1285">
        <f t="shared" si="11"/>
        <v>292799</v>
      </c>
      <c r="I60" s="1285">
        <v>285476</v>
      </c>
      <c r="J60" s="909">
        <f t="shared" si="12"/>
        <v>7323</v>
      </c>
      <c r="K60" s="1638"/>
    </row>
    <row r="61" spans="1:11" ht="30" customHeight="1">
      <c r="A61" s="1289" t="s">
        <v>248</v>
      </c>
      <c r="B61" s="1289" t="s">
        <v>3330</v>
      </c>
      <c r="C61" s="1284">
        <v>4702326.8134199996</v>
      </c>
      <c r="D61" s="1284">
        <v>4179388.01</v>
      </c>
      <c r="E61" s="1284">
        <v>2635646</v>
      </c>
      <c r="F61" s="883">
        <v>2635646</v>
      </c>
      <c r="G61" s="883">
        <v>522938.8</v>
      </c>
      <c r="H61" s="1285">
        <f t="shared" si="11"/>
        <v>3158584.8</v>
      </c>
      <c r="I61" s="1285">
        <v>4232094</v>
      </c>
      <c r="J61" s="909">
        <f t="shared" si="12"/>
        <v>-1073509.2000000002</v>
      </c>
      <c r="K61" s="1638"/>
    </row>
    <row r="62" spans="1:11" s="1290" customFormat="1" ht="30" customHeight="1">
      <c r="A62" s="1289" t="s">
        <v>246</v>
      </c>
      <c r="B62" s="1289" t="s">
        <v>3331</v>
      </c>
      <c r="C62" s="1284">
        <v>65226</v>
      </c>
      <c r="D62" s="1284">
        <v>63136</v>
      </c>
      <c r="E62" s="1284">
        <v>63136</v>
      </c>
      <c r="F62" s="883">
        <v>61082</v>
      </c>
      <c r="G62" s="883">
        <v>2090</v>
      </c>
      <c r="H62" s="1285">
        <f t="shared" si="11"/>
        <v>63172</v>
      </c>
      <c r="I62" s="909">
        <v>65226</v>
      </c>
      <c r="J62" s="909">
        <f t="shared" si="12"/>
        <v>-2054</v>
      </c>
      <c r="K62" s="1279"/>
    </row>
    <row r="63" spans="1:11" s="1290" customFormat="1" ht="30" customHeight="1">
      <c r="A63" s="1289"/>
      <c r="B63" s="1289" t="s">
        <v>3351</v>
      </c>
      <c r="C63" s="909">
        <f t="shared" ref="C63:I63" si="13">SUM(C51:C62)</f>
        <v>14727585.253419999</v>
      </c>
      <c r="D63" s="909">
        <f t="shared" si="13"/>
        <v>11380281.01</v>
      </c>
      <c r="E63" s="909">
        <f t="shared" si="13"/>
        <v>11239146.369999999</v>
      </c>
      <c r="F63" s="909">
        <f t="shared" si="13"/>
        <v>11237092.369999999</v>
      </c>
      <c r="G63" s="909">
        <f t="shared" si="13"/>
        <v>1713804.24</v>
      </c>
      <c r="H63" s="909">
        <f t="shared" si="13"/>
        <v>12950896.609999999</v>
      </c>
      <c r="I63" s="909">
        <f t="shared" si="13"/>
        <v>12939757</v>
      </c>
      <c r="J63" s="909">
        <f>SUM(J51:J62)</f>
        <v>11139.609999999637</v>
      </c>
      <c r="K63" s="1279"/>
    </row>
    <row r="64" spans="1:11" s="1288" customFormat="1" ht="30" customHeight="1">
      <c r="A64" s="1279" t="s">
        <v>266</v>
      </c>
      <c r="B64" s="1638" t="s">
        <v>3332</v>
      </c>
      <c r="C64" s="1291">
        <v>623454.99</v>
      </c>
      <c r="D64" s="1291">
        <v>503454.99</v>
      </c>
      <c r="E64" s="1640">
        <f>216.8448*10000</f>
        <v>2168448</v>
      </c>
      <c r="F64" s="1640">
        <f>214.881904*10000</f>
        <v>2148819.04</v>
      </c>
      <c r="G64" s="1640">
        <f>(7+5.14+1.8722+14.82)*10000</f>
        <v>288322</v>
      </c>
      <c r="H64" s="1640">
        <f>F64+G64</f>
        <v>2437141.04</v>
      </c>
      <c r="I64" s="1640">
        <f>561109+956698+868907</f>
        <v>2386714</v>
      </c>
      <c r="J64" s="1640">
        <f>H64-I64</f>
        <v>50427.040000000037</v>
      </c>
      <c r="K64" s="1279"/>
    </row>
    <row r="65" spans="1:11" s="1288" customFormat="1" ht="30" customHeight="1">
      <c r="A65" s="1279" t="s">
        <v>1030</v>
      </c>
      <c r="B65" s="1638"/>
      <c r="C65" s="1291">
        <v>1062997.95</v>
      </c>
      <c r="D65" s="1291">
        <v>922319.6</v>
      </c>
      <c r="E65" s="1640"/>
      <c r="F65" s="1640"/>
      <c r="G65" s="1640"/>
      <c r="H65" s="1640"/>
      <c r="I65" s="1640"/>
      <c r="J65" s="1640"/>
      <c r="K65" s="1279"/>
    </row>
    <row r="66" spans="1:11" s="1288" customFormat="1" ht="30" customHeight="1">
      <c r="A66" s="1279" t="s">
        <v>3333</v>
      </c>
      <c r="B66" s="1638"/>
      <c r="C66" s="1291">
        <v>965452.5</v>
      </c>
      <c r="D66" s="1291">
        <v>814556.5</v>
      </c>
      <c r="E66" s="1640"/>
      <c r="F66" s="1640"/>
      <c r="G66" s="1640"/>
      <c r="H66" s="1640"/>
      <c r="I66" s="1640"/>
      <c r="J66" s="1640"/>
      <c r="K66" s="1279"/>
    </row>
    <row r="67" spans="1:11" s="1288" customFormat="1" ht="30" customHeight="1">
      <c r="A67" s="1279" t="s">
        <v>3334</v>
      </c>
      <c r="B67" s="1638"/>
      <c r="C67" s="1291">
        <v>2693551</v>
      </c>
      <c r="D67" s="1291">
        <v>2421410</v>
      </c>
      <c r="E67" s="1291">
        <f>234.594673*10000</f>
        <v>2345946.73</v>
      </c>
      <c r="F67" s="1291">
        <f>234.594673*10000</f>
        <v>2345946.73</v>
      </c>
      <c r="G67" s="1291">
        <f>(15.0671+2.92)*10000</f>
        <v>179870.99999999997</v>
      </c>
      <c r="H67" s="1291">
        <f>E67+G67</f>
        <v>2525817.73</v>
      </c>
      <c r="I67" s="1291">
        <v>2424196</v>
      </c>
      <c r="J67" s="1292">
        <f>H67-I67</f>
        <v>101621.72999999998</v>
      </c>
      <c r="K67" s="1279" t="s">
        <v>3258</v>
      </c>
    </row>
    <row r="68" spans="1:11" s="1288" customFormat="1" ht="30" customHeight="1">
      <c r="A68" s="1279"/>
      <c r="B68" s="1279" t="s">
        <v>3352</v>
      </c>
      <c r="C68" s="1292">
        <f t="shared" ref="C68:I68" si="14">SUM(C64:C67)</f>
        <v>5345456.4399999995</v>
      </c>
      <c r="D68" s="1292">
        <f t="shared" si="14"/>
        <v>4661741.09</v>
      </c>
      <c r="E68" s="1292">
        <f t="shared" si="14"/>
        <v>4514394.7300000004</v>
      </c>
      <c r="F68" s="1292">
        <f t="shared" si="14"/>
        <v>4494765.7699999996</v>
      </c>
      <c r="G68" s="1292">
        <f t="shared" si="14"/>
        <v>468193</v>
      </c>
      <c r="H68" s="1292">
        <f t="shared" si="14"/>
        <v>4962958.7699999996</v>
      </c>
      <c r="I68" s="1292">
        <f t="shared" si="14"/>
        <v>4810910</v>
      </c>
      <c r="J68" s="1292">
        <f>SUM(J64:J67)</f>
        <v>152048.77000000002</v>
      </c>
      <c r="K68" s="1279"/>
    </row>
    <row r="69" spans="1:11" ht="30" customHeight="1">
      <c r="A69" s="1293" t="s">
        <v>1416</v>
      </c>
      <c r="B69" s="1638" t="s">
        <v>3335</v>
      </c>
      <c r="C69" s="1284">
        <v>820195.2</v>
      </c>
      <c r="D69" s="1284">
        <v>714460</v>
      </c>
      <c r="E69" s="1641">
        <v>1512587.03</v>
      </c>
      <c r="F69" s="1641">
        <v>1512587.03</v>
      </c>
      <c r="G69" s="1641">
        <v>203455</v>
      </c>
      <c r="H69" s="1641">
        <f>F69+G69</f>
        <v>1716042.03</v>
      </c>
      <c r="I69" s="1641">
        <v>1461624</v>
      </c>
      <c r="J69" s="1641">
        <f>H69-I69</f>
        <v>254418.03000000003</v>
      </c>
      <c r="K69" s="1638" t="s">
        <v>3258</v>
      </c>
    </row>
    <row r="70" spans="1:11" ht="30" customHeight="1">
      <c r="A70" s="1293" t="s">
        <v>166</v>
      </c>
      <c r="B70" s="1638"/>
      <c r="C70" s="1284">
        <v>154428</v>
      </c>
      <c r="D70" s="1284">
        <v>138348</v>
      </c>
      <c r="E70" s="1641"/>
      <c r="F70" s="1641"/>
      <c r="G70" s="1641"/>
      <c r="H70" s="1641"/>
      <c r="I70" s="1641"/>
      <c r="J70" s="1641"/>
      <c r="K70" s="1638"/>
    </row>
    <row r="71" spans="1:11" ht="30" customHeight="1">
      <c r="A71" s="1293" t="s">
        <v>168</v>
      </c>
      <c r="B71" s="1638"/>
      <c r="C71" s="1284">
        <v>749882.52600986802</v>
      </c>
      <c r="D71" s="1284">
        <v>669537.96965166798</v>
      </c>
      <c r="E71" s="1641"/>
      <c r="F71" s="1641"/>
      <c r="G71" s="1641"/>
      <c r="H71" s="1641"/>
      <c r="I71" s="1641"/>
      <c r="J71" s="1641"/>
      <c r="K71" s="1638"/>
    </row>
    <row r="72" spans="1:11" ht="30" customHeight="1">
      <c r="A72" s="1642" t="s">
        <v>3336</v>
      </c>
      <c r="B72" s="1279" t="s">
        <v>3337</v>
      </c>
      <c r="C72" s="1643">
        <v>2877685.2</v>
      </c>
      <c r="D72" s="1284">
        <v>1303415</v>
      </c>
      <c r="E72" s="1285">
        <v>1297813</v>
      </c>
      <c r="F72" s="1285">
        <v>1297813</v>
      </c>
      <c r="G72" s="1285">
        <v>127600</v>
      </c>
      <c r="H72" s="1641">
        <f>F72+G72+F73+G73</f>
        <v>2659667.2199999997</v>
      </c>
      <c r="I72" s="1641">
        <v>2589917</v>
      </c>
      <c r="J72" s="1641">
        <f>H72-I72</f>
        <v>69750.219999999739</v>
      </c>
      <c r="K72" s="1279" t="s">
        <v>3258</v>
      </c>
    </row>
    <row r="73" spans="1:11" ht="30" customHeight="1">
      <c r="A73" s="1642"/>
      <c r="B73" s="1279" t="s">
        <v>3338</v>
      </c>
      <c r="C73" s="1643"/>
      <c r="D73" s="1284">
        <v>1169570.2</v>
      </c>
      <c r="E73" s="1285">
        <v>1130854.22</v>
      </c>
      <c r="F73" s="1285">
        <v>1130854.22</v>
      </c>
      <c r="G73" s="1285">
        <v>103400</v>
      </c>
      <c r="H73" s="1641"/>
      <c r="I73" s="1641"/>
      <c r="J73" s="1641"/>
      <c r="K73" s="1279" t="s">
        <v>3258</v>
      </c>
    </row>
    <row r="74" spans="1:11" ht="30" customHeight="1">
      <c r="A74" s="1293"/>
      <c r="B74" s="1279" t="s">
        <v>3353</v>
      </c>
      <c r="C74" s="1285">
        <f t="shared" ref="C74:I74" si="15">SUM(C69:C73)</f>
        <v>4602190.9260098683</v>
      </c>
      <c r="D74" s="1285">
        <f t="shared" si="15"/>
        <v>3995331.1696516676</v>
      </c>
      <c r="E74" s="1285">
        <f t="shared" si="15"/>
        <v>3941254.25</v>
      </c>
      <c r="F74" s="1285">
        <f t="shared" si="15"/>
        <v>3941254.25</v>
      </c>
      <c r="G74" s="1285">
        <f t="shared" si="15"/>
        <v>434455</v>
      </c>
      <c r="H74" s="1285">
        <f t="shared" si="15"/>
        <v>4375709.25</v>
      </c>
      <c r="I74" s="1285">
        <f t="shared" si="15"/>
        <v>4051541</v>
      </c>
      <c r="J74" s="1285">
        <f>SUM(J69:J73)</f>
        <v>324168.24999999977</v>
      </c>
      <c r="K74" s="1279"/>
    </row>
    <row r="75" spans="1:11" ht="30" customHeight="1">
      <c r="A75" s="1289" t="s">
        <v>233</v>
      </c>
      <c r="B75" s="1294" t="s">
        <v>3339</v>
      </c>
      <c r="C75" s="1284">
        <v>1947202.76</v>
      </c>
      <c r="D75" s="1284">
        <v>1697457.05</v>
      </c>
      <c r="E75" s="1285">
        <v>1624012.99</v>
      </c>
      <c r="F75" s="1285">
        <v>1624012.99</v>
      </c>
      <c r="G75" s="1284">
        <v>249745.71</v>
      </c>
      <c r="H75" s="1284">
        <v>1873758.7</v>
      </c>
      <c r="I75" s="1284">
        <v>1752482</v>
      </c>
      <c r="J75" s="1285">
        <f t="shared" ref="J75:J78" si="16">+H75-I75</f>
        <v>121276.69999999995</v>
      </c>
      <c r="K75" s="1294" t="s">
        <v>3258</v>
      </c>
    </row>
    <row r="76" spans="1:11" ht="30" customHeight="1">
      <c r="A76" s="1289" t="s">
        <v>228</v>
      </c>
      <c r="B76" s="1638" t="s">
        <v>3340</v>
      </c>
      <c r="C76" s="1284">
        <v>552912.64000000001</v>
      </c>
      <c r="D76" s="1284">
        <v>493672</v>
      </c>
      <c r="E76" s="1641">
        <v>1383215.24</v>
      </c>
      <c r="F76" s="1641">
        <v>1378236.37</v>
      </c>
      <c r="G76" s="1641">
        <v>149913</v>
      </c>
      <c r="H76" s="1641">
        <v>1528149.37</v>
      </c>
      <c r="I76" s="1641">
        <v>1398092</v>
      </c>
      <c r="J76" s="1641">
        <f t="shared" si="16"/>
        <v>130057.37000000011</v>
      </c>
      <c r="K76" s="1638"/>
    </row>
    <row r="77" spans="1:11" ht="30" customHeight="1">
      <c r="A77" s="1289" t="s">
        <v>234</v>
      </c>
      <c r="B77" s="1638"/>
      <c r="C77" s="1284">
        <v>1000522.88</v>
      </c>
      <c r="D77" s="1284">
        <v>893324</v>
      </c>
      <c r="E77" s="1641"/>
      <c r="F77" s="1641"/>
      <c r="G77" s="1641"/>
      <c r="H77" s="1641"/>
      <c r="I77" s="1641"/>
      <c r="J77" s="1641"/>
      <c r="K77" s="1638"/>
    </row>
    <row r="78" spans="1:11" ht="30" customHeight="1">
      <c r="A78" s="1294" t="s">
        <v>1015</v>
      </c>
      <c r="B78" s="1638" t="s">
        <v>3341</v>
      </c>
      <c r="C78" s="1284">
        <v>33965.39</v>
      </c>
      <c r="D78" s="1284">
        <v>30326.240000000002</v>
      </c>
      <c r="E78" s="1641">
        <v>1666864</v>
      </c>
      <c r="F78" s="1641">
        <v>1666864</v>
      </c>
      <c r="G78" s="1641">
        <v>247911.9</v>
      </c>
      <c r="H78" s="1641">
        <v>1914775.9</v>
      </c>
      <c r="I78" s="1641">
        <v>1543075</v>
      </c>
      <c r="J78" s="1641">
        <f t="shared" si="16"/>
        <v>371700.89999999991</v>
      </c>
      <c r="K78" s="1638" t="s">
        <v>3258</v>
      </c>
    </row>
    <row r="79" spans="1:11" ht="30" customHeight="1">
      <c r="A79" s="1294" t="s">
        <v>3342</v>
      </c>
      <c r="B79" s="1638"/>
      <c r="C79" s="1284">
        <v>396081.99</v>
      </c>
      <c r="D79" s="1284">
        <v>347216.06</v>
      </c>
      <c r="E79" s="1641"/>
      <c r="F79" s="1641"/>
      <c r="G79" s="1641"/>
      <c r="H79" s="1641"/>
      <c r="I79" s="1641"/>
      <c r="J79" s="1641"/>
      <c r="K79" s="1638"/>
    </row>
    <row r="80" spans="1:11" ht="30" customHeight="1">
      <c r="A80" s="1294" t="s">
        <v>1012</v>
      </c>
      <c r="B80" s="1638"/>
      <c r="C80" s="1284">
        <v>293548.05</v>
      </c>
      <c r="D80" s="1284">
        <v>262096.47</v>
      </c>
      <c r="E80" s="1641"/>
      <c r="F80" s="1641"/>
      <c r="G80" s="1641"/>
      <c r="H80" s="1641"/>
      <c r="I80" s="1641"/>
      <c r="J80" s="1641"/>
      <c r="K80" s="1638"/>
    </row>
    <row r="81" spans="1:11" ht="30" customHeight="1">
      <c r="A81" s="1294" t="s">
        <v>2106</v>
      </c>
      <c r="B81" s="1638"/>
      <c r="C81" s="1284">
        <v>510471.54</v>
      </c>
      <c r="D81" s="1284">
        <v>455778.16</v>
      </c>
      <c r="E81" s="1641"/>
      <c r="F81" s="1641"/>
      <c r="G81" s="1641"/>
      <c r="H81" s="1641"/>
      <c r="I81" s="1641"/>
      <c r="J81" s="1641"/>
      <c r="K81" s="1638"/>
    </row>
    <row r="82" spans="1:11" ht="30" customHeight="1">
      <c r="A82" s="1294" t="s">
        <v>542</v>
      </c>
      <c r="B82" s="1638"/>
      <c r="C82" s="1284">
        <v>419760</v>
      </c>
      <c r="D82" s="1284">
        <v>348000</v>
      </c>
      <c r="E82" s="1641"/>
      <c r="F82" s="1641"/>
      <c r="G82" s="1641"/>
      <c r="H82" s="1641"/>
      <c r="I82" s="1641"/>
      <c r="J82" s="1641"/>
      <c r="K82" s="1638"/>
    </row>
    <row r="83" spans="1:11" ht="30" customHeight="1">
      <c r="A83" s="1294" t="s">
        <v>3343</v>
      </c>
      <c r="B83" s="1638"/>
      <c r="C83" s="1284">
        <v>56662.720000000001</v>
      </c>
      <c r="D83" s="1284">
        <v>42556</v>
      </c>
      <c r="E83" s="1641"/>
      <c r="F83" s="1641"/>
      <c r="G83" s="1641"/>
      <c r="H83" s="1641"/>
      <c r="I83" s="1641"/>
      <c r="J83" s="1641"/>
      <c r="K83" s="1638"/>
    </row>
    <row r="84" spans="1:11" ht="30" customHeight="1">
      <c r="A84" s="1294" t="s">
        <v>1014</v>
      </c>
      <c r="B84" s="1638"/>
      <c r="C84" s="1284">
        <v>93457.08</v>
      </c>
      <c r="D84" s="1284">
        <v>83443.820000000007</v>
      </c>
      <c r="E84" s="1641"/>
      <c r="F84" s="1641"/>
      <c r="G84" s="1641"/>
      <c r="H84" s="1641"/>
      <c r="I84" s="1641"/>
      <c r="J84" s="1641"/>
      <c r="K84" s="1638"/>
    </row>
    <row r="85" spans="1:11" ht="30" customHeight="1">
      <c r="A85" s="1294" t="s">
        <v>2121</v>
      </c>
      <c r="B85" s="1638"/>
      <c r="C85" s="1284">
        <v>124897.58</v>
      </c>
      <c r="D85" s="1284">
        <v>111515.7</v>
      </c>
      <c r="E85" s="1641"/>
      <c r="F85" s="1641"/>
      <c r="G85" s="1641"/>
      <c r="H85" s="1641"/>
      <c r="I85" s="1641"/>
      <c r="J85" s="1641"/>
      <c r="K85" s="1638"/>
    </row>
    <row r="86" spans="1:11" ht="30" customHeight="1">
      <c r="A86" s="1279"/>
      <c r="B86" s="1279" t="s">
        <v>3354</v>
      </c>
      <c r="C86" s="1285">
        <f t="shared" ref="C86:I86" si="17">SUM(C75:C85)</f>
        <v>5429482.6299999999</v>
      </c>
      <c r="D86" s="1285">
        <f t="shared" si="17"/>
        <v>4765385.5000000009</v>
      </c>
      <c r="E86" s="1285">
        <f t="shared" si="17"/>
        <v>4674092.2300000004</v>
      </c>
      <c r="F86" s="1285">
        <f t="shared" si="17"/>
        <v>4669113.3600000003</v>
      </c>
      <c r="G86" s="1285">
        <f t="shared" si="17"/>
        <v>647570.61</v>
      </c>
      <c r="H86" s="1285">
        <f t="shared" si="17"/>
        <v>5316683.9700000007</v>
      </c>
      <c r="I86" s="1285">
        <f t="shared" si="17"/>
        <v>4693649</v>
      </c>
      <c r="J86" s="1285">
        <f>SUM(J75:J85)</f>
        <v>623034.97</v>
      </c>
      <c r="K86" s="1279"/>
    </row>
    <row r="87" spans="1:11" ht="30" customHeight="1">
      <c r="A87" s="1279"/>
      <c r="B87" s="1279" t="s">
        <v>3355</v>
      </c>
      <c r="C87" s="1285">
        <f t="shared" ref="C87:I87" si="18">SUM(C86,C74,C68,C63,C50,C47,C32,C19,C9)</f>
        <v>77231735.731029868</v>
      </c>
      <c r="D87" s="1285">
        <f t="shared" si="18"/>
        <v>66594744.92965167</v>
      </c>
      <c r="E87" s="1285">
        <f t="shared" si="18"/>
        <v>64928258.339999996</v>
      </c>
      <c r="F87" s="1285">
        <f t="shared" si="18"/>
        <v>64804677.799999997</v>
      </c>
      <c r="G87" s="1285">
        <f t="shared" si="18"/>
        <v>8000427.4500000002</v>
      </c>
      <c r="H87" s="1285">
        <f t="shared" si="18"/>
        <v>72805105.25</v>
      </c>
      <c r="I87" s="1285">
        <f t="shared" si="18"/>
        <v>67404036</v>
      </c>
      <c r="J87" s="1285">
        <f>SUM(J86,J74,J68,J63,J50,J47,J32,J19,J9)</f>
        <v>5401069.2499999991</v>
      </c>
      <c r="K87" s="1279"/>
    </row>
  </sheetData>
  <mergeCells count="39">
    <mergeCell ref="J76:J77"/>
    <mergeCell ref="K76:K77"/>
    <mergeCell ref="B78:B85"/>
    <mergeCell ref="E78:E85"/>
    <mergeCell ref="F78:F85"/>
    <mergeCell ref="G78:G85"/>
    <mergeCell ref="H78:H85"/>
    <mergeCell ref="I78:I85"/>
    <mergeCell ref="J78:J85"/>
    <mergeCell ref="K78:K85"/>
    <mergeCell ref="B76:B77"/>
    <mergeCell ref="E76:E77"/>
    <mergeCell ref="F76:F77"/>
    <mergeCell ref="G76:G77"/>
    <mergeCell ref="H76:H77"/>
    <mergeCell ref="I76:I77"/>
    <mergeCell ref="J69:J71"/>
    <mergeCell ref="K69:K71"/>
    <mergeCell ref="A72:A73"/>
    <mergeCell ref="C72:C73"/>
    <mergeCell ref="H72:H73"/>
    <mergeCell ref="I72:I73"/>
    <mergeCell ref="J72:J73"/>
    <mergeCell ref="B69:B71"/>
    <mergeCell ref="E69:E71"/>
    <mergeCell ref="F69:F71"/>
    <mergeCell ref="G69:G71"/>
    <mergeCell ref="H69:H71"/>
    <mergeCell ref="I69:I71"/>
    <mergeCell ref="A1:K1"/>
    <mergeCell ref="K33:K46"/>
    <mergeCell ref="K51:K61"/>
    <mergeCell ref="B64:B67"/>
    <mergeCell ref="E64:E66"/>
    <mergeCell ref="F64:F66"/>
    <mergeCell ref="G64:G66"/>
    <mergeCell ref="H64:H66"/>
    <mergeCell ref="I64:I66"/>
    <mergeCell ref="J64:J66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N108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9" sqref="A9"/>
    </sheetView>
  </sheetViews>
  <sheetFormatPr defaultRowHeight="15" outlineLevelRow="2"/>
  <cols>
    <col min="1" max="1" width="25.625" style="255" customWidth="1"/>
    <col min="2" max="2" width="8" style="255" customWidth="1"/>
    <col min="3" max="3" width="7.625" style="255" customWidth="1"/>
    <col min="4" max="4" width="8.5" style="255" customWidth="1"/>
    <col min="5" max="5" width="19.875" style="255" customWidth="1"/>
    <col min="6" max="6" width="18.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313" customWidth="1"/>
    <col min="12" max="12" width="10" style="1313" customWidth="1"/>
    <col min="13" max="13" width="11.375" style="1313" customWidth="1"/>
    <col min="14" max="14" width="10.625" style="226" customWidth="1"/>
    <col min="15" max="16384" width="9" style="227"/>
  </cols>
  <sheetData>
    <row r="1" spans="1:14" ht="22.5">
      <c r="A1" s="1391" t="s">
        <v>3362</v>
      </c>
      <c r="B1" s="1391"/>
      <c r="C1" s="1391"/>
      <c r="D1" s="1391"/>
      <c r="E1" s="1391"/>
      <c r="F1" s="1391"/>
      <c r="G1" s="1391"/>
      <c r="H1" s="1391"/>
      <c r="I1" s="1391"/>
      <c r="J1" s="1391"/>
      <c r="K1" s="1572"/>
      <c r="L1" s="1572"/>
      <c r="M1" s="1572"/>
      <c r="N1" s="1572"/>
    </row>
    <row r="2" spans="1:14" ht="20.100000000000001" customHeight="1" outlineLevel="1">
      <c r="A2" s="1652" t="s">
        <v>4028</v>
      </c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  <c r="M2" s="1634"/>
      <c r="N2" s="1634"/>
    </row>
    <row r="3" spans="1:14" ht="20.100000000000001" customHeight="1" outlineLevel="2">
      <c r="A3" s="1644" t="s">
        <v>632</v>
      </c>
      <c r="B3" s="1644" t="s">
        <v>1248</v>
      </c>
      <c r="C3" s="1644" t="s">
        <v>3207</v>
      </c>
      <c r="D3" s="1644" t="s">
        <v>3358</v>
      </c>
      <c r="E3" s="1644" t="s">
        <v>13</v>
      </c>
      <c r="F3" s="1644" t="s">
        <v>1242</v>
      </c>
      <c r="G3" s="1644" t="s">
        <v>1243</v>
      </c>
      <c r="H3" s="1644" t="s">
        <v>1244</v>
      </c>
      <c r="I3" s="1644" t="s">
        <v>1245</v>
      </c>
      <c r="J3" s="1647" t="s">
        <v>4029</v>
      </c>
      <c r="K3" s="1647" t="s">
        <v>4030</v>
      </c>
      <c r="L3" s="1649" t="s">
        <v>4031</v>
      </c>
      <c r="M3" s="1650"/>
      <c r="N3" s="1651"/>
    </row>
    <row r="4" spans="1:14" ht="20.100000000000001" customHeight="1" outlineLevel="1">
      <c r="A4" s="1645"/>
      <c r="B4" s="1645" t="s">
        <v>4034</v>
      </c>
      <c r="C4" s="1645"/>
      <c r="D4" s="1645"/>
      <c r="E4" s="1645"/>
      <c r="F4" s="1645"/>
      <c r="G4" s="1645"/>
      <c r="H4" s="1645"/>
      <c r="I4" s="1645"/>
      <c r="J4" s="1648">
        <f>SUBTOTAL(9,J3:J3)</f>
        <v>0</v>
      </c>
      <c r="K4" s="1648">
        <f>SUBTOTAL(9,K3:K3)</f>
        <v>0</v>
      </c>
      <c r="L4" s="1331">
        <f>SUBTOTAL(9,L3:L3)</f>
        <v>0</v>
      </c>
      <c r="M4" s="1337">
        <f>SUBTOTAL(9,M3:M3)</f>
        <v>0</v>
      </c>
      <c r="N4" s="1338">
        <f>SUBTOTAL(9,N3:N3)</f>
        <v>0</v>
      </c>
    </row>
    <row r="5" spans="1:14" ht="34.5" customHeight="1" outlineLevel="1">
      <c r="A5" s="1646"/>
      <c r="B5" s="1646"/>
      <c r="C5" s="1646"/>
      <c r="D5" s="1646"/>
      <c r="E5" s="1646"/>
      <c r="F5" s="1646"/>
      <c r="G5" s="1646"/>
      <c r="H5" s="1646"/>
      <c r="I5" s="1646"/>
      <c r="J5" s="1646"/>
      <c r="K5" s="1646"/>
      <c r="L5" s="1314" t="s">
        <v>3363</v>
      </c>
      <c r="M5" s="1330" t="s">
        <v>4032</v>
      </c>
      <c r="N5" s="1307" t="s">
        <v>3080</v>
      </c>
    </row>
    <row r="6" spans="1:14" ht="29.1" customHeight="1" outlineLevel="2">
      <c r="A6" s="237" t="s">
        <v>221</v>
      </c>
      <c r="B6" s="239" t="s">
        <v>10</v>
      </c>
      <c r="C6" s="239" t="s">
        <v>1518</v>
      </c>
      <c r="D6" s="239" t="s">
        <v>2379</v>
      </c>
      <c r="E6" s="254" t="s">
        <v>2373</v>
      </c>
      <c r="F6" s="254" t="s">
        <v>2373</v>
      </c>
      <c r="G6" s="254" t="s">
        <v>2373</v>
      </c>
      <c r="H6" s="239">
        <v>1</v>
      </c>
      <c r="I6" s="1308">
        <v>70000</v>
      </c>
      <c r="J6" s="1308">
        <f t="shared" ref="J6:J10" si="0">I6*H6</f>
        <v>70000</v>
      </c>
      <c r="K6" s="1315">
        <v>0</v>
      </c>
      <c r="L6" s="1315">
        <f t="shared" ref="L6:L64" si="1">K6-J6</f>
        <v>-70000</v>
      </c>
      <c r="M6" s="1315"/>
      <c r="N6" s="1309">
        <f t="shared" ref="N6:N42" si="2">K6-J6</f>
        <v>-70000</v>
      </c>
    </row>
    <row r="7" spans="1:14" ht="29.1" customHeight="1" outlineLevel="2">
      <c r="A7" s="237" t="s">
        <v>654</v>
      </c>
      <c r="B7" s="239" t="s">
        <v>10</v>
      </c>
      <c r="C7" s="239" t="s">
        <v>1518</v>
      </c>
      <c r="D7" s="239" t="s">
        <v>2379</v>
      </c>
      <c r="E7" s="254" t="s">
        <v>2373</v>
      </c>
      <c r="F7" s="254" t="s">
        <v>2373</v>
      </c>
      <c r="G7" s="254" t="s">
        <v>2373</v>
      </c>
      <c r="H7" s="239">
        <v>1</v>
      </c>
      <c r="I7" s="1308">
        <v>70000</v>
      </c>
      <c r="J7" s="1308">
        <f t="shared" si="0"/>
        <v>70000</v>
      </c>
      <c r="K7" s="1315">
        <v>0</v>
      </c>
      <c r="L7" s="1315">
        <f t="shared" si="1"/>
        <v>-70000</v>
      </c>
      <c r="M7" s="1315"/>
      <c r="N7" s="1309">
        <f t="shared" si="2"/>
        <v>-70000</v>
      </c>
    </row>
    <row r="8" spans="1:14" ht="29.1" customHeight="1" outlineLevel="2">
      <c r="A8" s="237" t="s">
        <v>223</v>
      </c>
      <c r="B8" s="239" t="s">
        <v>10</v>
      </c>
      <c r="C8" s="239" t="s">
        <v>1465</v>
      </c>
      <c r="D8" s="239" t="s">
        <v>2379</v>
      </c>
      <c r="E8" s="254" t="s">
        <v>2373</v>
      </c>
      <c r="F8" s="254" t="s">
        <v>2373</v>
      </c>
      <c r="G8" s="254" t="s">
        <v>2373</v>
      </c>
      <c r="H8" s="239">
        <v>1</v>
      </c>
      <c r="I8" s="1308">
        <v>70000</v>
      </c>
      <c r="J8" s="1308">
        <f t="shared" si="0"/>
        <v>70000</v>
      </c>
      <c r="K8" s="1315">
        <v>0</v>
      </c>
      <c r="L8" s="1315">
        <f t="shared" si="1"/>
        <v>-70000</v>
      </c>
      <c r="M8" s="1315"/>
      <c r="N8" s="1309">
        <f t="shared" si="2"/>
        <v>-70000</v>
      </c>
    </row>
    <row r="9" spans="1:14" ht="29.1" customHeight="1" outlineLevel="2">
      <c r="A9" s="237" t="s">
        <v>734</v>
      </c>
      <c r="B9" s="239" t="s">
        <v>10</v>
      </c>
      <c r="C9" s="239" t="s">
        <v>3083</v>
      </c>
      <c r="D9" s="239" t="s">
        <v>2379</v>
      </c>
      <c r="E9" s="254" t="s">
        <v>2373</v>
      </c>
      <c r="F9" s="254" t="s">
        <v>2373</v>
      </c>
      <c r="G9" s="254" t="s">
        <v>2373</v>
      </c>
      <c r="H9" s="239">
        <v>1</v>
      </c>
      <c r="I9" s="1308">
        <v>90000</v>
      </c>
      <c r="J9" s="1308">
        <f t="shared" si="0"/>
        <v>90000</v>
      </c>
      <c r="K9" s="1315">
        <v>0</v>
      </c>
      <c r="L9" s="1315">
        <f t="shared" si="1"/>
        <v>-90000</v>
      </c>
      <c r="M9" s="1315"/>
      <c r="N9" s="1309">
        <f t="shared" si="2"/>
        <v>-90000</v>
      </c>
    </row>
    <row r="10" spans="1:14" ht="29.1" customHeight="1" outlineLevel="2">
      <c r="A10" s="237" t="s">
        <v>222</v>
      </c>
      <c r="B10" s="239" t="s">
        <v>10</v>
      </c>
      <c r="C10" s="239" t="s">
        <v>1465</v>
      </c>
      <c r="D10" s="239" t="s">
        <v>2379</v>
      </c>
      <c r="E10" s="254" t="s">
        <v>2373</v>
      </c>
      <c r="F10" s="254" t="s">
        <v>2373</v>
      </c>
      <c r="G10" s="254" t="s">
        <v>2373</v>
      </c>
      <c r="H10" s="239">
        <v>1</v>
      </c>
      <c r="I10" s="1308">
        <v>90000</v>
      </c>
      <c r="J10" s="1308">
        <f t="shared" si="0"/>
        <v>90000</v>
      </c>
      <c r="K10" s="1315">
        <v>0</v>
      </c>
      <c r="L10" s="1315">
        <f t="shared" si="1"/>
        <v>-90000</v>
      </c>
      <c r="M10" s="1315"/>
      <c r="N10" s="1309">
        <f t="shared" si="2"/>
        <v>-90000</v>
      </c>
    </row>
    <row r="11" spans="1:14" ht="29.1" customHeight="1" outlineLevel="2">
      <c r="A11" s="237" t="s">
        <v>654</v>
      </c>
      <c r="B11" s="239" t="s">
        <v>10</v>
      </c>
      <c r="C11" s="239" t="s">
        <v>1518</v>
      </c>
      <c r="D11" s="239" t="s">
        <v>2379</v>
      </c>
      <c r="E11" s="240" t="s">
        <v>1254</v>
      </c>
      <c r="F11" s="240" t="s">
        <v>1254</v>
      </c>
      <c r="G11" s="240" t="s">
        <v>1255</v>
      </c>
      <c r="H11" s="239">
        <v>1</v>
      </c>
      <c r="I11" s="1308">
        <v>500000</v>
      </c>
      <c r="J11" s="1308">
        <v>500000</v>
      </c>
      <c r="K11" s="1310">
        <v>490000</v>
      </c>
      <c r="L11" s="1315">
        <f t="shared" si="1"/>
        <v>-10000</v>
      </c>
      <c r="M11" s="1310"/>
      <c r="N11" s="1309">
        <f t="shared" si="2"/>
        <v>-10000</v>
      </c>
    </row>
    <row r="12" spans="1:14" ht="29.1" customHeight="1" outlineLevel="2">
      <c r="A12" s="237" t="s">
        <v>221</v>
      </c>
      <c r="B12" s="239" t="s">
        <v>10</v>
      </c>
      <c r="C12" s="239" t="s">
        <v>1518</v>
      </c>
      <c r="D12" s="239" t="s">
        <v>2379</v>
      </c>
      <c r="E12" s="240" t="s">
        <v>1254</v>
      </c>
      <c r="F12" s="240" t="s">
        <v>1254</v>
      </c>
      <c r="G12" s="240" t="s">
        <v>1255</v>
      </c>
      <c r="H12" s="239">
        <v>1</v>
      </c>
      <c r="I12" s="1308">
        <v>500000</v>
      </c>
      <c r="J12" s="1308">
        <v>500000</v>
      </c>
      <c r="K12" s="1310">
        <v>490000</v>
      </c>
      <c r="L12" s="1315">
        <f t="shared" si="1"/>
        <v>-10000</v>
      </c>
      <c r="M12" s="1310"/>
      <c r="N12" s="1309">
        <f t="shared" si="2"/>
        <v>-10000</v>
      </c>
    </row>
    <row r="13" spans="1:14" ht="29.1" customHeight="1" outlineLevel="2">
      <c r="A13" s="237" t="s">
        <v>734</v>
      </c>
      <c r="B13" s="239" t="s">
        <v>10</v>
      </c>
      <c r="C13" s="239" t="s">
        <v>3083</v>
      </c>
      <c r="D13" s="239" t="s">
        <v>2379</v>
      </c>
      <c r="E13" s="240" t="s">
        <v>1254</v>
      </c>
      <c r="F13" s="240" t="s">
        <v>1254</v>
      </c>
      <c r="G13" s="240" t="s">
        <v>1255</v>
      </c>
      <c r="H13" s="239">
        <v>1</v>
      </c>
      <c r="I13" s="1308">
        <v>500000</v>
      </c>
      <c r="J13" s="1308">
        <v>500000</v>
      </c>
      <c r="K13" s="1310">
        <v>440000</v>
      </c>
      <c r="L13" s="1315">
        <f t="shared" si="1"/>
        <v>-60000</v>
      </c>
      <c r="M13" s="1310"/>
      <c r="N13" s="1309">
        <f t="shared" si="2"/>
        <v>-60000</v>
      </c>
    </row>
    <row r="14" spans="1:14" ht="29.1" customHeight="1" outlineLevel="1">
      <c r="A14" s="237"/>
      <c r="B14" s="238" t="s">
        <v>262</v>
      </c>
      <c r="C14" s="239"/>
      <c r="D14" s="239"/>
      <c r="E14" s="240"/>
      <c r="F14" s="240"/>
      <c r="G14" s="240"/>
      <c r="H14" s="239"/>
      <c r="I14" s="1308"/>
      <c r="J14" s="1308">
        <f>SUBTOTAL(9,J6:J13)</f>
        <v>1890000</v>
      </c>
      <c r="K14" s="1308">
        <f>SUBTOTAL(9,K6:K13)</f>
        <v>1420000</v>
      </c>
      <c r="L14" s="1308">
        <f>SUBTOTAL(9,L6:L13)</f>
        <v>-470000</v>
      </c>
      <c r="M14" s="1308">
        <f>SUBTOTAL(9,M6:M13)</f>
        <v>0</v>
      </c>
      <c r="N14" s="1308">
        <f>SUBTOTAL(9,N6:N13)</f>
        <v>-470000</v>
      </c>
    </row>
    <row r="15" spans="1:14" ht="29.1" customHeight="1" outlineLevel="2">
      <c r="A15" s="237" t="s">
        <v>1040</v>
      </c>
      <c r="B15" s="247" t="s">
        <v>8</v>
      </c>
      <c r="C15" s="247" t="s">
        <v>3083</v>
      </c>
      <c r="D15" s="247" t="s">
        <v>2379</v>
      </c>
      <c r="E15" s="254" t="s">
        <v>2373</v>
      </c>
      <c r="F15" s="254" t="s">
        <v>2373</v>
      </c>
      <c r="G15" s="254" t="s">
        <v>2373</v>
      </c>
      <c r="H15" s="247">
        <v>1</v>
      </c>
      <c r="I15" s="1308">
        <v>90000</v>
      </c>
      <c r="J15" s="1308">
        <f>H15*I15</f>
        <v>90000</v>
      </c>
      <c r="K15" s="1315">
        <v>0</v>
      </c>
      <c r="L15" s="1315">
        <f t="shared" si="1"/>
        <v>-90000</v>
      </c>
      <c r="M15" s="1315"/>
      <c r="N15" s="1309">
        <f t="shared" si="2"/>
        <v>-90000</v>
      </c>
    </row>
    <row r="16" spans="1:14" ht="29.1" customHeight="1" outlineLevel="2">
      <c r="A16" s="237" t="s">
        <v>224</v>
      </c>
      <c r="B16" s="247" t="s">
        <v>8</v>
      </c>
      <c r="C16" s="247" t="s">
        <v>3083</v>
      </c>
      <c r="D16" s="247" t="s">
        <v>2379</v>
      </c>
      <c r="E16" s="254" t="s">
        <v>2373</v>
      </c>
      <c r="F16" s="254" t="s">
        <v>2373</v>
      </c>
      <c r="G16" s="254" t="s">
        <v>2373</v>
      </c>
      <c r="H16" s="247">
        <v>1</v>
      </c>
      <c r="I16" s="1308">
        <v>105000</v>
      </c>
      <c r="J16" s="1308">
        <f>H16*I16</f>
        <v>105000</v>
      </c>
      <c r="K16" s="1315">
        <v>0</v>
      </c>
      <c r="L16" s="1315">
        <f t="shared" si="1"/>
        <v>-105000</v>
      </c>
      <c r="M16" s="1315"/>
      <c r="N16" s="1309">
        <f t="shared" si="2"/>
        <v>-105000</v>
      </c>
    </row>
    <row r="17" spans="1:14" ht="29.1" customHeight="1" outlineLevel="2">
      <c r="A17" s="237" t="s">
        <v>225</v>
      </c>
      <c r="B17" s="247" t="s">
        <v>8</v>
      </c>
      <c r="C17" s="247" t="s">
        <v>3083</v>
      </c>
      <c r="D17" s="247" t="s">
        <v>2379</v>
      </c>
      <c r="E17" s="254" t="s">
        <v>2373</v>
      </c>
      <c r="F17" s="254" t="s">
        <v>2373</v>
      </c>
      <c r="G17" s="254" t="s">
        <v>2373</v>
      </c>
      <c r="H17" s="247">
        <v>1</v>
      </c>
      <c r="I17" s="1308">
        <v>105000</v>
      </c>
      <c r="J17" s="1308">
        <f>H17*I17</f>
        <v>105000</v>
      </c>
      <c r="K17" s="1315">
        <v>0</v>
      </c>
      <c r="L17" s="1315">
        <f t="shared" si="1"/>
        <v>-105000</v>
      </c>
      <c r="M17" s="1315"/>
      <c r="N17" s="1309">
        <f t="shared" si="2"/>
        <v>-105000</v>
      </c>
    </row>
    <row r="18" spans="1:14" ht="29.1" customHeight="1" outlineLevel="2">
      <c r="A18" s="237" t="s">
        <v>224</v>
      </c>
      <c r="B18" s="239" t="s">
        <v>8</v>
      </c>
      <c r="C18" s="239" t="s">
        <v>3083</v>
      </c>
      <c r="D18" s="247" t="s">
        <v>2379</v>
      </c>
      <c r="E18" s="240" t="s">
        <v>1254</v>
      </c>
      <c r="F18" s="240" t="s">
        <v>1254</v>
      </c>
      <c r="G18" s="240" t="s">
        <v>1255</v>
      </c>
      <c r="H18" s="239">
        <v>1</v>
      </c>
      <c r="I18" s="1308">
        <v>500000</v>
      </c>
      <c r="J18" s="1308">
        <v>500000</v>
      </c>
      <c r="K18" s="1315">
        <v>440000</v>
      </c>
      <c r="L18" s="1315">
        <f t="shared" si="1"/>
        <v>-60000</v>
      </c>
      <c r="M18" s="1315"/>
      <c r="N18" s="1309">
        <f t="shared" si="2"/>
        <v>-60000</v>
      </c>
    </row>
    <row r="19" spans="1:14" ht="29.1" customHeight="1" outlineLevel="2">
      <c r="A19" s="237" t="s">
        <v>1040</v>
      </c>
      <c r="B19" s="239" t="s">
        <v>8</v>
      </c>
      <c r="C19" s="239" t="s">
        <v>3083</v>
      </c>
      <c r="D19" s="247" t="s">
        <v>2379</v>
      </c>
      <c r="E19" s="240" t="s">
        <v>1254</v>
      </c>
      <c r="F19" s="240" t="s">
        <v>1254</v>
      </c>
      <c r="G19" s="240" t="s">
        <v>1255</v>
      </c>
      <c r="H19" s="239">
        <v>1</v>
      </c>
      <c r="I19" s="1308">
        <v>500000</v>
      </c>
      <c r="J19" s="1308">
        <v>500000</v>
      </c>
      <c r="K19" s="1315">
        <v>440000</v>
      </c>
      <c r="L19" s="1315">
        <f t="shared" si="1"/>
        <v>-60000</v>
      </c>
      <c r="M19" s="1315"/>
      <c r="N19" s="1309">
        <f t="shared" si="2"/>
        <v>-60000</v>
      </c>
    </row>
    <row r="20" spans="1:14" ht="29.1" customHeight="1" outlineLevel="2">
      <c r="A20" s="237" t="s">
        <v>225</v>
      </c>
      <c r="B20" s="239" t="s">
        <v>8</v>
      </c>
      <c r="C20" s="239" t="s">
        <v>3083</v>
      </c>
      <c r="D20" s="247" t="s">
        <v>2379</v>
      </c>
      <c r="E20" s="240" t="s">
        <v>1254</v>
      </c>
      <c r="F20" s="240" t="s">
        <v>1254</v>
      </c>
      <c r="G20" s="240" t="s">
        <v>1255</v>
      </c>
      <c r="H20" s="239">
        <v>1</v>
      </c>
      <c r="I20" s="1308">
        <v>500000</v>
      </c>
      <c r="J20" s="1308">
        <v>500000</v>
      </c>
      <c r="K20" s="1315">
        <v>490000</v>
      </c>
      <c r="L20" s="1315">
        <f t="shared" si="1"/>
        <v>-10000</v>
      </c>
      <c r="M20" s="1315"/>
      <c r="N20" s="1309">
        <f t="shared" si="2"/>
        <v>-10000</v>
      </c>
    </row>
    <row r="21" spans="1:14" ht="29.1" customHeight="1" outlineLevel="1">
      <c r="A21" s="237"/>
      <c r="B21" s="238" t="s">
        <v>260</v>
      </c>
      <c r="C21" s="239"/>
      <c r="D21" s="247"/>
      <c r="E21" s="240"/>
      <c r="F21" s="240"/>
      <c r="G21" s="240"/>
      <c r="H21" s="239"/>
      <c r="I21" s="1308"/>
      <c r="J21" s="1308">
        <f>SUBTOTAL(9,J15:J20)</f>
        <v>1800000</v>
      </c>
      <c r="K21" s="1308">
        <f>SUBTOTAL(9,K15:K20)</f>
        <v>1370000</v>
      </c>
      <c r="L21" s="1308">
        <f>SUBTOTAL(9,L15:L20)</f>
        <v>-430000</v>
      </c>
      <c r="M21" s="1308">
        <f>SUBTOTAL(9,M15:M20)</f>
        <v>0</v>
      </c>
      <c r="N21" s="1308">
        <f>SUBTOTAL(9,N15:N20)</f>
        <v>-430000</v>
      </c>
    </row>
    <row r="22" spans="1:14" ht="29.1" customHeight="1" outlineLevel="2">
      <c r="A22" s="237" t="s">
        <v>1030</v>
      </c>
      <c r="B22" s="239" t="s">
        <v>7</v>
      </c>
      <c r="C22" s="239" t="s">
        <v>1518</v>
      </c>
      <c r="D22" s="239" t="s">
        <v>2379</v>
      </c>
      <c r="E22" s="254" t="s">
        <v>2373</v>
      </c>
      <c r="F22" s="254" t="s">
        <v>2373</v>
      </c>
      <c r="G22" s="254" t="s">
        <v>2373</v>
      </c>
      <c r="H22" s="239">
        <v>1</v>
      </c>
      <c r="I22" s="1308">
        <v>90000</v>
      </c>
      <c r="J22" s="1308">
        <v>90000</v>
      </c>
      <c r="K22" s="1315">
        <v>0</v>
      </c>
      <c r="L22" s="1315">
        <f t="shared" si="1"/>
        <v>-90000</v>
      </c>
      <c r="M22" s="1315">
        <v>-90000</v>
      </c>
      <c r="N22" s="1309">
        <v>0</v>
      </c>
    </row>
    <row r="23" spans="1:14" ht="29.1" customHeight="1" outlineLevel="2">
      <c r="A23" s="237" t="s">
        <v>1031</v>
      </c>
      <c r="B23" s="239" t="s">
        <v>7</v>
      </c>
      <c r="C23" s="239" t="s">
        <v>3083</v>
      </c>
      <c r="D23" s="239" t="s">
        <v>2379</v>
      </c>
      <c r="E23" s="254" t="s">
        <v>2373</v>
      </c>
      <c r="F23" s="254" t="s">
        <v>2373</v>
      </c>
      <c r="G23" s="254" t="s">
        <v>2373</v>
      </c>
      <c r="H23" s="239">
        <v>1</v>
      </c>
      <c r="I23" s="1308">
        <v>90000</v>
      </c>
      <c r="J23" s="1308">
        <f>H23*I23</f>
        <v>90000</v>
      </c>
      <c r="K23" s="1315">
        <v>0</v>
      </c>
      <c r="L23" s="1315">
        <f t="shared" si="1"/>
        <v>-90000</v>
      </c>
      <c r="M23" s="1315">
        <v>-90000</v>
      </c>
      <c r="N23" s="1309">
        <v>0</v>
      </c>
    </row>
    <row r="24" spans="1:14" ht="29.1" customHeight="1" outlineLevel="2">
      <c r="A24" s="237" t="s">
        <v>266</v>
      </c>
      <c r="B24" s="239" t="s">
        <v>7</v>
      </c>
      <c r="C24" s="239" t="s">
        <v>3083</v>
      </c>
      <c r="D24" s="239" t="s">
        <v>2379</v>
      </c>
      <c r="E24" s="254" t="s">
        <v>2373</v>
      </c>
      <c r="F24" s="254" t="s">
        <v>2373</v>
      </c>
      <c r="G24" s="254" t="s">
        <v>2373</v>
      </c>
      <c r="H24" s="239">
        <v>1</v>
      </c>
      <c r="I24" s="1308">
        <v>90000</v>
      </c>
      <c r="J24" s="1308">
        <f>H24*I24</f>
        <v>90000</v>
      </c>
      <c r="K24" s="1315">
        <v>0</v>
      </c>
      <c r="L24" s="1315">
        <f t="shared" si="1"/>
        <v>-90000</v>
      </c>
      <c r="M24" s="1315">
        <v>-90000</v>
      </c>
      <c r="N24" s="1309">
        <v>0</v>
      </c>
    </row>
    <row r="25" spans="1:14" ht="29.1" customHeight="1" outlineLevel="2">
      <c r="A25" s="237" t="s">
        <v>1032</v>
      </c>
      <c r="B25" s="239" t="s">
        <v>7</v>
      </c>
      <c r="C25" s="239" t="s">
        <v>1465</v>
      </c>
      <c r="D25" s="239" t="s">
        <v>2379</v>
      </c>
      <c r="E25" s="254" t="s">
        <v>2373</v>
      </c>
      <c r="F25" s="254" t="s">
        <v>2373</v>
      </c>
      <c r="G25" s="254" t="s">
        <v>2373</v>
      </c>
      <c r="H25" s="239">
        <v>1</v>
      </c>
      <c r="I25" s="1308">
        <v>105000</v>
      </c>
      <c r="J25" s="1308">
        <f>H25*I25</f>
        <v>105000</v>
      </c>
      <c r="K25" s="1315">
        <v>0</v>
      </c>
      <c r="L25" s="1315">
        <f t="shared" si="1"/>
        <v>-105000</v>
      </c>
      <c r="M25" s="1315">
        <v>-105000</v>
      </c>
      <c r="N25" s="1309">
        <v>0</v>
      </c>
    </row>
    <row r="26" spans="1:14" ht="29.1" customHeight="1" outlineLevel="2">
      <c r="A26" s="237" t="s">
        <v>1030</v>
      </c>
      <c r="B26" s="239" t="s">
        <v>7</v>
      </c>
      <c r="C26" s="239" t="s">
        <v>1518</v>
      </c>
      <c r="D26" s="239" t="s">
        <v>2379</v>
      </c>
      <c r="E26" s="240" t="s">
        <v>1254</v>
      </c>
      <c r="F26" s="240" t="s">
        <v>1254</v>
      </c>
      <c r="G26" s="240" t="s">
        <v>1255</v>
      </c>
      <c r="H26" s="239">
        <v>1</v>
      </c>
      <c r="I26" s="1308">
        <v>500000</v>
      </c>
      <c r="J26" s="1308">
        <v>500000</v>
      </c>
      <c r="K26" s="1315">
        <v>490000</v>
      </c>
      <c r="L26" s="1315">
        <f t="shared" si="1"/>
        <v>-10000</v>
      </c>
      <c r="M26" s="1315">
        <f>L26</f>
        <v>-10000</v>
      </c>
      <c r="N26" s="1309">
        <v>0</v>
      </c>
    </row>
    <row r="27" spans="1:14" ht="29.1" customHeight="1" outlineLevel="2">
      <c r="A27" s="237" t="s">
        <v>1031</v>
      </c>
      <c r="B27" s="239" t="s">
        <v>7</v>
      </c>
      <c r="C27" s="239" t="s">
        <v>3083</v>
      </c>
      <c r="D27" s="239" t="s">
        <v>2379</v>
      </c>
      <c r="E27" s="240" t="s">
        <v>1254</v>
      </c>
      <c r="F27" s="240" t="s">
        <v>1254</v>
      </c>
      <c r="G27" s="240" t="s">
        <v>1255</v>
      </c>
      <c r="H27" s="239">
        <v>1</v>
      </c>
      <c r="I27" s="1308">
        <v>500000</v>
      </c>
      <c r="J27" s="1308">
        <v>500000</v>
      </c>
      <c r="K27" s="1315">
        <v>440000</v>
      </c>
      <c r="L27" s="1315">
        <f t="shared" si="1"/>
        <v>-60000</v>
      </c>
      <c r="M27" s="1315">
        <f>L27</f>
        <v>-60000</v>
      </c>
      <c r="N27" s="1309">
        <v>0</v>
      </c>
    </row>
    <row r="28" spans="1:14" ht="29.1" customHeight="1" outlineLevel="2">
      <c r="A28" s="237" t="s">
        <v>266</v>
      </c>
      <c r="B28" s="239" t="s">
        <v>7</v>
      </c>
      <c r="C28" s="239" t="s">
        <v>3083</v>
      </c>
      <c r="D28" s="239" t="s">
        <v>2379</v>
      </c>
      <c r="E28" s="1303" t="s">
        <v>1254</v>
      </c>
      <c r="F28" s="1302" t="s">
        <v>3359</v>
      </c>
      <c r="G28" s="1302" t="s">
        <v>3360</v>
      </c>
      <c r="H28" s="239">
        <v>1</v>
      </c>
      <c r="I28" s="1308">
        <v>0</v>
      </c>
      <c r="J28" s="1308">
        <v>0</v>
      </c>
      <c r="K28" s="1315">
        <v>89900</v>
      </c>
      <c r="L28" s="1315">
        <f t="shared" si="1"/>
        <v>89900</v>
      </c>
      <c r="M28" s="1315">
        <v>89900</v>
      </c>
      <c r="N28" s="1309">
        <v>0</v>
      </c>
    </row>
    <row r="29" spans="1:14" ht="29.1" customHeight="1" outlineLevel="2">
      <c r="A29" s="237" t="s">
        <v>266</v>
      </c>
      <c r="B29" s="239" t="s">
        <v>7</v>
      </c>
      <c r="C29" s="239" t="s">
        <v>3083</v>
      </c>
      <c r="D29" s="239" t="s">
        <v>2379</v>
      </c>
      <c r="E29" s="240" t="s">
        <v>1254</v>
      </c>
      <c r="F29" s="240" t="s">
        <v>1254</v>
      </c>
      <c r="G29" s="240" t="s">
        <v>1255</v>
      </c>
      <c r="H29" s="239">
        <v>1</v>
      </c>
      <c r="I29" s="1308">
        <v>500000</v>
      </c>
      <c r="J29" s="1308">
        <v>500000</v>
      </c>
      <c r="K29" s="1315">
        <v>490000</v>
      </c>
      <c r="L29" s="1315">
        <f t="shared" si="1"/>
        <v>-10000</v>
      </c>
      <c r="M29" s="1315">
        <f>L29</f>
        <v>-10000</v>
      </c>
      <c r="N29" s="1309">
        <v>0</v>
      </c>
    </row>
    <row r="30" spans="1:14" ht="29.1" customHeight="1" outlineLevel="1">
      <c r="A30" s="237"/>
      <c r="B30" s="238" t="s">
        <v>259</v>
      </c>
      <c r="C30" s="239"/>
      <c r="D30" s="239"/>
      <c r="E30" s="240"/>
      <c r="F30" s="240"/>
      <c r="G30" s="240"/>
      <c r="H30" s="239"/>
      <c r="I30" s="1308"/>
      <c r="J30" s="1308">
        <f>SUBTOTAL(9,J22:J29)</f>
        <v>1875000</v>
      </c>
      <c r="K30" s="1308">
        <f>SUBTOTAL(9,K22:K29)</f>
        <v>1509900</v>
      </c>
      <c r="L30" s="1308">
        <f>SUBTOTAL(9,L22:L29)</f>
        <v>-365100</v>
      </c>
      <c r="M30" s="1308">
        <f>SUBTOTAL(9,M22:M29)</f>
        <v>-365100</v>
      </c>
      <c r="N30" s="1308">
        <f>SUBTOTAL(9,N22:N29)</f>
        <v>0</v>
      </c>
    </row>
    <row r="31" spans="1:14" ht="29.1" customHeight="1" outlineLevel="2">
      <c r="A31" s="237" t="s">
        <v>468</v>
      </c>
      <c r="B31" s="239" t="s">
        <v>6</v>
      </c>
      <c r="C31" s="239" t="s">
        <v>1465</v>
      </c>
      <c r="D31" s="239" t="s">
        <v>2379</v>
      </c>
      <c r="E31" s="254" t="s">
        <v>2373</v>
      </c>
      <c r="F31" s="254" t="s">
        <v>2373</v>
      </c>
      <c r="G31" s="254" t="s">
        <v>2373</v>
      </c>
      <c r="H31" s="239">
        <v>1</v>
      </c>
      <c r="I31" s="1308">
        <v>70000</v>
      </c>
      <c r="J31" s="1308">
        <f t="shared" ref="J31:J37" si="3">I31*H31</f>
        <v>70000</v>
      </c>
      <c r="K31" s="1315">
        <v>0</v>
      </c>
      <c r="L31" s="1315">
        <f t="shared" si="1"/>
        <v>-70000</v>
      </c>
      <c r="M31" s="1315"/>
      <c r="N31" s="1309">
        <f t="shared" si="2"/>
        <v>-70000</v>
      </c>
    </row>
    <row r="32" spans="1:14" ht="29.1" customHeight="1" outlineLevel="2">
      <c r="A32" s="237" t="s">
        <v>467</v>
      </c>
      <c r="B32" s="239" t="s">
        <v>6</v>
      </c>
      <c r="C32" s="239" t="s">
        <v>1465</v>
      </c>
      <c r="D32" s="239" t="s">
        <v>2379</v>
      </c>
      <c r="E32" s="254" t="s">
        <v>2373</v>
      </c>
      <c r="F32" s="254" t="s">
        <v>2373</v>
      </c>
      <c r="G32" s="254" t="s">
        <v>2373</v>
      </c>
      <c r="H32" s="239">
        <v>1</v>
      </c>
      <c r="I32" s="1308">
        <v>70000</v>
      </c>
      <c r="J32" s="1308">
        <f t="shared" si="3"/>
        <v>70000</v>
      </c>
      <c r="K32" s="1315">
        <v>0</v>
      </c>
      <c r="L32" s="1315">
        <f t="shared" si="1"/>
        <v>-70000</v>
      </c>
      <c r="M32" s="1315"/>
      <c r="N32" s="1309">
        <f t="shared" si="2"/>
        <v>-70000</v>
      </c>
    </row>
    <row r="33" spans="1:14" ht="29.1" customHeight="1" outlineLevel="2">
      <c r="A33" s="237" t="s">
        <v>466</v>
      </c>
      <c r="B33" s="239" t="s">
        <v>6</v>
      </c>
      <c r="C33" s="239" t="s">
        <v>1518</v>
      </c>
      <c r="D33" s="239" t="s">
        <v>2379</v>
      </c>
      <c r="E33" s="254" t="s">
        <v>2373</v>
      </c>
      <c r="F33" s="254" t="s">
        <v>2373</v>
      </c>
      <c r="G33" s="254" t="s">
        <v>2373</v>
      </c>
      <c r="H33" s="239">
        <v>1</v>
      </c>
      <c r="I33" s="1308">
        <v>70000</v>
      </c>
      <c r="J33" s="1308">
        <f t="shared" si="3"/>
        <v>70000</v>
      </c>
      <c r="K33" s="1315">
        <v>0</v>
      </c>
      <c r="L33" s="1315">
        <f t="shared" si="1"/>
        <v>-70000</v>
      </c>
      <c r="M33" s="1315"/>
      <c r="N33" s="1309">
        <f t="shared" si="2"/>
        <v>-70000</v>
      </c>
    </row>
    <row r="34" spans="1:14" ht="29.1" customHeight="1" outlineLevel="2">
      <c r="A34" s="237" t="s">
        <v>226</v>
      </c>
      <c r="B34" s="239" t="s">
        <v>6</v>
      </c>
      <c r="C34" s="239" t="s">
        <v>1518</v>
      </c>
      <c r="D34" s="239" t="s">
        <v>2379</v>
      </c>
      <c r="E34" s="254" t="s">
        <v>2373</v>
      </c>
      <c r="F34" s="254" t="s">
        <v>2373</v>
      </c>
      <c r="G34" s="254" t="s">
        <v>2373</v>
      </c>
      <c r="H34" s="239">
        <v>1</v>
      </c>
      <c r="I34" s="1308">
        <v>90000</v>
      </c>
      <c r="J34" s="1308">
        <f t="shared" si="3"/>
        <v>90000</v>
      </c>
      <c r="K34" s="1315">
        <v>0</v>
      </c>
      <c r="L34" s="1315">
        <f t="shared" si="1"/>
        <v>-90000</v>
      </c>
      <c r="M34" s="1315"/>
      <c r="N34" s="1309">
        <f t="shared" si="2"/>
        <v>-90000</v>
      </c>
    </row>
    <row r="35" spans="1:14" ht="29.1" customHeight="1" outlineLevel="2">
      <c r="A35" s="237" t="s">
        <v>1020</v>
      </c>
      <c r="B35" s="239" t="s">
        <v>6</v>
      </c>
      <c r="C35" s="239" t="s">
        <v>1518</v>
      </c>
      <c r="D35" s="239" t="s">
        <v>2379</v>
      </c>
      <c r="E35" s="254" t="s">
        <v>2373</v>
      </c>
      <c r="F35" s="254" t="s">
        <v>2373</v>
      </c>
      <c r="G35" s="254" t="s">
        <v>2373</v>
      </c>
      <c r="H35" s="239">
        <v>1</v>
      </c>
      <c r="I35" s="1308">
        <v>90000</v>
      </c>
      <c r="J35" s="1308">
        <f t="shared" si="3"/>
        <v>90000</v>
      </c>
      <c r="K35" s="1315">
        <v>0</v>
      </c>
      <c r="L35" s="1315">
        <f t="shared" si="1"/>
        <v>-90000</v>
      </c>
      <c r="M35" s="1315"/>
      <c r="N35" s="1309">
        <f t="shared" si="2"/>
        <v>-90000</v>
      </c>
    </row>
    <row r="36" spans="1:14" ht="29.1" customHeight="1" outlineLevel="2">
      <c r="A36" s="237" t="s">
        <v>1019</v>
      </c>
      <c r="B36" s="239" t="s">
        <v>6</v>
      </c>
      <c r="C36" s="239" t="s">
        <v>3083</v>
      </c>
      <c r="D36" s="239" t="s">
        <v>2379</v>
      </c>
      <c r="E36" s="254" t="s">
        <v>2373</v>
      </c>
      <c r="F36" s="254" t="s">
        <v>2373</v>
      </c>
      <c r="G36" s="254" t="s">
        <v>2373</v>
      </c>
      <c r="H36" s="239">
        <v>1</v>
      </c>
      <c r="I36" s="1308">
        <v>90000</v>
      </c>
      <c r="J36" s="1308">
        <f t="shared" si="3"/>
        <v>90000</v>
      </c>
      <c r="K36" s="1315">
        <v>0</v>
      </c>
      <c r="L36" s="1315">
        <f t="shared" si="1"/>
        <v>-90000</v>
      </c>
      <c r="M36" s="1315"/>
      <c r="N36" s="1309">
        <f t="shared" si="2"/>
        <v>-90000</v>
      </c>
    </row>
    <row r="37" spans="1:14" ht="29.1" customHeight="1" outlineLevel="2">
      <c r="A37" s="237" t="s">
        <v>1021</v>
      </c>
      <c r="B37" s="239" t="s">
        <v>6</v>
      </c>
      <c r="C37" s="239" t="s">
        <v>1465</v>
      </c>
      <c r="D37" s="239" t="s">
        <v>2379</v>
      </c>
      <c r="E37" s="254" t="s">
        <v>2373</v>
      </c>
      <c r="F37" s="254" t="s">
        <v>2373</v>
      </c>
      <c r="G37" s="254" t="s">
        <v>2373</v>
      </c>
      <c r="H37" s="239">
        <v>1</v>
      </c>
      <c r="I37" s="1308">
        <v>90000</v>
      </c>
      <c r="J37" s="1308">
        <f t="shared" si="3"/>
        <v>90000</v>
      </c>
      <c r="K37" s="1315">
        <v>0</v>
      </c>
      <c r="L37" s="1315">
        <f t="shared" si="1"/>
        <v>-90000</v>
      </c>
      <c r="M37" s="1315"/>
      <c r="N37" s="1309">
        <f t="shared" si="2"/>
        <v>-90000</v>
      </c>
    </row>
    <row r="38" spans="1:14" ht="29.1" customHeight="1" outlineLevel="2">
      <c r="A38" s="237" t="s">
        <v>1019</v>
      </c>
      <c r="B38" s="239" t="s">
        <v>6</v>
      </c>
      <c r="C38" s="239" t="s">
        <v>3083</v>
      </c>
      <c r="D38" s="239" t="s">
        <v>2379</v>
      </c>
      <c r="E38" s="240" t="s">
        <v>1254</v>
      </c>
      <c r="F38" s="240" t="s">
        <v>1254</v>
      </c>
      <c r="G38" s="240" t="s">
        <v>1255</v>
      </c>
      <c r="H38" s="239">
        <v>1</v>
      </c>
      <c r="I38" s="1308">
        <v>500000</v>
      </c>
      <c r="J38" s="1308">
        <v>500000</v>
      </c>
      <c r="K38" s="1315">
        <v>490000</v>
      </c>
      <c r="L38" s="1315">
        <f t="shared" si="1"/>
        <v>-10000</v>
      </c>
      <c r="M38" s="1315"/>
      <c r="N38" s="1309">
        <f t="shared" si="2"/>
        <v>-10000</v>
      </c>
    </row>
    <row r="39" spans="1:14" ht="29.1" customHeight="1" outlineLevel="2">
      <c r="A39" s="237" t="s">
        <v>226</v>
      </c>
      <c r="B39" s="239" t="s">
        <v>6</v>
      </c>
      <c r="C39" s="239" t="s">
        <v>1518</v>
      </c>
      <c r="D39" s="239" t="s">
        <v>2379</v>
      </c>
      <c r="E39" s="240" t="s">
        <v>1254</v>
      </c>
      <c r="F39" s="240" t="s">
        <v>1254</v>
      </c>
      <c r="G39" s="240" t="s">
        <v>1255</v>
      </c>
      <c r="H39" s="239">
        <v>1</v>
      </c>
      <c r="I39" s="1308">
        <v>500000</v>
      </c>
      <c r="J39" s="1308">
        <v>500000</v>
      </c>
      <c r="K39" s="1315">
        <v>490000</v>
      </c>
      <c r="L39" s="1315">
        <f t="shared" si="1"/>
        <v>-10000</v>
      </c>
      <c r="M39" s="1315"/>
      <c r="N39" s="1309">
        <f t="shared" si="2"/>
        <v>-10000</v>
      </c>
    </row>
    <row r="40" spans="1:14" ht="29.1" customHeight="1" outlineLevel="2">
      <c r="A40" s="237" t="s">
        <v>466</v>
      </c>
      <c r="B40" s="239" t="s">
        <v>6</v>
      </c>
      <c r="C40" s="239" t="s">
        <v>1518</v>
      </c>
      <c r="D40" s="239" t="s">
        <v>2379</v>
      </c>
      <c r="E40" s="240" t="s">
        <v>1254</v>
      </c>
      <c r="F40" s="240" t="s">
        <v>1254</v>
      </c>
      <c r="G40" s="240" t="s">
        <v>1255</v>
      </c>
      <c r="H40" s="239">
        <v>1</v>
      </c>
      <c r="I40" s="1308">
        <v>500000</v>
      </c>
      <c r="J40" s="1308">
        <v>500000</v>
      </c>
      <c r="K40" s="1315">
        <v>440000</v>
      </c>
      <c r="L40" s="1315">
        <f t="shared" si="1"/>
        <v>-60000</v>
      </c>
      <c r="M40" s="1315"/>
      <c r="N40" s="1309">
        <f t="shared" si="2"/>
        <v>-60000</v>
      </c>
    </row>
    <row r="41" spans="1:14" ht="29.1" customHeight="1" outlineLevel="2">
      <c r="A41" s="237" t="s">
        <v>466</v>
      </c>
      <c r="B41" s="239" t="s">
        <v>6</v>
      </c>
      <c r="C41" s="239" t="s">
        <v>1518</v>
      </c>
      <c r="D41" s="239" t="s">
        <v>2379</v>
      </c>
      <c r="E41" s="1303" t="s">
        <v>1254</v>
      </c>
      <c r="F41" s="1303" t="s">
        <v>3359</v>
      </c>
      <c r="G41" s="1303" t="s">
        <v>3360</v>
      </c>
      <c r="H41" s="239">
        <v>1</v>
      </c>
      <c r="I41" s="1308">
        <v>0</v>
      </c>
      <c r="J41" s="1308">
        <v>0</v>
      </c>
      <c r="K41" s="1315">
        <v>57900</v>
      </c>
      <c r="L41" s="1315">
        <f t="shared" si="1"/>
        <v>57900</v>
      </c>
      <c r="M41" s="1315"/>
      <c r="N41" s="1309">
        <f t="shared" si="2"/>
        <v>57900</v>
      </c>
    </row>
    <row r="42" spans="1:14" ht="29.1" customHeight="1" outlineLevel="2">
      <c r="A42" s="237" t="s">
        <v>1020</v>
      </c>
      <c r="B42" s="239" t="s">
        <v>6</v>
      </c>
      <c r="C42" s="239" t="s">
        <v>1518</v>
      </c>
      <c r="D42" s="239" t="s">
        <v>2379</v>
      </c>
      <c r="E42" s="240" t="s">
        <v>1254</v>
      </c>
      <c r="F42" s="240" t="s">
        <v>1254</v>
      </c>
      <c r="G42" s="240" t="s">
        <v>1255</v>
      </c>
      <c r="H42" s="239">
        <v>1</v>
      </c>
      <c r="I42" s="1308">
        <v>500000</v>
      </c>
      <c r="J42" s="1308">
        <v>500000</v>
      </c>
      <c r="K42" s="1315">
        <v>540000</v>
      </c>
      <c r="L42" s="1315">
        <f t="shared" si="1"/>
        <v>40000</v>
      </c>
      <c r="M42" s="1315"/>
      <c r="N42" s="1309">
        <f t="shared" si="2"/>
        <v>40000</v>
      </c>
    </row>
    <row r="43" spans="1:14" ht="29.1" customHeight="1" outlineLevel="1">
      <c r="A43" s="237"/>
      <c r="B43" s="238" t="s">
        <v>258</v>
      </c>
      <c r="C43" s="239"/>
      <c r="D43" s="239"/>
      <c r="E43" s="240"/>
      <c r="F43" s="240"/>
      <c r="G43" s="240"/>
      <c r="H43" s="239"/>
      <c r="I43" s="1308"/>
      <c r="J43" s="1339">
        <f>SUBTOTAL(9,J31:J42)</f>
        <v>2570000</v>
      </c>
      <c r="K43" s="1339">
        <f>SUBTOTAL(9,K31:K42)</f>
        <v>2017900</v>
      </c>
      <c r="L43" s="1339">
        <f>SUBTOTAL(9,L31:L42)</f>
        <v>-552100</v>
      </c>
      <c r="M43" s="1339">
        <f>SUBTOTAL(9,M31:M42)</f>
        <v>0</v>
      </c>
      <c r="N43" s="1339">
        <f>SUBTOTAL(9,N31:N42)</f>
        <v>-552100</v>
      </c>
    </row>
    <row r="44" spans="1:14" ht="29.1" customHeight="1" outlineLevel="2">
      <c r="A44" s="237" t="s">
        <v>227</v>
      </c>
      <c r="B44" s="239" t="s">
        <v>5</v>
      </c>
      <c r="C44" s="239" t="s">
        <v>1518</v>
      </c>
      <c r="D44" s="239" t="s">
        <v>2379</v>
      </c>
      <c r="E44" s="254" t="s">
        <v>2373</v>
      </c>
      <c r="F44" s="254" t="s">
        <v>2373</v>
      </c>
      <c r="G44" s="254" t="s">
        <v>2373</v>
      </c>
      <c r="H44" s="239">
        <v>1</v>
      </c>
      <c r="I44" s="1333">
        <v>90000</v>
      </c>
      <c r="J44" s="1334">
        <f>H44*I44</f>
        <v>90000</v>
      </c>
      <c r="K44" s="1332">
        <v>0</v>
      </c>
      <c r="L44" s="1315">
        <f t="shared" si="1"/>
        <v>-90000</v>
      </c>
      <c r="M44" s="1332">
        <v>-90000</v>
      </c>
      <c r="N44" s="1309">
        <f t="shared" ref="N44:N61" si="4">L44-M44</f>
        <v>0</v>
      </c>
    </row>
    <row r="45" spans="1:14" ht="29.1" customHeight="1" outlineLevel="2">
      <c r="A45" s="237" t="s">
        <v>228</v>
      </c>
      <c r="B45" s="239" t="s">
        <v>5</v>
      </c>
      <c r="C45" s="239" t="s">
        <v>1518</v>
      </c>
      <c r="D45" s="239" t="s">
        <v>2379</v>
      </c>
      <c r="E45" s="254" t="s">
        <v>2373</v>
      </c>
      <c r="F45" s="254" t="s">
        <v>2373</v>
      </c>
      <c r="G45" s="254" t="s">
        <v>2373</v>
      </c>
      <c r="H45" s="239">
        <v>1</v>
      </c>
      <c r="I45" s="1333">
        <v>90000</v>
      </c>
      <c r="J45" s="1334">
        <f>H45*I45</f>
        <v>90000</v>
      </c>
      <c r="K45" s="1332">
        <v>0</v>
      </c>
      <c r="L45" s="1315">
        <f t="shared" si="1"/>
        <v>-90000</v>
      </c>
      <c r="M45" s="1332">
        <v>-90000</v>
      </c>
      <c r="N45" s="1309">
        <f t="shared" si="4"/>
        <v>0</v>
      </c>
    </row>
    <row r="46" spans="1:14" ht="29.1" customHeight="1" outlineLevel="2">
      <c r="A46" s="237" t="s">
        <v>235</v>
      </c>
      <c r="B46" s="239" t="s">
        <v>5</v>
      </c>
      <c r="C46" s="239" t="s">
        <v>3083</v>
      </c>
      <c r="D46" s="239" t="s">
        <v>2379</v>
      </c>
      <c r="E46" s="254" t="s">
        <v>2373</v>
      </c>
      <c r="F46" s="254" t="s">
        <v>2373</v>
      </c>
      <c r="G46" s="254" t="s">
        <v>2373</v>
      </c>
      <c r="H46" s="239">
        <v>1</v>
      </c>
      <c r="I46" s="1333">
        <v>70000</v>
      </c>
      <c r="J46" s="1334">
        <f>H46*I46</f>
        <v>70000</v>
      </c>
      <c r="K46" s="1332">
        <v>0</v>
      </c>
      <c r="L46" s="1315">
        <f t="shared" si="1"/>
        <v>-70000</v>
      </c>
      <c r="M46" s="1332">
        <v>-70000</v>
      </c>
      <c r="N46" s="1309">
        <f t="shared" si="4"/>
        <v>0</v>
      </c>
    </row>
    <row r="47" spans="1:14" ht="29.1" customHeight="1" outlineLevel="2">
      <c r="A47" s="237" t="s">
        <v>1011</v>
      </c>
      <c r="B47" s="239" t="s">
        <v>5</v>
      </c>
      <c r="C47" s="239" t="s">
        <v>1465</v>
      </c>
      <c r="D47" s="239" t="s">
        <v>2379</v>
      </c>
      <c r="E47" s="254" t="s">
        <v>2373</v>
      </c>
      <c r="F47" s="254" t="s">
        <v>2373</v>
      </c>
      <c r="G47" s="254" t="s">
        <v>2373</v>
      </c>
      <c r="H47" s="239">
        <v>1</v>
      </c>
      <c r="I47" s="1333">
        <v>90000</v>
      </c>
      <c r="J47" s="1334">
        <f t="shared" ref="J47:J53" si="5">H47*I47</f>
        <v>90000</v>
      </c>
      <c r="K47" s="1332">
        <v>0</v>
      </c>
      <c r="L47" s="1315">
        <f t="shared" si="1"/>
        <v>-90000</v>
      </c>
      <c r="M47" s="1332">
        <v>-90000</v>
      </c>
      <c r="N47" s="1309">
        <f t="shared" si="4"/>
        <v>0</v>
      </c>
    </row>
    <row r="48" spans="1:14" ht="29.1" customHeight="1" outlineLevel="2">
      <c r="A48" s="237" t="s">
        <v>232</v>
      </c>
      <c r="B48" s="239" t="s">
        <v>5</v>
      </c>
      <c r="C48" s="239" t="s">
        <v>1465</v>
      </c>
      <c r="D48" s="239" t="s">
        <v>2379</v>
      </c>
      <c r="E48" s="254" t="s">
        <v>2373</v>
      </c>
      <c r="F48" s="254" t="s">
        <v>2373</v>
      </c>
      <c r="G48" s="254" t="s">
        <v>2373</v>
      </c>
      <c r="H48" s="239">
        <v>1</v>
      </c>
      <c r="I48" s="1333">
        <v>90000</v>
      </c>
      <c r="J48" s="1334">
        <f t="shared" si="5"/>
        <v>90000</v>
      </c>
      <c r="K48" s="1332">
        <v>0</v>
      </c>
      <c r="L48" s="1315">
        <f t="shared" si="1"/>
        <v>-90000</v>
      </c>
      <c r="M48" s="1332">
        <v>-90000</v>
      </c>
      <c r="N48" s="1309">
        <f t="shared" si="4"/>
        <v>0</v>
      </c>
    </row>
    <row r="49" spans="1:14" ht="29.1" customHeight="1" outlineLevel="2">
      <c r="A49" s="237" t="s">
        <v>230</v>
      </c>
      <c r="B49" s="239" t="s">
        <v>5</v>
      </c>
      <c r="C49" s="239" t="s">
        <v>3083</v>
      </c>
      <c r="D49" s="239" t="s">
        <v>2379</v>
      </c>
      <c r="E49" s="254" t="s">
        <v>2373</v>
      </c>
      <c r="F49" s="254" t="s">
        <v>2373</v>
      </c>
      <c r="G49" s="254" t="s">
        <v>2373</v>
      </c>
      <c r="H49" s="239">
        <v>1</v>
      </c>
      <c r="I49" s="1333">
        <v>90000</v>
      </c>
      <c r="J49" s="1334">
        <f t="shared" si="5"/>
        <v>90000</v>
      </c>
      <c r="K49" s="1332">
        <v>0</v>
      </c>
      <c r="L49" s="1315">
        <f t="shared" si="1"/>
        <v>-90000</v>
      </c>
      <c r="M49" s="1332">
        <v>-90000</v>
      </c>
      <c r="N49" s="1309">
        <f t="shared" si="4"/>
        <v>0</v>
      </c>
    </row>
    <row r="50" spans="1:14" ht="29.1" customHeight="1" outlineLevel="2">
      <c r="A50" s="237" t="s">
        <v>233</v>
      </c>
      <c r="B50" s="239" t="s">
        <v>5</v>
      </c>
      <c r="C50" s="239" t="s">
        <v>1465</v>
      </c>
      <c r="D50" s="239" t="s">
        <v>2379</v>
      </c>
      <c r="E50" s="254" t="s">
        <v>2373</v>
      </c>
      <c r="F50" s="254" t="s">
        <v>2373</v>
      </c>
      <c r="G50" s="254" t="s">
        <v>2373</v>
      </c>
      <c r="H50" s="239">
        <v>1</v>
      </c>
      <c r="I50" s="1333">
        <v>90000</v>
      </c>
      <c r="J50" s="1334">
        <f t="shared" si="5"/>
        <v>90000</v>
      </c>
      <c r="K50" s="1332">
        <v>0</v>
      </c>
      <c r="L50" s="1315">
        <f t="shared" si="1"/>
        <v>-90000</v>
      </c>
      <c r="M50" s="1332">
        <v>-90000</v>
      </c>
      <c r="N50" s="1309">
        <f t="shared" si="4"/>
        <v>0</v>
      </c>
    </row>
    <row r="51" spans="1:14" ht="29.1" customHeight="1" outlineLevel="2">
      <c r="A51" s="237" t="s">
        <v>229</v>
      </c>
      <c r="B51" s="239" t="s">
        <v>5</v>
      </c>
      <c r="C51" s="239" t="s">
        <v>1518</v>
      </c>
      <c r="D51" s="239" t="s">
        <v>2379</v>
      </c>
      <c r="E51" s="254" t="s">
        <v>2373</v>
      </c>
      <c r="F51" s="254" t="s">
        <v>2373</v>
      </c>
      <c r="G51" s="254" t="s">
        <v>2373</v>
      </c>
      <c r="H51" s="239">
        <v>1</v>
      </c>
      <c r="I51" s="1333">
        <v>90000</v>
      </c>
      <c r="J51" s="1334">
        <f t="shared" si="5"/>
        <v>90000</v>
      </c>
      <c r="K51" s="1332">
        <v>0</v>
      </c>
      <c r="L51" s="1315">
        <f t="shared" si="1"/>
        <v>-90000</v>
      </c>
      <c r="M51" s="1332">
        <v>-90000</v>
      </c>
      <c r="N51" s="1309">
        <f t="shared" si="4"/>
        <v>0</v>
      </c>
    </row>
    <row r="52" spans="1:14" ht="29.1" customHeight="1" outlineLevel="2">
      <c r="A52" s="237" t="s">
        <v>234</v>
      </c>
      <c r="B52" s="239" t="s">
        <v>5</v>
      </c>
      <c r="C52" s="239" t="s">
        <v>1465</v>
      </c>
      <c r="D52" s="239" t="s">
        <v>2379</v>
      </c>
      <c r="E52" s="254" t="s">
        <v>2373</v>
      </c>
      <c r="F52" s="254" t="s">
        <v>2373</v>
      </c>
      <c r="G52" s="254" t="s">
        <v>2373</v>
      </c>
      <c r="H52" s="239">
        <v>1</v>
      </c>
      <c r="I52" s="1333">
        <v>90000</v>
      </c>
      <c r="J52" s="1334">
        <f t="shared" si="5"/>
        <v>90000</v>
      </c>
      <c r="K52" s="1332">
        <v>0</v>
      </c>
      <c r="L52" s="1315">
        <f t="shared" si="1"/>
        <v>-90000</v>
      </c>
      <c r="M52" s="1332">
        <v>-90000</v>
      </c>
      <c r="N52" s="1309">
        <f t="shared" si="4"/>
        <v>0</v>
      </c>
    </row>
    <row r="53" spans="1:14" ht="29.1" customHeight="1" outlineLevel="2">
      <c r="A53" s="237" t="s">
        <v>231</v>
      </c>
      <c r="B53" s="239" t="s">
        <v>5</v>
      </c>
      <c r="C53" s="239" t="s">
        <v>1465</v>
      </c>
      <c r="D53" s="239" t="s">
        <v>2379</v>
      </c>
      <c r="E53" s="254" t="s">
        <v>2373</v>
      </c>
      <c r="F53" s="254" t="s">
        <v>2373</v>
      </c>
      <c r="G53" s="254" t="s">
        <v>2373</v>
      </c>
      <c r="H53" s="239">
        <v>1</v>
      </c>
      <c r="I53" s="1333">
        <v>90000</v>
      </c>
      <c r="J53" s="1334">
        <f t="shared" si="5"/>
        <v>90000</v>
      </c>
      <c r="K53" s="1332">
        <v>0</v>
      </c>
      <c r="L53" s="1315">
        <f t="shared" si="1"/>
        <v>-90000</v>
      </c>
      <c r="M53" s="1332">
        <v>-90000</v>
      </c>
      <c r="N53" s="1309">
        <f t="shared" si="4"/>
        <v>0</v>
      </c>
    </row>
    <row r="54" spans="1:14" ht="29.1" customHeight="1" outlineLevel="2">
      <c r="A54" s="237" t="s">
        <v>227</v>
      </c>
      <c r="B54" s="239" t="s">
        <v>5</v>
      </c>
      <c r="C54" s="239" t="s">
        <v>1518</v>
      </c>
      <c r="D54" s="239" t="s">
        <v>2379</v>
      </c>
      <c r="E54" s="240" t="s">
        <v>1254</v>
      </c>
      <c r="F54" s="240" t="s">
        <v>1254</v>
      </c>
      <c r="G54" s="240" t="s">
        <v>1255</v>
      </c>
      <c r="H54" s="239">
        <v>1</v>
      </c>
      <c r="I54" s="1333">
        <v>500000</v>
      </c>
      <c r="J54" s="1333">
        <v>500000</v>
      </c>
      <c r="K54" s="1332">
        <v>440000</v>
      </c>
      <c r="L54" s="1315">
        <f t="shared" si="1"/>
        <v>-60000</v>
      </c>
      <c r="M54" s="1332">
        <f>L54</f>
        <v>-60000</v>
      </c>
      <c r="N54" s="1309">
        <v>0</v>
      </c>
    </row>
    <row r="55" spans="1:14" ht="29.1" customHeight="1" outlineLevel="2">
      <c r="A55" s="237" t="s">
        <v>228</v>
      </c>
      <c r="B55" s="239" t="s">
        <v>5</v>
      </c>
      <c r="C55" s="239" t="s">
        <v>1518</v>
      </c>
      <c r="D55" s="239" t="s">
        <v>2379</v>
      </c>
      <c r="E55" s="240" t="s">
        <v>1254</v>
      </c>
      <c r="F55" s="240" t="s">
        <v>1254</v>
      </c>
      <c r="G55" s="240" t="s">
        <v>1255</v>
      </c>
      <c r="H55" s="239">
        <v>1</v>
      </c>
      <c r="I55" s="1333">
        <v>500000</v>
      </c>
      <c r="J55" s="1333">
        <v>500000</v>
      </c>
      <c r="K55" s="1332">
        <v>440000</v>
      </c>
      <c r="L55" s="1315">
        <f t="shared" si="1"/>
        <v>-60000</v>
      </c>
      <c r="M55" s="1332">
        <f t="shared" ref="M55:M58" si="6">L55</f>
        <v>-60000</v>
      </c>
      <c r="N55" s="1309">
        <v>0</v>
      </c>
    </row>
    <row r="56" spans="1:14" ht="29.1" customHeight="1" outlineLevel="2">
      <c r="A56" s="237" t="s">
        <v>229</v>
      </c>
      <c r="B56" s="239" t="s">
        <v>5</v>
      </c>
      <c r="C56" s="239" t="s">
        <v>1518</v>
      </c>
      <c r="D56" s="239" t="s">
        <v>2379</v>
      </c>
      <c r="E56" s="240" t="s">
        <v>1254</v>
      </c>
      <c r="F56" s="240" t="s">
        <v>1254</v>
      </c>
      <c r="G56" s="240" t="s">
        <v>1255</v>
      </c>
      <c r="H56" s="239">
        <v>1</v>
      </c>
      <c r="I56" s="1333">
        <v>500000</v>
      </c>
      <c r="J56" s="1333">
        <v>500000</v>
      </c>
      <c r="K56" s="1332">
        <v>490000</v>
      </c>
      <c r="L56" s="1315">
        <f t="shared" si="1"/>
        <v>-10000</v>
      </c>
      <c r="M56" s="1332">
        <f t="shared" si="6"/>
        <v>-10000</v>
      </c>
      <c r="N56" s="1309">
        <f t="shared" si="4"/>
        <v>0</v>
      </c>
    </row>
    <row r="57" spans="1:14" ht="29.1" customHeight="1" outlineLevel="2">
      <c r="A57" s="237" t="s">
        <v>230</v>
      </c>
      <c r="B57" s="239" t="s">
        <v>5</v>
      </c>
      <c r="C57" s="239" t="s">
        <v>3083</v>
      </c>
      <c r="D57" s="239" t="s">
        <v>2379</v>
      </c>
      <c r="E57" s="240" t="s">
        <v>1254</v>
      </c>
      <c r="F57" s="240" t="s">
        <v>1254</v>
      </c>
      <c r="G57" s="240" t="s">
        <v>1255</v>
      </c>
      <c r="H57" s="239">
        <v>1</v>
      </c>
      <c r="I57" s="1333">
        <v>500000</v>
      </c>
      <c r="J57" s="1333">
        <v>500000</v>
      </c>
      <c r="K57" s="1332">
        <v>490000</v>
      </c>
      <c r="L57" s="1315">
        <f t="shared" si="1"/>
        <v>-10000</v>
      </c>
      <c r="M57" s="1332">
        <f t="shared" si="6"/>
        <v>-10000</v>
      </c>
      <c r="N57" s="1309">
        <f t="shared" si="4"/>
        <v>0</v>
      </c>
    </row>
    <row r="58" spans="1:14" ht="29.1" customHeight="1" outlineLevel="2">
      <c r="A58" s="237" t="s">
        <v>235</v>
      </c>
      <c r="B58" s="239" t="s">
        <v>5</v>
      </c>
      <c r="C58" s="239" t="s">
        <v>3083</v>
      </c>
      <c r="D58" s="239" t="s">
        <v>2379</v>
      </c>
      <c r="E58" s="240" t="s">
        <v>1254</v>
      </c>
      <c r="F58" s="240" t="s">
        <v>1254</v>
      </c>
      <c r="G58" s="240" t="s">
        <v>1255</v>
      </c>
      <c r="H58" s="239">
        <v>1</v>
      </c>
      <c r="I58" s="1333">
        <v>500000</v>
      </c>
      <c r="J58" s="1333">
        <v>500000</v>
      </c>
      <c r="K58" s="1332">
        <v>440000</v>
      </c>
      <c r="L58" s="1315">
        <f t="shared" si="1"/>
        <v>-60000</v>
      </c>
      <c r="M58" s="1332">
        <f t="shared" si="6"/>
        <v>-60000</v>
      </c>
      <c r="N58" s="1309">
        <v>0</v>
      </c>
    </row>
    <row r="59" spans="1:14" ht="29.1" customHeight="1" outlineLevel="2">
      <c r="A59" s="237" t="s">
        <v>229</v>
      </c>
      <c r="B59" s="239" t="s">
        <v>5</v>
      </c>
      <c r="C59" s="239" t="s">
        <v>1518</v>
      </c>
      <c r="D59" s="239" t="s">
        <v>2379</v>
      </c>
      <c r="E59" s="1305" t="s">
        <v>1271</v>
      </c>
      <c r="F59" s="1305" t="s">
        <v>1272</v>
      </c>
      <c r="G59" s="1305" t="s">
        <v>1273</v>
      </c>
      <c r="H59" s="1306">
        <v>1</v>
      </c>
      <c r="I59" s="1335">
        <v>200000</v>
      </c>
      <c r="J59" s="1336">
        <f t="shared" ref="J59:J61" si="7">I59*H59</f>
        <v>200000</v>
      </c>
      <c r="K59" s="1332">
        <v>200000</v>
      </c>
      <c r="L59" s="1315">
        <f t="shared" si="1"/>
        <v>0</v>
      </c>
      <c r="M59" s="1332">
        <v>0</v>
      </c>
      <c r="N59" s="1309">
        <f t="shared" si="4"/>
        <v>0</v>
      </c>
    </row>
    <row r="60" spans="1:14" ht="29.1" customHeight="1" outlineLevel="2">
      <c r="A60" s="237" t="s">
        <v>228</v>
      </c>
      <c r="B60" s="239" t="s">
        <v>5</v>
      </c>
      <c r="C60" s="239" t="s">
        <v>1518</v>
      </c>
      <c r="D60" s="239" t="s">
        <v>2379</v>
      </c>
      <c r="E60" s="1305" t="s">
        <v>1271</v>
      </c>
      <c r="F60" s="1305" t="s">
        <v>1272</v>
      </c>
      <c r="G60" s="1305" t="s">
        <v>1273</v>
      </c>
      <c r="H60" s="1306">
        <v>1</v>
      </c>
      <c r="I60" s="1335">
        <v>200000</v>
      </c>
      <c r="J60" s="1336">
        <f t="shared" si="7"/>
        <v>200000</v>
      </c>
      <c r="K60" s="1332">
        <v>200000</v>
      </c>
      <c r="L60" s="1315">
        <f t="shared" si="1"/>
        <v>0</v>
      </c>
      <c r="M60" s="1332">
        <v>0</v>
      </c>
      <c r="N60" s="1309">
        <f t="shared" si="4"/>
        <v>0</v>
      </c>
    </row>
    <row r="61" spans="1:14" ht="29.1" customHeight="1" outlineLevel="2">
      <c r="A61" s="237" t="s">
        <v>231</v>
      </c>
      <c r="B61" s="239" t="s">
        <v>5</v>
      </c>
      <c r="C61" s="239" t="s">
        <v>1465</v>
      </c>
      <c r="D61" s="239" t="s">
        <v>2379</v>
      </c>
      <c r="E61" s="1305" t="s">
        <v>1271</v>
      </c>
      <c r="F61" s="1305" t="s">
        <v>1272</v>
      </c>
      <c r="G61" s="1305" t="s">
        <v>1273</v>
      </c>
      <c r="H61" s="1306">
        <v>1</v>
      </c>
      <c r="I61" s="1335">
        <v>200000</v>
      </c>
      <c r="J61" s="1336">
        <f t="shared" si="7"/>
        <v>200000</v>
      </c>
      <c r="K61" s="1332">
        <v>200000</v>
      </c>
      <c r="L61" s="1315">
        <f t="shared" si="1"/>
        <v>0</v>
      </c>
      <c r="M61" s="1332">
        <v>0</v>
      </c>
      <c r="N61" s="1309">
        <f t="shared" si="4"/>
        <v>0</v>
      </c>
    </row>
    <row r="62" spans="1:14" ht="29.1" customHeight="1" outlineLevel="1">
      <c r="A62" s="237"/>
      <c r="B62" s="238" t="s">
        <v>257</v>
      </c>
      <c r="C62" s="239"/>
      <c r="D62" s="239"/>
      <c r="E62" s="1305"/>
      <c r="F62" s="1305"/>
      <c r="G62" s="1305"/>
      <c r="H62" s="1306"/>
      <c r="I62" s="1335"/>
      <c r="J62" s="1336">
        <f>SUBTOTAL(9,J44:J61)</f>
        <v>3980000</v>
      </c>
      <c r="K62" s="1336">
        <f>SUBTOTAL(9,K44:K61)</f>
        <v>2900000</v>
      </c>
      <c r="L62" s="1336">
        <f>SUBTOTAL(9,L44:L61)</f>
        <v>-1080000</v>
      </c>
      <c r="M62" s="1336">
        <f>SUBTOTAL(9,M44:M61)</f>
        <v>-1080000</v>
      </c>
      <c r="N62" s="1336">
        <f>SUBTOTAL(9,N44:N61)</f>
        <v>0</v>
      </c>
    </row>
    <row r="63" spans="1:14" ht="29.1" customHeight="1" outlineLevel="2">
      <c r="A63" s="237" t="s">
        <v>240</v>
      </c>
      <c r="B63" s="239" t="s">
        <v>4</v>
      </c>
      <c r="C63" s="239" t="s">
        <v>1465</v>
      </c>
      <c r="D63" s="239" t="s">
        <v>2379</v>
      </c>
      <c r="E63" s="254" t="s">
        <v>2373</v>
      </c>
      <c r="F63" s="254" t="s">
        <v>2373</v>
      </c>
      <c r="G63" s="254" t="s">
        <v>2373</v>
      </c>
      <c r="H63" s="239">
        <v>1</v>
      </c>
      <c r="I63" s="1308">
        <v>70000</v>
      </c>
      <c r="J63" s="1308">
        <f t="shared" ref="J63:J72" si="8">I63*H63</f>
        <v>70000</v>
      </c>
      <c r="K63" s="1315">
        <v>0</v>
      </c>
      <c r="L63" s="1315">
        <f t="shared" si="1"/>
        <v>-70000</v>
      </c>
      <c r="M63" s="1315"/>
      <c r="N63" s="1309">
        <f t="shared" ref="N63:N82" si="9">L63-M63</f>
        <v>-70000</v>
      </c>
    </row>
    <row r="64" spans="1:14" ht="29.1" customHeight="1" outlineLevel="2">
      <c r="A64" s="237" t="s">
        <v>242</v>
      </c>
      <c r="B64" s="239" t="s">
        <v>4</v>
      </c>
      <c r="C64" s="239" t="s">
        <v>1465</v>
      </c>
      <c r="D64" s="239" t="s">
        <v>2379</v>
      </c>
      <c r="E64" s="254" t="s">
        <v>2373</v>
      </c>
      <c r="F64" s="254" t="s">
        <v>2373</v>
      </c>
      <c r="G64" s="254" t="s">
        <v>2373</v>
      </c>
      <c r="H64" s="239">
        <v>1</v>
      </c>
      <c r="I64" s="1308">
        <v>70000</v>
      </c>
      <c r="J64" s="1308">
        <f t="shared" si="8"/>
        <v>70000</v>
      </c>
      <c r="K64" s="1315">
        <v>0</v>
      </c>
      <c r="L64" s="1315">
        <f t="shared" si="1"/>
        <v>-70000</v>
      </c>
      <c r="M64" s="1315"/>
      <c r="N64" s="1309">
        <f t="shared" si="9"/>
        <v>-70000</v>
      </c>
    </row>
    <row r="65" spans="1:14" ht="29.1" customHeight="1" outlineLevel="2">
      <c r="A65" s="237" t="s">
        <v>236</v>
      </c>
      <c r="B65" s="239" t="s">
        <v>4</v>
      </c>
      <c r="C65" s="239" t="s">
        <v>1518</v>
      </c>
      <c r="D65" s="239" t="s">
        <v>2379</v>
      </c>
      <c r="E65" s="254" t="s">
        <v>2373</v>
      </c>
      <c r="F65" s="254" t="s">
        <v>2373</v>
      </c>
      <c r="G65" s="254" t="s">
        <v>2373</v>
      </c>
      <c r="H65" s="239">
        <v>1</v>
      </c>
      <c r="I65" s="1308">
        <v>90000</v>
      </c>
      <c r="J65" s="1308">
        <f t="shared" si="8"/>
        <v>90000</v>
      </c>
      <c r="K65" s="1315">
        <v>0</v>
      </c>
      <c r="L65" s="1315">
        <f t="shared" ref="L65:L106" si="10">K65-J65</f>
        <v>-90000</v>
      </c>
      <c r="M65" s="1315"/>
      <c r="N65" s="1309">
        <f t="shared" si="9"/>
        <v>-90000</v>
      </c>
    </row>
    <row r="66" spans="1:14" ht="29.1" customHeight="1" outlineLevel="2">
      <c r="A66" s="237" t="s">
        <v>238</v>
      </c>
      <c r="B66" s="239" t="s">
        <v>4</v>
      </c>
      <c r="C66" s="239" t="s">
        <v>1518</v>
      </c>
      <c r="D66" s="239" t="s">
        <v>2379</v>
      </c>
      <c r="E66" s="254" t="s">
        <v>2373</v>
      </c>
      <c r="F66" s="254" t="s">
        <v>2373</v>
      </c>
      <c r="G66" s="254" t="s">
        <v>2373</v>
      </c>
      <c r="H66" s="239">
        <v>1</v>
      </c>
      <c r="I66" s="1308">
        <v>90000</v>
      </c>
      <c r="J66" s="1308">
        <f t="shared" si="8"/>
        <v>90000</v>
      </c>
      <c r="K66" s="1315">
        <v>0</v>
      </c>
      <c r="L66" s="1315">
        <f t="shared" si="10"/>
        <v>-90000</v>
      </c>
      <c r="M66" s="1315"/>
      <c r="N66" s="1309">
        <f t="shared" si="9"/>
        <v>-90000</v>
      </c>
    </row>
    <row r="67" spans="1:14" ht="29.1" customHeight="1" outlineLevel="2">
      <c r="A67" s="237" t="s">
        <v>239</v>
      </c>
      <c r="B67" s="239" t="s">
        <v>4</v>
      </c>
      <c r="C67" s="239" t="s">
        <v>1518</v>
      </c>
      <c r="D67" s="239" t="s">
        <v>2379</v>
      </c>
      <c r="E67" s="254" t="s">
        <v>2373</v>
      </c>
      <c r="F67" s="254" t="s">
        <v>2373</v>
      </c>
      <c r="G67" s="254" t="s">
        <v>2373</v>
      </c>
      <c r="H67" s="239">
        <v>1</v>
      </c>
      <c r="I67" s="1308">
        <v>90000</v>
      </c>
      <c r="J67" s="1308">
        <f t="shared" si="8"/>
        <v>90000</v>
      </c>
      <c r="K67" s="1315">
        <v>0</v>
      </c>
      <c r="L67" s="1315">
        <f t="shared" si="10"/>
        <v>-90000</v>
      </c>
      <c r="M67" s="1315"/>
      <c r="N67" s="1309">
        <f t="shared" si="9"/>
        <v>-90000</v>
      </c>
    </row>
    <row r="68" spans="1:14" ht="29.1" customHeight="1" outlineLevel="2">
      <c r="A68" s="237" t="s">
        <v>265</v>
      </c>
      <c r="B68" s="239" t="s">
        <v>4</v>
      </c>
      <c r="C68" s="239" t="s">
        <v>3083</v>
      </c>
      <c r="D68" s="239" t="s">
        <v>2379</v>
      </c>
      <c r="E68" s="254" t="s">
        <v>2373</v>
      </c>
      <c r="F68" s="254" t="s">
        <v>2373</v>
      </c>
      <c r="G68" s="254" t="s">
        <v>2373</v>
      </c>
      <c r="H68" s="239">
        <v>1</v>
      </c>
      <c r="I68" s="1308">
        <v>105000</v>
      </c>
      <c r="J68" s="1308">
        <f t="shared" si="8"/>
        <v>105000</v>
      </c>
      <c r="K68" s="1315">
        <v>0</v>
      </c>
      <c r="L68" s="1315">
        <f t="shared" si="10"/>
        <v>-105000</v>
      </c>
      <c r="M68" s="1315"/>
      <c r="N68" s="1309">
        <f t="shared" si="9"/>
        <v>-105000</v>
      </c>
    </row>
    <row r="69" spans="1:14" ht="29.1" customHeight="1" outlineLevel="2">
      <c r="A69" s="237" t="s">
        <v>747</v>
      </c>
      <c r="B69" s="239" t="s">
        <v>4</v>
      </c>
      <c r="C69" s="239" t="s">
        <v>1465</v>
      </c>
      <c r="D69" s="239" t="s">
        <v>2379</v>
      </c>
      <c r="E69" s="254" t="s">
        <v>2373</v>
      </c>
      <c r="F69" s="254" t="s">
        <v>2373</v>
      </c>
      <c r="G69" s="254" t="s">
        <v>2373</v>
      </c>
      <c r="H69" s="239">
        <v>1</v>
      </c>
      <c r="I69" s="1308">
        <v>105000</v>
      </c>
      <c r="J69" s="1308">
        <f t="shared" si="8"/>
        <v>105000</v>
      </c>
      <c r="K69" s="1315">
        <v>0</v>
      </c>
      <c r="L69" s="1315">
        <f t="shared" si="10"/>
        <v>-105000</v>
      </c>
      <c r="M69" s="1315"/>
      <c r="N69" s="1309">
        <f t="shared" si="9"/>
        <v>-105000</v>
      </c>
    </row>
    <row r="70" spans="1:14" ht="29.1" customHeight="1" outlineLevel="2">
      <c r="A70" s="237" t="s">
        <v>243</v>
      </c>
      <c r="B70" s="239" t="s">
        <v>4</v>
      </c>
      <c r="C70" s="239" t="s">
        <v>1465</v>
      </c>
      <c r="D70" s="239" t="s">
        <v>2379</v>
      </c>
      <c r="E70" s="254" t="s">
        <v>2373</v>
      </c>
      <c r="F70" s="254" t="s">
        <v>2373</v>
      </c>
      <c r="G70" s="254" t="s">
        <v>2373</v>
      </c>
      <c r="H70" s="239">
        <v>1</v>
      </c>
      <c r="I70" s="1308">
        <v>105000</v>
      </c>
      <c r="J70" s="1308">
        <f t="shared" si="8"/>
        <v>105000</v>
      </c>
      <c r="K70" s="1315">
        <v>0</v>
      </c>
      <c r="L70" s="1315">
        <f t="shared" si="10"/>
        <v>-105000</v>
      </c>
      <c r="M70" s="1315"/>
      <c r="N70" s="1309">
        <f t="shared" si="9"/>
        <v>-105000</v>
      </c>
    </row>
    <row r="71" spans="1:14" ht="29.1" customHeight="1" outlineLevel="2">
      <c r="A71" s="237" t="s">
        <v>237</v>
      </c>
      <c r="B71" s="239" t="s">
        <v>4</v>
      </c>
      <c r="C71" s="239" t="s">
        <v>1518</v>
      </c>
      <c r="D71" s="239" t="s">
        <v>2379</v>
      </c>
      <c r="E71" s="254" t="s">
        <v>2373</v>
      </c>
      <c r="F71" s="254" t="s">
        <v>2373</v>
      </c>
      <c r="G71" s="254" t="s">
        <v>2373</v>
      </c>
      <c r="H71" s="239">
        <v>1</v>
      </c>
      <c r="I71" s="1308">
        <v>105000</v>
      </c>
      <c r="J71" s="1308">
        <f t="shared" si="8"/>
        <v>105000</v>
      </c>
      <c r="K71" s="1315">
        <v>0</v>
      </c>
      <c r="L71" s="1315">
        <f t="shared" si="10"/>
        <v>-105000</v>
      </c>
      <c r="M71" s="1315"/>
      <c r="N71" s="1309">
        <f t="shared" si="9"/>
        <v>-105000</v>
      </c>
    </row>
    <row r="72" spans="1:14" ht="29.1" customHeight="1" outlineLevel="2">
      <c r="A72" s="237" t="s">
        <v>241</v>
      </c>
      <c r="B72" s="239" t="s">
        <v>4</v>
      </c>
      <c r="C72" s="239" t="s">
        <v>1465</v>
      </c>
      <c r="D72" s="239" t="s">
        <v>2379</v>
      </c>
      <c r="E72" s="254" t="s">
        <v>2373</v>
      </c>
      <c r="F72" s="254" t="s">
        <v>2373</v>
      </c>
      <c r="G72" s="254" t="s">
        <v>2373</v>
      </c>
      <c r="H72" s="239">
        <v>1</v>
      </c>
      <c r="I72" s="1308">
        <v>105000</v>
      </c>
      <c r="J72" s="1308">
        <f t="shared" si="8"/>
        <v>105000</v>
      </c>
      <c r="K72" s="1315">
        <v>0</v>
      </c>
      <c r="L72" s="1315">
        <f t="shared" si="10"/>
        <v>-105000</v>
      </c>
      <c r="M72" s="1315"/>
      <c r="N72" s="1309">
        <f t="shared" si="9"/>
        <v>-105000</v>
      </c>
    </row>
    <row r="73" spans="1:14" ht="29.1" customHeight="1" outlineLevel="2">
      <c r="A73" s="237" t="s">
        <v>236</v>
      </c>
      <c r="B73" s="239" t="s">
        <v>4</v>
      </c>
      <c r="C73" s="239" t="s">
        <v>1518</v>
      </c>
      <c r="D73" s="239" t="s">
        <v>2379</v>
      </c>
      <c r="E73" s="240" t="s">
        <v>1254</v>
      </c>
      <c r="F73" s="240" t="s">
        <v>1254</v>
      </c>
      <c r="G73" s="240" t="s">
        <v>1255</v>
      </c>
      <c r="H73" s="239">
        <v>1</v>
      </c>
      <c r="I73" s="1308">
        <v>500000</v>
      </c>
      <c r="J73" s="1308">
        <v>500000</v>
      </c>
      <c r="K73" s="1315">
        <v>440000</v>
      </c>
      <c r="L73" s="1315">
        <f t="shared" si="10"/>
        <v>-60000</v>
      </c>
      <c r="M73" s="1315"/>
      <c r="N73" s="1309">
        <f t="shared" si="9"/>
        <v>-60000</v>
      </c>
    </row>
    <row r="74" spans="1:14" ht="29.1" customHeight="1" outlineLevel="2">
      <c r="A74" s="237" t="s">
        <v>237</v>
      </c>
      <c r="B74" s="239" t="s">
        <v>4</v>
      </c>
      <c r="C74" s="239" t="s">
        <v>1518</v>
      </c>
      <c r="D74" s="239" t="s">
        <v>2379</v>
      </c>
      <c r="E74" s="240" t="s">
        <v>1254</v>
      </c>
      <c r="F74" s="240" t="s">
        <v>1254</v>
      </c>
      <c r="G74" s="240" t="s">
        <v>1255</v>
      </c>
      <c r="H74" s="239">
        <v>1</v>
      </c>
      <c r="I74" s="1308">
        <v>500000</v>
      </c>
      <c r="J74" s="1308">
        <v>500000</v>
      </c>
      <c r="K74" s="1315">
        <v>540000</v>
      </c>
      <c r="L74" s="1315">
        <f t="shared" si="10"/>
        <v>40000</v>
      </c>
      <c r="M74" s="1315"/>
      <c r="N74" s="1309">
        <f t="shared" si="9"/>
        <v>40000</v>
      </c>
    </row>
    <row r="75" spans="1:14" ht="29.1" customHeight="1" outlineLevel="2">
      <c r="A75" s="237" t="s">
        <v>237</v>
      </c>
      <c r="B75" s="239" t="s">
        <v>4</v>
      </c>
      <c r="C75" s="239" t="s">
        <v>1518</v>
      </c>
      <c r="D75" s="239" t="s">
        <v>2379</v>
      </c>
      <c r="E75" s="1303" t="s">
        <v>1254</v>
      </c>
      <c r="F75" s="1302" t="s">
        <v>3359</v>
      </c>
      <c r="G75" s="1302" t="s">
        <v>3360</v>
      </c>
      <c r="H75" s="239">
        <v>1</v>
      </c>
      <c r="I75" s="1308">
        <v>0</v>
      </c>
      <c r="J75" s="1308">
        <v>0</v>
      </c>
      <c r="K75" s="1315">
        <v>15500</v>
      </c>
      <c r="L75" s="1315">
        <f t="shared" si="10"/>
        <v>15500</v>
      </c>
      <c r="M75" s="1315"/>
      <c r="N75" s="1309">
        <f t="shared" si="9"/>
        <v>15500</v>
      </c>
    </row>
    <row r="76" spans="1:14" ht="29.1" customHeight="1" outlineLevel="2">
      <c r="A76" s="237" t="s">
        <v>238</v>
      </c>
      <c r="B76" s="239" t="s">
        <v>4</v>
      </c>
      <c r="C76" s="239" t="s">
        <v>1518</v>
      </c>
      <c r="D76" s="239" t="s">
        <v>2379</v>
      </c>
      <c r="E76" s="240" t="s">
        <v>1254</v>
      </c>
      <c r="F76" s="240" t="s">
        <v>1254</v>
      </c>
      <c r="G76" s="240" t="s">
        <v>1255</v>
      </c>
      <c r="H76" s="239">
        <v>1</v>
      </c>
      <c r="I76" s="1308">
        <v>500000</v>
      </c>
      <c r="J76" s="1308">
        <v>500000</v>
      </c>
      <c r="K76" s="1315">
        <v>490000</v>
      </c>
      <c r="L76" s="1315">
        <f t="shared" si="10"/>
        <v>-10000</v>
      </c>
      <c r="M76" s="1315"/>
      <c r="N76" s="1309">
        <f t="shared" si="9"/>
        <v>-10000</v>
      </c>
    </row>
    <row r="77" spans="1:14" ht="29.1" customHeight="1" outlineLevel="2">
      <c r="A77" s="237" t="s">
        <v>239</v>
      </c>
      <c r="B77" s="239" t="s">
        <v>4</v>
      </c>
      <c r="C77" s="239" t="s">
        <v>1518</v>
      </c>
      <c r="D77" s="239" t="s">
        <v>2379</v>
      </c>
      <c r="E77" s="240" t="s">
        <v>1254</v>
      </c>
      <c r="F77" s="240" t="s">
        <v>1254</v>
      </c>
      <c r="G77" s="240" t="s">
        <v>1255</v>
      </c>
      <c r="H77" s="239">
        <v>1</v>
      </c>
      <c r="I77" s="1308">
        <v>500000</v>
      </c>
      <c r="J77" s="1308">
        <v>500000</v>
      </c>
      <c r="K77" s="1315">
        <v>540000</v>
      </c>
      <c r="L77" s="1315">
        <f t="shared" si="10"/>
        <v>40000</v>
      </c>
      <c r="M77" s="1315"/>
      <c r="N77" s="1309">
        <f t="shared" si="9"/>
        <v>40000</v>
      </c>
    </row>
    <row r="78" spans="1:14" ht="29.1" customHeight="1" outlineLevel="2">
      <c r="A78" s="237" t="s">
        <v>239</v>
      </c>
      <c r="B78" s="239" t="s">
        <v>4</v>
      </c>
      <c r="C78" s="239" t="s">
        <v>1518</v>
      </c>
      <c r="D78" s="239" t="s">
        <v>2379</v>
      </c>
      <c r="E78" s="1303" t="s">
        <v>1254</v>
      </c>
      <c r="F78" s="1302" t="s">
        <v>3359</v>
      </c>
      <c r="G78" s="1302" t="s">
        <v>3360</v>
      </c>
      <c r="H78" s="239">
        <v>1</v>
      </c>
      <c r="I78" s="1308">
        <v>0</v>
      </c>
      <c r="J78" s="1308">
        <v>0</v>
      </c>
      <c r="K78" s="1315">
        <v>6900</v>
      </c>
      <c r="L78" s="1315">
        <f t="shared" si="10"/>
        <v>6900</v>
      </c>
      <c r="M78" s="1315"/>
      <c r="N78" s="1309">
        <f t="shared" si="9"/>
        <v>6900</v>
      </c>
    </row>
    <row r="79" spans="1:14" ht="29.1" customHeight="1" outlineLevel="2">
      <c r="A79" s="237" t="s">
        <v>265</v>
      </c>
      <c r="B79" s="239" t="s">
        <v>4</v>
      </c>
      <c r="C79" s="239" t="s">
        <v>3083</v>
      </c>
      <c r="D79" s="239" t="s">
        <v>2379</v>
      </c>
      <c r="E79" s="240" t="s">
        <v>1254</v>
      </c>
      <c r="F79" s="240" t="s">
        <v>1254</v>
      </c>
      <c r="G79" s="240" t="s">
        <v>1255</v>
      </c>
      <c r="H79" s="239">
        <v>1</v>
      </c>
      <c r="I79" s="1308">
        <v>500000</v>
      </c>
      <c r="J79" s="1308">
        <v>500000</v>
      </c>
      <c r="K79" s="1315">
        <v>540000</v>
      </c>
      <c r="L79" s="1315">
        <f t="shared" si="10"/>
        <v>40000</v>
      </c>
      <c r="M79" s="1315"/>
      <c r="N79" s="1309">
        <f t="shared" si="9"/>
        <v>40000</v>
      </c>
    </row>
    <row r="80" spans="1:14" ht="29.1" customHeight="1" outlineLevel="2">
      <c r="A80" s="237" t="s">
        <v>265</v>
      </c>
      <c r="B80" s="239" t="s">
        <v>4</v>
      </c>
      <c r="C80" s="239" t="s">
        <v>3083</v>
      </c>
      <c r="D80" s="239" t="s">
        <v>2379</v>
      </c>
      <c r="E80" s="1303" t="s">
        <v>1254</v>
      </c>
      <c r="F80" s="1302" t="s">
        <v>3359</v>
      </c>
      <c r="G80" s="1302" t="s">
        <v>3360</v>
      </c>
      <c r="H80" s="239">
        <v>1</v>
      </c>
      <c r="I80" s="1308">
        <v>0</v>
      </c>
      <c r="J80" s="1308">
        <v>0</v>
      </c>
      <c r="K80" s="1315">
        <v>55800</v>
      </c>
      <c r="L80" s="1315">
        <f t="shared" si="10"/>
        <v>55800</v>
      </c>
      <c r="M80" s="1315"/>
      <c r="N80" s="1309">
        <f t="shared" si="9"/>
        <v>55800</v>
      </c>
    </row>
    <row r="81" spans="1:14" ht="29.1" customHeight="1" outlineLevel="2">
      <c r="A81" s="237" t="s">
        <v>236</v>
      </c>
      <c r="B81" s="239" t="s">
        <v>4</v>
      </c>
      <c r="C81" s="239" t="s">
        <v>1518</v>
      </c>
      <c r="D81" s="239" t="s">
        <v>2379</v>
      </c>
      <c r="E81" s="1305" t="s">
        <v>1271</v>
      </c>
      <c r="F81" s="1305" t="s">
        <v>1272</v>
      </c>
      <c r="G81" s="1305" t="s">
        <v>1273</v>
      </c>
      <c r="H81" s="1306">
        <v>1</v>
      </c>
      <c r="I81" s="1311">
        <v>200000</v>
      </c>
      <c r="J81" s="1312">
        <f>I81*H81</f>
        <v>200000</v>
      </c>
      <c r="K81" s="1315">
        <v>200000</v>
      </c>
      <c r="L81" s="1315">
        <f t="shared" si="10"/>
        <v>0</v>
      </c>
      <c r="M81" s="1315"/>
      <c r="N81" s="1309">
        <f t="shared" si="9"/>
        <v>0</v>
      </c>
    </row>
    <row r="82" spans="1:14" ht="29.1" customHeight="1" outlineLevel="2">
      <c r="A82" s="237" t="s">
        <v>242</v>
      </c>
      <c r="B82" s="239" t="s">
        <v>4</v>
      </c>
      <c r="C82" s="239" t="s">
        <v>1465</v>
      </c>
      <c r="D82" s="239" t="s">
        <v>2379</v>
      </c>
      <c r="E82" s="1305" t="s">
        <v>1271</v>
      </c>
      <c r="F82" s="1305" t="s">
        <v>1272</v>
      </c>
      <c r="G82" s="1305" t="s">
        <v>1273</v>
      </c>
      <c r="H82" s="1306">
        <v>1</v>
      </c>
      <c r="I82" s="1311">
        <v>200000</v>
      </c>
      <c r="J82" s="1312">
        <f>I82*H82</f>
        <v>200000</v>
      </c>
      <c r="K82" s="1315">
        <v>200000</v>
      </c>
      <c r="L82" s="1315">
        <f t="shared" si="10"/>
        <v>0</v>
      </c>
      <c r="M82" s="1315"/>
      <c r="N82" s="1309">
        <f t="shared" si="9"/>
        <v>0</v>
      </c>
    </row>
    <row r="83" spans="1:14" ht="29.1" customHeight="1" outlineLevel="1">
      <c r="A83" s="237"/>
      <c r="B83" s="238" t="s">
        <v>256</v>
      </c>
      <c r="C83" s="239"/>
      <c r="D83" s="239"/>
      <c r="E83" s="1305"/>
      <c r="F83" s="1305"/>
      <c r="G83" s="1305"/>
      <c r="H83" s="1306"/>
      <c r="I83" s="1311"/>
      <c r="J83" s="1312">
        <f>SUBTOTAL(9,J63:J82)</f>
        <v>3835000</v>
      </c>
      <c r="K83" s="1312">
        <f>SUBTOTAL(9,K63:K82)</f>
        <v>3028200</v>
      </c>
      <c r="L83" s="1312">
        <f>SUBTOTAL(9,L63:L82)</f>
        <v>-806800</v>
      </c>
      <c r="M83" s="1312">
        <f>SUBTOTAL(9,M63:M82)</f>
        <v>0</v>
      </c>
      <c r="N83" s="1312">
        <f>SUBTOTAL(9,N63:N82)</f>
        <v>-806800</v>
      </c>
    </row>
    <row r="84" spans="1:14" ht="29.1" customHeight="1" outlineLevel="2">
      <c r="A84" s="237" t="s">
        <v>244</v>
      </c>
      <c r="B84" s="239" t="s">
        <v>2</v>
      </c>
      <c r="C84" s="239" t="s">
        <v>3083</v>
      </c>
      <c r="D84" s="239" t="s">
        <v>2379</v>
      </c>
      <c r="E84" s="254" t="s">
        <v>2373</v>
      </c>
      <c r="F84" s="254" t="s">
        <v>2373</v>
      </c>
      <c r="G84" s="254" t="s">
        <v>2373</v>
      </c>
      <c r="H84" s="239">
        <v>1</v>
      </c>
      <c r="I84" s="1308">
        <v>90000</v>
      </c>
      <c r="J84" s="1308">
        <f>H84*I84</f>
        <v>90000</v>
      </c>
      <c r="K84" s="1315">
        <v>0</v>
      </c>
      <c r="L84" s="1315">
        <f t="shared" si="10"/>
        <v>-90000</v>
      </c>
      <c r="M84" s="1315">
        <v>-90000</v>
      </c>
      <c r="N84" s="1309">
        <v>0</v>
      </c>
    </row>
    <row r="85" spans="1:14" ht="29.1" customHeight="1" outlineLevel="2">
      <c r="A85" s="237" t="s">
        <v>244</v>
      </c>
      <c r="B85" s="239" t="s">
        <v>2</v>
      </c>
      <c r="C85" s="239" t="s">
        <v>3083</v>
      </c>
      <c r="D85" s="239" t="s">
        <v>2379</v>
      </c>
      <c r="E85" s="240" t="s">
        <v>1254</v>
      </c>
      <c r="F85" s="240" t="s">
        <v>1254</v>
      </c>
      <c r="G85" s="240" t="s">
        <v>1255</v>
      </c>
      <c r="H85" s="239">
        <v>1</v>
      </c>
      <c r="I85" s="1308">
        <v>500000</v>
      </c>
      <c r="J85" s="1308">
        <v>500000</v>
      </c>
      <c r="K85" s="1315">
        <v>540000</v>
      </c>
      <c r="L85" s="1315">
        <f t="shared" si="10"/>
        <v>40000</v>
      </c>
      <c r="M85" s="1315">
        <f>L85</f>
        <v>40000</v>
      </c>
      <c r="N85" s="1309">
        <v>0</v>
      </c>
    </row>
    <row r="86" spans="1:14" ht="29.1" customHeight="1" outlineLevel="1">
      <c r="A86" s="237"/>
      <c r="B86" s="238" t="s">
        <v>254</v>
      </c>
      <c r="C86" s="239"/>
      <c r="D86" s="239"/>
      <c r="E86" s="240"/>
      <c r="F86" s="240"/>
      <c r="G86" s="240"/>
      <c r="H86" s="239"/>
      <c r="I86" s="1308"/>
      <c r="J86" s="1308">
        <f>SUBTOTAL(9,J84:J85)</f>
        <v>590000</v>
      </c>
      <c r="K86" s="1308">
        <f>SUBTOTAL(9,K84:K85)</f>
        <v>540000</v>
      </c>
      <c r="L86" s="1308">
        <f>SUBTOTAL(9,L84:L85)</f>
        <v>-50000</v>
      </c>
      <c r="M86" s="1308">
        <f>SUBTOTAL(9,M84:M85)</f>
        <v>-50000</v>
      </c>
      <c r="N86" s="1308">
        <f>SUBTOTAL(9,N84:N85)</f>
        <v>0</v>
      </c>
    </row>
    <row r="87" spans="1:14" ht="29.1" customHeight="1" outlineLevel="2">
      <c r="A87" s="237" t="s">
        <v>165</v>
      </c>
      <c r="B87" s="239" t="s">
        <v>2728</v>
      </c>
      <c r="C87" s="239" t="s">
        <v>1465</v>
      </c>
      <c r="D87" s="239" t="s">
        <v>2379</v>
      </c>
      <c r="E87" s="254" t="s">
        <v>2373</v>
      </c>
      <c r="F87" s="254" t="s">
        <v>2373</v>
      </c>
      <c r="G87" s="254" t="s">
        <v>2373</v>
      </c>
      <c r="H87" s="239">
        <v>1</v>
      </c>
      <c r="I87" s="1308">
        <v>90000</v>
      </c>
      <c r="J87" s="1308">
        <f>H87*I87</f>
        <v>90000</v>
      </c>
      <c r="K87" s="1315">
        <v>0</v>
      </c>
      <c r="L87" s="1315">
        <f t="shared" si="10"/>
        <v>-90000</v>
      </c>
      <c r="M87" s="1315">
        <v>-90000</v>
      </c>
      <c r="N87" s="1309">
        <v>0</v>
      </c>
    </row>
    <row r="88" spans="1:14" ht="29.1" customHeight="1" outlineLevel="1">
      <c r="A88" s="237"/>
      <c r="B88" s="238" t="s">
        <v>255</v>
      </c>
      <c r="C88" s="239"/>
      <c r="D88" s="239"/>
      <c r="E88" s="254"/>
      <c r="F88" s="254"/>
      <c r="G88" s="254"/>
      <c r="H88" s="239"/>
      <c r="I88" s="1308"/>
      <c r="J88" s="1308">
        <f>SUBTOTAL(9,J87:J87)</f>
        <v>90000</v>
      </c>
      <c r="K88" s="1308">
        <f>SUBTOTAL(9,K87:K87)</f>
        <v>0</v>
      </c>
      <c r="L88" s="1308">
        <f>SUBTOTAL(9,L87:L87)</f>
        <v>-90000</v>
      </c>
      <c r="M88" s="1308">
        <f>SUBTOTAL(9,M87:M87)</f>
        <v>-90000</v>
      </c>
      <c r="N88" s="1308">
        <f>SUBTOTAL(9,N87:N87)</f>
        <v>0</v>
      </c>
    </row>
    <row r="89" spans="1:14" ht="29.1" customHeight="1" outlineLevel="2">
      <c r="A89" s="237" t="s">
        <v>251</v>
      </c>
      <c r="B89" s="239" t="s">
        <v>9</v>
      </c>
      <c r="C89" s="239" t="s">
        <v>1465</v>
      </c>
      <c r="D89" s="239" t="s">
        <v>2379</v>
      </c>
      <c r="E89" s="254" t="s">
        <v>2373</v>
      </c>
      <c r="F89" s="254" t="s">
        <v>2373</v>
      </c>
      <c r="G89" s="254" t="s">
        <v>2373</v>
      </c>
      <c r="H89" s="239">
        <v>1</v>
      </c>
      <c r="I89" s="1308">
        <v>70000</v>
      </c>
      <c r="J89" s="1308">
        <f t="shared" ref="J89:J96" si="11">H89*I89</f>
        <v>70000</v>
      </c>
      <c r="K89" s="1315">
        <v>0</v>
      </c>
      <c r="L89" s="1315">
        <f t="shared" si="10"/>
        <v>-70000</v>
      </c>
      <c r="M89" s="1315"/>
      <c r="N89" s="1309">
        <f t="shared" ref="N89:N106" si="12">K89-J89</f>
        <v>-70000</v>
      </c>
    </row>
    <row r="90" spans="1:14" ht="29.1" customHeight="1" outlineLevel="2">
      <c r="A90" s="237" t="s">
        <v>246</v>
      </c>
      <c r="B90" s="239" t="s">
        <v>9</v>
      </c>
      <c r="C90" s="239" t="s">
        <v>1518</v>
      </c>
      <c r="D90" s="239" t="s">
        <v>2379</v>
      </c>
      <c r="E90" s="254" t="s">
        <v>2373</v>
      </c>
      <c r="F90" s="254" t="s">
        <v>2373</v>
      </c>
      <c r="G90" s="254" t="s">
        <v>2373</v>
      </c>
      <c r="H90" s="239">
        <v>1</v>
      </c>
      <c r="I90" s="1308">
        <v>70000</v>
      </c>
      <c r="J90" s="1308">
        <f t="shared" si="11"/>
        <v>70000</v>
      </c>
      <c r="K90" s="1315">
        <v>0</v>
      </c>
      <c r="L90" s="1315">
        <f t="shared" si="10"/>
        <v>-70000</v>
      </c>
      <c r="M90" s="1315"/>
      <c r="N90" s="1309">
        <f t="shared" si="12"/>
        <v>-70000</v>
      </c>
    </row>
    <row r="91" spans="1:14" ht="29.1" customHeight="1" outlineLevel="2">
      <c r="A91" s="237" t="s">
        <v>250</v>
      </c>
      <c r="B91" s="239" t="s">
        <v>9</v>
      </c>
      <c r="C91" s="239" t="s">
        <v>1465</v>
      </c>
      <c r="D91" s="239" t="s">
        <v>2379</v>
      </c>
      <c r="E91" s="254" t="s">
        <v>2373</v>
      </c>
      <c r="F91" s="254" t="s">
        <v>2373</v>
      </c>
      <c r="G91" s="254" t="s">
        <v>2373</v>
      </c>
      <c r="H91" s="239">
        <v>1</v>
      </c>
      <c r="I91" s="1308">
        <v>90000</v>
      </c>
      <c r="J91" s="1308">
        <f t="shared" si="11"/>
        <v>90000</v>
      </c>
      <c r="K91" s="1315">
        <v>0</v>
      </c>
      <c r="L91" s="1315">
        <f t="shared" si="10"/>
        <v>-90000</v>
      </c>
      <c r="M91" s="1315"/>
      <c r="N91" s="1309">
        <f t="shared" si="12"/>
        <v>-90000</v>
      </c>
    </row>
    <row r="92" spans="1:14" ht="29.1" customHeight="1" outlineLevel="2">
      <c r="A92" s="237" t="s">
        <v>725</v>
      </c>
      <c r="B92" s="239" t="s">
        <v>9</v>
      </c>
      <c r="C92" s="239" t="s">
        <v>1465</v>
      </c>
      <c r="D92" s="239" t="s">
        <v>2379</v>
      </c>
      <c r="E92" s="254" t="s">
        <v>2373</v>
      </c>
      <c r="F92" s="254" t="s">
        <v>2373</v>
      </c>
      <c r="G92" s="254" t="s">
        <v>2373</v>
      </c>
      <c r="H92" s="239">
        <v>1</v>
      </c>
      <c r="I92" s="1308">
        <v>90000</v>
      </c>
      <c r="J92" s="1308">
        <f t="shared" si="11"/>
        <v>90000</v>
      </c>
      <c r="K92" s="1315">
        <v>0</v>
      </c>
      <c r="L92" s="1315">
        <f t="shared" si="10"/>
        <v>-90000</v>
      </c>
      <c r="M92" s="1315"/>
      <c r="N92" s="1309">
        <f t="shared" si="12"/>
        <v>-90000</v>
      </c>
    </row>
    <row r="93" spans="1:14" ht="29.1" customHeight="1" outlineLevel="2">
      <c r="A93" s="237" t="s">
        <v>247</v>
      </c>
      <c r="B93" s="239" t="s">
        <v>9</v>
      </c>
      <c r="C93" s="239" t="s">
        <v>1518</v>
      </c>
      <c r="D93" s="239" t="s">
        <v>2379</v>
      </c>
      <c r="E93" s="254" t="s">
        <v>2373</v>
      </c>
      <c r="F93" s="254" t="s">
        <v>2373</v>
      </c>
      <c r="G93" s="254" t="s">
        <v>2373</v>
      </c>
      <c r="H93" s="239">
        <v>1</v>
      </c>
      <c r="I93" s="1308">
        <v>90000</v>
      </c>
      <c r="J93" s="1308">
        <f t="shared" si="11"/>
        <v>90000</v>
      </c>
      <c r="K93" s="1315">
        <v>0</v>
      </c>
      <c r="L93" s="1315">
        <f t="shared" si="10"/>
        <v>-90000</v>
      </c>
      <c r="M93" s="1315"/>
      <c r="N93" s="1309">
        <f t="shared" si="12"/>
        <v>-90000</v>
      </c>
    </row>
    <row r="94" spans="1:14" ht="29.1" customHeight="1" outlineLevel="2">
      <c r="A94" s="237" t="s">
        <v>245</v>
      </c>
      <c r="B94" s="239" t="s">
        <v>9</v>
      </c>
      <c r="C94" s="239" t="s">
        <v>1518</v>
      </c>
      <c r="D94" s="239" t="s">
        <v>2379</v>
      </c>
      <c r="E94" s="254" t="s">
        <v>2373</v>
      </c>
      <c r="F94" s="254" t="s">
        <v>2373</v>
      </c>
      <c r="G94" s="254" t="s">
        <v>2373</v>
      </c>
      <c r="H94" s="239">
        <v>1</v>
      </c>
      <c r="I94" s="1308">
        <v>90000</v>
      </c>
      <c r="J94" s="1308">
        <f t="shared" si="11"/>
        <v>90000</v>
      </c>
      <c r="K94" s="1315">
        <v>0</v>
      </c>
      <c r="L94" s="1315">
        <f t="shared" si="10"/>
        <v>-90000</v>
      </c>
      <c r="M94" s="1315"/>
      <c r="N94" s="1309">
        <f t="shared" si="12"/>
        <v>-90000</v>
      </c>
    </row>
    <row r="95" spans="1:14" ht="29.1" customHeight="1" outlineLevel="2">
      <c r="A95" s="237" t="s">
        <v>248</v>
      </c>
      <c r="B95" s="239" t="s">
        <v>9</v>
      </c>
      <c r="C95" s="239" t="s">
        <v>3083</v>
      </c>
      <c r="D95" s="239" t="s">
        <v>2379</v>
      </c>
      <c r="E95" s="254" t="s">
        <v>2373</v>
      </c>
      <c r="F95" s="254" t="s">
        <v>2373</v>
      </c>
      <c r="G95" s="254" t="s">
        <v>2373</v>
      </c>
      <c r="H95" s="239">
        <v>1</v>
      </c>
      <c r="I95" s="1308">
        <v>90000</v>
      </c>
      <c r="J95" s="1308">
        <f t="shared" si="11"/>
        <v>90000</v>
      </c>
      <c r="K95" s="1315">
        <v>0</v>
      </c>
      <c r="L95" s="1315">
        <f t="shared" si="10"/>
        <v>-90000</v>
      </c>
      <c r="M95" s="1315"/>
      <c r="N95" s="1309">
        <f t="shared" si="12"/>
        <v>-90000</v>
      </c>
    </row>
    <row r="96" spans="1:14" ht="29.1" customHeight="1" outlineLevel="2">
      <c r="A96" s="237" t="s">
        <v>249</v>
      </c>
      <c r="B96" s="239" t="s">
        <v>9</v>
      </c>
      <c r="C96" s="239" t="s">
        <v>1465</v>
      </c>
      <c r="D96" s="239" t="s">
        <v>2379</v>
      </c>
      <c r="E96" s="254" t="s">
        <v>2373</v>
      </c>
      <c r="F96" s="254" t="s">
        <v>2373</v>
      </c>
      <c r="G96" s="254" t="s">
        <v>2373</v>
      </c>
      <c r="H96" s="239">
        <v>1</v>
      </c>
      <c r="I96" s="1308">
        <v>105000</v>
      </c>
      <c r="J96" s="1308">
        <f t="shared" si="11"/>
        <v>105000</v>
      </c>
      <c r="K96" s="1315">
        <v>0</v>
      </c>
      <c r="L96" s="1315">
        <f t="shared" si="10"/>
        <v>-105000</v>
      </c>
      <c r="M96" s="1315"/>
      <c r="N96" s="1309">
        <f t="shared" si="12"/>
        <v>-105000</v>
      </c>
    </row>
    <row r="97" spans="1:14" ht="29.1" customHeight="1" outlineLevel="2">
      <c r="A97" s="237" t="s">
        <v>246</v>
      </c>
      <c r="B97" s="239" t="s">
        <v>9</v>
      </c>
      <c r="C97" s="239" t="s">
        <v>1518</v>
      </c>
      <c r="D97" s="239" t="s">
        <v>2379</v>
      </c>
      <c r="E97" s="240" t="s">
        <v>1254</v>
      </c>
      <c r="F97" s="240" t="s">
        <v>1254</v>
      </c>
      <c r="G97" s="240" t="s">
        <v>1255</v>
      </c>
      <c r="H97" s="239">
        <v>1</v>
      </c>
      <c r="I97" s="1308">
        <v>500000</v>
      </c>
      <c r="J97" s="1308">
        <v>500000</v>
      </c>
      <c r="K97" s="1315">
        <v>490000</v>
      </c>
      <c r="L97" s="1315">
        <f t="shared" si="10"/>
        <v>-10000</v>
      </c>
      <c r="M97" s="1315"/>
      <c r="N97" s="1309">
        <f t="shared" si="12"/>
        <v>-10000</v>
      </c>
    </row>
    <row r="98" spans="1:14" ht="29.1" customHeight="1" outlineLevel="2">
      <c r="A98" s="237" t="s">
        <v>245</v>
      </c>
      <c r="B98" s="239" t="s">
        <v>9</v>
      </c>
      <c r="C98" s="239" t="s">
        <v>1518</v>
      </c>
      <c r="D98" s="239" t="s">
        <v>2379</v>
      </c>
      <c r="E98" s="240" t="s">
        <v>1254</v>
      </c>
      <c r="F98" s="240" t="s">
        <v>1254</v>
      </c>
      <c r="G98" s="240" t="s">
        <v>1255</v>
      </c>
      <c r="H98" s="239">
        <v>1</v>
      </c>
      <c r="I98" s="1308">
        <v>500000</v>
      </c>
      <c r="J98" s="1308">
        <v>500000</v>
      </c>
      <c r="K98" s="1315">
        <v>540000</v>
      </c>
      <c r="L98" s="1315">
        <f t="shared" si="10"/>
        <v>40000</v>
      </c>
      <c r="M98" s="1315"/>
      <c r="N98" s="1309">
        <f t="shared" si="12"/>
        <v>40000</v>
      </c>
    </row>
    <row r="99" spans="1:14" ht="29.1" customHeight="1" outlineLevel="2">
      <c r="A99" s="237" t="s">
        <v>245</v>
      </c>
      <c r="B99" s="239" t="s">
        <v>9</v>
      </c>
      <c r="C99" s="239" t="s">
        <v>1518</v>
      </c>
      <c r="D99" s="239" t="s">
        <v>2379</v>
      </c>
      <c r="E99" s="1303" t="s">
        <v>1254</v>
      </c>
      <c r="F99" s="1303" t="s">
        <v>3359</v>
      </c>
      <c r="G99" s="1303" t="s">
        <v>3360</v>
      </c>
      <c r="H99" s="239">
        <v>1</v>
      </c>
      <c r="I99" s="1308">
        <v>0</v>
      </c>
      <c r="J99" s="1308">
        <v>0</v>
      </c>
      <c r="K99" s="1315">
        <v>13200</v>
      </c>
      <c r="L99" s="1315">
        <f t="shared" si="10"/>
        <v>13200</v>
      </c>
      <c r="M99" s="1315"/>
      <c r="N99" s="1309">
        <f t="shared" si="12"/>
        <v>13200</v>
      </c>
    </row>
    <row r="100" spans="1:14" ht="29.1" customHeight="1" outlineLevel="2">
      <c r="A100" s="237" t="s">
        <v>247</v>
      </c>
      <c r="B100" s="239" t="s">
        <v>9</v>
      </c>
      <c r="C100" s="239" t="s">
        <v>1518</v>
      </c>
      <c r="D100" s="239" t="s">
        <v>2379</v>
      </c>
      <c r="E100" s="240" t="s">
        <v>1254</v>
      </c>
      <c r="F100" s="240" t="s">
        <v>1254</v>
      </c>
      <c r="G100" s="240" t="s">
        <v>1255</v>
      </c>
      <c r="H100" s="239">
        <v>1</v>
      </c>
      <c r="I100" s="1308">
        <v>500000</v>
      </c>
      <c r="J100" s="1308">
        <v>500000</v>
      </c>
      <c r="K100" s="1315">
        <v>540000</v>
      </c>
      <c r="L100" s="1315">
        <f t="shared" si="10"/>
        <v>40000</v>
      </c>
      <c r="M100" s="1315"/>
      <c r="N100" s="1309">
        <f t="shared" si="12"/>
        <v>40000</v>
      </c>
    </row>
    <row r="101" spans="1:14" s="1304" customFormat="1" ht="29.1" customHeight="1" outlineLevel="2">
      <c r="A101" s="237" t="s">
        <v>248</v>
      </c>
      <c r="B101" s="239" t="s">
        <v>9</v>
      </c>
      <c r="C101" s="239" t="s">
        <v>3083</v>
      </c>
      <c r="D101" s="239" t="s">
        <v>2379</v>
      </c>
      <c r="E101" s="240" t="s">
        <v>1254</v>
      </c>
      <c r="F101" s="240" t="s">
        <v>1254</v>
      </c>
      <c r="G101" s="240" t="s">
        <v>1255</v>
      </c>
      <c r="H101" s="239">
        <v>1</v>
      </c>
      <c r="I101" s="1308">
        <v>500000</v>
      </c>
      <c r="J101" s="1308">
        <v>500000</v>
      </c>
      <c r="K101" s="1315">
        <v>540000</v>
      </c>
      <c r="L101" s="1315">
        <f t="shared" si="10"/>
        <v>40000</v>
      </c>
      <c r="M101" s="1315"/>
      <c r="N101" s="1309">
        <f t="shared" si="12"/>
        <v>40000</v>
      </c>
    </row>
    <row r="102" spans="1:14" ht="29.1" customHeight="1" outlineLevel="2">
      <c r="A102" s="237" t="s">
        <v>248</v>
      </c>
      <c r="B102" s="239" t="s">
        <v>9</v>
      </c>
      <c r="C102" s="239" t="s">
        <v>3083</v>
      </c>
      <c r="D102" s="239" t="s">
        <v>2379</v>
      </c>
      <c r="E102" s="1303" t="s">
        <v>1254</v>
      </c>
      <c r="F102" s="1303" t="s">
        <v>3359</v>
      </c>
      <c r="G102" s="1303" t="s">
        <v>3360</v>
      </c>
      <c r="H102" s="239">
        <v>1</v>
      </c>
      <c r="I102" s="1308">
        <v>0</v>
      </c>
      <c r="J102" s="1308">
        <v>0</v>
      </c>
      <c r="K102" s="1315">
        <v>39000</v>
      </c>
      <c r="L102" s="1315">
        <f t="shared" si="10"/>
        <v>39000</v>
      </c>
      <c r="M102" s="1315"/>
      <c r="N102" s="1309">
        <f t="shared" si="12"/>
        <v>39000</v>
      </c>
    </row>
    <row r="103" spans="1:14" ht="29.1" customHeight="1" outlineLevel="2">
      <c r="A103" s="237" t="s">
        <v>249</v>
      </c>
      <c r="B103" s="239" t="s">
        <v>1665</v>
      </c>
      <c r="C103" s="239" t="s">
        <v>1465</v>
      </c>
      <c r="D103" s="239" t="s">
        <v>3361</v>
      </c>
      <c r="E103" s="1303" t="s">
        <v>1254</v>
      </c>
      <c r="F103" s="1303" t="s">
        <v>3359</v>
      </c>
      <c r="G103" s="1303" t="s">
        <v>3360</v>
      </c>
      <c r="H103" s="239">
        <v>1</v>
      </c>
      <c r="I103" s="1308">
        <v>0</v>
      </c>
      <c r="J103" s="1308">
        <v>0</v>
      </c>
      <c r="K103" s="1315">
        <v>30000</v>
      </c>
      <c r="L103" s="1315">
        <f t="shared" si="10"/>
        <v>30000</v>
      </c>
      <c r="M103" s="1315"/>
      <c r="N103" s="1309">
        <f t="shared" si="12"/>
        <v>30000</v>
      </c>
    </row>
    <row r="104" spans="1:14" ht="29.1" customHeight="1" outlineLevel="2">
      <c r="A104" s="237" t="s">
        <v>250</v>
      </c>
      <c r="B104" s="239" t="s">
        <v>9</v>
      </c>
      <c r="C104" s="239" t="s">
        <v>1465</v>
      </c>
      <c r="D104" s="239" t="s">
        <v>2379</v>
      </c>
      <c r="E104" s="240" t="s">
        <v>1271</v>
      </c>
      <c r="F104" s="240" t="s">
        <v>1272</v>
      </c>
      <c r="G104" s="240" t="s">
        <v>1273</v>
      </c>
      <c r="H104" s="239">
        <v>2</v>
      </c>
      <c r="I104" s="1308">
        <v>200000</v>
      </c>
      <c r="J104" s="1308">
        <v>200000</v>
      </c>
      <c r="K104" s="1315">
        <v>200000</v>
      </c>
      <c r="L104" s="1315">
        <f t="shared" si="10"/>
        <v>0</v>
      </c>
      <c r="M104" s="1315"/>
      <c r="N104" s="1309">
        <f t="shared" si="12"/>
        <v>0</v>
      </c>
    </row>
    <row r="105" spans="1:14" ht="29.1" customHeight="1" outlineLevel="2">
      <c r="A105" s="237" t="s">
        <v>248</v>
      </c>
      <c r="B105" s="239" t="s">
        <v>9</v>
      </c>
      <c r="C105" s="239" t="s">
        <v>3083</v>
      </c>
      <c r="D105" s="239" t="s">
        <v>2379</v>
      </c>
      <c r="E105" s="240" t="s">
        <v>1271</v>
      </c>
      <c r="F105" s="240" t="s">
        <v>1272</v>
      </c>
      <c r="G105" s="240" t="s">
        <v>1273</v>
      </c>
      <c r="H105" s="239">
        <v>3</v>
      </c>
      <c r="I105" s="1308">
        <v>200000</v>
      </c>
      <c r="J105" s="1308">
        <v>200000</v>
      </c>
      <c r="K105" s="1315">
        <v>200000</v>
      </c>
      <c r="L105" s="1315">
        <f t="shared" si="10"/>
        <v>0</v>
      </c>
      <c r="M105" s="1315"/>
      <c r="N105" s="1309">
        <f t="shared" si="12"/>
        <v>0</v>
      </c>
    </row>
    <row r="106" spans="1:14" ht="29.1" customHeight="1" outlineLevel="2">
      <c r="A106" s="237" t="s">
        <v>251</v>
      </c>
      <c r="B106" s="239" t="s">
        <v>9</v>
      </c>
      <c r="C106" s="239" t="s">
        <v>1465</v>
      </c>
      <c r="D106" s="239" t="s">
        <v>2379</v>
      </c>
      <c r="E106" s="240" t="s">
        <v>1271</v>
      </c>
      <c r="F106" s="240" t="s">
        <v>1272</v>
      </c>
      <c r="G106" s="240" t="s">
        <v>1273</v>
      </c>
      <c r="H106" s="239">
        <v>4</v>
      </c>
      <c r="I106" s="1308">
        <v>200000</v>
      </c>
      <c r="J106" s="1308">
        <v>200000</v>
      </c>
      <c r="K106" s="1315">
        <v>200000</v>
      </c>
      <c r="L106" s="1315">
        <f t="shared" si="10"/>
        <v>0</v>
      </c>
      <c r="M106" s="1315"/>
      <c r="N106" s="1309">
        <f t="shared" si="12"/>
        <v>0</v>
      </c>
    </row>
    <row r="107" spans="1:14" ht="29.1" customHeight="1" outlineLevel="1">
      <c r="A107" s="237"/>
      <c r="B107" s="238" t="s">
        <v>261</v>
      </c>
      <c r="C107" s="239"/>
      <c r="D107" s="239"/>
      <c r="E107" s="240"/>
      <c r="F107" s="240"/>
      <c r="G107" s="240"/>
      <c r="H107" s="239"/>
      <c r="I107" s="1308"/>
      <c r="J107" s="1308">
        <f>SUBTOTAL(9,J89:J106)</f>
        <v>3295000</v>
      </c>
      <c r="K107" s="1308">
        <f>SUBTOTAL(9,K89:K106)</f>
        <v>2792200</v>
      </c>
      <c r="L107" s="1308">
        <f>SUBTOTAL(9,L89:L106)</f>
        <v>-502800</v>
      </c>
      <c r="M107" s="1308">
        <f>SUBTOTAL(9,M89:M106)</f>
        <v>0</v>
      </c>
      <c r="N107" s="1308">
        <f>SUBTOTAL(9,N89:N106)</f>
        <v>-502800</v>
      </c>
    </row>
    <row r="108" spans="1:14" ht="29.1" customHeight="1">
      <c r="A108" s="237"/>
      <c r="B108" s="238" t="s">
        <v>252</v>
      </c>
      <c r="C108" s="239"/>
      <c r="D108" s="239"/>
      <c r="E108" s="240"/>
      <c r="F108" s="240"/>
      <c r="G108" s="240"/>
      <c r="H108" s="239"/>
      <c r="I108" s="1308"/>
      <c r="J108" s="1308">
        <f>SUBTOTAL(9,J2:J106)</f>
        <v>19925000</v>
      </c>
      <c r="K108" s="1308">
        <f t="shared" ref="K108:N108" si="13">SUBTOTAL(9,K2:K106)</f>
        <v>15578200</v>
      </c>
      <c r="L108" s="1308">
        <f t="shared" si="13"/>
        <v>-4346800</v>
      </c>
      <c r="M108" s="1308">
        <f t="shared" si="13"/>
        <v>-1585100</v>
      </c>
      <c r="N108" s="1308">
        <f t="shared" si="13"/>
        <v>-2761700</v>
      </c>
    </row>
  </sheetData>
  <autoFilter ref="A3:N107">
    <filterColumn colId="11"/>
    <filterColumn colId="12"/>
  </autoFilter>
  <mergeCells count="14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N3"/>
    <mergeCell ref="A2:N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335"/>
  <sheetViews>
    <sheetView topLeftCell="A268" workbookViewId="0">
      <selection activeCell="J334" sqref="J334"/>
    </sheetView>
  </sheetViews>
  <sheetFormatPr defaultRowHeight="18" customHeight="1" outlineLevelRow="2"/>
  <cols>
    <col min="1" max="1" width="5.875" customWidth="1"/>
    <col min="3" max="3" width="13.25" customWidth="1"/>
    <col min="4" max="4" width="35.875" customWidth="1"/>
    <col min="5" max="5" width="13.75" customWidth="1"/>
    <col min="6" max="6" width="23.125" hidden="1" customWidth="1"/>
    <col min="7" max="7" width="18.375" bestFit="1" customWidth="1"/>
    <col min="8" max="8" width="13.5" style="1329" customWidth="1"/>
    <col min="9" max="9" width="19.75" style="274" customWidth="1"/>
    <col min="10" max="10" width="15.5" style="274" customWidth="1"/>
    <col min="11" max="11" width="19.125" customWidth="1"/>
    <col min="12" max="12" width="16.375" customWidth="1"/>
  </cols>
  <sheetData>
    <row r="1" spans="1:12" s="1316" customFormat="1" ht="24.95" customHeight="1">
      <c r="A1" s="1656" t="s">
        <v>3369</v>
      </c>
      <c r="B1" s="1390"/>
      <c r="C1" s="1390"/>
      <c r="D1" s="1390"/>
      <c r="E1" s="1390"/>
      <c r="F1" s="1390"/>
      <c r="G1" s="1390"/>
      <c r="H1" s="1390"/>
      <c r="I1" s="1390"/>
      <c r="J1" s="1390"/>
      <c r="K1" s="1563"/>
      <c r="L1" s="1563"/>
    </row>
    <row r="2" spans="1:12" s="1317" customFormat="1" ht="20.100000000000001" customHeight="1">
      <c r="A2" s="1652" t="s">
        <v>3078</v>
      </c>
      <c r="B2" s="1657"/>
      <c r="C2" s="1657"/>
      <c r="D2" s="1657"/>
      <c r="E2" s="1657"/>
      <c r="F2" s="1657"/>
      <c r="G2" s="1657"/>
      <c r="H2" s="1657"/>
      <c r="I2" s="1657"/>
      <c r="J2" s="1657"/>
      <c r="K2" s="1657"/>
      <c r="L2" s="1657"/>
    </row>
    <row r="3" spans="1:12" s="308" customFormat="1" ht="52.5" customHeight="1">
      <c r="A3" s="1318" t="s">
        <v>3370</v>
      </c>
      <c r="B3" s="1318" t="s">
        <v>3371</v>
      </c>
      <c r="C3" s="1318" t="s">
        <v>3372</v>
      </c>
      <c r="D3" s="1318" t="s">
        <v>3373</v>
      </c>
      <c r="E3" s="1318" t="s">
        <v>3374</v>
      </c>
      <c r="F3" s="1318" t="s">
        <v>3375</v>
      </c>
      <c r="G3" s="1318" t="s">
        <v>3376</v>
      </c>
      <c r="H3" s="1319" t="s">
        <v>3377</v>
      </c>
      <c r="I3" s="1320" t="s">
        <v>3378</v>
      </c>
      <c r="J3" s="1320" t="s">
        <v>3379</v>
      </c>
      <c r="K3" s="1321" t="s">
        <v>3380</v>
      </c>
      <c r="L3" s="1320" t="s">
        <v>3381</v>
      </c>
    </row>
    <row r="4" spans="1:12" ht="18" customHeight="1" outlineLevel="2">
      <c r="A4" s="1318">
        <v>1</v>
      </c>
      <c r="B4" s="1318" t="s">
        <v>3382</v>
      </c>
      <c r="C4" s="1318" t="s">
        <v>3081</v>
      </c>
      <c r="D4" s="1318" t="s">
        <v>1050</v>
      </c>
      <c r="E4" s="1318" t="s">
        <v>9</v>
      </c>
      <c r="F4" s="1322" t="s">
        <v>3383</v>
      </c>
      <c r="G4" s="1318" t="s">
        <v>3384</v>
      </c>
      <c r="H4" s="1319">
        <f>ROUND(232297.1,0)</f>
        <v>232297</v>
      </c>
      <c r="I4" s="1653">
        <v>3628920.96</v>
      </c>
      <c r="J4" s="1653">
        <f>H42-I4</f>
        <v>2803877.04</v>
      </c>
      <c r="K4" s="1653">
        <v>0</v>
      </c>
      <c r="L4" s="1653">
        <f>J4-K4</f>
        <v>2803877.04</v>
      </c>
    </row>
    <row r="5" spans="1:12" ht="18" customHeight="1" outlineLevel="2">
      <c r="A5" s="1318">
        <v>2</v>
      </c>
      <c r="B5" s="1318" t="s">
        <v>3385</v>
      </c>
      <c r="C5" s="1318" t="s">
        <v>3081</v>
      </c>
      <c r="D5" s="1318" t="s">
        <v>719</v>
      </c>
      <c r="E5" s="1318" t="s">
        <v>9</v>
      </c>
      <c r="F5" s="1322" t="s">
        <v>3386</v>
      </c>
      <c r="G5" s="1318" t="s">
        <v>3387</v>
      </c>
      <c r="H5" s="1323">
        <f>ROUND(232297.1/12*5,0)</f>
        <v>96790</v>
      </c>
      <c r="I5" s="1654"/>
      <c r="J5" s="1654"/>
      <c r="K5" s="1654"/>
      <c r="L5" s="1654"/>
    </row>
    <row r="6" spans="1:12" ht="18" customHeight="1" outlineLevel="2">
      <c r="A6" s="1318">
        <v>3</v>
      </c>
      <c r="B6" s="1318" t="s">
        <v>3388</v>
      </c>
      <c r="C6" s="1318" t="s">
        <v>3081</v>
      </c>
      <c r="D6" s="1318" t="s">
        <v>719</v>
      </c>
      <c r="E6" s="1318" t="s">
        <v>9</v>
      </c>
      <c r="F6" s="1322" t="s">
        <v>3389</v>
      </c>
      <c r="G6" s="1318" t="s">
        <v>3387</v>
      </c>
      <c r="H6" s="1323">
        <f>ROUND(232297.1/12*5,0)</f>
        <v>96790</v>
      </c>
      <c r="I6" s="1654"/>
      <c r="J6" s="1654"/>
      <c r="K6" s="1654"/>
      <c r="L6" s="1654"/>
    </row>
    <row r="7" spans="1:12" ht="18" customHeight="1" outlineLevel="2">
      <c r="A7" s="1318">
        <v>4</v>
      </c>
      <c r="B7" s="1318" t="s">
        <v>3390</v>
      </c>
      <c r="C7" s="1318" t="s">
        <v>3081</v>
      </c>
      <c r="D7" s="1318" t="s">
        <v>1048</v>
      </c>
      <c r="E7" s="1318" t="s">
        <v>9</v>
      </c>
      <c r="F7" s="1322" t="s">
        <v>3391</v>
      </c>
      <c r="G7" s="1318" t="s">
        <v>3384</v>
      </c>
      <c r="H7" s="1319">
        <f>ROUND(232297.1,0)</f>
        <v>232297</v>
      </c>
      <c r="I7" s="1654"/>
      <c r="J7" s="1654"/>
      <c r="K7" s="1654"/>
      <c r="L7" s="1654"/>
    </row>
    <row r="8" spans="1:12" ht="18" customHeight="1" outlineLevel="2">
      <c r="A8" s="1318">
        <v>5</v>
      </c>
      <c r="B8" s="1318" t="s">
        <v>3392</v>
      </c>
      <c r="C8" s="1318" t="s">
        <v>3081</v>
      </c>
      <c r="D8" s="1318" t="s">
        <v>1048</v>
      </c>
      <c r="E8" s="1318" t="s">
        <v>9</v>
      </c>
      <c r="F8" s="1322" t="s">
        <v>3393</v>
      </c>
      <c r="G8" s="1318" t="s">
        <v>3387</v>
      </c>
      <c r="H8" s="1323">
        <f t="shared" ref="H8:H9" si="0">ROUND(232297.1/12*5,0)</f>
        <v>96790</v>
      </c>
      <c r="I8" s="1654"/>
      <c r="J8" s="1654"/>
      <c r="K8" s="1654"/>
      <c r="L8" s="1654"/>
    </row>
    <row r="9" spans="1:12" ht="18" customHeight="1" outlineLevel="2">
      <c r="A9" s="1318">
        <v>6</v>
      </c>
      <c r="B9" s="1318" t="s">
        <v>3394</v>
      </c>
      <c r="C9" s="1318" t="s">
        <v>3081</v>
      </c>
      <c r="D9" s="1318" t="s">
        <v>1048</v>
      </c>
      <c r="E9" s="1318" t="s">
        <v>9</v>
      </c>
      <c r="F9" s="1322" t="s">
        <v>3395</v>
      </c>
      <c r="G9" s="1318" t="s">
        <v>3387</v>
      </c>
      <c r="H9" s="1323">
        <f t="shared" si="0"/>
        <v>96790</v>
      </c>
      <c r="I9" s="1654"/>
      <c r="J9" s="1654"/>
      <c r="K9" s="1654"/>
      <c r="L9" s="1654"/>
    </row>
    <row r="10" spans="1:12" ht="18" customHeight="1" outlineLevel="2">
      <c r="A10" s="1318">
        <v>7</v>
      </c>
      <c r="B10" s="1322" t="s">
        <v>3396</v>
      </c>
      <c r="C10" s="1318" t="s">
        <v>1465</v>
      </c>
      <c r="D10" s="1322" t="s">
        <v>249</v>
      </c>
      <c r="E10" s="1318" t="s">
        <v>9</v>
      </c>
      <c r="F10" s="1322" t="s">
        <v>3397</v>
      </c>
      <c r="G10" s="1318" t="s">
        <v>3384</v>
      </c>
      <c r="H10" s="1319">
        <f>ROUND(254991.7,0)</f>
        <v>254992</v>
      </c>
      <c r="I10" s="1654"/>
      <c r="J10" s="1654"/>
      <c r="K10" s="1654"/>
      <c r="L10" s="1654"/>
    </row>
    <row r="11" spans="1:12" ht="18" customHeight="1" outlineLevel="2">
      <c r="A11" s="1318">
        <v>8</v>
      </c>
      <c r="B11" s="1322" t="s">
        <v>3398</v>
      </c>
      <c r="C11" s="1318" t="s">
        <v>1465</v>
      </c>
      <c r="D11" s="1322" t="s">
        <v>249</v>
      </c>
      <c r="E11" s="1318" t="s">
        <v>9</v>
      </c>
      <c r="F11" s="1322" t="s">
        <v>3399</v>
      </c>
      <c r="G11" s="1318" t="s">
        <v>3384</v>
      </c>
      <c r="H11" s="1319">
        <f t="shared" ref="H11:H12" si="1">ROUND(254991.7,0)</f>
        <v>254992</v>
      </c>
      <c r="I11" s="1654"/>
      <c r="J11" s="1654"/>
      <c r="K11" s="1654"/>
      <c r="L11" s="1654"/>
    </row>
    <row r="12" spans="1:12" ht="18" customHeight="1" outlineLevel="2">
      <c r="A12" s="1318">
        <v>9</v>
      </c>
      <c r="B12" s="1322" t="s">
        <v>3400</v>
      </c>
      <c r="C12" s="1318" t="s">
        <v>1465</v>
      </c>
      <c r="D12" s="1322" t="s">
        <v>249</v>
      </c>
      <c r="E12" s="1318" t="s">
        <v>9</v>
      </c>
      <c r="F12" s="1322" t="s">
        <v>3401</v>
      </c>
      <c r="G12" s="1318" t="s">
        <v>3384</v>
      </c>
      <c r="H12" s="1319">
        <f t="shared" si="1"/>
        <v>254992</v>
      </c>
      <c r="I12" s="1654"/>
      <c r="J12" s="1654"/>
      <c r="K12" s="1654"/>
      <c r="L12" s="1654"/>
    </row>
    <row r="13" spans="1:12" ht="18" customHeight="1" outlineLevel="2">
      <c r="A13" s="1318">
        <v>10</v>
      </c>
      <c r="B13" s="1322" t="s">
        <v>3402</v>
      </c>
      <c r="C13" s="1318" t="s">
        <v>1465</v>
      </c>
      <c r="D13" s="1322" t="s">
        <v>249</v>
      </c>
      <c r="E13" s="1318" t="s">
        <v>9</v>
      </c>
      <c r="F13" s="1322" t="s">
        <v>3403</v>
      </c>
      <c r="G13" s="1318" t="s">
        <v>3387</v>
      </c>
      <c r="H13" s="1323">
        <f>ROUND(254991.7/12*5,0)</f>
        <v>106247</v>
      </c>
      <c r="I13" s="1654"/>
      <c r="J13" s="1654"/>
      <c r="K13" s="1654"/>
      <c r="L13" s="1654"/>
    </row>
    <row r="14" spans="1:12" ht="18" customHeight="1" outlineLevel="2">
      <c r="A14" s="1318">
        <v>11</v>
      </c>
      <c r="B14" s="1322" t="s">
        <v>3404</v>
      </c>
      <c r="C14" s="1318" t="s">
        <v>1465</v>
      </c>
      <c r="D14" s="1322" t="s">
        <v>249</v>
      </c>
      <c r="E14" s="1318" t="s">
        <v>9</v>
      </c>
      <c r="F14" s="1322" t="s">
        <v>3405</v>
      </c>
      <c r="G14" s="1318" t="s">
        <v>3387</v>
      </c>
      <c r="H14" s="1323">
        <f t="shared" ref="H14:H17" si="2">ROUND(254991.7/12*5,0)</f>
        <v>106247</v>
      </c>
      <c r="I14" s="1654"/>
      <c r="J14" s="1654"/>
      <c r="K14" s="1654"/>
      <c r="L14" s="1654"/>
    </row>
    <row r="15" spans="1:12" ht="18" customHeight="1" outlineLevel="2">
      <c r="A15" s="1318">
        <v>12</v>
      </c>
      <c r="B15" s="1322" t="s">
        <v>3406</v>
      </c>
      <c r="C15" s="1318" t="s">
        <v>1465</v>
      </c>
      <c r="D15" s="1322" t="s">
        <v>249</v>
      </c>
      <c r="E15" s="1318" t="s">
        <v>9</v>
      </c>
      <c r="F15" s="1322" t="s">
        <v>3407</v>
      </c>
      <c r="G15" s="1318" t="s">
        <v>3387</v>
      </c>
      <c r="H15" s="1323">
        <f t="shared" si="2"/>
        <v>106247</v>
      </c>
      <c r="I15" s="1654"/>
      <c r="J15" s="1654"/>
      <c r="K15" s="1654"/>
      <c r="L15" s="1654"/>
    </row>
    <row r="16" spans="1:12" ht="18" customHeight="1" outlineLevel="2">
      <c r="A16" s="1318">
        <v>13</v>
      </c>
      <c r="B16" s="1322" t="s">
        <v>3408</v>
      </c>
      <c r="C16" s="1318" t="s">
        <v>1465</v>
      </c>
      <c r="D16" s="1322" t="s">
        <v>249</v>
      </c>
      <c r="E16" s="1318" t="s">
        <v>9</v>
      </c>
      <c r="F16" s="1322" t="s">
        <v>3409</v>
      </c>
      <c r="G16" s="1318" t="s">
        <v>3387</v>
      </c>
      <c r="H16" s="1323">
        <f t="shared" si="2"/>
        <v>106247</v>
      </c>
      <c r="I16" s="1654"/>
      <c r="J16" s="1654"/>
      <c r="K16" s="1654"/>
      <c r="L16" s="1654"/>
    </row>
    <row r="17" spans="1:12" ht="18" customHeight="1" outlineLevel="2">
      <c r="A17" s="1318">
        <v>14</v>
      </c>
      <c r="B17" s="1322" t="s">
        <v>3410</v>
      </c>
      <c r="C17" s="1318" t="s">
        <v>1465</v>
      </c>
      <c r="D17" s="1322" t="s">
        <v>249</v>
      </c>
      <c r="E17" s="1318" t="s">
        <v>9</v>
      </c>
      <c r="F17" s="1322" t="s">
        <v>3411</v>
      </c>
      <c r="G17" s="1318" t="s">
        <v>3387</v>
      </c>
      <c r="H17" s="1323">
        <f t="shared" si="2"/>
        <v>106247</v>
      </c>
      <c r="I17" s="1654"/>
      <c r="J17" s="1654"/>
      <c r="K17" s="1654"/>
      <c r="L17" s="1654"/>
    </row>
    <row r="18" spans="1:12" ht="18" customHeight="1" outlineLevel="2">
      <c r="A18" s="1318">
        <v>15</v>
      </c>
      <c r="B18" s="1322" t="s">
        <v>3412</v>
      </c>
      <c r="C18" s="1318" t="s">
        <v>958</v>
      </c>
      <c r="D18" s="1322" t="s">
        <v>248</v>
      </c>
      <c r="E18" s="1318" t="s">
        <v>9</v>
      </c>
      <c r="F18" s="1322" t="s">
        <v>3413</v>
      </c>
      <c r="G18" s="1318" t="s">
        <v>3384</v>
      </c>
      <c r="H18" s="1319">
        <f>ROUND(254991.7,0)</f>
        <v>254992</v>
      </c>
      <c r="I18" s="1654"/>
      <c r="J18" s="1654"/>
      <c r="K18" s="1654"/>
      <c r="L18" s="1654"/>
    </row>
    <row r="19" spans="1:12" ht="18" customHeight="1" outlineLevel="2">
      <c r="A19" s="1318">
        <v>16</v>
      </c>
      <c r="B19" s="1322" t="s">
        <v>3414</v>
      </c>
      <c r="C19" s="1318" t="s">
        <v>1465</v>
      </c>
      <c r="D19" s="1322" t="s">
        <v>251</v>
      </c>
      <c r="E19" s="1318" t="s">
        <v>9</v>
      </c>
      <c r="F19" s="1322" t="s">
        <v>3415</v>
      </c>
      <c r="G19" s="1318" t="s">
        <v>3384</v>
      </c>
      <c r="H19" s="1319">
        <f t="shared" ref="H19:H20" si="3">ROUND(254991.7,0)</f>
        <v>254992</v>
      </c>
      <c r="I19" s="1654"/>
      <c r="J19" s="1654"/>
      <c r="K19" s="1654"/>
      <c r="L19" s="1654"/>
    </row>
    <row r="20" spans="1:12" ht="18" customHeight="1" outlineLevel="2">
      <c r="A20" s="1318">
        <v>17</v>
      </c>
      <c r="B20" s="1322" t="s">
        <v>3416</v>
      </c>
      <c r="C20" s="1318" t="s">
        <v>1465</v>
      </c>
      <c r="D20" s="1322" t="s">
        <v>251</v>
      </c>
      <c r="E20" s="1318" t="s">
        <v>9</v>
      </c>
      <c r="F20" s="1322" t="s">
        <v>3417</v>
      </c>
      <c r="G20" s="1318" t="s">
        <v>3384</v>
      </c>
      <c r="H20" s="1319">
        <f t="shared" si="3"/>
        <v>254992</v>
      </c>
      <c r="I20" s="1654"/>
      <c r="J20" s="1654"/>
      <c r="K20" s="1654"/>
      <c r="L20" s="1654"/>
    </row>
    <row r="21" spans="1:12" ht="18" customHeight="1" outlineLevel="2">
      <c r="A21" s="1318">
        <v>18</v>
      </c>
      <c r="B21" s="1322" t="s">
        <v>3418</v>
      </c>
      <c r="C21" s="1318" t="s">
        <v>962</v>
      </c>
      <c r="D21" s="1322" t="s">
        <v>247</v>
      </c>
      <c r="E21" s="1318" t="s">
        <v>9</v>
      </c>
      <c r="F21" s="1322" t="s">
        <v>3419</v>
      </c>
      <c r="G21" s="1318" t="s">
        <v>3384</v>
      </c>
      <c r="H21" s="1319">
        <f>ROUND(285394,0)</f>
        <v>285394</v>
      </c>
      <c r="I21" s="1654"/>
      <c r="J21" s="1654"/>
      <c r="K21" s="1654"/>
      <c r="L21" s="1654"/>
    </row>
    <row r="22" spans="1:12" ht="18" customHeight="1" outlineLevel="2">
      <c r="A22" s="1318">
        <v>19</v>
      </c>
      <c r="B22" s="1322" t="s">
        <v>3420</v>
      </c>
      <c r="C22" s="1318" t="s">
        <v>962</v>
      </c>
      <c r="D22" s="1322" t="s">
        <v>247</v>
      </c>
      <c r="E22" s="1318" t="s">
        <v>9</v>
      </c>
      <c r="F22" s="1322" t="s">
        <v>3421</v>
      </c>
      <c r="G22" s="1318" t="s">
        <v>3384</v>
      </c>
      <c r="H22" s="1319">
        <f t="shared" ref="H22:H23" si="4">ROUND(285394,0)</f>
        <v>285394</v>
      </c>
      <c r="I22" s="1654"/>
      <c r="J22" s="1654"/>
      <c r="K22" s="1654"/>
      <c r="L22" s="1654"/>
    </row>
    <row r="23" spans="1:12" ht="18" customHeight="1" outlineLevel="2">
      <c r="A23" s="1318">
        <v>20</v>
      </c>
      <c r="B23" s="1322" t="s">
        <v>3422</v>
      </c>
      <c r="C23" s="1318" t="s">
        <v>962</v>
      </c>
      <c r="D23" s="1322" t="s">
        <v>247</v>
      </c>
      <c r="E23" s="1318" t="s">
        <v>9</v>
      </c>
      <c r="F23" s="1322" t="s">
        <v>3423</v>
      </c>
      <c r="G23" s="1318" t="s">
        <v>3384</v>
      </c>
      <c r="H23" s="1319">
        <f t="shared" si="4"/>
        <v>285394</v>
      </c>
      <c r="I23" s="1654"/>
      <c r="J23" s="1654"/>
      <c r="K23" s="1654"/>
      <c r="L23" s="1654"/>
    </row>
    <row r="24" spans="1:12" ht="18" customHeight="1" outlineLevel="2">
      <c r="A24" s="1318">
        <v>21</v>
      </c>
      <c r="B24" s="1322" t="s">
        <v>3424</v>
      </c>
      <c r="C24" s="1318" t="s">
        <v>962</v>
      </c>
      <c r="D24" s="1322" t="s">
        <v>247</v>
      </c>
      <c r="E24" s="1318" t="s">
        <v>9</v>
      </c>
      <c r="F24" s="1322" t="s">
        <v>3425</v>
      </c>
      <c r="G24" s="1318" t="s">
        <v>3387</v>
      </c>
      <c r="H24" s="1323">
        <f>ROUND(285394/12*5,0)</f>
        <v>118914</v>
      </c>
      <c r="I24" s="1654"/>
      <c r="J24" s="1654"/>
      <c r="K24" s="1654"/>
      <c r="L24" s="1654"/>
    </row>
    <row r="25" spans="1:12" ht="18" customHeight="1" outlineLevel="2">
      <c r="A25" s="1318">
        <v>22</v>
      </c>
      <c r="B25" s="1322" t="s">
        <v>3426</v>
      </c>
      <c r="C25" s="1318" t="s">
        <v>962</v>
      </c>
      <c r="D25" s="1322" t="s">
        <v>247</v>
      </c>
      <c r="E25" s="1318" t="s">
        <v>9</v>
      </c>
      <c r="F25" s="1322" t="s">
        <v>3427</v>
      </c>
      <c r="G25" s="1318" t="s">
        <v>3387</v>
      </c>
      <c r="H25" s="1323">
        <f t="shared" ref="H25:H30" si="5">ROUND(285394/12*5,0)</f>
        <v>118914</v>
      </c>
      <c r="I25" s="1654"/>
      <c r="J25" s="1654"/>
      <c r="K25" s="1654"/>
      <c r="L25" s="1654"/>
    </row>
    <row r="26" spans="1:12" ht="18" customHeight="1" outlineLevel="2">
      <c r="A26" s="1318">
        <v>23</v>
      </c>
      <c r="B26" s="1322" t="s">
        <v>3428</v>
      </c>
      <c r="C26" s="1318" t="s">
        <v>962</v>
      </c>
      <c r="D26" s="1322" t="s">
        <v>247</v>
      </c>
      <c r="E26" s="1318" t="s">
        <v>9</v>
      </c>
      <c r="F26" s="1322" t="s">
        <v>3429</v>
      </c>
      <c r="G26" s="1318" t="s">
        <v>3387</v>
      </c>
      <c r="H26" s="1323">
        <f t="shared" si="5"/>
        <v>118914</v>
      </c>
      <c r="I26" s="1654"/>
      <c r="J26" s="1654"/>
      <c r="K26" s="1654"/>
      <c r="L26" s="1654"/>
    </row>
    <row r="27" spans="1:12" ht="18" customHeight="1" outlineLevel="2">
      <c r="A27" s="1318">
        <v>24</v>
      </c>
      <c r="B27" s="1322" t="s">
        <v>3430</v>
      </c>
      <c r="C27" s="1318" t="s">
        <v>962</v>
      </c>
      <c r="D27" s="1322" t="s">
        <v>247</v>
      </c>
      <c r="E27" s="1318" t="s">
        <v>9</v>
      </c>
      <c r="F27" s="1322" t="s">
        <v>3431</v>
      </c>
      <c r="G27" s="1318" t="s">
        <v>3387</v>
      </c>
      <c r="H27" s="1323">
        <f t="shared" si="5"/>
        <v>118914</v>
      </c>
      <c r="I27" s="1654"/>
      <c r="J27" s="1654"/>
      <c r="K27" s="1654"/>
      <c r="L27" s="1654"/>
    </row>
    <row r="28" spans="1:12" ht="18" customHeight="1" outlineLevel="2">
      <c r="A28" s="1318">
        <v>25</v>
      </c>
      <c r="B28" s="1322" t="s">
        <v>3432</v>
      </c>
      <c r="C28" s="1318" t="s">
        <v>962</v>
      </c>
      <c r="D28" s="1322" t="s">
        <v>247</v>
      </c>
      <c r="E28" s="1318" t="s">
        <v>9</v>
      </c>
      <c r="F28" s="1322" t="s">
        <v>3433</v>
      </c>
      <c r="G28" s="1318" t="s">
        <v>3387</v>
      </c>
      <c r="H28" s="1323">
        <f t="shared" si="5"/>
        <v>118914</v>
      </c>
      <c r="I28" s="1654"/>
      <c r="J28" s="1654"/>
      <c r="K28" s="1654"/>
      <c r="L28" s="1654"/>
    </row>
    <row r="29" spans="1:12" ht="18" customHeight="1" outlineLevel="2">
      <c r="A29" s="1318">
        <v>26</v>
      </c>
      <c r="B29" s="1322" t="s">
        <v>3434</v>
      </c>
      <c r="C29" s="1318" t="s">
        <v>962</v>
      </c>
      <c r="D29" s="1322" t="s">
        <v>247</v>
      </c>
      <c r="E29" s="1318" t="s">
        <v>9</v>
      </c>
      <c r="F29" s="1322" t="s">
        <v>3435</v>
      </c>
      <c r="G29" s="1318" t="s">
        <v>3387</v>
      </c>
      <c r="H29" s="1323">
        <f t="shared" si="5"/>
        <v>118914</v>
      </c>
      <c r="I29" s="1654"/>
      <c r="J29" s="1654"/>
      <c r="K29" s="1654"/>
      <c r="L29" s="1654"/>
    </row>
    <row r="30" spans="1:12" ht="18" customHeight="1" outlineLevel="2">
      <c r="A30" s="1318">
        <v>27</v>
      </c>
      <c r="B30" s="1322" t="s">
        <v>3436</v>
      </c>
      <c r="C30" s="1318" t="s">
        <v>962</v>
      </c>
      <c r="D30" s="1322" t="s">
        <v>247</v>
      </c>
      <c r="E30" s="1318" t="s">
        <v>9</v>
      </c>
      <c r="F30" s="1322" t="s">
        <v>3437</v>
      </c>
      <c r="G30" s="1318" t="s">
        <v>3387</v>
      </c>
      <c r="H30" s="1323">
        <f t="shared" si="5"/>
        <v>118914</v>
      </c>
      <c r="I30" s="1654"/>
      <c r="J30" s="1654"/>
      <c r="K30" s="1654"/>
      <c r="L30" s="1654"/>
    </row>
    <row r="31" spans="1:12" ht="18" customHeight="1" outlineLevel="2">
      <c r="A31" s="1318">
        <v>28</v>
      </c>
      <c r="B31" s="1322" t="s">
        <v>3438</v>
      </c>
      <c r="C31" s="1318" t="s">
        <v>958</v>
      </c>
      <c r="D31" s="1322" t="s">
        <v>248</v>
      </c>
      <c r="E31" s="1318" t="s">
        <v>9</v>
      </c>
      <c r="F31" s="1322" t="s">
        <v>3439</v>
      </c>
      <c r="G31" s="1318" t="s">
        <v>3384</v>
      </c>
      <c r="H31" s="1319">
        <v>285394</v>
      </c>
      <c r="I31" s="1654"/>
      <c r="J31" s="1654"/>
      <c r="K31" s="1654"/>
      <c r="L31" s="1654"/>
    </row>
    <row r="32" spans="1:12" ht="18" customHeight="1" outlineLevel="2">
      <c r="A32" s="1318">
        <v>29</v>
      </c>
      <c r="B32" s="1322" t="s">
        <v>3440</v>
      </c>
      <c r="C32" s="1318" t="s">
        <v>958</v>
      </c>
      <c r="D32" s="1322" t="s">
        <v>248</v>
      </c>
      <c r="E32" s="1318" t="s">
        <v>9</v>
      </c>
      <c r="F32" s="1322" t="s">
        <v>3441</v>
      </c>
      <c r="G32" s="1318" t="s">
        <v>3384</v>
      </c>
      <c r="H32" s="1319">
        <v>285394</v>
      </c>
      <c r="I32" s="1654"/>
      <c r="J32" s="1654"/>
      <c r="K32" s="1654"/>
      <c r="L32" s="1654"/>
    </row>
    <row r="33" spans="1:12" ht="18" customHeight="1" outlineLevel="2">
      <c r="A33" s="1318">
        <v>30</v>
      </c>
      <c r="B33" s="1322" t="s">
        <v>3442</v>
      </c>
      <c r="C33" s="1318" t="s">
        <v>962</v>
      </c>
      <c r="D33" s="1322" t="s">
        <v>246</v>
      </c>
      <c r="E33" s="1318" t="s">
        <v>9</v>
      </c>
      <c r="F33" s="1322" t="s">
        <v>3443</v>
      </c>
      <c r="G33" s="1318" t="s">
        <v>3387</v>
      </c>
      <c r="H33" s="1323">
        <f t="shared" ref="H33:H34" si="6">ROUND(285394/12*5,0)</f>
        <v>118914</v>
      </c>
      <c r="I33" s="1654"/>
      <c r="J33" s="1654"/>
      <c r="K33" s="1654"/>
      <c r="L33" s="1654"/>
    </row>
    <row r="34" spans="1:12" ht="18" customHeight="1" outlineLevel="2">
      <c r="A34" s="1318">
        <v>31</v>
      </c>
      <c r="B34" s="1322" t="s">
        <v>3444</v>
      </c>
      <c r="C34" s="1318" t="s">
        <v>962</v>
      </c>
      <c r="D34" s="1322" t="s">
        <v>246</v>
      </c>
      <c r="E34" s="1318" t="s">
        <v>9</v>
      </c>
      <c r="F34" s="1322" t="s">
        <v>3445</v>
      </c>
      <c r="G34" s="1318" t="s">
        <v>3387</v>
      </c>
      <c r="H34" s="1323">
        <f t="shared" si="6"/>
        <v>118914</v>
      </c>
      <c r="I34" s="1654"/>
      <c r="J34" s="1654"/>
      <c r="K34" s="1654"/>
      <c r="L34" s="1654"/>
    </row>
    <row r="35" spans="1:12" ht="18" customHeight="1" outlineLevel="2">
      <c r="A35" s="1318">
        <v>32</v>
      </c>
      <c r="B35" s="1322" t="s">
        <v>3446</v>
      </c>
      <c r="C35" s="1318" t="s">
        <v>962</v>
      </c>
      <c r="D35" s="1322" t="s">
        <v>245</v>
      </c>
      <c r="E35" s="1318" t="s">
        <v>9</v>
      </c>
      <c r="F35" s="1322" t="s">
        <v>3447</v>
      </c>
      <c r="G35" s="1318" t="s">
        <v>3384</v>
      </c>
      <c r="H35" s="1319">
        <v>285394</v>
      </c>
      <c r="I35" s="1654"/>
      <c r="J35" s="1654"/>
      <c r="K35" s="1654"/>
      <c r="L35" s="1654"/>
    </row>
    <row r="36" spans="1:12" ht="18" customHeight="1" outlineLevel="2">
      <c r="A36" s="1318">
        <v>33</v>
      </c>
      <c r="B36" s="1322" t="s">
        <v>3448</v>
      </c>
      <c r="C36" s="1318" t="s">
        <v>962</v>
      </c>
      <c r="D36" s="1322" t="s">
        <v>245</v>
      </c>
      <c r="E36" s="1318" t="s">
        <v>9</v>
      </c>
      <c r="F36" s="1322" t="s">
        <v>3449</v>
      </c>
      <c r="G36" s="1318" t="s">
        <v>3387</v>
      </c>
      <c r="H36" s="1323">
        <f t="shared" ref="H36:H40" si="7">ROUND(285394/12*5,0)</f>
        <v>118914</v>
      </c>
      <c r="I36" s="1654"/>
      <c r="J36" s="1654"/>
      <c r="K36" s="1654"/>
      <c r="L36" s="1654"/>
    </row>
    <row r="37" spans="1:12" ht="18" customHeight="1" outlineLevel="2">
      <c r="A37" s="1318">
        <v>34</v>
      </c>
      <c r="B37" s="1322" t="s">
        <v>3450</v>
      </c>
      <c r="C37" s="1318" t="s">
        <v>962</v>
      </c>
      <c r="D37" s="1322" t="s">
        <v>245</v>
      </c>
      <c r="E37" s="1318" t="s">
        <v>9</v>
      </c>
      <c r="F37" s="1322" t="s">
        <v>3451</v>
      </c>
      <c r="G37" s="1318" t="s">
        <v>3387</v>
      </c>
      <c r="H37" s="1323">
        <f t="shared" si="7"/>
        <v>118914</v>
      </c>
      <c r="I37" s="1654"/>
      <c r="J37" s="1654"/>
      <c r="K37" s="1654"/>
      <c r="L37" s="1654"/>
    </row>
    <row r="38" spans="1:12" ht="18" customHeight="1" outlineLevel="2">
      <c r="A38" s="1318">
        <v>35</v>
      </c>
      <c r="B38" s="1322" t="s">
        <v>3452</v>
      </c>
      <c r="C38" s="1318" t="s">
        <v>962</v>
      </c>
      <c r="D38" s="1322" t="s">
        <v>245</v>
      </c>
      <c r="E38" s="1318" t="s">
        <v>9</v>
      </c>
      <c r="F38" s="1322" t="s">
        <v>3453</v>
      </c>
      <c r="G38" s="1318" t="s">
        <v>3387</v>
      </c>
      <c r="H38" s="1323">
        <f t="shared" si="7"/>
        <v>118914</v>
      </c>
      <c r="I38" s="1654"/>
      <c r="J38" s="1654"/>
      <c r="K38" s="1654"/>
      <c r="L38" s="1654"/>
    </row>
    <row r="39" spans="1:12" ht="18" customHeight="1" outlineLevel="2">
      <c r="A39" s="1318">
        <v>36</v>
      </c>
      <c r="B39" s="1322" t="s">
        <v>3454</v>
      </c>
      <c r="C39" s="1318" t="s">
        <v>962</v>
      </c>
      <c r="D39" s="1322" t="s">
        <v>245</v>
      </c>
      <c r="E39" s="1318" t="s">
        <v>9</v>
      </c>
      <c r="F39" s="1322" t="s">
        <v>3455</v>
      </c>
      <c r="G39" s="1318" t="s">
        <v>3387</v>
      </c>
      <c r="H39" s="1323">
        <f t="shared" si="7"/>
        <v>118914</v>
      </c>
      <c r="I39" s="1654"/>
      <c r="J39" s="1654"/>
      <c r="K39" s="1654"/>
      <c r="L39" s="1654"/>
    </row>
    <row r="40" spans="1:12" ht="18" customHeight="1" outlineLevel="2">
      <c r="A40" s="1318">
        <v>37</v>
      </c>
      <c r="B40" s="1322" t="s">
        <v>3456</v>
      </c>
      <c r="C40" s="1322" t="s">
        <v>568</v>
      </c>
      <c r="D40" s="1322" t="s">
        <v>246</v>
      </c>
      <c r="E40" s="1318" t="s">
        <v>9</v>
      </c>
      <c r="F40" s="1322" t="s">
        <v>3457</v>
      </c>
      <c r="G40" s="1318" t="s">
        <v>3387</v>
      </c>
      <c r="H40" s="1323">
        <f t="shared" si="7"/>
        <v>118914</v>
      </c>
      <c r="I40" s="1654"/>
      <c r="J40" s="1654"/>
      <c r="K40" s="1654"/>
      <c r="L40" s="1654"/>
    </row>
    <row r="41" spans="1:12" ht="18" customHeight="1" outlineLevel="2">
      <c r="A41" s="1318">
        <v>38</v>
      </c>
      <c r="B41" s="1318" t="s">
        <v>3458</v>
      </c>
      <c r="C41" s="1318" t="s">
        <v>962</v>
      </c>
      <c r="D41" s="1318" t="s">
        <v>245</v>
      </c>
      <c r="E41" s="1318" t="str">
        <f>VLOOKUP(D41,[2]Sheet1!D:F,3,FALSE)</f>
        <v>颛桥</v>
      </c>
      <c r="F41" s="1318" t="s">
        <v>3459</v>
      </c>
      <c r="G41" s="1318" t="s">
        <v>3460</v>
      </c>
      <c r="H41" s="1319">
        <f>ROUND(285394/12*6,0)</f>
        <v>142697</v>
      </c>
      <c r="I41" s="1655"/>
      <c r="J41" s="1655"/>
      <c r="K41" s="1655"/>
      <c r="L41" s="1655"/>
    </row>
    <row r="42" spans="1:12" ht="18" customHeight="1" outlineLevel="1">
      <c r="A42" s="1318"/>
      <c r="B42" s="1318"/>
      <c r="C42" s="1318"/>
      <c r="D42" s="1318"/>
      <c r="E42" s="1324" t="s">
        <v>261</v>
      </c>
      <c r="F42" s="1318"/>
      <c r="G42" s="1318"/>
      <c r="H42" s="1319">
        <f>SUBTOTAL(9,H4:H41)</f>
        <v>6432798</v>
      </c>
      <c r="I42" s="1325">
        <f t="shared" ref="I42:L42" si="8">SUBTOTAL(9,I4:I41)</f>
        <v>3628920.96</v>
      </c>
      <c r="J42" s="1325">
        <f t="shared" si="8"/>
        <v>2803877.04</v>
      </c>
      <c r="K42" s="1325">
        <f t="shared" si="8"/>
        <v>0</v>
      </c>
      <c r="L42" s="1325">
        <f t="shared" si="8"/>
        <v>2803877.04</v>
      </c>
    </row>
    <row r="43" spans="1:12" ht="18" customHeight="1" outlineLevel="2">
      <c r="A43" s="1318">
        <v>39</v>
      </c>
      <c r="B43" s="1318" t="s">
        <v>3461</v>
      </c>
      <c r="C43" s="1318" t="s">
        <v>3081</v>
      </c>
      <c r="D43" s="1318" t="s">
        <v>2717</v>
      </c>
      <c r="E43" s="1318" t="s">
        <v>3</v>
      </c>
      <c r="F43" s="1322" t="s">
        <v>3462</v>
      </c>
      <c r="G43" s="1318" t="s">
        <v>3384</v>
      </c>
      <c r="H43" s="1319">
        <f>ROUND(232297.1,0)</f>
        <v>232297</v>
      </c>
      <c r="I43" s="1653">
        <v>1140419.52</v>
      </c>
      <c r="J43" s="1653">
        <f>H53-I43</f>
        <v>581986.48</v>
      </c>
      <c r="K43" s="1653">
        <v>0</v>
      </c>
      <c r="L43" s="1653">
        <f>J43-K43</f>
        <v>581986.48</v>
      </c>
    </row>
    <row r="44" spans="1:12" ht="18" customHeight="1" outlineLevel="2">
      <c r="A44" s="1318">
        <v>40</v>
      </c>
      <c r="B44" s="1318" t="s">
        <v>3463</v>
      </c>
      <c r="C44" s="1318" t="s">
        <v>3081</v>
      </c>
      <c r="D44" s="1318" t="s">
        <v>2717</v>
      </c>
      <c r="E44" s="1318" t="s">
        <v>3</v>
      </c>
      <c r="F44" s="1322" t="s">
        <v>3464</v>
      </c>
      <c r="G44" s="1318" t="s">
        <v>3384</v>
      </c>
      <c r="H44" s="1319">
        <f t="shared" ref="H44:H45" si="9">ROUND(232297.1,0)</f>
        <v>232297</v>
      </c>
      <c r="I44" s="1654"/>
      <c r="J44" s="1654"/>
      <c r="K44" s="1654"/>
      <c r="L44" s="1654"/>
    </row>
    <row r="45" spans="1:12" ht="18" customHeight="1" outlineLevel="2">
      <c r="A45" s="1318">
        <v>41</v>
      </c>
      <c r="B45" s="1318" t="s">
        <v>3465</v>
      </c>
      <c r="C45" s="1318" t="s">
        <v>3081</v>
      </c>
      <c r="D45" s="1318" t="s">
        <v>2717</v>
      </c>
      <c r="E45" s="1318" t="s">
        <v>3</v>
      </c>
      <c r="F45" s="1322" t="s">
        <v>3466</v>
      </c>
      <c r="G45" s="1318" t="s">
        <v>3384</v>
      </c>
      <c r="H45" s="1319">
        <f t="shared" si="9"/>
        <v>232297</v>
      </c>
      <c r="I45" s="1654"/>
      <c r="J45" s="1654"/>
      <c r="K45" s="1654"/>
      <c r="L45" s="1654"/>
    </row>
    <row r="46" spans="1:12" ht="18" customHeight="1" outlineLevel="2">
      <c r="A46" s="1318">
        <v>42</v>
      </c>
      <c r="B46" s="1318" t="s">
        <v>3467</v>
      </c>
      <c r="C46" s="1318" t="s">
        <v>3081</v>
      </c>
      <c r="D46" s="1318" t="s">
        <v>2717</v>
      </c>
      <c r="E46" s="1318" t="s">
        <v>3</v>
      </c>
      <c r="F46" s="1322" t="s">
        <v>3468</v>
      </c>
      <c r="G46" s="1318" t="s">
        <v>3387</v>
      </c>
      <c r="H46" s="1323">
        <f t="shared" ref="H46:H48" si="10">ROUND(232297.1/12*5,0)</f>
        <v>96790</v>
      </c>
      <c r="I46" s="1654"/>
      <c r="J46" s="1654"/>
      <c r="K46" s="1654"/>
      <c r="L46" s="1654"/>
    </row>
    <row r="47" spans="1:12" ht="18" customHeight="1" outlineLevel="2">
      <c r="A47" s="1318">
        <v>43</v>
      </c>
      <c r="B47" s="1318" t="s">
        <v>3469</v>
      </c>
      <c r="C47" s="1318" t="s">
        <v>3081</v>
      </c>
      <c r="D47" s="1318" t="s">
        <v>2717</v>
      </c>
      <c r="E47" s="1318" t="s">
        <v>3</v>
      </c>
      <c r="F47" s="1322" t="s">
        <v>3470</v>
      </c>
      <c r="G47" s="1318" t="s">
        <v>3387</v>
      </c>
      <c r="H47" s="1323">
        <f t="shared" si="10"/>
        <v>96790</v>
      </c>
      <c r="I47" s="1654"/>
      <c r="J47" s="1654"/>
      <c r="K47" s="1654"/>
      <c r="L47" s="1654"/>
    </row>
    <row r="48" spans="1:12" ht="18" customHeight="1" outlineLevel="2">
      <c r="A48" s="1318">
        <v>44</v>
      </c>
      <c r="B48" s="1318" t="s">
        <v>3471</v>
      </c>
      <c r="C48" s="1318" t="s">
        <v>3081</v>
      </c>
      <c r="D48" s="1318" t="s">
        <v>2717</v>
      </c>
      <c r="E48" s="1318" t="s">
        <v>3</v>
      </c>
      <c r="F48" s="1322" t="s">
        <v>3472</v>
      </c>
      <c r="G48" s="1318" t="s">
        <v>3387</v>
      </c>
      <c r="H48" s="1323">
        <f t="shared" si="10"/>
        <v>96790</v>
      </c>
      <c r="I48" s="1654"/>
      <c r="J48" s="1654"/>
      <c r="K48" s="1654"/>
      <c r="L48" s="1654"/>
    </row>
    <row r="49" spans="1:12" ht="18" customHeight="1" outlineLevel="2">
      <c r="A49" s="1318">
        <v>45</v>
      </c>
      <c r="B49" s="1322" t="s">
        <v>3473</v>
      </c>
      <c r="C49" s="1318" t="s">
        <v>1465</v>
      </c>
      <c r="D49" s="1322" t="s">
        <v>165</v>
      </c>
      <c r="E49" s="1318" t="s">
        <v>3</v>
      </c>
      <c r="F49" s="1322" t="s">
        <v>3474</v>
      </c>
      <c r="G49" s="1318" t="s">
        <v>3384</v>
      </c>
      <c r="H49" s="1319">
        <f>ROUND(254991.7,0)</f>
        <v>254992</v>
      </c>
      <c r="I49" s="1654"/>
      <c r="J49" s="1654"/>
      <c r="K49" s="1654"/>
      <c r="L49" s="1654"/>
    </row>
    <row r="50" spans="1:12" ht="18" customHeight="1" outlineLevel="2">
      <c r="A50" s="1318">
        <v>46</v>
      </c>
      <c r="B50" s="1322" t="s">
        <v>3475</v>
      </c>
      <c r="C50" s="1318" t="s">
        <v>1465</v>
      </c>
      <c r="D50" s="1322" t="s">
        <v>165</v>
      </c>
      <c r="E50" s="1318" t="s">
        <v>3</v>
      </c>
      <c r="F50" s="1322" t="s">
        <v>3476</v>
      </c>
      <c r="G50" s="1318" t="s">
        <v>3384</v>
      </c>
      <c r="H50" s="1319">
        <f>ROUND(254991.7,0)</f>
        <v>254992</v>
      </c>
      <c r="I50" s="1654"/>
      <c r="J50" s="1654"/>
      <c r="K50" s="1654"/>
      <c r="L50" s="1654"/>
    </row>
    <row r="51" spans="1:12" ht="18" customHeight="1" outlineLevel="2">
      <c r="A51" s="1318">
        <v>47</v>
      </c>
      <c r="B51" s="1322" t="s">
        <v>3477</v>
      </c>
      <c r="C51" s="1318" t="s">
        <v>1465</v>
      </c>
      <c r="D51" s="1322" t="s">
        <v>165</v>
      </c>
      <c r="E51" s="1318" t="s">
        <v>3</v>
      </c>
      <c r="F51" s="1322" t="s">
        <v>3478</v>
      </c>
      <c r="G51" s="1318" t="s">
        <v>3387</v>
      </c>
      <c r="H51" s="1323">
        <f>ROUND(254991.7/12*5,0)</f>
        <v>106247</v>
      </c>
      <c r="I51" s="1654"/>
      <c r="J51" s="1654"/>
      <c r="K51" s="1654"/>
      <c r="L51" s="1654"/>
    </row>
    <row r="52" spans="1:12" ht="18" customHeight="1" outlineLevel="2">
      <c r="A52" s="1318">
        <v>48</v>
      </c>
      <c r="B52" s="1322" t="s">
        <v>3479</v>
      </c>
      <c r="C52" s="1318" t="s">
        <v>3082</v>
      </c>
      <c r="D52" s="1322" t="s">
        <v>169</v>
      </c>
      <c r="E52" s="1318" t="s">
        <v>2376</v>
      </c>
      <c r="F52" s="1322" t="s">
        <v>3480</v>
      </c>
      <c r="G52" s="1318" t="s">
        <v>3387</v>
      </c>
      <c r="H52" s="1323">
        <f>ROUND(285394/12*5,0)</f>
        <v>118914</v>
      </c>
      <c r="I52" s="1655"/>
      <c r="J52" s="1655"/>
      <c r="K52" s="1655"/>
      <c r="L52" s="1655"/>
    </row>
    <row r="53" spans="1:12" ht="18" customHeight="1" outlineLevel="1">
      <c r="A53" s="1318"/>
      <c r="B53" s="1322"/>
      <c r="C53" s="1318"/>
      <c r="D53" s="1322"/>
      <c r="E53" s="1326" t="s">
        <v>255</v>
      </c>
      <c r="F53" s="1322"/>
      <c r="G53" s="1318"/>
      <c r="H53" s="1323">
        <f>SUBTOTAL(9,H43:H52)</f>
        <v>1722406</v>
      </c>
      <c r="I53" s="1327">
        <f t="shared" ref="I53:L53" si="11">SUBTOTAL(9,I43:I52)</f>
        <v>1140419.52</v>
      </c>
      <c r="J53" s="1327">
        <f t="shared" si="11"/>
        <v>581986.48</v>
      </c>
      <c r="K53" s="1327">
        <f t="shared" si="11"/>
        <v>0</v>
      </c>
      <c r="L53" s="1327">
        <f t="shared" si="11"/>
        <v>581986.48</v>
      </c>
    </row>
    <row r="54" spans="1:12" ht="18" customHeight="1" outlineLevel="2">
      <c r="A54" s="1318">
        <v>49</v>
      </c>
      <c r="B54" s="1318" t="s">
        <v>3481</v>
      </c>
      <c r="C54" s="1318" t="s">
        <v>3081</v>
      </c>
      <c r="D54" s="1318" t="s">
        <v>995</v>
      </c>
      <c r="E54" s="1318" t="s">
        <v>2</v>
      </c>
      <c r="F54" s="1322" t="s">
        <v>3482</v>
      </c>
      <c r="G54" s="1318" t="s">
        <v>3384</v>
      </c>
      <c r="H54" s="1319">
        <f t="shared" ref="H54:H56" si="12">ROUND(232297.1,0)</f>
        <v>232297</v>
      </c>
      <c r="I54" s="1653">
        <v>2956830.16</v>
      </c>
      <c r="J54" s="1653">
        <f>H67-I54</f>
        <v>-370551.16000000015</v>
      </c>
      <c r="K54" s="1653">
        <v>0</v>
      </c>
      <c r="L54" s="1653">
        <f>J54-K54</f>
        <v>-370551.16000000015</v>
      </c>
    </row>
    <row r="55" spans="1:12" ht="18" customHeight="1" outlineLevel="2">
      <c r="A55" s="1318">
        <v>50</v>
      </c>
      <c r="B55" s="1318" t="s">
        <v>3483</v>
      </c>
      <c r="C55" s="1318" t="s">
        <v>3081</v>
      </c>
      <c r="D55" s="1318" t="s">
        <v>995</v>
      </c>
      <c r="E55" s="1318" t="s">
        <v>2</v>
      </c>
      <c r="F55" s="1322" t="s">
        <v>3484</v>
      </c>
      <c r="G55" s="1318" t="s">
        <v>3384</v>
      </c>
      <c r="H55" s="1319">
        <f t="shared" si="12"/>
        <v>232297</v>
      </c>
      <c r="I55" s="1654"/>
      <c r="J55" s="1654"/>
      <c r="K55" s="1654"/>
      <c r="L55" s="1654"/>
    </row>
    <row r="56" spans="1:12" ht="18" customHeight="1" outlineLevel="2">
      <c r="A56" s="1318">
        <v>51</v>
      </c>
      <c r="B56" s="1318" t="s">
        <v>3485</v>
      </c>
      <c r="C56" s="1318" t="s">
        <v>3081</v>
      </c>
      <c r="D56" s="1318" t="s">
        <v>995</v>
      </c>
      <c r="E56" s="1318" t="s">
        <v>2</v>
      </c>
      <c r="F56" s="1322" t="s">
        <v>3486</v>
      </c>
      <c r="G56" s="1318" t="s">
        <v>3384</v>
      </c>
      <c r="H56" s="1319">
        <f t="shared" si="12"/>
        <v>232297</v>
      </c>
      <c r="I56" s="1654"/>
      <c r="J56" s="1654"/>
      <c r="K56" s="1654"/>
      <c r="L56" s="1654"/>
    </row>
    <row r="57" spans="1:12" ht="18" customHeight="1" outlineLevel="2">
      <c r="A57" s="1318">
        <v>52</v>
      </c>
      <c r="B57" s="1322" t="s">
        <v>3487</v>
      </c>
      <c r="C57" s="1318" t="s">
        <v>958</v>
      </c>
      <c r="D57" s="1322" t="s">
        <v>244</v>
      </c>
      <c r="E57" s="1318" t="s">
        <v>2</v>
      </c>
      <c r="F57" s="1322" t="s">
        <v>3488</v>
      </c>
      <c r="G57" s="1318" t="s">
        <v>3384</v>
      </c>
      <c r="H57" s="1319">
        <f t="shared" ref="H57:H58" si="13">ROUND(254991.7,0)</f>
        <v>254992</v>
      </c>
      <c r="I57" s="1654"/>
      <c r="J57" s="1654"/>
      <c r="K57" s="1654"/>
      <c r="L57" s="1654"/>
    </row>
    <row r="58" spans="1:12" ht="18" customHeight="1" outlineLevel="2">
      <c r="A58" s="1318">
        <v>53</v>
      </c>
      <c r="B58" s="1322" t="s">
        <v>3489</v>
      </c>
      <c r="C58" s="1318" t="s">
        <v>958</v>
      </c>
      <c r="D58" s="1322" t="s">
        <v>244</v>
      </c>
      <c r="E58" s="1318" t="s">
        <v>2</v>
      </c>
      <c r="F58" s="1322" t="s">
        <v>3490</v>
      </c>
      <c r="G58" s="1318" t="s">
        <v>3384</v>
      </c>
      <c r="H58" s="1319">
        <f t="shared" si="13"/>
        <v>254992</v>
      </c>
      <c r="I58" s="1654"/>
      <c r="J58" s="1654"/>
      <c r="K58" s="1654"/>
      <c r="L58" s="1654"/>
    </row>
    <row r="59" spans="1:12" ht="18" customHeight="1" outlineLevel="2">
      <c r="A59" s="1318">
        <v>54</v>
      </c>
      <c r="B59" s="1322" t="s">
        <v>3491</v>
      </c>
      <c r="C59" s="1318" t="s">
        <v>958</v>
      </c>
      <c r="D59" s="1322" t="s">
        <v>244</v>
      </c>
      <c r="E59" s="1318" t="s">
        <v>2</v>
      </c>
      <c r="F59" s="1322" t="s">
        <v>3492</v>
      </c>
      <c r="G59" s="1318" t="s">
        <v>3384</v>
      </c>
      <c r="H59" s="1319">
        <v>285394</v>
      </c>
      <c r="I59" s="1654"/>
      <c r="J59" s="1654"/>
      <c r="K59" s="1654"/>
      <c r="L59" s="1654"/>
    </row>
    <row r="60" spans="1:12" ht="18" customHeight="1" outlineLevel="2">
      <c r="A60" s="1318">
        <v>55</v>
      </c>
      <c r="B60" s="1322" t="s">
        <v>3493</v>
      </c>
      <c r="C60" s="1318" t="s">
        <v>958</v>
      </c>
      <c r="D60" s="1322" t="s">
        <v>244</v>
      </c>
      <c r="E60" s="1318" t="s">
        <v>2</v>
      </c>
      <c r="F60" s="1322" t="s">
        <v>3494</v>
      </c>
      <c r="G60" s="1318" t="s">
        <v>3384</v>
      </c>
      <c r="H60" s="1319">
        <v>285394</v>
      </c>
      <c r="I60" s="1654"/>
      <c r="J60" s="1654"/>
      <c r="K60" s="1654"/>
      <c r="L60" s="1654"/>
    </row>
    <row r="61" spans="1:12" ht="18" customHeight="1" outlineLevel="2">
      <c r="A61" s="1318">
        <v>56</v>
      </c>
      <c r="B61" s="1322" t="s">
        <v>3495</v>
      </c>
      <c r="C61" s="1318" t="s">
        <v>958</v>
      </c>
      <c r="D61" s="1322" t="s">
        <v>244</v>
      </c>
      <c r="E61" s="1318" t="s">
        <v>2</v>
      </c>
      <c r="F61" s="1322" t="s">
        <v>3496</v>
      </c>
      <c r="G61" s="1318" t="s">
        <v>3384</v>
      </c>
      <c r="H61" s="1319">
        <v>285394</v>
      </c>
      <c r="I61" s="1654"/>
      <c r="J61" s="1654"/>
      <c r="K61" s="1654"/>
      <c r="L61" s="1654"/>
    </row>
    <row r="62" spans="1:12" ht="18" customHeight="1" outlineLevel="2">
      <c r="A62" s="1318">
        <v>57</v>
      </c>
      <c r="B62" s="1322" t="s">
        <v>3497</v>
      </c>
      <c r="C62" s="1318" t="s">
        <v>958</v>
      </c>
      <c r="D62" s="1322" t="s">
        <v>244</v>
      </c>
      <c r="E62" s="1318" t="s">
        <v>2</v>
      </c>
      <c r="F62" s="1322" t="s">
        <v>3498</v>
      </c>
      <c r="G62" s="1318" t="s">
        <v>3387</v>
      </c>
      <c r="H62" s="1323">
        <f t="shared" ref="H62:H64" si="14">ROUND(285394/12*5,0)</f>
        <v>118914</v>
      </c>
      <c r="I62" s="1654"/>
      <c r="J62" s="1654"/>
      <c r="K62" s="1654"/>
      <c r="L62" s="1654"/>
    </row>
    <row r="63" spans="1:12" ht="18" customHeight="1" outlineLevel="2">
      <c r="A63" s="1318">
        <v>58</v>
      </c>
      <c r="B63" s="1322" t="s">
        <v>3499</v>
      </c>
      <c r="C63" s="1318" t="s">
        <v>958</v>
      </c>
      <c r="D63" s="1322" t="s">
        <v>244</v>
      </c>
      <c r="E63" s="1318" t="s">
        <v>2</v>
      </c>
      <c r="F63" s="1322" t="s">
        <v>3500</v>
      </c>
      <c r="G63" s="1318" t="s">
        <v>3387</v>
      </c>
      <c r="H63" s="1323">
        <f t="shared" si="14"/>
        <v>118914</v>
      </c>
      <c r="I63" s="1654"/>
      <c r="J63" s="1654"/>
      <c r="K63" s="1654"/>
      <c r="L63" s="1654"/>
    </row>
    <row r="64" spans="1:12" ht="18" customHeight="1" outlineLevel="2">
      <c r="A64" s="1318">
        <v>59</v>
      </c>
      <c r="B64" s="1322" t="s">
        <v>3501</v>
      </c>
      <c r="C64" s="1318" t="s">
        <v>958</v>
      </c>
      <c r="D64" s="1322" t="s">
        <v>244</v>
      </c>
      <c r="E64" s="1318" t="s">
        <v>2</v>
      </c>
      <c r="F64" s="1322" t="s">
        <v>3502</v>
      </c>
      <c r="G64" s="1318" t="s">
        <v>3387</v>
      </c>
      <c r="H64" s="1323">
        <f t="shared" si="14"/>
        <v>118914</v>
      </c>
      <c r="I64" s="1654"/>
      <c r="J64" s="1654"/>
      <c r="K64" s="1654"/>
      <c r="L64" s="1654"/>
    </row>
    <row r="65" spans="1:12" ht="18" customHeight="1" outlineLevel="2">
      <c r="A65" s="1318">
        <v>60</v>
      </c>
      <c r="B65" s="1318" t="s">
        <v>3503</v>
      </c>
      <c r="C65" s="1318" t="s">
        <v>958</v>
      </c>
      <c r="D65" s="1318" t="s">
        <v>244</v>
      </c>
      <c r="E65" s="1318" t="str">
        <f>VLOOKUP(D65,[2]Sheet1!D:F,3,FALSE)</f>
        <v>莘庄</v>
      </c>
      <c r="F65" s="1318" t="s">
        <v>3504</v>
      </c>
      <c r="G65" s="1318" t="s">
        <v>3460</v>
      </c>
      <c r="H65" s="1319">
        <f>ROUND(285394/12*1,0)</f>
        <v>23783</v>
      </c>
      <c r="I65" s="1654"/>
      <c r="J65" s="1654"/>
      <c r="K65" s="1654"/>
      <c r="L65" s="1654"/>
    </row>
    <row r="66" spans="1:12" ht="18" customHeight="1" outlineLevel="2">
      <c r="A66" s="1318">
        <v>61</v>
      </c>
      <c r="B66" s="1318" t="s">
        <v>3505</v>
      </c>
      <c r="C66" s="1318" t="s">
        <v>958</v>
      </c>
      <c r="D66" s="1318" t="s">
        <v>244</v>
      </c>
      <c r="E66" s="1318" t="str">
        <f>VLOOKUP(D66,[2]Sheet1!D:F,3,FALSE)</f>
        <v>莘庄</v>
      </c>
      <c r="F66" s="1318" t="s">
        <v>3506</v>
      </c>
      <c r="G66" s="1318" t="s">
        <v>3460</v>
      </c>
      <c r="H66" s="1319">
        <f>ROUND(285394/12*6,0)</f>
        <v>142697</v>
      </c>
      <c r="I66" s="1655"/>
      <c r="J66" s="1655"/>
      <c r="K66" s="1655"/>
      <c r="L66" s="1655"/>
    </row>
    <row r="67" spans="1:12" ht="18" customHeight="1" outlineLevel="1">
      <c r="A67" s="1318"/>
      <c r="B67" s="1318"/>
      <c r="C67" s="1318"/>
      <c r="D67" s="1318"/>
      <c r="E67" s="1326" t="s">
        <v>254</v>
      </c>
      <c r="F67" s="1318"/>
      <c r="G67" s="1318"/>
      <c r="H67" s="1319">
        <f>SUBTOTAL(9,H54:H66)</f>
        <v>2586279</v>
      </c>
      <c r="I67" s="1325">
        <f t="shared" ref="I67:L67" si="15">SUBTOTAL(9,I54:I66)</f>
        <v>2956830.16</v>
      </c>
      <c r="J67" s="1325">
        <f t="shared" si="15"/>
        <v>-370551.16000000015</v>
      </c>
      <c r="K67" s="1325">
        <f t="shared" si="15"/>
        <v>0</v>
      </c>
      <c r="L67" s="1325">
        <f t="shared" si="15"/>
        <v>-370551.16000000015</v>
      </c>
    </row>
    <row r="68" spans="1:12" ht="18" customHeight="1" outlineLevel="2">
      <c r="A68" s="1318">
        <v>62</v>
      </c>
      <c r="B68" s="1318" t="s">
        <v>3507</v>
      </c>
      <c r="C68" s="1318" t="s">
        <v>3081</v>
      </c>
      <c r="D68" s="1318" t="s">
        <v>1007</v>
      </c>
      <c r="E68" s="1318" t="s">
        <v>4</v>
      </c>
      <c r="F68" s="1322" t="s">
        <v>3508</v>
      </c>
      <c r="G68" s="1318" t="s">
        <v>3384</v>
      </c>
      <c r="H68" s="1319">
        <f t="shared" ref="H68:H71" si="16">ROUND(232297.1,0)</f>
        <v>232297</v>
      </c>
      <c r="I68" s="1653">
        <v>4756561.84</v>
      </c>
      <c r="J68" s="1653">
        <f>H114-I68</f>
        <v>3206796.16</v>
      </c>
      <c r="K68" s="1653">
        <v>0</v>
      </c>
      <c r="L68" s="1653">
        <f>J68-K68</f>
        <v>3206796.16</v>
      </c>
    </row>
    <row r="69" spans="1:12" ht="18" customHeight="1" outlineLevel="2">
      <c r="A69" s="1318">
        <v>63</v>
      </c>
      <c r="B69" s="1318" t="s">
        <v>3509</v>
      </c>
      <c r="C69" s="1318" t="s">
        <v>3081</v>
      </c>
      <c r="D69" s="1318" t="s">
        <v>1009</v>
      </c>
      <c r="E69" s="1318" t="s">
        <v>4</v>
      </c>
      <c r="F69" s="1322" t="s">
        <v>3510</v>
      </c>
      <c r="G69" s="1318" t="s">
        <v>3384</v>
      </c>
      <c r="H69" s="1319">
        <f t="shared" si="16"/>
        <v>232297</v>
      </c>
      <c r="I69" s="1654"/>
      <c r="J69" s="1654"/>
      <c r="K69" s="1654"/>
      <c r="L69" s="1654"/>
    </row>
    <row r="70" spans="1:12" ht="18" customHeight="1" outlineLevel="2">
      <c r="A70" s="1318">
        <v>64</v>
      </c>
      <c r="B70" s="1318" t="s">
        <v>3511</v>
      </c>
      <c r="C70" s="1318" t="s">
        <v>3081</v>
      </c>
      <c r="D70" s="1318" t="s">
        <v>1009</v>
      </c>
      <c r="E70" s="1318" t="s">
        <v>4</v>
      </c>
      <c r="F70" s="1322" t="s">
        <v>3512</v>
      </c>
      <c r="G70" s="1318" t="s">
        <v>3384</v>
      </c>
      <c r="H70" s="1319">
        <f t="shared" si="16"/>
        <v>232297</v>
      </c>
      <c r="I70" s="1654"/>
      <c r="J70" s="1654"/>
      <c r="K70" s="1654"/>
      <c r="L70" s="1654"/>
    </row>
    <row r="71" spans="1:12" ht="18" customHeight="1" outlineLevel="2">
      <c r="A71" s="1318">
        <v>65</v>
      </c>
      <c r="B71" s="1318" t="s">
        <v>3513</v>
      </c>
      <c r="C71" s="1318" t="s">
        <v>3081</v>
      </c>
      <c r="D71" s="1318" t="s">
        <v>1009</v>
      </c>
      <c r="E71" s="1318" t="s">
        <v>4</v>
      </c>
      <c r="F71" s="1322" t="s">
        <v>3514</v>
      </c>
      <c r="G71" s="1318" t="s">
        <v>3384</v>
      </c>
      <c r="H71" s="1319">
        <f t="shared" si="16"/>
        <v>232297</v>
      </c>
      <c r="I71" s="1654"/>
      <c r="J71" s="1654"/>
      <c r="K71" s="1654"/>
      <c r="L71" s="1654"/>
    </row>
    <row r="72" spans="1:12" ht="18" customHeight="1" outlineLevel="2">
      <c r="A72" s="1318">
        <v>66</v>
      </c>
      <c r="B72" s="1322" t="s">
        <v>3515</v>
      </c>
      <c r="C72" s="1318" t="s">
        <v>1465</v>
      </c>
      <c r="D72" s="1322" t="s">
        <v>241</v>
      </c>
      <c r="E72" s="1318" t="s">
        <v>4</v>
      </c>
      <c r="F72" s="1322" t="s">
        <v>3516</v>
      </c>
      <c r="G72" s="1318" t="s">
        <v>3384</v>
      </c>
      <c r="H72" s="1319">
        <f t="shared" ref="H72:H77" si="17">ROUND(254991.7,0)</f>
        <v>254992</v>
      </c>
      <c r="I72" s="1654"/>
      <c r="J72" s="1654"/>
      <c r="K72" s="1654"/>
      <c r="L72" s="1654"/>
    </row>
    <row r="73" spans="1:12" ht="18" customHeight="1" outlineLevel="2">
      <c r="A73" s="1318">
        <v>67</v>
      </c>
      <c r="B73" s="1322" t="s">
        <v>3517</v>
      </c>
      <c r="C73" s="1318" t="s">
        <v>1465</v>
      </c>
      <c r="D73" s="1322" t="s">
        <v>241</v>
      </c>
      <c r="E73" s="1318" t="s">
        <v>4</v>
      </c>
      <c r="F73" s="1322" t="s">
        <v>3518</v>
      </c>
      <c r="G73" s="1318" t="s">
        <v>3384</v>
      </c>
      <c r="H73" s="1319">
        <f t="shared" si="17"/>
        <v>254992</v>
      </c>
      <c r="I73" s="1654"/>
      <c r="J73" s="1654"/>
      <c r="K73" s="1654"/>
      <c r="L73" s="1654"/>
    </row>
    <row r="74" spans="1:12" ht="18" customHeight="1" outlineLevel="2">
      <c r="A74" s="1318">
        <v>68</v>
      </c>
      <c r="B74" s="1322" t="s">
        <v>3519</v>
      </c>
      <c r="C74" s="1318" t="s">
        <v>1465</v>
      </c>
      <c r="D74" s="1322" t="s">
        <v>241</v>
      </c>
      <c r="E74" s="1318" t="s">
        <v>4</v>
      </c>
      <c r="F74" s="1322" t="s">
        <v>3520</v>
      </c>
      <c r="G74" s="1318" t="s">
        <v>3384</v>
      </c>
      <c r="H74" s="1319">
        <f t="shared" si="17"/>
        <v>254992</v>
      </c>
      <c r="I74" s="1654"/>
      <c r="J74" s="1654"/>
      <c r="K74" s="1654"/>
      <c r="L74" s="1654"/>
    </row>
    <row r="75" spans="1:12" ht="18" customHeight="1" outlineLevel="2">
      <c r="A75" s="1318">
        <v>69</v>
      </c>
      <c r="B75" s="1322" t="s">
        <v>3521</v>
      </c>
      <c r="C75" s="1318" t="s">
        <v>1465</v>
      </c>
      <c r="D75" s="1322" t="s">
        <v>747</v>
      </c>
      <c r="E75" s="1318" t="s">
        <v>4</v>
      </c>
      <c r="F75" s="1322" t="s">
        <v>3522</v>
      </c>
      <c r="G75" s="1318" t="s">
        <v>3384</v>
      </c>
      <c r="H75" s="1319">
        <f t="shared" si="17"/>
        <v>254992</v>
      </c>
      <c r="I75" s="1654"/>
      <c r="J75" s="1654"/>
      <c r="K75" s="1654"/>
      <c r="L75" s="1654"/>
    </row>
    <row r="76" spans="1:12" ht="18" customHeight="1" outlineLevel="2">
      <c r="A76" s="1318">
        <v>70</v>
      </c>
      <c r="B76" s="1322" t="s">
        <v>3523</v>
      </c>
      <c r="C76" s="1318" t="s">
        <v>1465</v>
      </c>
      <c r="D76" s="1322" t="s">
        <v>747</v>
      </c>
      <c r="E76" s="1318" t="s">
        <v>4</v>
      </c>
      <c r="F76" s="1322" t="s">
        <v>3524</v>
      </c>
      <c r="G76" s="1318" t="s">
        <v>3384</v>
      </c>
      <c r="H76" s="1319">
        <f t="shared" si="17"/>
        <v>254992</v>
      </c>
      <c r="I76" s="1654"/>
      <c r="J76" s="1654"/>
      <c r="K76" s="1654"/>
      <c r="L76" s="1654"/>
    </row>
    <row r="77" spans="1:12" ht="18" customHeight="1" outlineLevel="2">
      <c r="A77" s="1318">
        <v>71</v>
      </c>
      <c r="B77" s="1322" t="s">
        <v>3525</v>
      </c>
      <c r="C77" s="1318" t="s">
        <v>1465</v>
      </c>
      <c r="D77" s="1322" t="s">
        <v>747</v>
      </c>
      <c r="E77" s="1318" t="s">
        <v>4</v>
      </c>
      <c r="F77" s="1322" t="s">
        <v>3526</v>
      </c>
      <c r="G77" s="1318" t="s">
        <v>3384</v>
      </c>
      <c r="H77" s="1319">
        <f t="shared" si="17"/>
        <v>254992</v>
      </c>
      <c r="I77" s="1654"/>
      <c r="J77" s="1654"/>
      <c r="K77" s="1654"/>
      <c r="L77" s="1654"/>
    </row>
    <row r="78" spans="1:12" ht="18" customHeight="1" outlineLevel="2">
      <c r="A78" s="1318">
        <v>72</v>
      </c>
      <c r="B78" s="1322" t="s">
        <v>3527</v>
      </c>
      <c r="C78" s="1318" t="s">
        <v>1465</v>
      </c>
      <c r="D78" s="1322" t="s">
        <v>747</v>
      </c>
      <c r="E78" s="1318" t="s">
        <v>4</v>
      </c>
      <c r="F78" s="1322" t="s">
        <v>3528</v>
      </c>
      <c r="G78" s="1318" t="s">
        <v>3387</v>
      </c>
      <c r="H78" s="1323">
        <f t="shared" ref="H78:H79" si="18">ROUND(254991.7/12*5,0)</f>
        <v>106247</v>
      </c>
      <c r="I78" s="1654"/>
      <c r="J78" s="1654"/>
      <c r="K78" s="1654"/>
      <c r="L78" s="1654"/>
    </row>
    <row r="79" spans="1:12" ht="18" customHeight="1" outlineLevel="2">
      <c r="A79" s="1318">
        <v>73</v>
      </c>
      <c r="B79" s="1322" t="s">
        <v>3529</v>
      </c>
      <c r="C79" s="1318" t="s">
        <v>1465</v>
      </c>
      <c r="D79" s="1322" t="s">
        <v>747</v>
      </c>
      <c r="E79" s="1318" t="s">
        <v>4</v>
      </c>
      <c r="F79" s="1322" t="s">
        <v>3530</v>
      </c>
      <c r="G79" s="1318" t="s">
        <v>3387</v>
      </c>
      <c r="H79" s="1323">
        <f t="shared" si="18"/>
        <v>106247</v>
      </c>
      <c r="I79" s="1654"/>
      <c r="J79" s="1654"/>
      <c r="K79" s="1654"/>
      <c r="L79" s="1654"/>
    </row>
    <row r="80" spans="1:12" ht="18" customHeight="1" outlineLevel="2">
      <c r="A80" s="1318">
        <v>74</v>
      </c>
      <c r="B80" s="1322" t="s">
        <v>3531</v>
      </c>
      <c r="C80" s="1318" t="s">
        <v>958</v>
      </c>
      <c r="D80" s="1322" t="s">
        <v>265</v>
      </c>
      <c r="E80" s="1318" t="s">
        <v>4</v>
      </c>
      <c r="F80" s="1322" t="s">
        <v>3532</v>
      </c>
      <c r="G80" s="1318" t="s">
        <v>3384</v>
      </c>
      <c r="H80" s="1319">
        <f t="shared" ref="H80:H81" si="19">ROUND(254991.7,0)</f>
        <v>254992</v>
      </c>
      <c r="I80" s="1654"/>
      <c r="J80" s="1654"/>
      <c r="K80" s="1654"/>
      <c r="L80" s="1654"/>
    </row>
    <row r="81" spans="1:12" ht="18" customHeight="1" outlineLevel="2">
      <c r="A81" s="1318">
        <v>75</v>
      </c>
      <c r="B81" s="1322" t="s">
        <v>3533</v>
      </c>
      <c r="C81" s="1318" t="s">
        <v>958</v>
      </c>
      <c r="D81" s="1322" t="s">
        <v>265</v>
      </c>
      <c r="E81" s="1318" t="s">
        <v>4</v>
      </c>
      <c r="F81" s="1322" t="s">
        <v>3534</v>
      </c>
      <c r="G81" s="1318" t="s">
        <v>3384</v>
      </c>
      <c r="H81" s="1319">
        <f t="shared" si="19"/>
        <v>254992</v>
      </c>
      <c r="I81" s="1654"/>
      <c r="J81" s="1654"/>
      <c r="K81" s="1654"/>
      <c r="L81" s="1654"/>
    </row>
    <row r="82" spans="1:12" ht="18" customHeight="1" outlineLevel="2">
      <c r="A82" s="1318">
        <v>76</v>
      </c>
      <c r="B82" s="1322" t="s">
        <v>3535</v>
      </c>
      <c r="C82" s="1318" t="s">
        <v>958</v>
      </c>
      <c r="D82" s="1322" t="s">
        <v>265</v>
      </c>
      <c r="E82" s="1318" t="s">
        <v>4</v>
      </c>
      <c r="F82" s="1322" t="s">
        <v>3536</v>
      </c>
      <c r="G82" s="1318" t="s">
        <v>3387</v>
      </c>
      <c r="H82" s="1323">
        <f>ROUND(254991.7/12*5,0)</f>
        <v>106247</v>
      </c>
      <c r="I82" s="1654"/>
      <c r="J82" s="1654"/>
      <c r="K82" s="1654"/>
      <c r="L82" s="1654"/>
    </row>
    <row r="83" spans="1:12" ht="18" customHeight="1" outlineLevel="2">
      <c r="A83" s="1318">
        <v>77</v>
      </c>
      <c r="B83" s="1322" t="s">
        <v>3537</v>
      </c>
      <c r="C83" s="1318" t="s">
        <v>1465</v>
      </c>
      <c r="D83" s="1322" t="s">
        <v>240</v>
      </c>
      <c r="E83" s="1318" t="s">
        <v>4</v>
      </c>
      <c r="F83" s="1322" t="s">
        <v>3538</v>
      </c>
      <c r="G83" s="1318" t="s">
        <v>3384</v>
      </c>
      <c r="H83" s="1319">
        <f>ROUND(254991.7,0)</f>
        <v>254992</v>
      </c>
      <c r="I83" s="1654"/>
      <c r="J83" s="1654"/>
      <c r="K83" s="1654"/>
      <c r="L83" s="1654"/>
    </row>
    <row r="84" spans="1:12" ht="18" customHeight="1" outlineLevel="2">
      <c r="A84" s="1318">
        <v>78</v>
      </c>
      <c r="B84" s="1322" t="s">
        <v>3539</v>
      </c>
      <c r="C84" s="1318" t="s">
        <v>1465</v>
      </c>
      <c r="D84" s="1322" t="s">
        <v>242</v>
      </c>
      <c r="E84" s="1318" t="s">
        <v>4</v>
      </c>
      <c r="F84" s="1322" t="s">
        <v>3540</v>
      </c>
      <c r="G84" s="1318" t="s">
        <v>3387</v>
      </c>
      <c r="H84" s="1323">
        <f t="shared" ref="H84:H87" si="20">ROUND(254991.7/12*5,0)</f>
        <v>106247</v>
      </c>
      <c r="I84" s="1654"/>
      <c r="J84" s="1654"/>
      <c r="K84" s="1654"/>
      <c r="L84" s="1654"/>
    </row>
    <row r="85" spans="1:12" ht="18" customHeight="1" outlineLevel="2">
      <c r="A85" s="1318">
        <v>79</v>
      </c>
      <c r="B85" s="1322" t="s">
        <v>3541</v>
      </c>
      <c r="C85" s="1318" t="s">
        <v>1465</v>
      </c>
      <c r="D85" s="1322" t="s">
        <v>243</v>
      </c>
      <c r="E85" s="1318" t="s">
        <v>4</v>
      </c>
      <c r="F85" s="1322" t="s">
        <v>3542</v>
      </c>
      <c r="G85" s="1318" t="s">
        <v>3387</v>
      </c>
      <c r="H85" s="1323">
        <f t="shared" si="20"/>
        <v>106247</v>
      </c>
      <c r="I85" s="1654"/>
      <c r="J85" s="1654"/>
      <c r="K85" s="1654"/>
      <c r="L85" s="1654"/>
    </row>
    <row r="86" spans="1:12" ht="18" customHeight="1" outlineLevel="2">
      <c r="A86" s="1318">
        <v>80</v>
      </c>
      <c r="B86" s="1322" t="s">
        <v>3543</v>
      </c>
      <c r="C86" s="1318" t="s">
        <v>1465</v>
      </c>
      <c r="D86" s="1322" t="s">
        <v>243</v>
      </c>
      <c r="E86" s="1318" t="s">
        <v>4</v>
      </c>
      <c r="F86" s="1322" t="s">
        <v>3544</v>
      </c>
      <c r="G86" s="1318" t="s">
        <v>3387</v>
      </c>
      <c r="H86" s="1323">
        <f t="shared" si="20"/>
        <v>106247</v>
      </c>
      <c r="I86" s="1654"/>
      <c r="J86" s="1654"/>
      <c r="K86" s="1654"/>
      <c r="L86" s="1654"/>
    </row>
    <row r="87" spans="1:12" ht="18" customHeight="1" outlineLevel="2">
      <c r="A87" s="1318">
        <v>81</v>
      </c>
      <c r="B87" s="1322" t="s">
        <v>3545</v>
      </c>
      <c r="C87" s="1318" t="s">
        <v>1465</v>
      </c>
      <c r="D87" s="1322" t="s">
        <v>243</v>
      </c>
      <c r="E87" s="1318" t="s">
        <v>4</v>
      </c>
      <c r="F87" s="1322" t="s">
        <v>3546</v>
      </c>
      <c r="G87" s="1318" t="s">
        <v>3387</v>
      </c>
      <c r="H87" s="1323">
        <f t="shared" si="20"/>
        <v>106247</v>
      </c>
      <c r="I87" s="1654"/>
      <c r="J87" s="1654"/>
      <c r="K87" s="1654"/>
      <c r="L87" s="1654"/>
    </row>
    <row r="88" spans="1:12" ht="18" customHeight="1" outlineLevel="2">
      <c r="A88" s="1318">
        <v>82</v>
      </c>
      <c r="B88" s="1322" t="s">
        <v>3547</v>
      </c>
      <c r="C88" s="1318" t="s">
        <v>962</v>
      </c>
      <c r="D88" s="1322" t="s">
        <v>236</v>
      </c>
      <c r="E88" s="1318" t="s">
        <v>4</v>
      </c>
      <c r="F88" s="1322" t="s">
        <v>3548</v>
      </c>
      <c r="G88" s="1318" t="s">
        <v>3384</v>
      </c>
      <c r="H88" s="1319">
        <v>285394</v>
      </c>
      <c r="I88" s="1654"/>
      <c r="J88" s="1654"/>
      <c r="K88" s="1654"/>
      <c r="L88" s="1654"/>
    </row>
    <row r="89" spans="1:12" ht="18" customHeight="1" outlineLevel="2">
      <c r="A89" s="1318">
        <v>83</v>
      </c>
      <c r="B89" s="1322" t="s">
        <v>3549</v>
      </c>
      <c r="C89" s="1318" t="s">
        <v>962</v>
      </c>
      <c r="D89" s="1322" t="s">
        <v>236</v>
      </c>
      <c r="E89" s="1318" t="s">
        <v>4</v>
      </c>
      <c r="F89" s="1322" t="s">
        <v>3550</v>
      </c>
      <c r="G89" s="1318" t="s">
        <v>3387</v>
      </c>
      <c r="H89" s="1323">
        <f t="shared" ref="H89:H91" si="21">ROUND(285394/12*5,0)</f>
        <v>118914</v>
      </c>
      <c r="I89" s="1654"/>
      <c r="J89" s="1654"/>
      <c r="K89" s="1654"/>
      <c r="L89" s="1654"/>
    </row>
    <row r="90" spans="1:12" ht="18" customHeight="1" outlineLevel="2">
      <c r="A90" s="1318">
        <v>84</v>
      </c>
      <c r="B90" s="1322" t="s">
        <v>3551</v>
      </c>
      <c r="C90" s="1318" t="s">
        <v>962</v>
      </c>
      <c r="D90" s="1322" t="s">
        <v>236</v>
      </c>
      <c r="E90" s="1318" t="s">
        <v>4</v>
      </c>
      <c r="F90" s="1322" t="s">
        <v>3552</v>
      </c>
      <c r="G90" s="1318" t="s">
        <v>3387</v>
      </c>
      <c r="H90" s="1323">
        <f t="shared" si="21"/>
        <v>118914</v>
      </c>
      <c r="I90" s="1654"/>
      <c r="J90" s="1654"/>
      <c r="K90" s="1654"/>
      <c r="L90" s="1654"/>
    </row>
    <row r="91" spans="1:12" ht="18" customHeight="1" outlineLevel="2">
      <c r="A91" s="1318">
        <v>85</v>
      </c>
      <c r="B91" s="1322" t="s">
        <v>3553</v>
      </c>
      <c r="C91" s="1318" t="s">
        <v>962</v>
      </c>
      <c r="D91" s="1322" t="s">
        <v>236</v>
      </c>
      <c r="E91" s="1318" t="s">
        <v>4</v>
      </c>
      <c r="F91" s="1322" t="s">
        <v>3554</v>
      </c>
      <c r="G91" s="1318" t="s">
        <v>3387</v>
      </c>
      <c r="H91" s="1323">
        <f t="shared" si="21"/>
        <v>118914</v>
      </c>
      <c r="I91" s="1654"/>
      <c r="J91" s="1654"/>
      <c r="K91" s="1654"/>
      <c r="L91" s="1654"/>
    </row>
    <row r="92" spans="1:12" ht="18" customHeight="1" outlineLevel="2">
      <c r="A92" s="1318">
        <v>86</v>
      </c>
      <c r="B92" s="1322" t="s">
        <v>3555</v>
      </c>
      <c r="C92" s="1318" t="s">
        <v>962</v>
      </c>
      <c r="D92" s="1322" t="s">
        <v>237</v>
      </c>
      <c r="E92" s="1318" t="s">
        <v>4</v>
      </c>
      <c r="F92" s="1322" t="s">
        <v>3556</v>
      </c>
      <c r="G92" s="1318" t="s">
        <v>3384</v>
      </c>
      <c r="H92" s="1319">
        <v>285394</v>
      </c>
      <c r="I92" s="1654"/>
      <c r="J92" s="1654"/>
      <c r="K92" s="1654"/>
      <c r="L92" s="1654"/>
    </row>
    <row r="93" spans="1:12" ht="18" customHeight="1" outlineLevel="2">
      <c r="A93" s="1318">
        <v>87</v>
      </c>
      <c r="B93" s="1322" t="s">
        <v>3557</v>
      </c>
      <c r="C93" s="1318" t="s">
        <v>962</v>
      </c>
      <c r="D93" s="1322" t="s">
        <v>237</v>
      </c>
      <c r="E93" s="1318" t="s">
        <v>4</v>
      </c>
      <c r="F93" s="1322" t="s">
        <v>3558</v>
      </c>
      <c r="G93" s="1318" t="s">
        <v>3387</v>
      </c>
      <c r="H93" s="1323">
        <f t="shared" ref="H93:H97" si="22">ROUND(285394/12*5,0)</f>
        <v>118914</v>
      </c>
      <c r="I93" s="1654"/>
      <c r="J93" s="1654"/>
      <c r="K93" s="1654"/>
      <c r="L93" s="1654"/>
    </row>
    <row r="94" spans="1:12" ht="18" customHeight="1" outlineLevel="2">
      <c r="A94" s="1318">
        <v>88</v>
      </c>
      <c r="B94" s="1322" t="s">
        <v>3559</v>
      </c>
      <c r="C94" s="1318" t="s">
        <v>962</v>
      </c>
      <c r="D94" s="1322" t="s">
        <v>237</v>
      </c>
      <c r="E94" s="1318" t="s">
        <v>4</v>
      </c>
      <c r="F94" s="1322" t="s">
        <v>3560</v>
      </c>
      <c r="G94" s="1318" t="s">
        <v>3387</v>
      </c>
      <c r="H94" s="1323">
        <f t="shared" si="22"/>
        <v>118914</v>
      </c>
      <c r="I94" s="1654"/>
      <c r="J94" s="1654"/>
      <c r="K94" s="1654"/>
      <c r="L94" s="1654"/>
    </row>
    <row r="95" spans="1:12" ht="18" customHeight="1" outlineLevel="2">
      <c r="A95" s="1318">
        <v>89</v>
      </c>
      <c r="B95" s="1322" t="s">
        <v>3561</v>
      </c>
      <c r="C95" s="1318" t="s">
        <v>962</v>
      </c>
      <c r="D95" s="1322" t="s">
        <v>237</v>
      </c>
      <c r="E95" s="1318" t="s">
        <v>4</v>
      </c>
      <c r="F95" s="1322" t="s">
        <v>3562</v>
      </c>
      <c r="G95" s="1318" t="s">
        <v>3387</v>
      </c>
      <c r="H95" s="1323">
        <f t="shared" si="22"/>
        <v>118914</v>
      </c>
      <c r="I95" s="1654"/>
      <c r="J95" s="1654"/>
      <c r="K95" s="1654"/>
      <c r="L95" s="1654"/>
    </row>
    <row r="96" spans="1:12" ht="18" customHeight="1" outlineLevel="2">
      <c r="A96" s="1318">
        <v>90</v>
      </c>
      <c r="B96" s="1322" t="s">
        <v>3563</v>
      </c>
      <c r="C96" s="1318" t="s">
        <v>962</v>
      </c>
      <c r="D96" s="1322" t="s">
        <v>237</v>
      </c>
      <c r="E96" s="1318" t="s">
        <v>4</v>
      </c>
      <c r="F96" s="1322" t="s">
        <v>3564</v>
      </c>
      <c r="G96" s="1318" t="s">
        <v>3387</v>
      </c>
      <c r="H96" s="1323">
        <f t="shared" si="22"/>
        <v>118914</v>
      </c>
      <c r="I96" s="1654"/>
      <c r="J96" s="1654"/>
      <c r="K96" s="1654"/>
      <c r="L96" s="1654"/>
    </row>
    <row r="97" spans="1:12" ht="18" customHeight="1" outlineLevel="2">
      <c r="A97" s="1318">
        <v>91</v>
      </c>
      <c r="B97" s="1322" t="s">
        <v>3565</v>
      </c>
      <c r="C97" s="1318" t="s">
        <v>962</v>
      </c>
      <c r="D97" s="1322" t="s">
        <v>237</v>
      </c>
      <c r="E97" s="1318" t="s">
        <v>4</v>
      </c>
      <c r="F97" s="1322" t="s">
        <v>3566</v>
      </c>
      <c r="G97" s="1318" t="s">
        <v>3387</v>
      </c>
      <c r="H97" s="1323">
        <f t="shared" si="22"/>
        <v>118914</v>
      </c>
      <c r="I97" s="1654"/>
      <c r="J97" s="1654"/>
      <c r="K97" s="1654"/>
      <c r="L97" s="1654"/>
    </row>
    <row r="98" spans="1:12" ht="18" customHeight="1" outlineLevel="2">
      <c r="A98" s="1318">
        <v>92</v>
      </c>
      <c r="B98" s="1322" t="s">
        <v>3567</v>
      </c>
      <c r="C98" s="1318" t="s">
        <v>962</v>
      </c>
      <c r="D98" s="1322" t="s">
        <v>239</v>
      </c>
      <c r="E98" s="1318" t="s">
        <v>4</v>
      </c>
      <c r="F98" s="1322" t="s">
        <v>3568</v>
      </c>
      <c r="G98" s="1318" t="s">
        <v>3384</v>
      </c>
      <c r="H98" s="1319">
        <v>285394</v>
      </c>
      <c r="I98" s="1654"/>
      <c r="J98" s="1654"/>
      <c r="K98" s="1654"/>
      <c r="L98" s="1654"/>
    </row>
    <row r="99" spans="1:12" ht="18" customHeight="1" outlineLevel="2">
      <c r="A99" s="1318">
        <v>93</v>
      </c>
      <c r="B99" s="1322" t="s">
        <v>3569</v>
      </c>
      <c r="C99" s="1318" t="s">
        <v>958</v>
      </c>
      <c r="D99" s="1322" t="s">
        <v>265</v>
      </c>
      <c r="E99" s="1318" t="s">
        <v>4</v>
      </c>
      <c r="F99" s="1322" t="s">
        <v>3570</v>
      </c>
      <c r="G99" s="1318" t="s">
        <v>3384</v>
      </c>
      <c r="H99" s="1319">
        <v>285394</v>
      </c>
      <c r="I99" s="1654"/>
      <c r="J99" s="1654"/>
      <c r="K99" s="1654"/>
      <c r="L99" s="1654"/>
    </row>
    <row r="100" spans="1:12" ht="18" customHeight="1" outlineLevel="2">
      <c r="A100" s="1318">
        <v>94</v>
      </c>
      <c r="B100" s="1322" t="s">
        <v>3571</v>
      </c>
      <c r="C100" s="1318" t="s">
        <v>958</v>
      </c>
      <c r="D100" s="1322" t="s">
        <v>265</v>
      </c>
      <c r="E100" s="1318" t="s">
        <v>4</v>
      </c>
      <c r="F100" s="1322" t="s">
        <v>3572</v>
      </c>
      <c r="G100" s="1318" t="s">
        <v>3387</v>
      </c>
      <c r="H100" s="1323">
        <f t="shared" ref="H100:H102" si="23">ROUND(285394/12*5,0)</f>
        <v>118914</v>
      </c>
      <c r="I100" s="1654"/>
      <c r="J100" s="1654"/>
      <c r="K100" s="1654"/>
      <c r="L100" s="1654"/>
    </row>
    <row r="101" spans="1:12" ht="18" customHeight="1" outlineLevel="2">
      <c r="A101" s="1318">
        <v>95</v>
      </c>
      <c r="B101" s="1322" t="s">
        <v>3573</v>
      </c>
      <c r="C101" s="1318" t="s">
        <v>958</v>
      </c>
      <c r="D101" s="1322" t="s">
        <v>265</v>
      </c>
      <c r="E101" s="1318" t="s">
        <v>4</v>
      </c>
      <c r="F101" s="1322" t="s">
        <v>3574</v>
      </c>
      <c r="G101" s="1318" t="s">
        <v>3387</v>
      </c>
      <c r="H101" s="1323">
        <f t="shared" si="23"/>
        <v>118914</v>
      </c>
      <c r="I101" s="1654"/>
      <c r="J101" s="1654"/>
      <c r="K101" s="1654"/>
      <c r="L101" s="1654"/>
    </row>
    <row r="102" spans="1:12" ht="18" customHeight="1" outlineLevel="2">
      <c r="A102" s="1318">
        <v>96</v>
      </c>
      <c r="B102" s="1322" t="s">
        <v>3575</v>
      </c>
      <c r="C102" s="1318" t="s">
        <v>958</v>
      </c>
      <c r="D102" s="1322" t="s">
        <v>265</v>
      </c>
      <c r="E102" s="1318" t="s">
        <v>4</v>
      </c>
      <c r="F102" s="1322" t="s">
        <v>3576</v>
      </c>
      <c r="G102" s="1318" t="s">
        <v>3387</v>
      </c>
      <c r="H102" s="1323">
        <f t="shared" si="23"/>
        <v>118914</v>
      </c>
      <c r="I102" s="1654"/>
      <c r="J102" s="1654"/>
      <c r="K102" s="1654"/>
      <c r="L102" s="1654"/>
    </row>
    <row r="103" spans="1:12" ht="18" customHeight="1" outlineLevel="2">
      <c r="A103" s="1318">
        <v>97</v>
      </c>
      <c r="B103" s="1322" t="s">
        <v>3577</v>
      </c>
      <c r="C103" s="1318" t="s">
        <v>962</v>
      </c>
      <c r="D103" s="1322" t="s">
        <v>238</v>
      </c>
      <c r="E103" s="1318" t="s">
        <v>4</v>
      </c>
      <c r="F103" s="1322" t="s">
        <v>3578</v>
      </c>
      <c r="G103" s="1318" t="s">
        <v>3384</v>
      </c>
      <c r="H103" s="1319">
        <v>285394</v>
      </c>
      <c r="I103" s="1654"/>
      <c r="J103" s="1654"/>
      <c r="K103" s="1654"/>
      <c r="L103" s="1654"/>
    </row>
    <row r="104" spans="1:12" ht="18" customHeight="1" outlineLevel="2">
      <c r="A104" s="1318">
        <v>98</v>
      </c>
      <c r="B104" s="1322" t="s">
        <v>3579</v>
      </c>
      <c r="C104" s="1318" t="s">
        <v>962</v>
      </c>
      <c r="D104" s="1322" t="s">
        <v>238</v>
      </c>
      <c r="E104" s="1318" t="s">
        <v>4</v>
      </c>
      <c r="F104" s="1322" t="s">
        <v>3580</v>
      </c>
      <c r="G104" s="1318" t="s">
        <v>3387</v>
      </c>
      <c r="H104" s="1323">
        <f t="shared" ref="H104:H110" si="24">ROUND(285394/12*5,0)</f>
        <v>118914</v>
      </c>
      <c r="I104" s="1654"/>
      <c r="J104" s="1654"/>
      <c r="K104" s="1654"/>
      <c r="L104" s="1654"/>
    </row>
    <row r="105" spans="1:12" ht="18" customHeight="1" outlineLevel="2">
      <c r="A105" s="1318">
        <v>99</v>
      </c>
      <c r="B105" s="1322" t="s">
        <v>3581</v>
      </c>
      <c r="C105" s="1318" t="s">
        <v>962</v>
      </c>
      <c r="D105" s="1322" t="s">
        <v>238</v>
      </c>
      <c r="E105" s="1318" t="s">
        <v>4</v>
      </c>
      <c r="F105" s="1322" t="s">
        <v>3582</v>
      </c>
      <c r="G105" s="1318" t="s">
        <v>3387</v>
      </c>
      <c r="H105" s="1323">
        <f t="shared" si="24"/>
        <v>118914</v>
      </c>
      <c r="I105" s="1654"/>
      <c r="J105" s="1654"/>
      <c r="K105" s="1654"/>
      <c r="L105" s="1654"/>
    </row>
    <row r="106" spans="1:12" ht="18" customHeight="1" outlineLevel="2">
      <c r="A106" s="1318">
        <v>100</v>
      </c>
      <c r="B106" s="1322" t="s">
        <v>3583</v>
      </c>
      <c r="C106" s="1318" t="s">
        <v>962</v>
      </c>
      <c r="D106" s="1322" t="s">
        <v>238</v>
      </c>
      <c r="E106" s="1318" t="s">
        <v>4</v>
      </c>
      <c r="F106" s="1322" t="s">
        <v>3584</v>
      </c>
      <c r="G106" s="1318" t="s">
        <v>3387</v>
      </c>
      <c r="H106" s="1323">
        <f t="shared" si="24"/>
        <v>118914</v>
      </c>
      <c r="I106" s="1654"/>
      <c r="J106" s="1654"/>
      <c r="K106" s="1654"/>
      <c r="L106" s="1654"/>
    </row>
    <row r="107" spans="1:12" ht="18" customHeight="1" outlineLevel="2">
      <c r="A107" s="1318">
        <v>101</v>
      </c>
      <c r="B107" s="1322" t="s">
        <v>3585</v>
      </c>
      <c r="C107" s="1318" t="s">
        <v>962</v>
      </c>
      <c r="D107" s="1322" t="s">
        <v>238</v>
      </c>
      <c r="E107" s="1318" t="s">
        <v>4</v>
      </c>
      <c r="F107" s="1322" t="s">
        <v>3586</v>
      </c>
      <c r="G107" s="1318" t="s">
        <v>3387</v>
      </c>
      <c r="H107" s="1323">
        <f t="shared" si="24"/>
        <v>118914</v>
      </c>
      <c r="I107" s="1654"/>
      <c r="J107" s="1654"/>
      <c r="K107" s="1654"/>
      <c r="L107" s="1654"/>
    </row>
    <row r="108" spans="1:12" ht="18" customHeight="1" outlineLevel="2">
      <c r="A108" s="1318">
        <v>102</v>
      </c>
      <c r="B108" s="1322" t="s">
        <v>3587</v>
      </c>
      <c r="C108" s="1318" t="s">
        <v>962</v>
      </c>
      <c r="D108" s="1322" t="s">
        <v>238</v>
      </c>
      <c r="E108" s="1318" t="s">
        <v>4</v>
      </c>
      <c r="F108" s="1322" t="s">
        <v>3588</v>
      </c>
      <c r="G108" s="1318" t="s">
        <v>3387</v>
      </c>
      <c r="H108" s="1323">
        <f t="shared" si="24"/>
        <v>118914</v>
      </c>
      <c r="I108" s="1654"/>
      <c r="J108" s="1654"/>
      <c r="K108" s="1654"/>
      <c r="L108" s="1654"/>
    </row>
    <row r="109" spans="1:12" ht="18" customHeight="1" outlineLevel="2">
      <c r="A109" s="1318">
        <v>103</v>
      </c>
      <c r="B109" s="1322" t="s">
        <v>3589</v>
      </c>
      <c r="C109" s="1318" t="s">
        <v>962</v>
      </c>
      <c r="D109" s="1322" t="s">
        <v>238</v>
      </c>
      <c r="E109" s="1318" t="s">
        <v>4</v>
      </c>
      <c r="F109" s="1322" t="s">
        <v>3590</v>
      </c>
      <c r="G109" s="1318" t="s">
        <v>3387</v>
      </c>
      <c r="H109" s="1323">
        <f t="shared" si="24"/>
        <v>118914</v>
      </c>
      <c r="I109" s="1654"/>
      <c r="J109" s="1654"/>
      <c r="K109" s="1654"/>
      <c r="L109" s="1654"/>
    </row>
    <row r="110" spans="1:12" ht="18" customHeight="1" outlineLevel="2">
      <c r="A110" s="1318">
        <v>104</v>
      </c>
      <c r="B110" s="1322" t="s">
        <v>3591</v>
      </c>
      <c r="C110" s="1318" t="s">
        <v>962</v>
      </c>
      <c r="D110" s="1322" t="s">
        <v>238</v>
      </c>
      <c r="E110" s="1318" t="s">
        <v>4</v>
      </c>
      <c r="F110" s="1322" t="s">
        <v>3592</v>
      </c>
      <c r="G110" s="1318" t="s">
        <v>3387</v>
      </c>
      <c r="H110" s="1323">
        <f t="shared" si="24"/>
        <v>118914</v>
      </c>
      <c r="I110" s="1654"/>
      <c r="J110" s="1654"/>
      <c r="K110" s="1654"/>
      <c r="L110" s="1654"/>
    </row>
    <row r="111" spans="1:12" ht="18" customHeight="1" outlineLevel="2">
      <c r="A111" s="1318">
        <v>105</v>
      </c>
      <c r="B111" s="1318" t="s">
        <v>3593</v>
      </c>
      <c r="C111" s="1318" t="s">
        <v>962</v>
      </c>
      <c r="D111" s="1318" t="s">
        <v>239</v>
      </c>
      <c r="E111" s="1318" t="str">
        <f>VLOOKUP(D111,[2]Sheet1!D:F,3,FALSE)</f>
        <v>七宝</v>
      </c>
      <c r="F111" s="1318" t="s">
        <v>3594</v>
      </c>
      <c r="G111" s="1318" t="s">
        <v>3460</v>
      </c>
      <c r="H111" s="1319">
        <f t="shared" ref="H111:H113" si="25">ROUND(285394/12*6,0)</f>
        <v>142697</v>
      </c>
      <c r="I111" s="1654"/>
      <c r="J111" s="1654"/>
      <c r="K111" s="1654"/>
      <c r="L111" s="1654"/>
    </row>
    <row r="112" spans="1:12" ht="18" customHeight="1" outlineLevel="2">
      <c r="A112" s="1318">
        <v>106</v>
      </c>
      <c r="B112" s="1318" t="s">
        <v>3595</v>
      </c>
      <c r="C112" s="1318" t="s">
        <v>962</v>
      </c>
      <c r="D112" s="1318" t="s">
        <v>239</v>
      </c>
      <c r="E112" s="1318" t="str">
        <f>VLOOKUP(D112,[2]Sheet1!D:F,3,FALSE)</f>
        <v>七宝</v>
      </c>
      <c r="F112" s="1318" t="s">
        <v>3596</v>
      </c>
      <c r="G112" s="1318" t="s">
        <v>3460</v>
      </c>
      <c r="H112" s="1319">
        <f t="shared" si="25"/>
        <v>142697</v>
      </c>
      <c r="I112" s="1654"/>
      <c r="J112" s="1654"/>
      <c r="K112" s="1654"/>
      <c r="L112" s="1654"/>
    </row>
    <row r="113" spans="1:12" ht="18" customHeight="1" outlineLevel="2">
      <c r="A113" s="1318">
        <v>107</v>
      </c>
      <c r="B113" s="1318" t="s">
        <v>3597</v>
      </c>
      <c r="C113" s="1318" t="s">
        <v>962</v>
      </c>
      <c r="D113" s="1318" t="s">
        <v>238</v>
      </c>
      <c r="E113" s="1318" t="str">
        <f>VLOOKUP(D113,[2]Sheet1!D:F,3,FALSE)</f>
        <v>七宝</v>
      </c>
      <c r="F113" s="1318" t="s">
        <v>3598</v>
      </c>
      <c r="G113" s="1318" t="s">
        <v>3460</v>
      </c>
      <c r="H113" s="1319">
        <f t="shared" si="25"/>
        <v>142697</v>
      </c>
      <c r="I113" s="1655"/>
      <c r="J113" s="1655"/>
      <c r="K113" s="1655"/>
      <c r="L113" s="1655"/>
    </row>
    <row r="114" spans="1:12" ht="18" customHeight="1" outlineLevel="1">
      <c r="A114" s="1318"/>
      <c r="B114" s="1318"/>
      <c r="C114" s="1318"/>
      <c r="D114" s="1318"/>
      <c r="E114" s="1326" t="s">
        <v>256</v>
      </c>
      <c r="F114" s="1318"/>
      <c r="G114" s="1318"/>
      <c r="H114" s="1319">
        <f>SUBTOTAL(9,H68:H113)</f>
        <v>7963358</v>
      </c>
      <c r="I114" s="1325">
        <f t="shared" ref="I114:L114" si="26">SUBTOTAL(9,I68:I113)</f>
        <v>4756561.84</v>
      </c>
      <c r="J114" s="1325">
        <f t="shared" si="26"/>
        <v>3206796.16</v>
      </c>
      <c r="K114" s="1325">
        <f t="shared" si="26"/>
        <v>0</v>
      </c>
      <c r="L114" s="1325">
        <f t="shared" si="26"/>
        <v>3206796.16</v>
      </c>
    </row>
    <row r="115" spans="1:12" ht="18" customHeight="1" outlineLevel="2">
      <c r="A115" s="1318">
        <v>108</v>
      </c>
      <c r="B115" s="1318" t="s">
        <v>3599</v>
      </c>
      <c r="C115" s="1318" t="s">
        <v>3081</v>
      </c>
      <c r="D115" s="1318" t="s">
        <v>1013</v>
      </c>
      <c r="E115" s="1318" t="s">
        <v>5</v>
      </c>
      <c r="F115" s="1322" t="s">
        <v>3600</v>
      </c>
      <c r="G115" s="1318" t="s">
        <v>3384</v>
      </c>
      <c r="H115" s="1319">
        <f>ROUND(232297.1,0)</f>
        <v>232297</v>
      </c>
      <c r="I115" s="1653">
        <v>13514896.08</v>
      </c>
      <c r="J115" s="1653">
        <f>H239-I115</f>
        <v>6834815.9199999999</v>
      </c>
      <c r="K115" s="1653">
        <v>4216966.78</v>
      </c>
      <c r="L115" s="1653">
        <f>J115-K115</f>
        <v>2617849.1399999997</v>
      </c>
    </row>
    <row r="116" spans="1:12" ht="18" customHeight="1" outlineLevel="2">
      <c r="A116" s="1318">
        <v>109</v>
      </c>
      <c r="B116" s="1318" t="s">
        <v>3601</v>
      </c>
      <c r="C116" s="1318" t="s">
        <v>3081</v>
      </c>
      <c r="D116" s="1318" t="s">
        <v>1013</v>
      </c>
      <c r="E116" s="1318" t="s">
        <v>5</v>
      </c>
      <c r="F116" s="1322" t="s">
        <v>3602</v>
      </c>
      <c r="G116" s="1318" t="s">
        <v>3387</v>
      </c>
      <c r="H116" s="1323">
        <f t="shared" ref="H116:H125" si="27">ROUND(232297.1/12*5,0)</f>
        <v>96790</v>
      </c>
      <c r="I116" s="1654"/>
      <c r="J116" s="1654"/>
      <c r="K116" s="1654"/>
      <c r="L116" s="1654"/>
    </row>
    <row r="117" spans="1:12" ht="18" customHeight="1" outlineLevel="2">
      <c r="A117" s="1318">
        <v>110</v>
      </c>
      <c r="B117" s="1318" t="s">
        <v>3603</v>
      </c>
      <c r="C117" s="1318" t="s">
        <v>3081</v>
      </c>
      <c r="D117" s="1318" t="s">
        <v>1013</v>
      </c>
      <c r="E117" s="1318" t="s">
        <v>5</v>
      </c>
      <c r="F117" s="1322" t="s">
        <v>3604</v>
      </c>
      <c r="G117" s="1318" t="s">
        <v>3387</v>
      </c>
      <c r="H117" s="1323">
        <f t="shared" si="27"/>
        <v>96790</v>
      </c>
      <c r="I117" s="1654"/>
      <c r="J117" s="1654"/>
      <c r="K117" s="1654"/>
      <c r="L117" s="1654"/>
    </row>
    <row r="118" spans="1:12" ht="18" customHeight="1" outlineLevel="2">
      <c r="A118" s="1318">
        <v>111</v>
      </c>
      <c r="B118" s="1318" t="s">
        <v>3605</v>
      </c>
      <c r="C118" s="1318" t="s">
        <v>3081</v>
      </c>
      <c r="D118" s="1318" t="s">
        <v>1013</v>
      </c>
      <c r="E118" s="1318" t="s">
        <v>5</v>
      </c>
      <c r="F118" s="1322" t="s">
        <v>3606</v>
      </c>
      <c r="G118" s="1318" t="s">
        <v>3387</v>
      </c>
      <c r="H118" s="1323">
        <f t="shared" si="27"/>
        <v>96790</v>
      </c>
      <c r="I118" s="1654"/>
      <c r="J118" s="1654"/>
      <c r="K118" s="1654"/>
      <c r="L118" s="1654"/>
    </row>
    <row r="119" spans="1:12" ht="18" customHeight="1" outlineLevel="2">
      <c r="A119" s="1318">
        <v>112</v>
      </c>
      <c r="B119" s="1318" t="s">
        <v>3607</v>
      </c>
      <c r="C119" s="1318" t="s">
        <v>3081</v>
      </c>
      <c r="D119" s="1318" t="s">
        <v>542</v>
      </c>
      <c r="E119" s="1318" t="s">
        <v>5</v>
      </c>
      <c r="F119" s="1322" t="s">
        <v>3608</v>
      </c>
      <c r="G119" s="1318" t="s">
        <v>3387</v>
      </c>
      <c r="H119" s="1323">
        <f t="shared" si="27"/>
        <v>96790</v>
      </c>
      <c r="I119" s="1654"/>
      <c r="J119" s="1654"/>
      <c r="K119" s="1654"/>
      <c r="L119" s="1654"/>
    </row>
    <row r="120" spans="1:12" ht="18" customHeight="1" outlineLevel="2">
      <c r="A120" s="1318">
        <v>113</v>
      </c>
      <c r="B120" s="1318" t="s">
        <v>3609</v>
      </c>
      <c r="C120" s="1318" t="s">
        <v>3081</v>
      </c>
      <c r="D120" s="1318" t="s">
        <v>542</v>
      </c>
      <c r="E120" s="1318" t="s">
        <v>5</v>
      </c>
      <c r="F120" s="1322" t="s">
        <v>3610</v>
      </c>
      <c r="G120" s="1318" t="s">
        <v>3387</v>
      </c>
      <c r="H120" s="1323">
        <f t="shared" si="27"/>
        <v>96790</v>
      </c>
      <c r="I120" s="1654"/>
      <c r="J120" s="1654"/>
      <c r="K120" s="1654"/>
      <c r="L120" s="1654"/>
    </row>
    <row r="121" spans="1:12" ht="18" customHeight="1" outlineLevel="2">
      <c r="A121" s="1318">
        <v>114</v>
      </c>
      <c r="B121" s="1318" t="s">
        <v>3611</v>
      </c>
      <c r="C121" s="1318" t="s">
        <v>3081</v>
      </c>
      <c r="D121" s="1318" t="s">
        <v>542</v>
      </c>
      <c r="E121" s="1318" t="s">
        <v>5</v>
      </c>
      <c r="F121" s="1322" t="s">
        <v>3612</v>
      </c>
      <c r="G121" s="1318" t="s">
        <v>3387</v>
      </c>
      <c r="H121" s="1323">
        <f t="shared" si="27"/>
        <v>96790</v>
      </c>
      <c r="I121" s="1654"/>
      <c r="J121" s="1654"/>
      <c r="K121" s="1654"/>
      <c r="L121" s="1654"/>
    </row>
    <row r="122" spans="1:12" ht="18" customHeight="1" outlineLevel="2">
      <c r="A122" s="1318">
        <v>115</v>
      </c>
      <c r="B122" s="1318" t="s">
        <v>3613</v>
      </c>
      <c r="C122" s="1318" t="s">
        <v>3081</v>
      </c>
      <c r="D122" s="1318" t="s">
        <v>542</v>
      </c>
      <c r="E122" s="1318" t="s">
        <v>5</v>
      </c>
      <c r="F122" s="1322" t="s">
        <v>3614</v>
      </c>
      <c r="G122" s="1318" t="s">
        <v>3387</v>
      </c>
      <c r="H122" s="1323">
        <f t="shared" si="27"/>
        <v>96790</v>
      </c>
      <c r="I122" s="1654"/>
      <c r="J122" s="1654"/>
      <c r="K122" s="1654"/>
      <c r="L122" s="1654"/>
    </row>
    <row r="123" spans="1:12" ht="18" customHeight="1" outlineLevel="2">
      <c r="A123" s="1318">
        <v>116</v>
      </c>
      <c r="B123" s="1318" t="s">
        <v>3615</v>
      </c>
      <c r="C123" s="1318" t="s">
        <v>3081</v>
      </c>
      <c r="D123" s="1318" t="s">
        <v>542</v>
      </c>
      <c r="E123" s="1318" t="s">
        <v>5</v>
      </c>
      <c r="F123" s="1322" t="s">
        <v>3616</v>
      </c>
      <c r="G123" s="1318" t="s">
        <v>3387</v>
      </c>
      <c r="H123" s="1323">
        <f t="shared" si="27"/>
        <v>96790</v>
      </c>
      <c r="I123" s="1654"/>
      <c r="J123" s="1654"/>
      <c r="K123" s="1654"/>
      <c r="L123" s="1654"/>
    </row>
    <row r="124" spans="1:12" ht="18" customHeight="1" outlineLevel="2">
      <c r="A124" s="1318">
        <v>117</v>
      </c>
      <c r="B124" s="1318" t="s">
        <v>3617</v>
      </c>
      <c r="C124" s="1318" t="s">
        <v>3081</v>
      </c>
      <c r="D124" s="1318" t="s">
        <v>542</v>
      </c>
      <c r="E124" s="1318" t="s">
        <v>5</v>
      </c>
      <c r="F124" s="1322" t="s">
        <v>3618</v>
      </c>
      <c r="G124" s="1318" t="s">
        <v>3387</v>
      </c>
      <c r="H124" s="1323">
        <f t="shared" si="27"/>
        <v>96790</v>
      </c>
      <c r="I124" s="1654"/>
      <c r="J124" s="1654"/>
      <c r="K124" s="1654"/>
      <c r="L124" s="1654"/>
    </row>
    <row r="125" spans="1:12" ht="18" customHeight="1" outlineLevel="2">
      <c r="A125" s="1318">
        <v>118</v>
      </c>
      <c r="B125" s="1318" t="s">
        <v>3619</v>
      </c>
      <c r="C125" s="1318" t="s">
        <v>3081</v>
      </c>
      <c r="D125" s="1318" t="s">
        <v>542</v>
      </c>
      <c r="E125" s="1318" t="s">
        <v>5</v>
      </c>
      <c r="F125" s="1322" t="s">
        <v>3620</v>
      </c>
      <c r="G125" s="1318" t="s">
        <v>3387</v>
      </c>
      <c r="H125" s="1323">
        <f t="shared" si="27"/>
        <v>96790</v>
      </c>
      <c r="I125" s="1654"/>
      <c r="J125" s="1654"/>
      <c r="K125" s="1654"/>
      <c r="L125" s="1654"/>
    </row>
    <row r="126" spans="1:12" ht="18" customHeight="1" outlineLevel="2">
      <c r="A126" s="1318">
        <v>119</v>
      </c>
      <c r="B126" s="1318" t="s">
        <v>3621</v>
      </c>
      <c r="C126" s="1318" t="s">
        <v>3081</v>
      </c>
      <c r="D126" s="1318" t="s">
        <v>1016</v>
      </c>
      <c r="E126" s="1318" t="s">
        <v>5</v>
      </c>
      <c r="F126" s="1322" t="s">
        <v>3622</v>
      </c>
      <c r="G126" s="1318" t="s">
        <v>3384</v>
      </c>
      <c r="H126" s="1319">
        <f t="shared" ref="H126:H128" si="28">ROUND(232297.1,0)</f>
        <v>232297</v>
      </c>
      <c r="I126" s="1654"/>
      <c r="J126" s="1654"/>
      <c r="K126" s="1654"/>
      <c r="L126" s="1654"/>
    </row>
    <row r="127" spans="1:12" ht="18" customHeight="1" outlineLevel="2">
      <c r="A127" s="1318">
        <v>120</v>
      </c>
      <c r="B127" s="1318" t="s">
        <v>3623</v>
      </c>
      <c r="C127" s="1318" t="s">
        <v>3081</v>
      </c>
      <c r="D127" s="1318" t="s">
        <v>1016</v>
      </c>
      <c r="E127" s="1318" t="s">
        <v>5</v>
      </c>
      <c r="F127" s="1322" t="s">
        <v>3624</v>
      </c>
      <c r="G127" s="1318" t="s">
        <v>3384</v>
      </c>
      <c r="H127" s="1319">
        <f t="shared" si="28"/>
        <v>232297</v>
      </c>
      <c r="I127" s="1654"/>
      <c r="J127" s="1654"/>
      <c r="K127" s="1654"/>
      <c r="L127" s="1654"/>
    </row>
    <row r="128" spans="1:12" ht="18" customHeight="1" outlineLevel="2">
      <c r="A128" s="1318">
        <v>121</v>
      </c>
      <c r="B128" s="1318" t="s">
        <v>3625</v>
      </c>
      <c r="C128" s="1318" t="s">
        <v>3081</v>
      </c>
      <c r="D128" s="1318" t="s">
        <v>1016</v>
      </c>
      <c r="E128" s="1318" t="s">
        <v>5</v>
      </c>
      <c r="F128" s="1322" t="s">
        <v>3626</v>
      </c>
      <c r="G128" s="1318" t="s">
        <v>3384</v>
      </c>
      <c r="H128" s="1319">
        <f t="shared" si="28"/>
        <v>232297</v>
      </c>
      <c r="I128" s="1654"/>
      <c r="J128" s="1654"/>
      <c r="K128" s="1654"/>
      <c r="L128" s="1654"/>
    </row>
    <row r="129" spans="1:12" ht="18" customHeight="1" outlineLevel="2">
      <c r="A129" s="1318">
        <v>122</v>
      </c>
      <c r="B129" s="1318" t="s">
        <v>3627</v>
      </c>
      <c r="C129" s="1318" t="s">
        <v>3081</v>
      </c>
      <c r="D129" s="1318" t="s">
        <v>1016</v>
      </c>
      <c r="E129" s="1318" t="s">
        <v>5</v>
      </c>
      <c r="F129" s="1322" t="s">
        <v>3628</v>
      </c>
      <c r="G129" s="1318" t="s">
        <v>3387</v>
      </c>
      <c r="H129" s="1323">
        <f t="shared" ref="H129:H130" si="29">ROUND(232297.1/12*5,0)</f>
        <v>96790</v>
      </c>
      <c r="I129" s="1654"/>
      <c r="J129" s="1654"/>
      <c r="K129" s="1654"/>
      <c r="L129" s="1654"/>
    </row>
    <row r="130" spans="1:12" ht="18" customHeight="1" outlineLevel="2">
      <c r="A130" s="1318">
        <v>123</v>
      </c>
      <c r="B130" s="1318" t="s">
        <v>3629</v>
      </c>
      <c r="C130" s="1318" t="s">
        <v>3081</v>
      </c>
      <c r="D130" s="1318" t="s">
        <v>1016</v>
      </c>
      <c r="E130" s="1318" t="s">
        <v>5</v>
      </c>
      <c r="F130" s="1322" t="s">
        <v>3630</v>
      </c>
      <c r="G130" s="1318" t="s">
        <v>3387</v>
      </c>
      <c r="H130" s="1323">
        <f t="shared" si="29"/>
        <v>96790</v>
      </c>
      <c r="I130" s="1654"/>
      <c r="J130" s="1654"/>
      <c r="K130" s="1654"/>
      <c r="L130" s="1654"/>
    </row>
    <row r="131" spans="1:12" ht="18" customHeight="1" outlineLevel="2">
      <c r="A131" s="1318">
        <v>124</v>
      </c>
      <c r="B131" s="1318" t="s">
        <v>3631</v>
      </c>
      <c r="C131" s="1318" t="s">
        <v>3081</v>
      </c>
      <c r="D131" s="1318" t="s">
        <v>1014</v>
      </c>
      <c r="E131" s="1318" t="s">
        <v>5</v>
      </c>
      <c r="F131" s="1322" t="s">
        <v>3632</v>
      </c>
      <c r="G131" s="1318" t="s">
        <v>3384</v>
      </c>
      <c r="H131" s="1319">
        <f t="shared" ref="H131:H136" si="30">ROUND(232297.1,0)</f>
        <v>232297</v>
      </c>
      <c r="I131" s="1654"/>
      <c r="J131" s="1654"/>
      <c r="K131" s="1654"/>
      <c r="L131" s="1654"/>
    </row>
    <row r="132" spans="1:12" ht="18" customHeight="1" outlineLevel="2">
      <c r="A132" s="1318">
        <v>125</v>
      </c>
      <c r="B132" s="1318" t="s">
        <v>3633</v>
      </c>
      <c r="C132" s="1318" t="s">
        <v>3081</v>
      </c>
      <c r="D132" s="1318" t="s">
        <v>1014</v>
      </c>
      <c r="E132" s="1318" t="s">
        <v>5</v>
      </c>
      <c r="F132" s="1322" t="s">
        <v>3634</v>
      </c>
      <c r="G132" s="1318" t="s">
        <v>3384</v>
      </c>
      <c r="H132" s="1319">
        <f t="shared" si="30"/>
        <v>232297</v>
      </c>
      <c r="I132" s="1654"/>
      <c r="J132" s="1654"/>
      <c r="K132" s="1654"/>
      <c r="L132" s="1654"/>
    </row>
    <row r="133" spans="1:12" ht="18" customHeight="1" outlineLevel="2">
      <c r="A133" s="1318">
        <v>126</v>
      </c>
      <c r="B133" s="1318" t="s">
        <v>3635</v>
      </c>
      <c r="C133" s="1318" t="s">
        <v>3081</v>
      </c>
      <c r="D133" s="1318" t="s">
        <v>1014</v>
      </c>
      <c r="E133" s="1318" t="s">
        <v>5</v>
      </c>
      <c r="F133" s="1322" t="s">
        <v>3636</v>
      </c>
      <c r="G133" s="1318" t="s">
        <v>3384</v>
      </c>
      <c r="H133" s="1319">
        <f t="shared" si="30"/>
        <v>232297</v>
      </c>
      <c r="I133" s="1654"/>
      <c r="J133" s="1654"/>
      <c r="K133" s="1654"/>
      <c r="L133" s="1654"/>
    </row>
    <row r="134" spans="1:12" ht="18" customHeight="1" outlineLevel="2">
      <c r="A134" s="1318">
        <v>127</v>
      </c>
      <c r="B134" s="1318" t="s">
        <v>3637</v>
      </c>
      <c r="C134" s="1318" t="s">
        <v>3081</v>
      </c>
      <c r="D134" s="1318" t="s">
        <v>1014</v>
      </c>
      <c r="E134" s="1318" t="s">
        <v>5</v>
      </c>
      <c r="F134" s="1322" t="s">
        <v>3638</v>
      </c>
      <c r="G134" s="1318" t="s">
        <v>3384</v>
      </c>
      <c r="H134" s="1319">
        <f t="shared" si="30"/>
        <v>232297</v>
      </c>
      <c r="I134" s="1654"/>
      <c r="J134" s="1654"/>
      <c r="K134" s="1654"/>
      <c r="L134" s="1654"/>
    </row>
    <row r="135" spans="1:12" ht="18" customHeight="1" outlineLevel="2">
      <c r="A135" s="1318">
        <v>128</v>
      </c>
      <c r="B135" s="1318" t="s">
        <v>3639</v>
      </c>
      <c r="C135" s="1318" t="s">
        <v>3081</v>
      </c>
      <c r="D135" s="1318" t="s">
        <v>1014</v>
      </c>
      <c r="E135" s="1318" t="s">
        <v>5</v>
      </c>
      <c r="F135" s="1322" t="s">
        <v>3640</v>
      </c>
      <c r="G135" s="1318" t="s">
        <v>3384</v>
      </c>
      <c r="H135" s="1319">
        <f t="shared" si="30"/>
        <v>232297</v>
      </c>
      <c r="I135" s="1654"/>
      <c r="J135" s="1654"/>
      <c r="K135" s="1654"/>
      <c r="L135" s="1654"/>
    </row>
    <row r="136" spans="1:12" ht="18" customHeight="1" outlineLevel="2">
      <c r="A136" s="1318">
        <v>129</v>
      </c>
      <c r="B136" s="1318" t="s">
        <v>3641</v>
      </c>
      <c r="C136" s="1318" t="s">
        <v>3081</v>
      </c>
      <c r="D136" s="1318" t="s">
        <v>1014</v>
      </c>
      <c r="E136" s="1318" t="s">
        <v>5</v>
      </c>
      <c r="F136" s="1322" t="s">
        <v>3642</v>
      </c>
      <c r="G136" s="1318" t="s">
        <v>3384</v>
      </c>
      <c r="H136" s="1319">
        <f t="shared" si="30"/>
        <v>232297</v>
      </c>
      <c r="I136" s="1654"/>
      <c r="J136" s="1654"/>
      <c r="K136" s="1654"/>
      <c r="L136" s="1654"/>
    </row>
    <row r="137" spans="1:12" ht="18" customHeight="1" outlineLevel="2">
      <c r="A137" s="1318">
        <v>130</v>
      </c>
      <c r="B137" s="1318" t="s">
        <v>3643</v>
      </c>
      <c r="C137" s="1318" t="s">
        <v>3081</v>
      </c>
      <c r="D137" s="1318" t="s">
        <v>1014</v>
      </c>
      <c r="E137" s="1318" t="s">
        <v>5</v>
      </c>
      <c r="F137" s="1322" t="s">
        <v>3644</v>
      </c>
      <c r="G137" s="1318" t="s">
        <v>3387</v>
      </c>
      <c r="H137" s="1323">
        <f t="shared" ref="H137:H145" si="31">ROUND(232297.1/12*5,0)</f>
        <v>96790</v>
      </c>
      <c r="I137" s="1654"/>
      <c r="J137" s="1654"/>
      <c r="K137" s="1654"/>
      <c r="L137" s="1654"/>
    </row>
    <row r="138" spans="1:12" ht="18" customHeight="1" outlineLevel="2">
      <c r="A138" s="1318">
        <v>131</v>
      </c>
      <c r="B138" s="1318" t="s">
        <v>3645</v>
      </c>
      <c r="C138" s="1318" t="s">
        <v>3081</v>
      </c>
      <c r="D138" s="1318" t="s">
        <v>1014</v>
      </c>
      <c r="E138" s="1318" t="s">
        <v>5</v>
      </c>
      <c r="F138" s="1322" t="s">
        <v>3646</v>
      </c>
      <c r="G138" s="1318" t="s">
        <v>3387</v>
      </c>
      <c r="H138" s="1323">
        <f t="shared" si="31"/>
        <v>96790</v>
      </c>
      <c r="I138" s="1654"/>
      <c r="J138" s="1654"/>
      <c r="K138" s="1654"/>
      <c r="L138" s="1654"/>
    </row>
    <row r="139" spans="1:12" ht="18" customHeight="1" outlineLevel="2">
      <c r="A139" s="1318">
        <v>132</v>
      </c>
      <c r="B139" s="1318" t="s">
        <v>3647</v>
      </c>
      <c r="C139" s="1318" t="s">
        <v>3081</v>
      </c>
      <c r="D139" s="1318" t="s">
        <v>1014</v>
      </c>
      <c r="E139" s="1318" t="s">
        <v>5</v>
      </c>
      <c r="F139" s="1322" t="s">
        <v>3648</v>
      </c>
      <c r="G139" s="1318" t="s">
        <v>3387</v>
      </c>
      <c r="H139" s="1323">
        <f t="shared" si="31"/>
        <v>96790</v>
      </c>
      <c r="I139" s="1654"/>
      <c r="J139" s="1654"/>
      <c r="K139" s="1654"/>
      <c r="L139" s="1654"/>
    </row>
    <row r="140" spans="1:12" ht="18" customHeight="1" outlineLevel="2">
      <c r="A140" s="1318">
        <v>133</v>
      </c>
      <c r="B140" s="1318" t="s">
        <v>3649</v>
      </c>
      <c r="C140" s="1318" t="s">
        <v>3081</v>
      </c>
      <c r="D140" s="1318" t="s">
        <v>1014</v>
      </c>
      <c r="E140" s="1318" t="s">
        <v>5</v>
      </c>
      <c r="F140" s="1322" t="s">
        <v>3650</v>
      </c>
      <c r="G140" s="1318" t="s">
        <v>3387</v>
      </c>
      <c r="H140" s="1323">
        <f t="shared" si="31"/>
        <v>96790</v>
      </c>
      <c r="I140" s="1654"/>
      <c r="J140" s="1654"/>
      <c r="K140" s="1654"/>
      <c r="L140" s="1654"/>
    </row>
    <row r="141" spans="1:12" ht="18" customHeight="1" outlineLevel="2">
      <c r="A141" s="1318">
        <v>134</v>
      </c>
      <c r="B141" s="1318" t="s">
        <v>3651</v>
      </c>
      <c r="C141" s="1318" t="s">
        <v>3081</v>
      </c>
      <c r="D141" s="1318" t="s">
        <v>1014</v>
      </c>
      <c r="E141" s="1318" t="s">
        <v>5</v>
      </c>
      <c r="F141" s="1322" t="s">
        <v>3652</v>
      </c>
      <c r="G141" s="1318" t="s">
        <v>3387</v>
      </c>
      <c r="H141" s="1323">
        <f t="shared" si="31"/>
        <v>96790</v>
      </c>
      <c r="I141" s="1654"/>
      <c r="J141" s="1654"/>
      <c r="K141" s="1654"/>
      <c r="L141" s="1654"/>
    </row>
    <row r="142" spans="1:12" ht="18" customHeight="1" outlineLevel="2">
      <c r="A142" s="1318">
        <v>135</v>
      </c>
      <c r="B142" s="1318" t="s">
        <v>3653</v>
      </c>
      <c r="C142" s="1318" t="s">
        <v>3081</v>
      </c>
      <c r="D142" s="1318" t="s">
        <v>1014</v>
      </c>
      <c r="E142" s="1318" t="s">
        <v>5</v>
      </c>
      <c r="F142" s="1322" t="s">
        <v>3654</v>
      </c>
      <c r="G142" s="1318" t="s">
        <v>3387</v>
      </c>
      <c r="H142" s="1323">
        <f t="shared" si="31"/>
        <v>96790</v>
      </c>
      <c r="I142" s="1654"/>
      <c r="J142" s="1654"/>
      <c r="K142" s="1654"/>
      <c r="L142" s="1654"/>
    </row>
    <row r="143" spans="1:12" ht="18" customHeight="1" outlineLevel="2">
      <c r="A143" s="1318">
        <v>136</v>
      </c>
      <c r="B143" s="1318" t="s">
        <v>3655</v>
      </c>
      <c r="C143" s="1318" t="s">
        <v>3081</v>
      </c>
      <c r="D143" s="1318" t="s">
        <v>1014</v>
      </c>
      <c r="E143" s="1318" t="s">
        <v>5</v>
      </c>
      <c r="F143" s="1322" t="s">
        <v>3656</v>
      </c>
      <c r="G143" s="1318" t="s">
        <v>3387</v>
      </c>
      <c r="H143" s="1323">
        <f t="shared" si="31"/>
        <v>96790</v>
      </c>
      <c r="I143" s="1654"/>
      <c r="J143" s="1654"/>
      <c r="K143" s="1654"/>
      <c r="L143" s="1654"/>
    </row>
    <row r="144" spans="1:12" ht="18" customHeight="1" outlineLevel="2">
      <c r="A144" s="1318">
        <v>137</v>
      </c>
      <c r="B144" s="1318" t="s">
        <v>3657</v>
      </c>
      <c r="C144" s="1318" t="s">
        <v>3081</v>
      </c>
      <c r="D144" s="1318" t="s">
        <v>1014</v>
      </c>
      <c r="E144" s="1318" t="s">
        <v>5</v>
      </c>
      <c r="F144" s="1322" t="s">
        <v>3658</v>
      </c>
      <c r="G144" s="1318" t="s">
        <v>3387</v>
      </c>
      <c r="H144" s="1323">
        <f t="shared" si="31"/>
        <v>96790</v>
      </c>
      <c r="I144" s="1654"/>
      <c r="J144" s="1654"/>
      <c r="K144" s="1654"/>
      <c r="L144" s="1654"/>
    </row>
    <row r="145" spans="1:12" ht="18" customHeight="1" outlineLevel="2">
      <c r="A145" s="1318">
        <v>138</v>
      </c>
      <c r="B145" s="1318" t="s">
        <v>3659</v>
      </c>
      <c r="C145" s="1318" t="s">
        <v>3081</v>
      </c>
      <c r="D145" s="1318" t="s">
        <v>1014</v>
      </c>
      <c r="E145" s="1318" t="s">
        <v>5</v>
      </c>
      <c r="F145" s="1322" t="s">
        <v>3660</v>
      </c>
      <c r="G145" s="1318" t="s">
        <v>3387</v>
      </c>
      <c r="H145" s="1323">
        <f t="shared" si="31"/>
        <v>96790</v>
      </c>
      <c r="I145" s="1654"/>
      <c r="J145" s="1654"/>
      <c r="K145" s="1654"/>
      <c r="L145" s="1654"/>
    </row>
    <row r="146" spans="1:12" ht="18" customHeight="1" outlineLevel="2">
      <c r="A146" s="1318">
        <v>139</v>
      </c>
      <c r="B146" s="1318" t="s">
        <v>3661</v>
      </c>
      <c r="C146" s="1318" t="s">
        <v>3081</v>
      </c>
      <c r="D146" s="1318" t="s">
        <v>1017</v>
      </c>
      <c r="E146" s="1318" t="s">
        <v>5</v>
      </c>
      <c r="F146" s="1322" t="s">
        <v>3662</v>
      </c>
      <c r="G146" s="1318" t="s">
        <v>3384</v>
      </c>
      <c r="H146" s="1319">
        <f t="shared" ref="H146:H148" si="32">ROUND(232297.1,0)</f>
        <v>232297</v>
      </c>
      <c r="I146" s="1654"/>
      <c r="J146" s="1654"/>
      <c r="K146" s="1654"/>
      <c r="L146" s="1654"/>
    </row>
    <row r="147" spans="1:12" ht="18" customHeight="1" outlineLevel="2">
      <c r="A147" s="1318">
        <v>140</v>
      </c>
      <c r="B147" s="1318" t="s">
        <v>3663</v>
      </c>
      <c r="C147" s="1318" t="s">
        <v>3081</v>
      </c>
      <c r="D147" s="1318" t="s">
        <v>1017</v>
      </c>
      <c r="E147" s="1318" t="s">
        <v>5</v>
      </c>
      <c r="F147" s="1322" t="s">
        <v>3664</v>
      </c>
      <c r="G147" s="1318" t="s">
        <v>3384</v>
      </c>
      <c r="H147" s="1319">
        <f t="shared" si="32"/>
        <v>232297</v>
      </c>
      <c r="I147" s="1654"/>
      <c r="J147" s="1654"/>
      <c r="K147" s="1654"/>
      <c r="L147" s="1654"/>
    </row>
    <row r="148" spans="1:12" ht="18" customHeight="1" outlineLevel="2">
      <c r="A148" s="1318">
        <v>141</v>
      </c>
      <c r="B148" s="1318" t="s">
        <v>3665</v>
      </c>
      <c r="C148" s="1318" t="s">
        <v>3081</v>
      </c>
      <c r="D148" s="1318" t="s">
        <v>1017</v>
      </c>
      <c r="E148" s="1318" t="s">
        <v>5</v>
      </c>
      <c r="F148" s="1322" t="s">
        <v>3666</v>
      </c>
      <c r="G148" s="1318" t="s">
        <v>3384</v>
      </c>
      <c r="H148" s="1319">
        <f t="shared" si="32"/>
        <v>232297</v>
      </c>
      <c r="I148" s="1654"/>
      <c r="J148" s="1654"/>
      <c r="K148" s="1654"/>
      <c r="L148" s="1654"/>
    </row>
    <row r="149" spans="1:12" ht="18" customHeight="1" outlineLevel="2">
      <c r="A149" s="1318">
        <v>142</v>
      </c>
      <c r="B149" s="1318" t="s">
        <v>3667</v>
      </c>
      <c r="C149" s="1318" t="s">
        <v>3081</v>
      </c>
      <c r="D149" s="1318" t="s">
        <v>1017</v>
      </c>
      <c r="E149" s="1318" t="s">
        <v>5</v>
      </c>
      <c r="F149" s="1322" t="s">
        <v>3668</v>
      </c>
      <c r="G149" s="1318" t="s">
        <v>3387</v>
      </c>
      <c r="H149" s="1323">
        <f t="shared" ref="H149:H156" si="33">ROUND(232297.1/12*5,0)</f>
        <v>96790</v>
      </c>
      <c r="I149" s="1654"/>
      <c r="J149" s="1654"/>
      <c r="K149" s="1654"/>
      <c r="L149" s="1654"/>
    </row>
    <row r="150" spans="1:12" ht="18" customHeight="1" outlineLevel="2">
      <c r="A150" s="1318">
        <v>143</v>
      </c>
      <c r="B150" s="1318" t="s">
        <v>3669</v>
      </c>
      <c r="C150" s="1318" t="s">
        <v>3081</v>
      </c>
      <c r="D150" s="1318" t="s">
        <v>1017</v>
      </c>
      <c r="E150" s="1318" t="s">
        <v>5</v>
      </c>
      <c r="F150" s="1322" t="s">
        <v>3670</v>
      </c>
      <c r="G150" s="1318" t="s">
        <v>3387</v>
      </c>
      <c r="H150" s="1323">
        <f t="shared" si="33"/>
        <v>96790</v>
      </c>
      <c r="I150" s="1654"/>
      <c r="J150" s="1654"/>
      <c r="K150" s="1654"/>
      <c r="L150" s="1654"/>
    </row>
    <row r="151" spans="1:12" ht="18" customHeight="1" outlineLevel="2">
      <c r="A151" s="1318">
        <v>144</v>
      </c>
      <c r="B151" s="1318" t="s">
        <v>3671</v>
      </c>
      <c r="C151" s="1318" t="s">
        <v>3081</v>
      </c>
      <c r="D151" s="1318" t="s">
        <v>1017</v>
      </c>
      <c r="E151" s="1318" t="s">
        <v>5</v>
      </c>
      <c r="F151" s="1322" t="s">
        <v>3672</v>
      </c>
      <c r="G151" s="1318" t="s">
        <v>3387</v>
      </c>
      <c r="H151" s="1323">
        <f t="shared" si="33"/>
        <v>96790</v>
      </c>
      <c r="I151" s="1654"/>
      <c r="J151" s="1654"/>
      <c r="K151" s="1654"/>
      <c r="L151" s="1654"/>
    </row>
    <row r="152" spans="1:12" ht="18" customHeight="1" outlineLevel="2">
      <c r="A152" s="1318">
        <v>145</v>
      </c>
      <c r="B152" s="1318" t="s">
        <v>3673</v>
      </c>
      <c r="C152" s="1318" t="s">
        <v>3081</v>
      </c>
      <c r="D152" s="1318" t="s">
        <v>1017</v>
      </c>
      <c r="E152" s="1318" t="s">
        <v>5</v>
      </c>
      <c r="F152" s="1322" t="s">
        <v>3674</v>
      </c>
      <c r="G152" s="1318" t="s">
        <v>3387</v>
      </c>
      <c r="H152" s="1323">
        <f t="shared" si="33"/>
        <v>96790</v>
      </c>
      <c r="I152" s="1654"/>
      <c r="J152" s="1654"/>
      <c r="K152" s="1654"/>
      <c r="L152" s="1654"/>
    </row>
    <row r="153" spans="1:12" ht="18" customHeight="1" outlineLevel="2">
      <c r="A153" s="1318">
        <v>146</v>
      </c>
      <c r="B153" s="1318" t="s">
        <v>3675</v>
      </c>
      <c r="C153" s="1318" t="s">
        <v>3081</v>
      </c>
      <c r="D153" s="1318" t="s">
        <v>1017</v>
      </c>
      <c r="E153" s="1318" t="s">
        <v>5</v>
      </c>
      <c r="F153" s="1322" t="s">
        <v>3676</v>
      </c>
      <c r="G153" s="1318" t="s">
        <v>3387</v>
      </c>
      <c r="H153" s="1323">
        <f t="shared" si="33"/>
        <v>96790</v>
      </c>
      <c r="I153" s="1654"/>
      <c r="J153" s="1654"/>
      <c r="K153" s="1654"/>
      <c r="L153" s="1654"/>
    </row>
    <row r="154" spans="1:12" ht="18" customHeight="1" outlineLevel="2">
      <c r="A154" s="1318">
        <v>147</v>
      </c>
      <c r="B154" s="1318" t="s">
        <v>3677</v>
      </c>
      <c r="C154" s="1318" t="s">
        <v>3081</v>
      </c>
      <c r="D154" s="1318" t="s">
        <v>1017</v>
      </c>
      <c r="E154" s="1318" t="s">
        <v>5</v>
      </c>
      <c r="F154" s="1322" t="s">
        <v>3678</v>
      </c>
      <c r="G154" s="1318" t="s">
        <v>3387</v>
      </c>
      <c r="H154" s="1323">
        <f t="shared" si="33"/>
        <v>96790</v>
      </c>
      <c r="I154" s="1654"/>
      <c r="J154" s="1654"/>
      <c r="K154" s="1654"/>
      <c r="L154" s="1654"/>
    </row>
    <row r="155" spans="1:12" ht="18" customHeight="1" outlineLevel="2">
      <c r="A155" s="1318">
        <v>148</v>
      </c>
      <c r="B155" s="1318" t="s">
        <v>3679</v>
      </c>
      <c r="C155" s="1318" t="s">
        <v>3081</v>
      </c>
      <c r="D155" s="1318" t="s">
        <v>1017</v>
      </c>
      <c r="E155" s="1318" t="s">
        <v>5</v>
      </c>
      <c r="F155" s="1322" t="s">
        <v>3680</v>
      </c>
      <c r="G155" s="1318" t="s">
        <v>3387</v>
      </c>
      <c r="H155" s="1323">
        <f t="shared" si="33"/>
        <v>96790</v>
      </c>
      <c r="I155" s="1654"/>
      <c r="J155" s="1654"/>
      <c r="K155" s="1654"/>
      <c r="L155" s="1654"/>
    </row>
    <row r="156" spans="1:12" ht="18" customHeight="1" outlineLevel="2">
      <c r="A156" s="1318">
        <v>149</v>
      </c>
      <c r="B156" s="1318" t="s">
        <v>3681</v>
      </c>
      <c r="C156" s="1318" t="s">
        <v>3081</v>
      </c>
      <c r="D156" s="1318" t="s">
        <v>1017</v>
      </c>
      <c r="E156" s="1318" t="s">
        <v>5</v>
      </c>
      <c r="F156" s="1322" t="s">
        <v>3682</v>
      </c>
      <c r="G156" s="1318" t="s">
        <v>3387</v>
      </c>
      <c r="H156" s="1323">
        <f t="shared" si="33"/>
        <v>96790</v>
      </c>
      <c r="I156" s="1654"/>
      <c r="J156" s="1654"/>
      <c r="K156" s="1654"/>
      <c r="L156" s="1654"/>
    </row>
    <row r="157" spans="1:12" ht="18" customHeight="1" outlineLevel="2">
      <c r="A157" s="1318">
        <v>150</v>
      </c>
      <c r="B157" s="1318" t="s">
        <v>3683</v>
      </c>
      <c r="C157" s="1318" t="s">
        <v>3081</v>
      </c>
      <c r="D157" s="1318" t="s">
        <v>1015</v>
      </c>
      <c r="E157" s="1318" t="s">
        <v>5</v>
      </c>
      <c r="F157" s="1322" t="s">
        <v>3684</v>
      </c>
      <c r="G157" s="1318" t="s">
        <v>3384</v>
      </c>
      <c r="H157" s="1319">
        <f t="shared" ref="H157:H160" si="34">ROUND(232297.1,0)</f>
        <v>232297</v>
      </c>
      <c r="I157" s="1654"/>
      <c r="J157" s="1654"/>
      <c r="K157" s="1654"/>
      <c r="L157" s="1654"/>
    </row>
    <row r="158" spans="1:12" ht="18" customHeight="1" outlineLevel="2">
      <c r="A158" s="1318">
        <v>151</v>
      </c>
      <c r="B158" s="1318" t="s">
        <v>3685</v>
      </c>
      <c r="C158" s="1318" t="s">
        <v>3081</v>
      </c>
      <c r="D158" s="1318" t="s">
        <v>1015</v>
      </c>
      <c r="E158" s="1318" t="s">
        <v>5</v>
      </c>
      <c r="F158" s="1322" t="s">
        <v>3686</v>
      </c>
      <c r="G158" s="1318" t="s">
        <v>3384</v>
      </c>
      <c r="H158" s="1319">
        <f t="shared" si="34"/>
        <v>232297</v>
      </c>
      <c r="I158" s="1654"/>
      <c r="J158" s="1654"/>
      <c r="K158" s="1654"/>
      <c r="L158" s="1654"/>
    </row>
    <row r="159" spans="1:12" ht="18" customHeight="1" outlineLevel="2">
      <c r="A159" s="1318">
        <v>152</v>
      </c>
      <c r="B159" s="1318" t="s">
        <v>3687</v>
      </c>
      <c r="C159" s="1318" t="s">
        <v>3081</v>
      </c>
      <c r="D159" s="1318" t="s">
        <v>1015</v>
      </c>
      <c r="E159" s="1318" t="s">
        <v>5</v>
      </c>
      <c r="F159" s="1322" t="s">
        <v>3688</v>
      </c>
      <c r="G159" s="1318" t="s">
        <v>3384</v>
      </c>
      <c r="H159" s="1319">
        <f t="shared" si="34"/>
        <v>232297</v>
      </c>
      <c r="I159" s="1654"/>
      <c r="J159" s="1654"/>
      <c r="K159" s="1654"/>
      <c r="L159" s="1654"/>
    </row>
    <row r="160" spans="1:12" ht="18" customHeight="1" outlineLevel="2">
      <c r="A160" s="1318">
        <v>153</v>
      </c>
      <c r="B160" s="1318" t="s">
        <v>3689</v>
      </c>
      <c r="C160" s="1318" t="s">
        <v>3081</v>
      </c>
      <c r="D160" s="1318" t="s">
        <v>1015</v>
      </c>
      <c r="E160" s="1318" t="s">
        <v>5</v>
      </c>
      <c r="F160" s="1322" t="s">
        <v>3690</v>
      </c>
      <c r="G160" s="1318" t="s">
        <v>3384</v>
      </c>
      <c r="H160" s="1319">
        <f t="shared" si="34"/>
        <v>232297</v>
      </c>
      <c r="I160" s="1654"/>
      <c r="J160" s="1654"/>
      <c r="K160" s="1654"/>
      <c r="L160" s="1654"/>
    </row>
    <row r="161" spans="1:12" ht="18" customHeight="1" outlineLevel="2">
      <c r="A161" s="1318">
        <v>154</v>
      </c>
      <c r="B161" s="1318" t="s">
        <v>3691</v>
      </c>
      <c r="C161" s="1318" t="s">
        <v>3081</v>
      </c>
      <c r="D161" s="1318" t="s">
        <v>1015</v>
      </c>
      <c r="E161" s="1318" t="s">
        <v>5</v>
      </c>
      <c r="F161" s="1322" t="s">
        <v>3692</v>
      </c>
      <c r="G161" s="1318" t="s">
        <v>3387</v>
      </c>
      <c r="H161" s="1323">
        <f>ROUND(232297.1/12*5,0)</f>
        <v>96790</v>
      </c>
      <c r="I161" s="1654"/>
      <c r="J161" s="1654"/>
      <c r="K161" s="1654"/>
      <c r="L161" s="1654"/>
    </row>
    <row r="162" spans="1:12" ht="18" customHeight="1" outlineLevel="2">
      <c r="A162" s="1318">
        <v>155</v>
      </c>
      <c r="B162" s="1318" t="s">
        <v>3693</v>
      </c>
      <c r="C162" s="1318" t="s">
        <v>3081</v>
      </c>
      <c r="D162" s="1318" t="s">
        <v>1012</v>
      </c>
      <c r="E162" s="1318" t="s">
        <v>5</v>
      </c>
      <c r="F162" s="1322" t="s">
        <v>3694</v>
      </c>
      <c r="G162" s="1318" t="s">
        <v>3384</v>
      </c>
      <c r="H162" s="1319">
        <f>ROUND(232297.1,0)</f>
        <v>232297</v>
      </c>
      <c r="I162" s="1654"/>
      <c r="J162" s="1654"/>
      <c r="K162" s="1654"/>
      <c r="L162" s="1654"/>
    </row>
    <row r="163" spans="1:12" ht="18" customHeight="1" outlineLevel="2">
      <c r="A163" s="1318">
        <v>156</v>
      </c>
      <c r="B163" s="1318" t="s">
        <v>3695</v>
      </c>
      <c r="C163" s="1318" t="s">
        <v>3081</v>
      </c>
      <c r="D163" s="1318" t="s">
        <v>684</v>
      </c>
      <c r="E163" s="1318" t="s">
        <v>5</v>
      </c>
      <c r="F163" s="1322" t="s">
        <v>3696</v>
      </c>
      <c r="G163" s="1318" t="s">
        <v>3387</v>
      </c>
      <c r="H163" s="1323">
        <f t="shared" ref="H163:H170" si="35">ROUND(232297.1/12*5,0)</f>
        <v>96790</v>
      </c>
      <c r="I163" s="1654"/>
      <c r="J163" s="1654"/>
      <c r="K163" s="1654"/>
      <c r="L163" s="1654"/>
    </row>
    <row r="164" spans="1:12" ht="18" customHeight="1" outlineLevel="2">
      <c r="A164" s="1318">
        <v>157</v>
      </c>
      <c r="B164" s="1318" t="s">
        <v>3697</v>
      </c>
      <c r="C164" s="1318" t="s">
        <v>3081</v>
      </c>
      <c r="D164" s="1318" t="s">
        <v>684</v>
      </c>
      <c r="E164" s="1318" t="s">
        <v>5</v>
      </c>
      <c r="F164" s="1322" t="s">
        <v>3698</v>
      </c>
      <c r="G164" s="1318" t="s">
        <v>3387</v>
      </c>
      <c r="H164" s="1323">
        <f t="shared" si="35"/>
        <v>96790</v>
      </c>
      <c r="I164" s="1654"/>
      <c r="J164" s="1654"/>
      <c r="K164" s="1654"/>
      <c r="L164" s="1654"/>
    </row>
    <row r="165" spans="1:12" ht="18" customHeight="1" outlineLevel="2">
      <c r="A165" s="1318">
        <v>158</v>
      </c>
      <c r="B165" s="1318" t="s">
        <v>3699</v>
      </c>
      <c r="C165" s="1318" t="s">
        <v>3081</v>
      </c>
      <c r="D165" s="1318" t="s">
        <v>684</v>
      </c>
      <c r="E165" s="1318" t="s">
        <v>5</v>
      </c>
      <c r="F165" s="1322" t="s">
        <v>3700</v>
      </c>
      <c r="G165" s="1318" t="s">
        <v>3387</v>
      </c>
      <c r="H165" s="1323">
        <f t="shared" si="35"/>
        <v>96790</v>
      </c>
      <c r="I165" s="1654"/>
      <c r="J165" s="1654"/>
      <c r="K165" s="1654"/>
      <c r="L165" s="1654"/>
    </row>
    <row r="166" spans="1:12" ht="18" customHeight="1" outlineLevel="2">
      <c r="A166" s="1318">
        <v>159</v>
      </c>
      <c r="B166" s="1318" t="s">
        <v>3701</v>
      </c>
      <c r="C166" s="1318" t="s">
        <v>3081</v>
      </c>
      <c r="D166" s="1318" t="s">
        <v>684</v>
      </c>
      <c r="E166" s="1318" t="s">
        <v>5</v>
      </c>
      <c r="F166" s="1322" t="s">
        <v>3702</v>
      </c>
      <c r="G166" s="1318" t="s">
        <v>3387</v>
      </c>
      <c r="H166" s="1323">
        <f t="shared" si="35"/>
        <v>96790</v>
      </c>
      <c r="I166" s="1654"/>
      <c r="J166" s="1654"/>
      <c r="K166" s="1654"/>
      <c r="L166" s="1654"/>
    </row>
    <row r="167" spans="1:12" ht="18" customHeight="1" outlineLevel="2">
      <c r="A167" s="1318">
        <v>160</v>
      </c>
      <c r="B167" s="1318" t="s">
        <v>3703</v>
      </c>
      <c r="C167" s="1318" t="s">
        <v>3081</v>
      </c>
      <c r="D167" s="1318" t="s">
        <v>684</v>
      </c>
      <c r="E167" s="1318" t="s">
        <v>5</v>
      </c>
      <c r="F167" s="1322" t="s">
        <v>3704</v>
      </c>
      <c r="G167" s="1318" t="s">
        <v>3387</v>
      </c>
      <c r="H167" s="1323">
        <f t="shared" si="35"/>
        <v>96790</v>
      </c>
      <c r="I167" s="1654"/>
      <c r="J167" s="1654"/>
      <c r="K167" s="1654"/>
      <c r="L167" s="1654"/>
    </row>
    <row r="168" spans="1:12" ht="18" customHeight="1" outlineLevel="2">
      <c r="A168" s="1318">
        <v>161</v>
      </c>
      <c r="B168" s="1318" t="s">
        <v>3705</v>
      </c>
      <c r="C168" s="1318" t="s">
        <v>3081</v>
      </c>
      <c r="D168" s="1318" t="s">
        <v>684</v>
      </c>
      <c r="E168" s="1318" t="s">
        <v>5</v>
      </c>
      <c r="F168" s="1322" t="s">
        <v>3706</v>
      </c>
      <c r="G168" s="1318" t="s">
        <v>3387</v>
      </c>
      <c r="H168" s="1323">
        <f t="shared" si="35"/>
        <v>96790</v>
      </c>
      <c r="I168" s="1654"/>
      <c r="J168" s="1654"/>
      <c r="K168" s="1654"/>
      <c r="L168" s="1654"/>
    </row>
    <row r="169" spans="1:12" ht="18" customHeight="1" outlineLevel="2">
      <c r="A169" s="1318">
        <v>162</v>
      </c>
      <c r="B169" s="1322" t="s">
        <v>3707</v>
      </c>
      <c r="C169" s="1318" t="s">
        <v>3081</v>
      </c>
      <c r="D169" s="1322" t="s">
        <v>1014</v>
      </c>
      <c r="E169" s="1318" t="s">
        <v>5</v>
      </c>
      <c r="F169" s="1322" t="s">
        <v>3708</v>
      </c>
      <c r="G169" s="1318" t="s">
        <v>3387</v>
      </c>
      <c r="H169" s="1323">
        <f t="shared" si="35"/>
        <v>96790</v>
      </c>
      <c r="I169" s="1654"/>
      <c r="J169" s="1654"/>
      <c r="K169" s="1654"/>
      <c r="L169" s="1654"/>
    </row>
    <row r="170" spans="1:12" ht="18" customHeight="1" outlineLevel="2">
      <c r="A170" s="1318">
        <v>163</v>
      </c>
      <c r="B170" s="1322" t="s">
        <v>3709</v>
      </c>
      <c r="C170" s="1318" t="s">
        <v>3081</v>
      </c>
      <c r="D170" s="1322" t="s">
        <v>1017</v>
      </c>
      <c r="E170" s="1318" t="s">
        <v>5</v>
      </c>
      <c r="F170" s="1322" t="s">
        <v>3710</v>
      </c>
      <c r="G170" s="1318" t="s">
        <v>3387</v>
      </c>
      <c r="H170" s="1323">
        <f t="shared" si="35"/>
        <v>96790</v>
      </c>
      <c r="I170" s="1654"/>
      <c r="J170" s="1654"/>
      <c r="K170" s="1654"/>
      <c r="L170" s="1654"/>
    </row>
    <row r="171" spans="1:12" ht="18" customHeight="1" outlineLevel="2">
      <c r="A171" s="1318">
        <v>164</v>
      </c>
      <c r="B171" s="1322" t="s">
        <v>3711</v>
      </c>
      <c r="C171" s="1318" t="s">
        <v>1465</v>
      </c>
      <c r="D171" s="1322" t="s">
        <v>1011</v>
      </c>
      <c r="E171" s="1318" t="s">
        <v>5</v>
      </c>
      <c r="F171" s="1322" t="s">
        <v>3712</v>
      </c>
      <c r="G171" s="1318" t="s">
        <v>3384</v>
      </c>
      <c r="H171" s="1319">
        <f t="shared" ref="H171:H175" si="36">ROUND(254991.7,0)</f>
        <v>254992</v>
      </c>
      <c r="I171" s="1654"/>
      <c r="J171" s="1654"/>
      <c r="K171" s="1654"/>
      <c r="L171" s="1654"/>
    </row>
    <row r="172" spans="1:12" ht="18" customHeight="1" outlineLevel="2">
      <c r="A172" s="1318">
        <v>165</v>
      </c>
      <c r="B172" s="1322" t="s">
        <v>3713</v>
      </c>
      <c r="C172" s="1318" t="s">
        <v>1465</v>
      </c>
      <c r="D172" s="1322" t="s">
        <v>1011</v>
      </c>
      <c r="E172" s="1318" t="s">
        <v>5</v>
      </c>
      <c r="F172" s="1322" t="s">
        <v>3714</v>
      </c>
      <c r="G172" s="1318" t="s">
        <v>3384</v>
      </c>
      <c r="H172" s="1319">
        <f t="shared" si="36"/>
        <v>254992</v>
      </c>
      <c r="I172" s="1654"/>
      <c r="J172" s="1654"/>
      <c r="K172" s="1654"/>
      <c r="L172" s="1654"/>
    </row>
    <row r="173" spans="1:12" ht="18" customHeight="1" outlineLevel="2">
      <c r="A173" s="1318">
        <v>166</v>
      </c>
      <c r="B173" s="1322" t="s">
        <v>3715</v>
      </c>
      <c r="C173" s="1318" t="s">
        <v>1465</v>
      </c>
      <c r="D173" s="1322" t="s">
        <v>1011</v>
      </c>
      <c r="E173" s="1318" t="s">
        <v>5</v>
      </c>
      <c r="F173" s="1322" t="s">
        <v>3716</v>
      </c>
      <c r="G173" s="1318" t="s">
        <v>3384</v>
      </c>
      <c r="H173" s="1319">
        <f t="shared" si="36"/>
        <v>254992</v>
      </c>
      <c r="I173" s="1654"/>
      <c r="J173" s="1654"/>
      <c r="K173" s="1654"/>
      <c r="L173" s="1654"/>
    </row>
    <row r="174" spans="1:12" ht="18" customHeight="1" outlineLevel="2">
      <c r="A174" s="1318">
        <v>167</v>
      </c>
      <c r="B174" s="1322" t="s">
        <v>3717</v>
      </c>
      <c r="C174" s="1318" t="s">
        <v>1465</v>
      </c>
      <c r="D174" s="1322" t="s">
        <v>1011</v>
      </c>
      <c r="E174" s="1318" t="s">
        <v>5</v>
      </c>
      <c r="F174" s="1322" t="s">
        <v>3718</v>
      </c>
      <c r="G174" s="1318" t="s">
        <v>3384</v>
      </c>
      <c r="H174" s="1319">
        <f t="shared" si="36"/>
        <v>254992</v>
      </c>
      <c r="I174" s="1654"/>
      <c r="J174" s="1654"/>
      <c r="K174" s="1654"/>
      <c r="L174" s="1654"/>
    </row>
    <row r="175" spans="1:12" ht="18" customHeight="1" outlineLevel="2">
      <c r="A175" s="1318">
        <v>168</v>
      </c>
      <c r="B175" s="1322" t="s">
        <v>3719</v>
      </c>
      <c r="C175" s="1318" t="s">
        <v>1465</v>
      </c>
      <c r="D175" s="1322" t="s">
        <v>1011</v>
      </c>
      <c r="E175" s="1318" t="s">
        <v>5</v>
      </c>
      <c r="F175" s="1322" t="s">
        <v>3720</v>
      </c>
      <c r="G175" s="1318" t="s">
        <v>3384</v>
      </c>
      <c r="H175" s="1319">
        <f t="shared" si="36"/>
        <v>254992</v>
      </c>
      <c r="I175" s="1654"/>
      <c r="J175" s="1654"/>
      <c r="K175" s="1654"/>
      <c r="L175" s="1654"/>
    </row>
    <row r="176" spans="1:12" ht="18" customHeight="1" outlineLevel="2">
      <c r="A176" s="1318">
        <v>169</v>
      </c>
      <c r="B176" s="1322" t="s">
        <v>3721</v>
      </c>
      <c r="C176" s="1318" t="s">
        <v>1465</v>
      </c>
      <c r="D176" s="1322" t="s">
        <v>1011</v>
      </c>
      <c r="E176" s="1318" t="s">
        <v>5</v>
      </c>
      <c r="F176" s="1322" t="s">
        <v>3722</v>
      </c>
      <c r="G176" s="1318" t="s">
        <v>3387</v>
      </c>
      <c r="H176" s="1323">
        <f t="shared" ref="H176:H177" si="37">ROUND(254991.7/12*5,0)</f>
        <v>106247</v>
      </c>
      <c r="I176" s="1654"/>
      <c r="J176" s="1654"/>
      <c r="K176" s="1654"/>
      <c r="L176" s="1654"/>
    </row>
    <row r="177" spans="1:12" ht="18" customHeight="1" outlineLevel="2">
      <c r="A177" s="1318">
        <v>170</v>
      </c>
      <c r="B177" s="1322" t="s">
        <v>3723</v>
      </c>
      <c r="C177" s="1318" t="s">
        <v>1465</v>
      </c>
      <c r="D177" s="1322" t="s">
        <v>1011</v>
      </c>
      <c r="E177" s="1318" t="s">
        <v>5</v>
      </c>
      <c r="F177" s="1322" t="s">
        <v>3724</v>
      </c>
      <c r="G177" s="1318" t="s">
        <v>3387</v>
      </c>
      <c r="H177" s="1323">
        <f t="shared" si="37"/>
        <v>106247</v>
      </c>
      <c r="I177" s="1654"/>
      <c r="J177" s="1654"/>
      <c r="K177" s="1654"/>
      <c r="L177" s="1654"/>
    </row>
    <row r="178" spans="1:12" ht="18" customHeight="1" outlineLevel="2">
      <c r="A178" s="1318">
        <v>171</v>
      </c>
      <c r="B178" s="1322" t="s">
        <v>3725</v>
      </c>
      <c r="C178" s="1318" t="s">
        <v>1465</v>
      </c>
      <c r="D178" s="1322" t="s">
        <v>234</v>
      </c>
      <c r="E178" s="1318" t="s">
        <v>5</v>
      </c>
      <c r="F178" s="1322" t="s">
        <v>3726</v>
      </c>
      <c r="G178" s="1318" t="s">
        <v>3384</v>
      </c>
      <c r="H178" s="1319">
        <f t="shared" ref="H178:H181" si="38">ROUND(254991.7,0)</f>
        <v>254992</v>
      </c>
      <c r="I178" s="1654"/>
      <c r="J178" s="1654"/>
      <c r="K178" s="1654"/>
      <c r="L178" s="1654"/>
    </row>
    <row r="179" spans="1:12" ht="18" customHeight="1" outlineLevel="2">
      <c r="A179" s="1318">
        <v>172</v>
      </c>
      <c r="B179" s="1322" t="s">
        <v>3727</v>
      </c>
      <c r="C179" s="1318" t="s">
        <v>1465</v>
      </c>
      <c r="D179" s="1322" t="s">
        <v>234</v>
      </c>
      <c r="E179" s="1318" t="s">
        <v>5</v>
      </c>
      <c r="F179" s="1322" t="s">
        <v>3728</v>
      </c>
      <c r="G179" s="1318" t="s">
        <v>3384</v>
      </c>
      <c r="H179" s="1319">
        <f t="shared" si="38"/>
        <v>254992</v>
      </c>
      <c r="I179" s="1654"/>
      <c r="J179" s="1654"/>
      <c r="K179" s="1654"/>
      <c r="L179" s="1654"/>
    </row>
    <row r="180" spans="1:12" ht="18" customHeight="1" outlineLevel="2">
      <c r="A180" s="1318">
        <v>173</v>
      </c>
      <c r="B180" s="1322" t="s">
        <v>3729</v>
      </c>
      <c r="C180" s="1318" t="s">
        <v>1465</v>
      </c>
      <c r="D180" s="1322" t="s">
        <v>234</v>
      </c>
      <c r="E180" s="1318" t="s">
        <v>5</v>
      </c>
      <c r="F180" s="1322" t="s">
        <v>3730</v>
      </c>
      <c r="G180" s="1318" t="s">
        <v>3384</v>
      </c>
      <c r="H180" s="1319">
        <f t="shared" si="38"/>
        <v>254992</v>
      </c>
      <c r="I180" s="1654"/>
      <c r="J180" s="1654"/>
      <c r="K180" s="1654"/>
      <c r="L180" s="1654"/>
    </row>
    <row r="181" spans="1:12" ht="18" customHeight="1" outlineLevel="2">
      <c r="A181" s="1318">
        <v>174</v>
      </c>
      <c r="B181" s="1322" t="s">
        <v>3731</v>
      </c>
      <c r="C181" s="1318" t="s">
        <v>1465</v>
      </c>
      <c r="D181" s="1322" t="s">
        <v>234</v>
      </c>
      <c r="E181" s="1318" t="s">
        <v>5</v>
      </c>
      <c r="F181" s="1322" t="s">
        <v>3732</v>
      </c>
      <c r="G181" s="1318" t="s">
        <v>3384</v>
      </c>
      <c r="H181" s="1319">
        <f t="shared" si="38"/>
        <v>254992</v>
      </c>
      <c r="I181" s="1654"/>
      <c r="J181" s="1654"/>
      <c r="K181" s="1654"/>
      <c r="L181" s="1654"/>
    </row>
    <row r="182" spans="1:12" ht="18" customHeight="1" outlineLevel="2">
      <c r="A182" s="1318">
        <v>175</v>
      </c>
      <c r="B182" s="1322" t="s">
        <v>3733</v>
      </c>
      <c r="C182" s="1318" t="s">
        <v>1465</v>
      </c>
      <c r="D182" s="1322" t="s">
        <v>234</v>
      </c>
      <c r="E182" s="1318" t="s">
        <v>5</v>
      </c>
      <c r="F182" s="1322" t="s">
        <v>3734</v>
      </c>
      <c r="G182" s="1318" t="s">
        <v>3387</v>
      </c>
      <c r="H182" s="1323">
        <f t="shared" ref="H182:H186" si="39">ROUND(254991.7/12*5,0)</f>
        <v>106247</v>
      </c>
      <c r="I182" s="1654"/>
      <c r="J182" s="1654"/>
      <c r="K182" s="1654"/>
      <c r="L182" s="1654"/>
    </row>
    <row r="183" spans="1:12" ht="18" customHeight="1" outlineLevel="2">
      <c r="A183" s="1318">
        <v>176</v>
      </c>
      <c r="B183" s="1322" t="s">
        <v>3735</v>
      </c>
      <c r="C183" s="1318" t="s">
        <v>1465</v>
      </c>
      <c r="D183" s="1322" t="s">
        <v>234</v>
      </c>
      <c r="E183" s="1318" t="s">
        <v>5</v>
      </c>
      <c r="F183" s="1322" t="s">
        <v>3736</v>
      </c>
      <c r="G183" s="1318" t="s">
        <v>3387</v>
      </c>
      <c r="H183" s="1323">
        <f t="shared" si="39"/>
        <v>106247</v>
      </c>
      <c r="I183" s="1654"/>
      <c r="J183" s="1654"/>
      <c r="K183" s="1654"/>
      <c r="L183" s="1654"/>
    </row>
    <row r="184" spans="1:12" ht="18" customHeight="1" outlineLevel="2">
      <c r="A184" s="1318">
        <v>177</v>
      </c>
      <c r="B184" s="1322" t="s">
        <v>3737</v>
      </c>
      <c r="C184" s="1318" t="s">
        <v>1465</v>
      </c>
      <c r="D184" s="1322" t="s">
        <v>234</v>
      </c>
      <c r="E184" s="1318" t="s">
        <v>5</v>
      </c>
      <c r="F184" s="1322" t="s">
        <v>3738</v>
      </c>
      <c r="G184" s="1318" t="s">
        <v>3387</v>
      </c>
      <c r="H184" s="1323">
        <f t="shared" si="39"/>
        <v>106247</v>
      </c>
      <c r="I184" s="1654"/>
      <c r="J184" s="1654"/>
      <c r="K184" s="1654"/>
      <c r="L184" s="1654"/>
    </row>
    <row r="185" spans="1:12" ht="18" customHeight="1" outlineLevel="2">
      <c r="A185" s="1318">
        <v>178</v>
      </c>
      <c r="B185" s="1322" t="s">
        <v>3739</v>
      </c>
      <c r="C185" s="1318" t="s">
        <v>1465</v>
      </c>
      <c r="D185" s="1322" t="s">
        <v>234</v>
      </c>
      <c r="E185" s="1318" t="s">
        <v>5</v>
      </c>
      <c r="F185" s="1322" t="s">
        <v>3740</v>
      </c>
      <c r="G185" s="1318" t="s">
        <v>3387</v>
      </c>
      <c r="H185" s="1323">
        <f t="shared" si="39"/>
        <v>106247</v>
      </c>
      <c r="I185" s="1654"/>
      <c r="J185" s="1654"/>
      <c r="K185" s="1654"/>
      <c r="L185" s="1654"/>
    </row>
    <row r="186" spans="1:12" ht="18" customHeight="1" outlineLevel="2">
      <c r="A186" s="1318">
        <v>179</v>
      </c>
      <c r="B186" s="1322" t="s">
        <v>3741</v>
      </c>
      <c r="C186" s="1318" t="s">
        <v>1465</v>
      </c>
      <c r="D186" s="1322" t="s">
        <v>234</v>
      </c>
      <c r="E186" s="1318" t="s">
        <v>5</v>
      </c>
      <c r="F186" s="1322" t="s">
        <v>3742</v>
      </c>
      <c r="G186" s="1318" t="s">
        <v>3387</v>
      </c>
      <c r="H186" s="1323">
        <f t="shared" si="39"/>
        <v>106247</v>
      </c>
      <c r="I186" s="1654"/>
      <c r="J186" s="1654"/>
      <c r="K186" s="1654"/>
      <c r="L186" s="1654"/>
    </row>
    <row r="187" spans="1:12" ht="18" customHeight="1" outlineLevel="2">
      <c r="A187" s="1318">
        <v>180</v>
      </c>
      <c r="B187" s="1322" t="s">
        <v>3743</v>
      </c>
      <c r="C187" s="1318" t="s">
        <v>1465</v>
      </c>
      <c r="D187" s="1322" t="s">
        <v>231</v>
      </c>
      <c r="E187" s="1318" t="s">
        <v>5</v>
      </c>
      <c r="F187" s="1322" t="s">
        <v>3744</v>
      </c>
      <c r="G187" s="1318" t="s">
        <v>3384</v>
      </c>
      <c r="H187" s="1319">
        <f t="shared" ref="H187:H190" si="40">ROUND(254991.7,0)</f>
        <v>254992</v>
      </c>
      <c r="I187" s="1654"/>
      <c r="J187" s="1654"/>
      <c r="K187" s="1654"/>
      <c r="L187" s="1654"/>
    </row>
    <row r="188" spans="1:12" ht="18" customHeight="1" outlineLevel="2">
      <c r="A188" s="1318">
        <v>181</v>
      </c>
      <c r="B188" s="1322" t="s">
        <v>3745</v>
      </c>
      <c r="C188" s="1318" t="s">
        <v>1465</v>
      </c>
      <c r="D188" s="1322" t="s">
        <v>231</v>
      </c>
      <c r="E188" s="1318" t="s">
        <v>5</v>
      </c>
      <c r="F188" s="1322" t="s">
        <v>3746</v>
      </c>
      <c r="G188" s="1318" t="s">
        <v>3384</v>
      </c>
      <c r="H188" s="1319">
        <f t="shared" si="40"/>
        <v>254992</v>
      </c>
      <c r="I188" s="1654"/>
      <c r="J188" s="1654"/>
      <c r="K188" s="1654"/>
      <c r="L188" s="1654"/>
    </row>
    <row r="189" spans="1:12" ht="18" customHeight="1" outlineLevel="2">
      <c r="A189" s="1318">
        <v>182</v>
      </c>
      <c r="B189" s="1322" t="s">
        <v>3747</v>
      </c>
      <c r="C189" s="1318" t="s">
        <v>1465</v>
      </c>
      <c r="D189" s="1322" t="s">
        <v>231</v>
      </c>
      <c r="E189" s="1318" t="s">
        <v>5</v>
      </c>
      <c r="F189" s="1322" t="s">
        <v>3748</v>
      </c>
      <c r="G189" s="1318" t="s">
        <v>3384</v>
      </c>
      <c r="H189" s="1319">
        <f t="shared" si="40"/>
        <v>254992</v>
      </c>
      <c r="I189" s="1654"/>
      <c r="J189" s="1654"/>
      <c r="K189" s="1654"/>
      <c r="L189" s="1654"/>
    </row>
    <row r="190" spans="1:12" ht="18" customHeight="1" outlineLevel="2">
      <c r="A190" s="1318">
        <v>183</v>
      </c>
      <c r="B190" s="1322" t="s">
        <v>3749</v>
      </c>
      <c r="C190" s="1318" t="s">
        <v>1465</v>
      </c>
      <c r="D190" s="1322" t="s">
        <v>231</v>
      </c>
      <c r="E190" s="1318" t="s">
        <v>5</v>
      </c>
      <c r="F190" s="1322" t="s">
        <v>3750</v>
      </c>
      <c r="G190" s="1318" t="s">
        <v>3384</v>
      </c>
      <c r="H190" s="1319">
        <f t="shared" si="40"/>
        <v>254992</v>
      </c>
      <c r="I190" s="1654"/>
      <c r="J190" s="1654"/>
      <c r="K190" s="1654"/>
      <c r="L190" s="1654"/>
    </row>
    <row r="191" spans="1:12" ht="18" customHeight="1" outlineLevel="2">
      <c r="A191" s="1318">
        <v>184</v>
      </c>
      <c r="B191" s="1322" t="s">
        <v>3751</v>
      </c>
      <c r="C191" s="1318" t="s">
        <v>1465</v>
      </c>
      <c r="D191" s="1322" t="s">
        <v>231</v>
      </c>
      <c r="E191" s="1318" t="s">
        <v>5</v>
      </c>
      <c r="F191" s="1322" t="s">
        <v>3752</v>
      </c>
      <c r="G191" s="1318" t="s">
        <v>3387</v>
      </c>
      <c r="H191" s="1323">
        <f t="shared" ref="H191:H194" si="41">ROUND(254991.7/12*5,0)</f>
        <v>106247</v>
      </c>
      <c r="I191" s="1654"/>
      <c r="J191" s="1654"/>
      <c r="K191" s="1654"/>
      <c r="L191" s="1654"/>
    </row>
    <row r="192" spans="1:12" ht="18" customHeight="1" outlineLevel="2">
      <c r="A192" s="1318">
        <v>185</v>
      </c>
      <c r="B192" s="1322" t="s">
        <v>3753</v>
      </c>
      <c r="C192" s="1318" t="s">
        <v>1465</v>
      </c>
      <c r="D192" s="1322" t="s">
        <v>231</v>
      </c>
      <c r="E192" s="1318" t="s">
        <v>5</v>
      </c>
      <c r="F192" s="1322" t="s">
        <v>3754</v>
      </c>
      <c r="G192" s="1318" t="s">
        <v>3387</v>
      </c>
      <c r="H192" s="1323">
        <f t="shared" si="41"/>
        <v>106247</v>
      </c>
      <c r="I192" s="1654"/>
      <c r="J192" s="1654"/>
      <c r="K192" s="1654"/>
      <c r="L192" s="1654"/>
    </row>
    <row r="193" spans="1:12" ht="18" customHeight="1" outlineLevel="2">
      <c r="A193" s="1318">
        <v>186</v>
      </c>
      <c r="B193" s="1322" t="s">
        <v>3755</v>
      </c>
      <c r="C193" s="1318" t="s">
        <v>1465</v>
      </c>
      <c r="D193" s="1322" t="s">
        <v>231</v>
      </c>
      <c r="E193" s="1318" t="s">
        <v>5</v>
      </c>
      <c r="F193" s="1322" t="s">
        <v>3756</v>
      </c>
      <c r="G193" s="1318" t="s">
        <v>3387</v>
      </c>
      <c r="H193" s="1323">
        <f t="shared" si="41"/>
        <v>106247</v>
      </c>
      <c r="I193" s="1654"/>
      <c r="J193" s="1654"/>
      <c r="K193" s="1654"/>
      <c r="L193" s="1654"/>
    </row>
    <row r="194" spans="1:12" ht="18" customHeight="1" outlineLevel="2">
      <c r="A194" s="1318">
        <v>187</v>
      </c>
      <c r="B194" s="1322" t="s">
        <v>3757</v>
      </c>
      <c r="C194" s="1318" t="s">
        <v>1465</v>
      </c>
      <c r="D194" s="1322" t="s">
        <v>231</v>
      </c>
      <c r="E194" s="1318" t="s">
        <v>5</v>
      </c>
      <c r="F194" s="1322" t="s">
        <v>3758</v>
      </c>
      <c r="G194" s="1318" t="s">
        <v>3387</v>
      </c>
      <c r="H194" s="1323">
        <f t="shared" si="41"/>
        <v>106247</v>
      </c>
      <c r="I194" s="1654"/>
      <c r="J194" s="1654"/>
      <c r="K194" s="1654"/>
      <c r="L194" s="1654"/>
    </row>
    <row r="195" spans="1:12" ht="18" customHeight="1" outlineLevel="2">
      <c r="A195" s="1318">
        <v>188</v>
      </c>
      <c r="B195" s="1322" t="s">
        <v>3759</v>
      </c>
      <c r="C195" s="1318" t="s">
        <v>1465</v>
      </c>
      <c r="D195" s="1322" t="s">
        <v>232</v>
      </c>
      <c r="E195" s="1318" t="s">
        <v>5</v>
      </c>
      <c r="F195" s="1322" t="s">
        <v>3760</v>
      </c>
      <c r="G195" s="1318" t="s">
        <v>3384</v>
      </c>
      <c r="H195" s="1319">
        <f t="shared" ref="H195:H199" si="42">ROUND(254991.7,0)</f>
        <v>254992</v>
      </c>
      <c r="I195" s="1654"/>
      <c r="J195" s="1654"/>
      <c r="K195" s="1654"/>
      <c r="L195" s="1654"/>
    </row>
    <row r="196" spans="1:12" ht="18" customHeight="1" outlineLevel="2">
      <c r="A196" s="1318">
        <v>189</v>
      </c>
      <c r="B196" s="1322" t="s">
        <v>3761</v>
      </c>
      <c r="C196" s="1318" t="s">
        <v>1465</v>
      </c>
      <c r="D196" s="1322" t="s">
        <v>232</v>
      </c>
      <c r="E196" s="1318" t="s">
        <v>5</v>
      </c>
      <c r="F196" s="1322" t="s">
        <v>3762</v>
      </c>
      <c r="G196" s="1318" t="s">
        <v>3384</v>
      </c>
      <c r="H196" s="1319">
        <f t="shared" si="42"/>
        <v>254992</v>
      </c>
      <c r="I196" s="1654"/>
      <c r="J196" s="1654"/>
      <c r="K196" s="1654"/>
      <c r="L196" s="1654"/>
    </row>
    <row r="197" spans="1:12" ht="18" customHeight="1" outlineLevel="2">
      <c r="A197" s="1318">
        <v>190</v>
      </c>
      <c r="B197" s="1322" t="s">
        <v>3763</v>
      </c>
      <c r="C197" s="1318" t="s">
        <v>1465</v>
      </c>
      <c r="D197" s="1322" t="s">
        <v>232</v>
      </c>
      <c r="E197" s="1318" t="s">
        <v>5</v>
      </c>
      <c r="F197" s="1322" t="s">
        <v>3764</v>
      </c>
      <c r="G197" s="1318" t="s">
        <v>3384</v>
      </c>
      <c r="H197" s="1319">
        <f t="shared" si="42"/>
        <v>254992</v>
      </c>
      <c r="I197" s="1654"/>
      <c r="J197" s="1654"/>
      <c r="K197" s="1654"/>
      <c r="L197" s="1654"/>
    </row>
    <row r="198" spans="1:12" ht="18" customHeight="1" outlineLevel="2">
      <c r="A198" s="1318">
        <v>191</v>
      </c>
      <c r="B198" s="1322" t="s">
        <v>3765</v>
      </c>
      <c r="C198" s="1318" t="s">
        <v>1465</v>
      </c>
      <c r="D198" s="1322" t="s">
        <v>232</v>
      </c>
      <c r="E198" s="1318" t="s">
        <v>5</v>
      </c>
      <c r="F198" s="1322" t="s">
        <v>3766</v>
      </c>
      <c r="G198" s="1318" t="s">
        <v>3384</v>
      </c>
      <c r="H198" s="1319">
        <f t="shared" si="42"/>
        <v>254992</v>
      </c>
      <c r="I198" s="1654"/>
      <c r="J198" s="1654"/>
      <c r="K198" s="1654"/>
      <c r="L198" s="1654"/>
    </row>
    <row r="199" spans="1:12" ht="18" customHeight="1" outlineLevel="2">
      <c r="A199" s="1318">
        <v>192</v>
      </c>
      <c r="B199" s="1322" t="s">
        <v>3767</v>
      </c>
      <c r="C199" s="1318" t="s">
        <v>1465</v>
      </c>
      <c r="D199" s="1322" t="s">
        <v>232</v>
      </c>
      <c r="E199" s="1318" t="s">
        <v>5</v>
      </c>
      <c r="F199" s="1322" t="s">
        <v>3768</v>
      </c>
      <c r="G199" s="1318" t="s">
        <v>3384</v>
      </c>
      <c r="H199" s="1319">
        <f t="shared" si="42"/>
        <v>254992</v>
      </c>
      <c r="I199" s="1654"/>
      <c r="J199" s="1654"/>
      <c r="K199" s="1654"/>
      <c r="L199" s="1654"/>
    </row>
    <row r="200" spans="1:12" ht="18" customHeight="1" outlineLevel="2">
      <c r="A200" s="1318">
        <v>193</v>
      </c>
      <c r="B200" s="1322" t="s">
        <v>3769</v>
      </c>
      <c r="C200" s="1318" t="s">
        <v>1465</v>
      </c>
      <c r="D200" s="1322" t="s">
        <v>232</v>
      </c>
      <c r="E200" s="1318" t="s">
        <v>5</v>
      </c>
      <c r="F200" s="1322" t="s">
        <v>3770</v>
      </c>
      <c r="G200" s="1318" t="s">
        <v>3387</v>
      </c>
      <c r="H200" s="1323">
        <f t="shared" ref="H200:H204" si="43">ROUND(254991.7/12*5,0)</f>
        <v>106247</v>
      </c>
      <c r="I200" s="1654"/>
      <c r="J200" s="1654"/>
      <c r="K200" s="1654"/>
      <c r="L200" s="1654"/>
    </row>
    <row r="201" spans="1:12" ht="18" customHeight="1" outlineLevel="2">
      <c r="A201" s="1318">
        <v>194</v>
      </c>
      <c r="B201" s="1322" t="s">
        <v>3771</v>
      </c>
      <c r="C201" s="1318" t="s">
        <v>1465</v>
      </c>
      <c r="D201" s="1322" t="s">
        <v>232</v>
      </c>
      <c r="E201" s="1318" t="s">
        <v>5</v>
      </c>
      <c r="F201" s="1322" t="s">
        <v>3772</v>
      </c>
      <c r="G201" s="1318" t="s">
        <v>3387</v>
      </c>
      <c r="H201" s="1323">
        <f t="shared" si="43"/>
        <v>106247</v>
      </c>
      <c r="I201" s="1654"/>
      <c r="J201" s="1654"/>
      <c r="K201" s="1654"/>
      <c r="L201" s="1654"/>
    </row>
    <row r="202" spans="1:12" ht="18" customHeight="1" outlineLevel="2">
      <c r="A202" s="1318">
        <v>195</v>
      </c>
      <c r="B202" s="1322" t="s">
        <v>3773</v>
      </c>
      <c r="C202" s="1318" t="s">
        <v>1465</v>
      </c>
      <c r="D202" s="1322" t="s">
        <v>232</v>
      </c>
      <c r="E202" s="1318" t="s">
        <v>5</v>
      </c>
      <c r="F202" s="1322" t="s">
        <v>3774</v>
      </c>
      <c r="G202" s="1318" t="s">
        <v>3387</v>
      </c>
      <c r="H202" s="1323">
        <f t="shared" si="43"/>
        <v>106247</v>
      </c>
      <c r="I202" s="1654"/>
      <c r="J202" s="1654"/>
      <c r="K202" s="1654"/>
      <c r="L202" s="1654"/>
    </row>
    <row r="203" spans="1:12" ht="18" customHeight="1" outlineLevel="2">
      <c r="A203" s="1318">
        <v>196</v>
      </c>
      <c r="B203" s="1322" t="s">
        <v>3775</v>
      </c>
      <c r="C203" s="1318" t="s">
        <v>1465</v>
      </c>
      <c r="D203" s="1322" t="s">
        <v>232</v>
      </c>
      <c r="E203" s="1318" t="s">
        <v>5</v>
      </c>
      <c r="F203" s="1322" t="s">
        <v>3776</v>
      </c>
      <c r="G203" s="1318" t="s">
        <v>3387</v>
      </c>
      <c r="H203" s="1323">
        <f t="shared" si="43"/>
        <v>106247</v>
      </c>
      <c r="I203" s="1654"/>
      <c r="J203" s="1654"/>
      <c r="K203" s="1654"/>
      <c r="L203" s="1654"/>
    </row>
    <row r="204" spans="1:12" ht="18" customHeight="1" outlineLevel="2">
      <c r="A204" s="1318">
        <v>197</v>
      </c>
      <c r="B204" s="1322" t="s">
        <v>3777</v>
      </c>
      <c r="C204" s="1318" t="s">
        <v>1465</v>
      </c>
      <c r="D204" s="1322" t="s">
        <v>232</v>
      </c>
      <c r="E204" s="1318" t="s">
        <v>5</v>
      </c>
      <c r="F204" s="1322" t="s">
        <v>3778</v>
      </c>
      <c r="G204" s="1318" t="s">
        <v>3387</v>
      </c>
      <c r="H204" s="1323">
        <f t="shared" si="43"/>
        <v>106247</v>
      </c>
      <c r="I204" s="1654"/>
      <c r="J204" s="1654"/>
      <c r="K204" s="1654"/>
      <c r="L204" s="1654"/>
    </row>
    <row r="205" spans="1:12" ht="18" customHeight="1" outlineLevel="2">
      <c r="A205" s="1318">
        <v>198</v>
      </c>
      <c r="B205" s="1322" t="s">
        <v>3779</v>
      </c>
      <c r="C205" s="1318" t="s">
        <v>1465</v>
      </c>
      <c r="D205" s="1322" t="s">
        <v>233</v>
      </c>
      <c r="E205" s="1318" t="s">
        <v>5</v>
      </c>
      <c r="F205" s="1322" t="s">
        <v>3780</v>
      </c>
      <c r="G205" s="1318" t="s">
        <v>3384</v>
      </c>
      <c r="H205" s="1319">
        <f t="shared" ref="H205:H208" si="44">ROUND(254991.7,0)</f>
        <v>254992</v>
      </c>
      <c r="I205" s="1654"/>
      <c r="J205" s="1654"/>
      <c r="K205" s="1654"/>
      <c r="L205" s="1654"/>
    </row>
    <row r="206" spans="1:12" ht="18" customHeight="1" outlineLevel="2">
      <c r="A206" s="1318">
        <v>199</v>
      </c>
      <c r="B206" s="1322" t="s">
        <v>3781</v>
      </c>
      <c r="C206" s="1318" t="s">
        <v>958</v>
      </c>
      <c r="D206" s="1322" t="s">
        <v>230</v>
      </c>
      <c r="E206" s="1318" t="s">
        <v>5</v>
      </c>
      <c r="F206" s="1322" t="s">
        <v>3782</v>
      </c>
      <c r="G206" s="1318" t="s">
        <v>3384</v>
      </c>
      <c r="H206" s="1319">
        <f t="shared" si="44"/>
        <v>254992</v>
      </c>
      <c r="I206" s="1654"/>
      <c r="J206" s="1654"/>
      <c r="K206" s="1654"/>
      <c r="L206" s="1654"/>
    </row>
    <row r="207" spans="1:12" ht="18" customHeight="1" outlineLevel="2">
      <c r="A207" s="1318">
        <v>200</v>
      </c>
      <c r="B207" s="1322" t="s">
        <v>3783</v>
      </c>
      <c r="C207" s="1318" t="s">
        <v>958</v>
      </c>
      <c r="D207" s="1322" t="s">
        <v>230</v>
      </c>
      <c r="E207" s="1318" t="s">
        <v>5</v>
      </c>
      <c r="F207" s="1322" t="s">
        <v>3784</v>
      </c>
      <c r="G207" s="1318" t="s">
        <v>3384</v>
      </c>
      <c r="H207" s="1319">
        <f t="shared" si="44"/>
        <v>254992</v>
      </c>
      <c r="I207" s="1654"/>
      <c r="J207" s="1654"/>
      <c r="K207" s="1654"/>
      <c r="L207" s="1654"/>
    </row>
    <row r="208" spans="1:12" ht="18" customHeight="1" outlineLevel="2">
      <c r="A208" s="1318">
        <v>201</v>
      </c>
      <c r="B208" s="1322" t="s">
        <v>3785</v>
      </c>
      <c r="C208" s="1318" t="s">
        <v>958</v>
      </c>
      <c r="D208" s="1322" t="s">
        <v>230</v>
      </c>
      <c r="E208" s="1318" t="s">
        <v>5</v>
      </c>
      <c r="F208" s="1322" t="s">
        <v>3786</v>
      </c>
      <c r="G208" s="1318" t="s">
        <v>3384</v>
      </c>
      <c r="H208" s="1319">
        <f t="shared" si="44"/>
        <v>254992</v>
      </c>
      <c r="I208" s="1654"/>
      <c r="J208" s="1654"/>
      <c r="K208" s="1654"/>
      <c r="L208" s="1654"/>
    </row>
    <row r="209" spans="1:12" ht="18" customHeight="1" outlineLevel="2">
      <c r="A209" s="1318">
        <v>202</v>
      </c>
      <c r="B209" s="1322" t="s">
        <v>3787</v>
      </c>
      <c r="C209" s="1318" t="s">
        <v>958</v>
      </c>
      <c r="D209" s="1322" t="s">
        <v>230</v>
      </c>
      <c r="E209" s="1318" t="s">
        <v>5</v>
      </c>
      <c r="F209" s="1322" t="s">
        <v>3788</v>
      </c>
      <c r="G209" s="1318" t="s">
        <v>3387</v>
      </c>
      <c r="H209" s="1323">
        <f>ROUND(254991.7/12*5,0)</f>
        <v>106247</v>
      </c>
      <c r="I209" s="1654"/>
      <c r="J209" s="1654"/>
      <c r="K209" s="1654"/>
      <c r="L209" s="1654"/>
    </row>
    <row r="210" spans="1:12" ht="18" customHeight="1" outlineLevel="2">
      <c r="A210" s="1318">
        <v>203</v>
      </c>
      <c r="B210" s="1318" t="s">
        <v>3789</v>
      </c>
      <c r="C210" s="1318" t="s">
        <v>1465</v>
      </c>
      <c r="D210" s="1318" t="s">
        <v>231</v>
      </c>
      <c r="E210" s="1318" t="str">
        <f>VLOOKUP(D210,[2]Sheet1!D:F,3,FALSE)</f>
        <v>浦江</v>
      </c>
      <c r="F210" s="1318" t="s">
        <v>3790</v>
      </c>
      <c r="G210" s="1318" t="s">
        <v>3460</v>
      </c>
      <c r="H210" s="1319">
        <f>ROUND(254991.7/12*6,0)</f>
        <v>127496</v>
      </c>
      <c r="I210" s="1654"/>
      <c r="J210" s="1654"/>
      <c r="K210" s="1654"/>
      <c r="L210" s="1654"/>
    </row>
    <row r="211" spans="1:12" ht="18" customHeight="1" outlineLevel="2">
      <c r="A211" s="1318">
        <v>204</v>
      </c>
      <c r="B211" s="1322" t="s">
        <v>3791</v>
      </c>
      <c r="C211" s="1318" t="s">
        <v>958</v>
      </c>
      <c r="D211" s="1322" t="s">
        <v>235</v>
      </c>
      <c r="E211" s="1318" t="s">
        <v>5</v>
      </c>
      <c r="F211" s="1322" t="s">
        <v>3792</v>
      </c>
      <c r="G211" s="1318" t="s">
        <v>3384</v>
      </c>
      <c r="H211" s="1319">
        <v>285394</v>
      </c>
      <c r="I211" s="1654"/>
      <c r="J211" s="1654"/>
      <c r="K211" s="1654"/>
      <c r="L211" s="1654"/>
    </row>
    <row r="212" spans="1:12" ht="18" customHeight="1" outlineLevel="2">
      <c r="A212" s="1318">
        <v>205</v>
      </c>
      <c r="B212" s="1322" t="s">
        <v>3793</v>
      </c>
      <c r="C212" s="1318" t="s">
        <v>958</v>
      </c>
      <c r="D212" s="1322" t="s">
        <v>235</v>
      </c>
      <c r="E212" s="1318" t="s">
        <v>5</v>
      </c>
      <c r="F212" s="1322" t="s">
        <v>3794</v>
      </c>
      <c r="G212" s="1318" t="s">
        <v>3384</v>
      </c>
      <c r="H212" s="1319">
        <v>285394</v>
      </c>
      <c r="I212" s="1654"/>
      <c r="J212" s="1654"/>
      <c r="K212" s="1654"/>
      <c r="L212" s="1654"/>
    </row>
    <row r="213" spans="1:12" ht="18" customHeight="1" outlineLevel="2">
      <c r="A213" s="1318">
        <v>206</v>
      </c>
      <c r="B213" s="1322" t="s">
        <v>3795</v>
      </c>
      <c r="C213" s="1318" t="s">
        <v>958</v>
      </c>
      <c r="D213" s="1322" t="s">
        <v>235</v>
      </c>
      <c r="E213" s="1318" t="s">
        <v>5</v>
      </c>
      <c r="F213" s="1322" t="s">
        <v>3796</v>
      </c>
      <c r="G213" s="1318" t="s">
        <v>3384</v>
      </c>
      <c r="H213" s="1319">
        <v>285394</v>
      </c>
      <c r="I213" s="1654"/>
      <c r="J213" s="1654"/>
      <c r="K213" s="1654"/>
      <c r="L213" s="1654"/>
    </row>
    <row r="214" spans="1:12" ht="18" customHeight="1" outlineLevel="2">
      <c r="A214" s="1318">
        <v>207</v>
      </c>
      <c r="B214" s="1322" t="s">
        <v>3797</v>
      </c>
      <c r="C214" s="1318" t="s">
        <v>958</v>
      </c>
      <c r="D214" s="1322" t="s">
        <v>235</v>
      </c>
      <c r="E214" s="1318" t="s">
        <v>5</v>
      </c>
      <c r="F214" s="1322" t="s">
        <v>3798</v>
      </c>
      <c r="G214" s="1318" t="s">
        <v>3387</v>
      </c>
      <c r="H214" s="1323">
        <f t="shared" ref="H214:H215" si="45">ROUND(285394/12*5,0)</f>
        <v>118914</v>
      </c>
      <c r="I214" s="1654"/>
      <c r="J214" s="1654"/>
      <c r="K214" s="1654"/>
      <c r="L214" s="1654"/>
    </row>
    <row r="215" spans="1:12" ht="18" customHeight="1" outlineLevel="2">
      <c r="A215" s="1318">
        <v>208</v>
      </c>
      <c r="B215" s="1322" t="s">
        <v>3799</v>
      </c>
      <c r="C215" s="1318" t="s">
        <v>958</v>
      </c>
      <c r="D215" s="1322" t="s">
        <v>235</v>
      </c>
      <c r="E215" s="1318" t="s">
        <v>5</v>
      </c>
      <c r="F215" s="1322" t="s">
        <v>3800</v>
      </c>
      <c r="G215" s="1318" t="s">
        <v>3387</v>
      </c>
      <c r="H215" s="1323">
        <f t="shared" si="45"/>
        <v>118914</v>
      </c>
      <c r="I215" s="1654"/>
      <c r="J215" s="1654"/>
      <c r="K215" s="1654"/>
      <c r="L215" s="1654"/>
    </row>
    <row r="216" spans="1:12" ht="18" customHeight="1" outlineLevel="2">
      <c r="A216" s="1318">
        <v>209</v>
      </c>
      <c r="B216" s="1322" t="s">
        <v>3801</v>
      </c>
      <c r="C216" s="1318" t="s">
        <v>962</v>
      </c>
      <c r="D216" s="1322" t="s">
        <v>229</v>
      </c>
      <c r="E216" s="1318" t="s">
        <v>5</v>
      </c>
      <c r="F216" s="1322" t="s">
        <v>3802</v>
      </c>
      <c r="G216" s="1318" t="s">
        <v>3384</v>
      </c>
      <c r="H216" s="1319">
        <v>285394</v>
      </c>
      <c r="I216" s="1654"/>
      <c r="J216" s="1654"/>
      <c r="K216" s="1654"/>
      <c r="L216" s="1654"/>
    </row>
    <row r="217" spans="1:12" ht="18" customHeight="1" outlineLevel="2">
      <c r="A217" s="1318">
        <v>210</v>
      </c>
      <c r="B217" s="1322" t="s">
        <v>3803</v>
      </c>
      <c r="C217" s="1318" t="s">
        <v>962</v>
      </c>
      <c r="D217" s="1322" t="s">
        <v>229</v>
      </c>
      <c r="E217" s="1318" t="s">
        <v>5</v>
      </c>
      <c r="F217" s="1322" t="s">
        <v>3804</v>
      </c>
      <c r="G217" s="1318" t="s">
        <v>3384</v>
      </c>
      <c r="H217" s="1319">
        <v>285394</v>
      </c>
      <c r="I217" s="1654"/>
      <c r="J217" s="1654"/>
      <c r="K217" s="1654"/>
      <c r="L217" s="1654"/>
    </row>
    <row r="218" spans="1:12" ht="18" customHeight="1" outlineLevel="2">
      <c r="A218" s="1318">
        <v>211</v>
      </c>
      <c r="B218" s="1322" t="s">
        <v>3805</v>
      </c>
      <c r="C218" s="1318" t="s">
        <v>962</v>
      </c>
      <c r="D218" s="1322" t="s">
        <v>229</v>
      </c>
      <c r="E218" s="1318" t="s">
        <v>5</v>
      </c>
      <c r="F218" s="1322" t="s">
        <v>3806</v>
      </c>
      <c r="G218" s="1318" t="s">
        <v>3387</v>
      </c>
      <c r="H218" s="1323">
        <f t="shared" ref="H218:H221" si="46">ROUND(285394/12*5,0)</f>
        <v>118914</v>
      </c>
      <c r="I218" s="1654"/>
      <c r="J218" s="1654"/>
      <c r="K218" s="1654"/>
      <c r="L218" s="1654"/>
    </row>
    <row r="219" spans="1:12" ht="18" customHeight="1" outlineLevel="2">
      <c r="A219" s="1318">
        <v>212</v>
      </c>
      <c r="B219" s="1322" t="s">
        <v>3807</v>
      </c>
      <c r="C219" s="1318" t="s">
        <v>962</v>
      </c>
      <c r="D219" s="1322" t="s">
        <v>229</v>
      </c>
      <c r="E219" s="1318" t="s">
        <v>5</v>
      </c>
      <c r="F219" s="1322" t="s">
        <v>3808</v>
      </c>
      <c r="G219" s="1318" t="s">
        <v>3387</v>
      </c>
      <c r="H219" s="1323">
        <f t="shared" si="46"/>
        <v>118914</v>
      </c>
      <c r="I219" s="1654"/>
      <c r="J219" s="1654"/>
      <c r="K219" s="1654"/>
      <c r="L219" s="1654"/>
    </row>
    <row r="220" spans="1:12" ht="18" customHeight="1" outlineLevel="2">
      <c r="A220" s="1318">
        <v>213</v>
      </c>
      <c r="B220" s="1322" t="s">
        <v>3809</v>
      </c>
      <c r="C220" s="1318" t="s">
        <v>962</v>
      </c>
      <c r="D220" s="1322" t="s">
        <v>229</v>
      </c>
      <c r="E220" s="1318" t="s">
        <v>5</v>
      </c>
      <c r="F220" s="1322" t="s">
        <v>3810</v>
      </c>
      <c r="G220" s="1318" t="s">
        <v>3387</v>
      </c>
      <c r="H220" s="1323">
        <f t="shared" si="46"/>
        <v>118914</v>
      </c>
      <c r="I220" s="1654"/>
      <c r="J220" s="1654"/>
      <c r="K220" s="1654"/>
      <c r="L220" s="1654"/>
    </row>
    <row r="221" spans="1:12" ht="18" customHeight="1" outlineLevel="2">
      <c r="A221" s="1318">
        <v>214</v>
      </c>
      <c r="B221" s="1322" t="s">
        <v>3811</v>
      </c>
      <c r="C221" s="1318" t="s">
        <v>962</v>
      </c>
      <c r="D221" s="1322" t="s">
        <v>229</v>
      </c>
      <c r="E221" s="1318" t="s">
        <v>5</v>
      </c>
      <c r="F221" s="1322" t="s">
        <v>3812</v>
      </c>
      <c r="G221" s="1318" t="s">
        <v>3387</v>
      </c>
      <c r="H221" s="1323">
        <f t="shared" si="46"/>
        <v>118914</v>
      </c>
      <c r="I221" s="1654"/>
      <c r="J221" s="1654"/>
      <c r="K221" s="1654"/>
      <c r="L221" s="1654"/>
    </row>
    <row r="222" spans="1:12" ht="18" customHeight="1" outlineLevel="2">
      <c r="A222" s="1318">
        <v>215</v>
      </c>
      <c r="B222" s="1322" t="s">
        <v>3813</v>
      </c>
      <c r="C222" s="1318" t="s">
        <v>962</v>
      </c>
      <c r="D222" s="1322" t="s">
        <v>227</v>
      </c>
      <c r="E222" s="1318" t="s">
        <v>5</v>
      </c>
      <c r="F222" s="1322" t="s">
        <v>3814</v>
      </c>
      <c r="G222" s="1318" t="s">
        <v>3384</v>
      </c>
      <c r="H222" s="1319">
        <v>285394</v>
      </c>
      <c r="I222" s="1654"/>
      <c r="J222" s="1654"/>
      <c r="K222" s="1654"/>
      <c r="L222" s="1654"/>
    </row>
    <row r="223" spans="1:12" ht="18" customHeight="1" outlineLevel="2">
      <c r="A223" s="1318">
        <v>216</v>
      </c>
      <c r="B223" s="1322" t="s">
        <v>3815</v>
      </c>
      <c r="C223" s="1318" t="s">
        <v>962</v>
      </c>
      <c r="D223" s="1322" t="s">
        <v>227</v>
      </c>
      <c r="E223" s="1318" t="s">
        <v>5</v>
      </c>
      <c r="F223" s="1322" t="s">
        <v>3816</v>
      </c>
      <c r="G223" s="1318" t="s">
        <v>3387</v>
      </c>
      <c r="H223" s="1323">
        <f t="shared" ref="H223:H228" si="47">ROUND(285394/12*5,0)</f>
        <v>118914</v>
      </c>
      <c r="I223" s="1654"/>
      <c r="J223" s="1654"/>
      <c r="K223" s="1654"/>
      <c r="L223" s="1654"/>
    </row>
    <row r="224" spans="1:12" ht="18" customHeight="1" outlineLevel="2">
      <c r="A224" s="1318">
        <v>217</v>
      </c>
      <c r="B224" s="1322" t="s">
        <v>3817</v>
      </c>
      <c r="C224" s="1318" t="s">
        <v>962</v>
      </c>
      <c r="D224" s="1322" t="s">
        <v>227</v>
      </c>
      <c r="E224" s="1318" t="s">
        <v>5</v>
      </c>
      <c r="F224" s="1322" t="s">
        <v>3818</v>
      </c>
      <c r="G224" s="1318" t="s">
        <v>3387</v>
      </c>
      <c r="H224" s="1323">
        <f t="shared" si="47"/>
        <v>118914</v>
      </c>
      <c r="I224" s="1654"/>
      <c r="J224" s="1654"/>
      <c r="K224" s="1654"/>
      <c r="L224" s="1654"/>
    </row>
    <row r="225" spans="1:12" ht="18" customHeight="1" outlineLevel="2">
      <c r="A225" s="1318">
        <v>218</v>
      </c>
      <c r="B225" s="1322" t="s">
        <v>1204</v>
      </c>
      <c r="C225" s="1318" t="s">
        <v>962</v>
      </c>
      <c r="D225" s="1322" t="s">
        <v>227</v>
      </c>
      <c r="E225" s="1318" t="s">
        <v>5</v>
      </c>
      <c r="F225" s="1322" t="s">
        <v>3819</v>
      </c>
      <c r="G225" s="1318" t="s">
        <v>3387</v>
      </c>
      <c r="H225" s="1323">
        <f t="shared" si="47"/>
        <v>118914</v>
      </c>
      <c r="I225" s="1654"/>
      <c r="J225" s="1654"/>
      <c r="K225" s="1654"/>
      <c r="L225" s="1654"/>
    </row>
    <row r="226" spans="1:12" ht="18" customHeight="1" outlineLevel="2">
      <c r="A226" s="1318">
        <v>219</v>
      </c>
      <c r="B226" s="1322" t="s">
        <v>3820</v>
      </c>
      <c r="C226" s="1318" t="s">
        <v>962</v>
      </c>
      <c r="D226" s="1322" t="s">
        <v>227</v>
      </c>
      <c r="E226" s="1318" t="s">
        <v>5</v>
      </c>
      <c r="F226" s="1322" t="s">
        <v>3821</v>
      </c>
      <c r="G226" s="1318" t="s">
        <v>3387</v>
      </c>
      <c r="H226" s="1323">
        <f t="shared" si="47"/>
        <v>118914</v>
      </c>
      <c r="I226" s="1654"/>
      <c r="J226" s="1654"/>
      <c r="K226" s="1654"/>
      <c r="L226" s="1654"/>
    </row>
    <row r="227" spans="1:12" ht="18" customHeight="1" outlineLevel="2">
      <c r="A227" s="1318">
        <v>220</v>
      </c>
      <c r="B227" s="1322" t="s">
        <v>3822</v>
      </c>
      <c r="C227" s="1318" t="s">
        <v>962</v>
      </c>
      <c r="D227" s="1322" t="s">
        <v>227</v>
      </c>
      <c r="E227" s="1318" t="s">
        <v>5</v>
      </c>
      <c r="F227" s="1322" t="s">
        <v>3823</v>
      </c>
      <c r="G227" s="1318" t="s">
        <v>3387</v>
      </c>
      <c r="H227" s="1323">
        <f t="shared" si="47"/>
        <v>118914</v>
      </c>
      <c r="I227" s="1654"/>
      <c r="J227" s="1654"/>
      <c r="K227" s="1654"/>
      <c r="L227" s="1654"/>
    </row>
    <row r="228" spans="1:12" ht="18" customHeight="1" outlineLevel="2">
      <c r="A228" s="1318">
        <v>221</v>
      </c>
      <c r="B228" s="1322" t="s">
        <v>3824</v>
      </c>
      <c r="C228" s="1318" t="s">
        <v>962</v>
      </c>
      <c r="D228" s="1322" t="s">
        <v>227</v>
      </c>
      <c r="E228" s="1318" t="s">
        <v>5</v>
      </c>
      <c r="F228" s="1322" t="s">
        <v>3825</v>
      </c>
      <c r="G228" s="1318" t="s">
        <v>3387</v>
      </c>
      <c r="H228" s="1323">
        <f t="shared" si="47"/>
        <v>118914</v>
      </c>
      <c r="I228" s="1654"/>
      <c r="J228" s="1654"/>
      <c r="K228" s="1654"/>
      <c r="L228" s="1654"/>
    </row>
    <row r="229" spans="1:12" ht="18" customHeight="1" outlineLevel="2">
      <c r="A229" s="1318">
        <v>222</v>
      </c>
      <c r="B229" s="1322" t="s">
        <v>3826</v>
      </c>
      <c r="C229" s="1318" t="s">
        <v>962</v>
      </c>
      <c r="D229" s="1322" t="s">
        <v>228</v>
      </c>
      <c r="E229" s="1318" t="s">
        <v>5</v>
      </c>
      <c r="F229" s="1322" t="s">
        <v>3827</v>
      </c>
      <c r="G229" s="1318" t="s">
        <v>3384</v>
      </c>
      <c r="H229" s="1319">
        <v>285394</v>
      </c>
      <c r="I229" s="1654"/>
      <c r="J229" s="1654"/>
      <c r="K229" s="1654"/>
      <c r="L229" s="1654"/>
    </row>
    <row r="230" spans="1:12" ht="18" customHeight="1" outlineLevel="2">
      <c r="A230" s="1318">
        <v>223</v>
      </c>
      <c r="B230" s="1322" t="s">
        <v>3828</v>
      </c>
      <c r="C230" s="1318" t="s">
        <v>962</v>
      </c>
      <c r="D230" s="1322" t="s">
        <v>228</v>
      </c>
      <c r="E230" s="1318" t="s">
        <v>5</v>
      </c>
      <c r="F230" s="1322" t="s">
        <v>3829</v>
      </c>
      <c r="G230" s="1318" t="s">
        <v>3384</v>
      </c>
      <c r="H230" s="1319">
        <v>285394</v>
      </c>
      <c r="I230" s="1654"/>
      <c r="J230" s="1654"/>
      <c r="K230" s="1654"/>
      <c r="L230" s="1654"/>
    </row>
    <row r="231" spans="1:12" ht="18" customHeight="1" outlineLevel="2">
      <c r="A231" s="1318">
        <v>224</v>
      </c>
      <c r="B231" s="1322" t="s">
        <v>3830</v>
      </c>
      <c r="C231" s="1318" t="s">
        <v>962</v>
      </c>
      <c r="D231" s="1322" t="s">
        <v>228</v>
      </c>
      <c r="E231" s="1318" t="s">
        <v>5</v>
      </c>
      <c r="F231" s="1322" t="s">
        <v>3831</v>
      </c>
      <c r="G231" s="1318" t="s">
        <v>3384</v>
      </c>
      <c r="H231" s="1319">
        <v>285394</v>
      </c>
      <c r="I231" s="1654"/>
      <c r="J231" s="1654"/>
      <c r="K231" s="1654"/>
      <c r="L231" s="1654"/>
    </row>
    <row r="232" spans="1:12" ht="18" customHeight="1" outlineLevel="2">
      <c r="A232" s="1318">
        <v>225</v>
      </c>
      <c r="B232" s="1322" t="s">
        <v>3832</v>
      </c>
      <c r="C232" s="1318" t="s">
        <v>962</v>
      </c>
      <c r="D232" s="1322" t="s">
        <v>228</v>
      </c>
      <c r="E232" s="1318" t="s">
        <v>5</v>
      </c>
      <c r="F232" s="1322" t="s">
        <v>3833</v>
      </c>
      <c r="G232" s="1318" t="s">
        <v>3387</v>
      </c>
      <c r="H232" s="1323">
        <f t="shared" ref="H232:H233" si="48">ROUND(285394/12*5,0)</f>
        <v>118914</v>
      </c>
      <c r="I232" s="1654"/>
      <c r="J232" s="1654"/>
      <c r="K232" s="1654"/>
      <c r="L232" s="1654"/>
    </row>
    <row r="233" spans="1:12" ht="18" customHeight="1" outlineLevel="2">
      <c r="A233" s="1318">
        <v>226</v>
      </c>
      <c r="B233" s="1322" t="s">
        <v>3834</v>
      </c>
      <c r="C233" s="1318" t="s">
        <v>962</v>
      </c>
      <c r="D233" s="1322" t="s">
        <v>228</v>
      </c>
      <c r="E233" s="1318" t="s">
        <v>5</v>
      </c>
      <c r="F233" s="1322" t="s">
        <v>3835</v>
      </c>
      <c r="G233" s="1318" t="s">
        <v>3387</v>
      </c>
      <c r="H233" s="1323">
        <f t="shared" si="48"/>
        <v>118914</v>
      </c>
      <c r="I233" s="1654"/>
      <c r="J233" s="1654"/>
      <c r="K233" s="1654"/>
      <c r="L233" s="1654"/>
    </row>
    <row r="234" spans="1:12" ht="18" customHeight="1" outlineLevel="2">
      <c r="A234" s="1318">
        <v>227</v>
      </c>
      <c r="B234" s="1318" t="s">
        <v>3836</v>
      </c>
      <c r="C234" s="1318" t="s">
        <v>958</v>
      </c>
      <c r="D234" s="1318" t="s">
        <v>235</v>
      </c>
      <c r="E234" s="1318" t="str">
        <f>VLOOKUP(D234,[2]Sheet1!D:F,3,FALSE)</f>
        <v>浦江</v>
      </c>
      <c r="F234" s="1318" t="s">
        <v>3837</v>
      </c>
      <c r="G234" s="1318" t="s">
        <v>3838</v>
      </c>
      <c r="H234" s="1319">
        <f>ROUND(285394/12*6,0)</f>
        <v>142697</v>
      </c>
      <c r="I234" s="1654"/>
      <c r="J234" s="1654"/>
      <c r="K234" s="1654"/>
      <c r="L234" s="1654"/>
    </row>
    <row r="235" spans="1:12" ht="18" customHeight="1" outlineLevel="2">
      <c r="A235" s="1318">
        <v>228</v>
      </c>
      <c r="B235" s="1318" t="s">
        <v>3839</v>
      </c>
      <c r="C235" s="1318" t="s">
        <v>958</v>
      </c>
      <c r="D235" s="1318" t="s">
        <v>235</v>
      </c>
      <c r="E235" s="1318" t="str">
        <f>VLOOKUP(D235,[2]Sheet1!D:F,3,FALSE)</f>
        <v>浦江</v>
      </c>
      <c r="F235" s="1318" t="s">
        <v>3840</v>
      </c>
      <c r="G235" s="1318" t="s">
        <v>3838</v>
      </c>
      <c r="H235" s="1319">
        <f t="shared" ref="H235:H238" si="49">ROUND(285394/12*6,0)</f>
        <v>142697</v>
      </c>
      <c r="I235" s="1654"/>
      <c r="J235" s="1654"/>
      <c r="K235" s="1654"/>
      <c r="L235" s="1654"/>
    </row>
    <row r="236" spans="1:12" ht="18" customHeight="1" outlineLevel="2">
      <c r="A236" s="1318">
        <v>229</v>
      </c>
      <c r="B236" s="1318" t="s">
        <v>3841</v>
      </c>
      <c r="C236" s="1318" t="s">
        <v>962</v>
      </c>
      <c r="D236" s="1318" t="s">
        <v>229</v>
      </c>
      <c r="E236" s="1318" t="str">
        <f>VLOOKUP(D236,[2]Sheet1!D:F,3,FALSE)</f>
        <v>浦江</v>
      </c>
      <c r="F236" s="1318" t="s">
        <v>3842</v>
      </c>
      <c r="G236" s="1318" t="s">
        <v>3838</v>
      </c>
      <c r="H236" s="1319">
        <f t="shared" si="49"/>
        <v>142697</v>
      </c>
      <c r="I236" s="1654"/>
      <c r="J236" s="1654"/>
      <c r="K236" s="1654"/>
      <c r="L236" s="1654"/>
    </row>
    <row r="237" spans="1:12" ht="18" customHeight="1" outlineLevel="2">
      <c r="A237" s="1318">
        <v>230</v>
      </c>
      <c r="B237" s="1318" t="s">
        <v>3843</v>
      </c>
      <c r="C237" s="1318" t="s">
        <v>962</v>
      </c>
      <c r="D237" s="1318" t="s">
        <v>229</v>
      </c>
      <c r="E237" s="1318" t="str">
        <f>VLOOKUP(D237,[2]Sheet1!D:F,3,FALSE)</f>
        <v>浦江</v>
      </c>
      <c r="F237" s="1318" t="s">
        <v>3844</v>
      </c>
      <c r="G237" s="1318" t="s">
        <v>3838</v>
      </c>
      <c r="H237" s="1319">
        <f t="shared" si="49"/>
        <v>142697</v>
      </c>
      <c r="I237" s="1654"/>
      <c r="J237" s="1654"/>
      <c r="K237" s="1654"/>
      <c r="L237" s="1654"/>
    </row>
    <row r="238" spans="1:12" ht="18" customHeight="1" outlineLevel="2">
      <c r="A238" s="1318">
        <v>231</v>
      </c>
      <c r="B238" s="1318" t="s">
        <v>3845</v>
      </c>
      <c r="C238" s="1318" t="s">
        <v>962</v>
      </c>
      <c r="D238" s="1318" t="s">
        <v>227</v>
      </c>
      <c r="E238" s="1318" t="str">
        <f>VLOOKUP(D238,[2]Sheet1!D:F,3,FALSE)</f>
        <v>浦江</v>
      </c>
      <c r="F238" s="1318" t="s">
        <v>3846</v>
      </c>
      <c r="G238" s="1318" t="s">
        <v>3838</v>
      </c>
      <c r="H238" s="1319">
        <f t="shared" si="49"/>
        <v>142697</v>
      </c>
      <c r="I238" s="1655"/>
      <c r="J238" s="1655"/>
      <c r="K238" s="1655"/>
      <c r="L238" s="1655"/>
    </row>
    <row r="239" spans="1:12" ht="18" customHeight="1" outlineLevel="1">
      <c r="A239" s="1318"/>
      <c r="B239" s="1318"/>
      <c r="C239" s="1318"/>
      <c r="D239" s="1318"/>
      <c r="E239" s="1326" t="s">
        <v>257</v>
      </c>
      <c r="F239" s="1318"/>
      <c r="G239" s="1318"/>
      <c r="H239" s="1319">
        <f>SUBTOTAL(9,H115:H238)</f>
        <v>20349712</v>
      </c>
      <c r="I239" s="1325">
        <f t="shared" ref="I239:L239" si="50">SUBTOTAL(9,I115:I238)</f>
        <v>13514896.08</v>
      </c>
      <c r="J239" s="1325">
        <f t="shared" si="50"/>
        <v>6834815.9199999999</v>
      </c>
      <c r="K239" s="1325">
        <f t="shared" si="50"/>
        <v>4216966.78</v>
      </c>
      <c r="L239" s="1325">
        <f t="shared" si="50"/>
        <v>2617849.1399999997</v>
      </c>
    </row>
    <row r="240" spans="1:12" ht="18" customHeight="1" outlineLevel="2">
      <c r="A240" s="1318">
        <v>232</v>
      </c>
      <c r="B240" s="1318" t="s">
        <v>3847</v>
      </c>
      <c r="C240" s="1318" t="s">
        <v>3081</v>
      </c>
      <c r="D240" s="1318" t="s">
        <v>1023</v>
      </c>
      <c r="E240" s="1318" t="s">
        <v>6</v>
      </c>
      <c r="F240" s="1322" t="s">
        <v>3848</v>
      </c>
      <c r="G240" s="1318" t="s">
        <v>3384</v>
      </c>
      <c r="H240" s="1319">
        <f t="shared" ref="H240:H243" si="51">ROUND(232297.1,0)</f>
        <v>232297</v>
      </c>
      <c r="I240" s="1653">
        <v>2702973.44</v>
      </c>
      <c r="J240" s="1653">
        <f>H260-I240</f>
        <v>911550.56</v>
      </c>
      <c r="K240" s="1653">
        <v>0</v>
      </c>
      <c r="L240" s="1653">
        <f>J240-K240</f>
        <v>911550.56</v>
      </c>
    </row>
    <row r="241" spans="1:12" ht="18" customHeight="1" outlineLevel="2">
      <c r="A241" s="1318">
        <v>233</v>
      </c>
      <c r="B241" s="1318" t="s">
        <v>3849</v>
      </c>
      <c r="C241" s="1318" t="s">
        <v>3081</v>
      </c>
      <c r="D241" s="1318" t="s">
        <v>1028</v>
      </c>
      <c r="E241" s="1318" t="s">
        <v>6</v>
      </c>
      <c r="F241" s="1322" t="s">
        <v>3850</v>
      </c>
      <c r="G241" s="1318" t="s">
        <v>3384</v>
      </c>
      <c r="H241" s="1319">
        <f t="shared" si="51"/>
        <v>232297</v>
      </c>
      <c r="I241" s="1654"/>
      <c r="J241" s="1654"/>
      <c r="K241" s="1654"/>
      <c r="L241" s="1654"/>
    </row>
    <row r="242" spans="1:12" ht="18" customHeight="1" outlineLevel="2">
      <c r="A242" s="1318">
        <v>234</v>
      </c>
      <c r="B242" s="1318" t="s">
        <v>3851</v>
      </c>
      <c r="C242" s="1318" t="s">
        <v>3081</v>
      </c>
      <c r="D242" s="1318" t="s">
        <v>1027</v>
      </c>
      <c r="E242" s="1318" t="s">
        <v>6</v>
      </c>
      <c r="F242" s="1322" t="s">
        <v>3852</v>
      </c>
      <c r="G242" s="1318" t="s">
        <v>3384</v>
      </c>
      <c r="H242" s="1319">
        <f t="shared" si="51"/>
        <v>232297</v>
      </c>
      <c r="I242" s="1654"/>
      <c r="J242" s="1654"/>
      <c r="K242" s="1654"/>
      <c r="L242" s="1654"/>
    </row>
    <row r="243" spans="1:12" ht="18" customHeight="1" outlineLevel="2">
      <c r="A243" s="1318">
        <v>235</v>
      </c>
      <c r="B243" s="1318" t="s">
        <v>3853</v>
      </c>
      <c r="C243" s="1318" t="s">
        <v>3081</v>
      </c>
      <c r="D243" s="1318" t="s">
        <v>1027</v>
      </c>
      <c r="E243" s="1318" t="s">
        <v>6</v>
      </c>
      <c r="F243" s="1322" t="s">
        <v>3854</v>
      </c>
      <c r="G243" s="1318" t="s">
        <v>3384</v>
      </c>
      <c r="H243" s="1319">
        <f t="shared" si="51"/>
        <v>232297</v>
      </c>
      <c r="I243" s="1654"/>
      <c r="J243" s="1654"/>
      <c r="K243" s="1654"/>
      <c r="L243" s="1654"/>
    </row>
    <row r="244" spans="1:12" ht="18" customHeight="1" outlineLevel="2">
      <c r="A244" s="1318">
        <v>236</v>
      </c>
      <c r="B244" s="1322" t="s">
        <v>3855</v>
      </c>
      <c r="C244" s="1318" t="s">
        <v>1465</v>
      </c>
      <c r="D244" s="1322" t="s">
        <v>1021</v>
      </c>
      <c r="E244" s="1318" t="s">
        <v>6</v>
      </c>
      <c r="F244" s="1322" t="s">
        <v>3856</v>
      </c>
      <c r="G244" s="1318" t="s">
        <v>3384</v>
      </c>
      <c r="H244" s="1319">
        <f t="shared" ref="H244:H245" si="52">ROUND(254991.7,0)</f>
        <v>254992</v>
      </c>
      <c r="I244" s="1654"/>
      <c r="J244" s="1654"/>
      <c r="K244" s="1654"/>
      <c r="L244" s="1654"/>
    </row>
    <row r="245" spans="1:12" ht="18" customHeight="1" outlineLevel="2">
      <c r="A245" s="1318">
        <v>237</v>
      </c>
      <c r="B245" s="1322" t="s">
        <v>3857</v>
      </c>
      <c r="C245" s="1318" t="s">
        <v>1465</v>
      </c>
      <c r="D245" s="1322" t="s">
        <v>3858</v>
      </c>
      <c r="E245" s="1318" t="s">
        <v>6</v>
      </c>
      <c r="F245" s="1322" t="s">
        <v>3859</v>
      </c>
      <c r="G245" s="1318" t="s">
        <v>3384</v>
      </c>
      <c r="H245" s="1319">
        <f t="shared" si="52"/>
        <v>254992</v>
      </c>
      <c r="I245" s="1654"/>
      <c r="J245" s="1654"/>
      <c r="K245" s="1654"/>
      <c r="L245" s="1654"/>
    </row>
    <row r="246" spans="1:12" ht="18" customHeight="1" outlineLevel="2">
      <c r="A246" s="1318">
        <v>238</v>
      </c>
      <c r="B246" s="1322" t="s">
        <v>3860</v>
      </c>
      <c r="C246" s="1318" t="s">
        <v>958</v>
      </c>
      <c r="D246" s="1322" t="s">
        <v>1019</v>
      </c>
      <c r="E246" s="1318" t="s">
        <v>6</v>
      </c>
      <c r="F246" s="1322" t="s">
        <v>3861</v>
      </c>
      <c r="G246" s="1318" t="s">
        <v>3387</v>
      </c>
      <c r="H246" s="1323">
        <f>ROUND(254991.7/12*5,0)</f>
        <v>106247</v>
      </c>
      <c r="I246" s="1654"/>
      <c r="J246" s="1654"/>
      <c r="K246" s="1654"/>
      <c r="L246" s="1654"/>
    </row>
    <row r="247" spans="1:12" ht="18" customHeight="1" outlineLevel="2">
      <c r="A247" s="1318">
        <v>239</v>
      </c>
      <c r="B247" s="1322" t="s">
        <v>3862</v>
      </c>
      <c r="C247" s="1318" t="s">
        <v>962</v>
      </c>
      <c r="D247" s="1322" t="s">
        <v>226</v>
      </c>
      <c r="E247" s="1318" t="s">
        <v>6</v>
      </c>
      <c r="F247" s="1322" t="s">
        <v>3863</v>
      </c>
      <c r="G247" s="1318" t="s">
        <v>3384</v>
      </c>
      <c r="H247" s="1319">
        <v>285394</v>
      </c>
      <c r="I247" s="1654"/>
      <c r="J247" s="1654"/>
      <c r="K247" s="1654"/>
      <c r="L247" s="1654"/>
    </row>
    <row r="248" spans="1:12" ht="18" customHeight="1" outlineLevel="2">
      <c r="A248" s="1318">
        <v>240</v>
      </c>
      <c r="B248" s="1322" t="s">
        <v>3864</v>
      </c>
      <c r="C248" s="1318" t="s">
        <v>962</v>
      </c>
      <c r="D248" s="1322" t="s">
        <v>226</v>
      </c>
      <c r="E248" s="1318" t="s">
        <v>6</v>
      </c>
      <c r="F248" s="1322" t="s">
        <v>3865</v>
      </c>
      <c r="G248" s="1318" t="s">
        <v>3387</v>
      </c>
      <c r="H248" s="1323">
        <f t="shared" ref="H248:H249" si="53">ROUND(285394/12*5,0)</f>
        <v>118914</v>
      </c>
      <c r="I248" s="1654"/>
      <c r="J248" s="1654"/>
      <c r="K248" s="1654"/>
      <c r="L248" s="1654"/>
    </row>
    <row r="249" spans="1:12" ht="18" customHeight="1" outlineLevel="2">
      <c r="A249" s="1318">
        <v>241</v>
      </c>
      <c r="B249" s="1322" t="s">
        <v>3866</v>
      </c>
      <c r="C249" s="1318" t="s">
        <v>962</v>
      </c>
      <c r="D249" s="1322" t="s">
        <v>226</v>
      </c>
      <c r="E249" s="1318" t="s">
        <v>6</v>
      </c>
      <c r="F249" s="1322" t="s">
        <v>3867</v>
      </c>
      <c r="G249" s="1318" t="s">
        <v>3387</v>
      </c>
      <c r="H249" s="1323">
        <f t="shared" si="53"/>
        <v>118914</v>
      </c>
      <c r="I249" s="1654"/>
      <c r="J249" s="1654"/>
      <c r="K249" s="1654"/>
      <c r="L249" s="1654"/>
    </row>
    <row r="250" spans="1:12" ht="18" customHeight="1" outlineLevel="2">
      <c r="A250" s="1318">
        <v>242</v>
      </c>
      <c r="B250" s="1322" t="s">
        <v>3868</v>
      </c>
      <c r="C250" s="1318" t="s">
        <v>962</v>
      </c>
      <c r="D250" s="1322" t="s">
        <v>466</v>
      </c>
      <c r="E250" s="1318" t="s">
        <v>6</v>
      </c>
      <c r="F250" s="1322" t="s">
        <v>3869</v>
      </c>
      <c r="G250" s="1318" t="s">
        <v>3384</v>
      </c>
      <c r="H250" s="1319">
        <v>285394</v>
      </c>
      <c r="I250" s="1654"/>
      <c r="J250" s="1654"/>
      <c r="K250" s="1654"/>
      <c r="L250" s="1654"/>
    </row>
    <row r="251" spans="1:12" ht="18" customHeight="1" outlineLevel="2">
      <c r="A251" s="1318">
        <v>243</v>
      </c>
      <c r="B251" s="1322" t="s">
        <v>3870</v>
      </c>
      <c r="C251" s="1318" t="s">
        <v>962</v>
      </c>
      <c r="D251" s="1322" t="s">
        <v>466</v>
      </c>
      <c r="E251" s="1318" t="s">
        <v>6</v>
      </c>
      <c r="F251" s="1322" t="s">
        <v>3871</v>
      </c>
      <c r="G251" s="1318" t="s">
        <v>3387</v>
      </c>
      <c r="H251" s="1323">
        <f t="shared" ref="H251:H254" si="54">ROUND(285394/12*5,0)</f>
        <v>118914</v>
      </c>
      <c r="I251" s="1654"/>
      <c r="J251" s="1654"/>
      <c r="K251" s="1654"/>
      <c r="L251" s="1654"/>
    </row>
    <row r="252" spans="1:12" ht="18" customHeight="1" outlineLevel="2">
      <c r="A252" s="1318">
        <v>244</v>
      </c>
      <c r="B252" s="1322" t="s">
        <v>3872</v>
      </c>
      <c r="C252" s="1318" t="s">
        <v>962</v>
      </c>
      <c r="D252" s="1322" t="s">
        <v>466</v>
      </c>
      <c r="E252" s="1318" t="s">
        <v>6</v>
      </c>
      <c r="F252" s="1322" t="s">
        <v>3873</v>
      </c>
      <c r="G252" s="1318" t="s">
        <v>3387</v>
      </c>
      <c r="H252" s="1323">
        <f t="shared" si="54"/>
        <v>118914</v>
      </c>
      <c r="I252" s="1654"/>
      <c r="J252" s="1654"/>
      <c r="K252" s="1654"/>
      <c r="L252" s="1654"/>
    </row>
    <row r="253" spans="1:12" ht="18" customHeight="1" outlineLevel="2">
      <c r="A253" s="1318">
        <v>245</v>
      </c>
      <c r="B253" s="1322" t="s">
        <v>3874</v>
      </c>
      <c r="C253" s="1318" t="s">
        <v>962</v>
      </c>
      <c r="D253" s="1322" t="s">
        <v>466</v>
      </c>
      <c r="E253" s="1318" t="s">
        <v>6</v>
      </c>
      <c r="F253" s="1322" t="s">
        <v>3875</v>
      </c>
      <c r="G253" s="1318" t="s">
        <v>3387</v>
      </c>
      <c r="H253" s="1323">
        <f t="shared" si="54"/>
        <v>118914</v>
      </c>
      <c r="I253" s="1654"/>
      <c r="J253" s="1654"/>
      <c r="K253" s="1654"/>
      <c r="L253" s="1654"/>
    </row>
    <row r="254" spans="1:12" ht="18" customHeight="1" outlineLevel="2">
      <c r="A254" s="1318">
        <v>246</v>
      </c>
      <c r="B254" s="1322" t="s">
        <v>3876</v>
      </c>
      <c r="C254" s="1318" t="s">
        <v>962</v>
      </c>
      <c r="D254" s="1322" t="s">
        <v>466</v>
      </c>
      <c r="E254" s="1318" t="s">
        <v>6</v>
      </c>
      <c r="F254" s="1322" t="s">
        <v>3877</v>
      </c>
      <c r="G254" s="1318" t="s">
        <v>3387</v>
      </c>
      <c r="H254" s="1323">
        <f t="shared" si="54"/>
        <v>118914</v>
      </c>
      <c r="I254" s="1654"/>
      <c r="J254" s="1654"/>
      <c r="K254" s="1654"/>
      <c r="L254" s="1654"/>
    </row>
    <row r="255" spans="1:12" ht="18" customHeight="1" outlineLevel="2">
      <c r="A255" s="1318">
        <v>247</v>
      </c>
      <c r="B255" s="1322" t="s">
        <v>3878</v>
      </c>
      <c r="C255" s="1318" t="s">
        <v>962</v>
      </c>
      <c r="D255" s="1322" t="s">
        <v>1020</v>
      </c>
      <c r="E255" s="1318" t="s">
        <v>6</v>
      </c>
      <c r="F255" s="1322" t="s">
        <v>3879</v>
      </c>
      <c r="G255" s="1318" t="s">
        <v>3384</v>
      </c>
      <c r="H255" s="1319">
        <v>285394</v>
      </c>
      <c r="I255" s="1654"/>
      <c r="J255" s="1654"/>
      <c r="K255" s="1654"/>
      <c r="L255" s="1654"/>
    </row>
    <row r="256" spans="1:12" ht="18" customHeight="1" outlineLevel="2">
      <c r="A256" s="1318">
        <v>248</v>
      </c>
      <c r="B256" s="1322" t="s">
        <v>3880</v>
      </c>
      <c r="C256" s="1318" t="s">
        <v>962</v>
      </c>
      <c r="D256" s="1322" t="s">
        <v>1020</v>
      </c>
      <c r="E256" s="1318" t="s">
        <v>6</v>
      </c>
      <c r="F256" s="1322" t="s">
        <v>3881</v>
      </c>
      <c r="G256" s="1318" t="s">
        <v>3387</v>
      </c>
      <c r="H256" s="1323">
        <f t="shared" ref="H256:H258" si="55">ROUND(285394/12*5,0)</f>
        <v>118914</v>
      </c>
      <c r="I256" s="1654"/>
      <c r="J256" s="1654"/>
      <c r="K256" s="1654"/>
      <c r="L256" s="1654"/>
    </row>
    <row r="257" spans="1:12" ht="18" customHeight="1" outlineLevel="2">
      <c r="A257" s="1318">
        <v>249</v>
      </c>
      <c r="B257" s="1322" t="s">
        <v>3882</v>
      </c>
      <c r="C257" s="1318" t="s">
        <v>962</v>
      </c>
      <c r="D257" s="1322" t="s">
        <v>1020</v>
      </c>
      <c r="E257" s="1318" t="s">
        <v>6</v>
      </c>
      <c r="F257" s="1322" t="s">
        <v>3883</v>
      </c>
      <c r="G257" s="1318" t="s">
        <v>3387</v>
      </c>
      <c r="H257" s="1323">
        <f t="shared" si="55"/>
        <v>118914</v>
      </c>
      <c r="I257" s="1654"/>
      <c r="J257" s="1654"/>
      <c r="K257" s="1654"/>
      <c r="L257" s="1654"/>
    </row>
    <row r="258" spans="1:12" ht="18" customHeight="1" outlineLevel="2">
      <c r="A258" s="1318">
        <v>250</v>
      </c>
      <c r="B258" s="1322" t="s">
        <v>3884</v>
      </c>
      <c r="C258" s="1318" t="s">
        <v>962</v>
      </c>
      <c r="D258" s="1322" t="s">
        <v>1020</v>
      </c>
      <c r="E258" s="1318" t="s">
        <v>6</v>
      </c>
      <c r="F258" s="1322" t="s">
        <v>3885</v>
      </c>
      <c r="G258" s="1318" t="s">
        <v>3387</v>
      </c>
      <c r="H258" s="1323">
        <f t="shared" si="55"/>
        <v>118914</v>
      </c>
      <c r="I258" s="1654"/>
      <c r="J258" s="1654"/>
      <c r="K258" s="1654"/>
      <c r="L258" s="1654"/>
    </row>
    <row r="259" spans="1:12" ht="18" customHeight="1" outlineLevel="2">
      <c r="A259" s="1318">
        <v>251</v>
      </c>
      <c r="B259" s="1318" t="s">
        <v>3886</v>
      </c>
      <c r="C259" s="1318" t="s">
        <v>962</v>
      </c>
      <c r="D259" s="1318" t="s">
        <v>1020</v>
      </c>
      <c r="E259" s="1318" t="str">
        <f>VLOOKUP(D259,[2]Sheet1!D:F,3,FALSE)</f>
        <v>梅陇</v>
      </c>
      <c r="F259" s="1318" t="s">
        <v>3887</v>
      </c>
      <c r="G259" s="1318" t="s">
        <v>3838</v>
      </c>
      <c r="H259" s="1319">
        <f>ROUND(285394/12*6,0)</f>
        <v>142697</v>
      </c>
      <c r="I259" s="1655"/>
      <c r="J259" s="1655"/>
      <c r="K259" s="1655"/>
      <c r="L259" s="1655"/>
    </row>
    <row r="260" spans="1:12" ht="18" customHeight="1" outlineLevel="1">
      <c r="A260" s="1318"/>
      <c r="B260" s="1318"/>
      <c r="C260" s="1318"/>
      <c r="D260" s="1318"/>
      <c r="E260" s="1326" t="s">
        <v>258</v>
      </c>
      <c r="F260" s="1318"/>
      <c r="G260" s="1318"/>
      <c r="H260" s="1319">
        <f>SUBTOTAL(9,H240:H259)</f>
        <v>3614524</v>
      </c>
      <c r="I260" s="1325">
        <f t="shared" ref="I260:L260" si="56">SUBTOTAL(9,I240:I259)</f>
        <v>2702973.44</v>
      </c>
      <c r="J260" s="1325">
        <f t="shared" si="56"/>
        <v>911550.56</v>
      </c>
      <c r="K260" s="1325">
        <f t="shared" si="56"/>
        <v>0</v>
      </c>
      <c r="L260" s="1325">
        <f t="shared" si="56"/>
        <v>911550.56</v>
      </c>
    </row>
    <row r="261" spans="1:12" ht="18" customHeight="1" outlineLevel="2">
      <c r="A261" s="1318">
        <v>252</v>
      </c>
      <c r="B261" s="1318" t="s">
        <v>3888</v>
      </c>
      <c r="C261" s="1318" t="s">
        <v>3081</v>
      </c>
      <c r="D261" s="1318" t="s">
        <v>1038</v>
      </c>
      <c r="E261" s="1318" t="s">
        <v>7</v>
      </c>
      <c r="F261" s="1322" t="s">
        <v>3889</v>
      </c>
      <c r="G261" s="1318" t="s">
        <v>3384</v>
      </c>
      <c r="H261" s="1319">
        <f>ROUND(232297.1,0)</f>
        <v>232297</v>
      </c>
      <c r="I261" s="1653">
        <v>3710599.68</v>
      </c>
      <c r="J261" s="1653">
        <f>H287-I261</f>
        <v>1134155.3199999998</v>
      </c>
      <c r="K261" s="1653">
        <v>0</v>
      </c>
      <c r="L261" s="1653">
        <f>J261-K261</f>
        <v>1134155.3199999998</v>
      </c>
    </row>
    <row r="262" spans="1:12" ht="18" customHeight="1" outlineLevel="2">
      <c r="A262" s="1318">
        <v>253</v>
      </c>
      <c r="B262" s="1318" t="s">
        <v>3890</v>
      </c>
      <c r="C262" s="1318" t="s">
        <v>3081</v>
      </c>
      <c r="D262" s="1318" t="s">
        <v>1038</v>
      </c>
      <c r="E262" s="1318" t="s">
        <v>7</v>
      </c>
      <c r="F262" s="1322" t="s">
        <v>3891</v>
      </c>
      <c r="G262" s="1318" t="s">
        <v>3387</v>
      </c>
      <c r="H262" s="1323">
        <f t="shared" ref="H262:H266" si="57">ROUND(232297.1/12*5,0)</f>
        <v>96790</v>
      </c>
      <c r="I262" s="1654"/>
      <c r="J262" s="1654"/>
      <c r="K262" s="1654"/>
      <c r="L262" s="1654"/>
    </row>
    <row r="263" spans="1:12" ht="18" customHeight="1" outlineLevel="2">
      <c r="A263" s="1318">
        <v>254</v>
      </c>
      <c r="B263" s="1318" t="s">
        <v>3892</v>
      </c>
      <c r="C263" s="1318" t="s">
        <v>3081</v>
      </c>
      <c r="D263" s="1318" t="s">
        <v>1038</v>
      </c>
      <c r="E263" s="1318" t="s">
        <v>7</v>
      </c>
      <c r="F263" s="1322" t="s">
        <v>3893</v>
      </c>
      <c r="G263" s="1318" t="s">
        <v>3387</v>
      </c>
      <c r="H263" s="1323">
        <f t="shared" si="57"/>
        <v>96790</v>
      </c>
      <c r="I263" s="1654"/>
      <c r="J263" s="1654"/>
      <c r="K263" s="1654"/>
      <c r="L263" s="1654"/>
    </row>
    <row r="264" spans="1:12" ht="18" customHeight="1" outlineLevel="2">
      <c r="A264" s="1318">
        <v>255</v>
      </c>
      <c r="B264" s="1318" t="s">
        <v>3894</v>
      </c>
      <c r="C264" s="1318" t="s">
        <v>3081</v>
      </c>
      <c r="D264" s="1318" t="s">
        <v>1036</v>
      </c>
      <c r="E264" s="1318" t="s">
        <v>7</v>
      </c>
      <c r="F264" s="1322" t="s">
        <v>3895</v>
      </c>
      <c r="G264" s="1318" t="s">
        <v>3387</v>
      </c>
      <c r="H264" s="1323">
        <f t="shared" si="57"/>
        <v>96790</v>
      </c>
      <c r="I264" s="1654"/>
      <c r="J264" s="1654"/>
      <c r="K264" s="1654"/>
      <c r="L264" s="1654"/>
    </row>
    <row r="265" spans="1:12" ht="18" customHeight="1" outlineLevel="2">
      <c r="A265" s="1318">
        <v>256</v>
      </c>
      <c r="B265" s="1318" t="s">
        <v>3896</v>
      </c>
      <c r="C265" s="1318" t="s">
        <v>3081</v>
      </c>
      <c r="D265" s="1318" t="s">
        <v>1036</v>
      </c>
      <c r="E265" s="1318" t="s">
        <v>7</v>
      </c>
      <c r="F265" s="1322" t="s">
        <v>3897</v>
      </c>
      <c r="G265" s="1318" t="s">
        <v>3387</v>
      </c>
      <c r="H265" s="1323">
        <f t="shared" si="57"/>
        <v>96790</v>
      </c>
      <c r="I265" s="1654"/>
      <c r="J265" s="1654"/>
      <c r="K265" s="1654"/>
      <c r="L265" s="1654"/>
    </row>
    <row r="266" spans="1:12" ht="18" customHeight="1" outlineLevel="2">
      <c r="A266" s="1318">
        <v>257</v>
      </c>
      <c r="B266" s="1318" t="s">
        <v>3898</v>
      </c>
      <c r="C266" s="1318" t="s">
        <v>3081</v>
      </c>
      <c r="D266" s="1318" t="s">
        <v>1036</v>
      </c>
      <c r="E266" s="1318" t="s">
        <v>7</v>
      </c>
      <c r="F266" s="1322" t="s">
        <v>3899</v>
      </c>
      <c r="G266" s="1318" t="s">
        <v>3387</v>
      </c>
      <c r="H266" s="1323">
        <f t="shared" si="57"/>
        <v>96790</v>
      </c>
      <c r="I266" s="1654"/>
      <c r="J266" s="1654"/>
      <c r="K266" s="1654"/>
      <c r="L266" s="1654"/>
    </row>
    <row r="267" spans="1:12" ht="18" customHeight="1" outlineLevel="2">
      <c r="A267" s="1318">
        <v>258</v>
      </c>
      <c r="B267" s="1318" t="s">
        <v>3900</v>
      </c>
      <c r="C267" s="1318" t="s">
        <v>3081</v>
      </c>
      <c r="D267" s="1318" t="s">
        <v>1038</v>
      </c>
      <c r="E267" s="1318" t="str">
        <f>VLOOKUP(D267,[2]Sheet1!D:F,3,FALSE)</f>
        <v>马桥</v>
      </c>
      <c r="F267" s="1318" t="s">
        <v>3901</v>
      </c>
      <c r="G267" s="1318" t="s">
        <v>3838</v>
      </c>
      <c r="H267" s="1319">
        <f>ROUND(232297.1/12*6,0)</f>
        <v>116149</v>
      </c>
      <c r="I267" s="1654"/>
      <c r="J267" s="1654"/>
      <c r="K267" s="1654"/>
      <c r="L267" s="1654"/>
    </row>
    <row r="268" spans="1:12" ht="18" customHeight="1" outlineLevel="2">
      <c r="A268" s="1318">
        <v>259</v>
      </c>
      <c r="B268" s="1322" t="s">
        <v>3902</v>
      </c>
      <c r="C268" s="1318" t="s">
        <v>1465</v>
      </c>
      <c r="D268" s="1322" t="s">
        <v>1032</v>
      </c>
      <c r="E268" s="1318" t="s">
        <v>7</v>
      </c>
      <c r="F268" s="1322" t="s">
        <v>3903</v>
      </c>
      <c r="G268" s="1318" t="s">
        <v>3384</v>
      </c>
      <c r="H268" s="1319">
        <f t="shared" ref="H268:H275" si="58">ROUND(254991.7,0)</f>
        <v>254992</v>
      </c>
      <c r="I268" s="1654"/>
      <c r="J268" s="1654"/>
      <c r="K268" s="1654"/>
      <c r="L268" s="1654"/>
    </row>
    <row r="269" spans="1:12" ht="18" customHeight="1" outlineLevel="2">
      <c r="A269" s="1318">
        <v>260</v>
      </c>
      <c r="B269" s="1322" t="s">
        <v>3904</v>
      </c>
      <c r="C269" s="1318" t="s">
        <v>1465</v>
      </c>
      <c r="D269" s="1322" t="s">
        <v>1032</v>
      </c>
      <c r="E269" s="1318" t="s">
        <v>7</v>
      </c>
      <c r="F269" s="1322" t="s">
        <v>3905</v>
      </c>
      <c r="G269" s="1318" t="s">
        <v>3384</v>
      </c>
      <c r="H269" s="1319">
        <f t="shared" si="58"/>
        <v>254992</v>
      </c>
      <c r="I269" s="1654"/>
      <c r="J269" s="1654"/>
      <c r="K269" s="1654"/>
      <c r="L269" s="1654"/>
    </row>
    <row r="270" spans="1:12" ht="18" customHeight="1" outlineLevel="2">
      <c r="A270" s="1318">
        <v>261</v>
      </c>
      <c r="B270" s="1322" t="s">
        <v>3906</v>
      </c>
      <c r="C270" s="1318" t="s">
        <v>1465</v>
      </c>
      <c r="D270" s="1322" t="s">
        <v>1032</v>
      </c>
      <c r="E270" s="1318" t="s">
        <v>7</v>
      </c>
      <c r="F270" s="1322" t="s">
        <v>3907</v>
      </c>
      <c r="G270" s="1318" t="s">
        <v>3384</v>
      </c>
      <c r="H270" s="1319">
        <f t="shared" si="58"/>
        <v>254992</v>
      </c>
      <c r="I270" s="1654"/>
      <c r="J270" s="1654"/>
      <c r="K270" s="1654"/>
      <c r="L270" s="1654"/>
    </row>
    <row r="271" spans="1:12" ht="18" customHeight="1" outlineLevel="2">
      <c r="A271" s="1318">
        <v>262</v>
      </c>
      <c r="B271" s="1322" t="s">
        <v>3908</v>
      </c>
      <c r="C271" s="1318" t="s">
        <v>1465</v>
      </c>
      <c r="D271" s="1322" t="s">
        <v>1032</v>
      </c>
      <c r="E271" s="1318" t="s">
        <v>7</v>
      </c>
      <c r="F271" s="1322" t="s">
        <v>3909</v>
      </c>
      <c r="G271" s="1318" t="s">
        <v>3384</v>
      </c>
      <c r="H271" s="1319">
        <f t="shared" si="58"/>
        <v>254992</v>
      </c>
      <c r="I271" s="1654"/>
      <c r="J271" s="1654"/>
      <c r="K271" s="1654"/>
      <c r="L271" s="1654"/>
    </row>
    <row r="272" spans="1:12" ht="18" customHeight="1" outlineLevel="2">
      <c r="A272" s="1318">
        <v>263</v>
      </c>
      <c r="B272" s="1322" t="s">
        <v>3910</v>
      </c>
      <c r="C272" s="1318" t="s">
        <v>958</v>
      </c>
      <c r="D272" s="1322" t="s">
        <v>266</v>
      </c>
      <c r="E272" s="1318" t="s">
        <v>7</v>
      </c>
      <c r="F272" s="1322" t="s">
        <v>3911</v>
      </c>
      <c r="G272" s="1318" t="s">
        <v>3384</v>
      </c>
      <c r="H272" s="1319">
        <f t="shared" si="58"/>
        <v>254992</v>
      </c>
      <c r="I272" s="1654"/>
      <c r="J272" s="1654"/>
      <c r="K272" s="1654"/>
      <c r="L272" s="1654"/>
    </row>
    <row r="273" spans="1:12" ht="18" customHeight="1" outlineLevel="2">
      <c r="A273" s="1318">
        <v>264</v>
      </c>
      <c r="B273" s="1322" t="s">
        <v>3912</v>
      </c>
      <c r="C273" s="1318" t="s">
        <v>958</v>
      </c>
      <c r="D273" s="1322" t="s">
        <v>266</v>
      </c>
      <c r="E273" s="1318" t="s">
        <v>7</v>
      </c>
      <c r="F273" s="1322" t="s">
        <v>3913</v>
      </c>
      <c r="G273" s="1318" t="s">
        <v>3384</v>
      </c>
      <c r="H273" s="1319">
        <f t="shared" si="58"/>
        <v>254992</v>
      </c>
      <c r="I273" s="1654"/>
      <c r="J273" s="1654"/>
      <c r="K273" s="1654"/>
      <c r="L273" s="1654"/>
    </row>
    <row r="274" spans="1:12" ht="18" customHeight="1" outlineLevel="2">
      <c r="A274" s="1318">
        <v>265</v>
      </c>
      <c r="B274" s="1322" t="s">
        <v>3914</v>
      </c>
      <c r="C274" s="1318" t="s">
        <v>958</v>
      </c>
      <c r="D274" s="1322" t="s">
        <v>266</v>
      </c>
      <c r="E274" s="1318" t="s">
        <v>7</v>
      </c>
      <c r="F274" s="1322" t="s">
        <v>3915</v>
      </c>
      <c r="G274" s="1318" t="s">
        <v>3384</v>
      </c>
      <c r="H274" s="1319">
        <f t="shared" si="58"/>
        <v>254992</v>
      </c>
      <c r="I274" s="1654"/>
      <c r="J274" s="1654"/>
      <c r="K274" s="1654"/>
      <c r="L274" s="1654"/>
    </row>
    <row r="275" spans="1:12" ht="18" customHeight="1" outlineLevel="2">
      <c r="A275" s="1318">
        <v>266</v>
      </c>
      <c r="B275" s="1322" t="s">
        <v>3916</v>
      </c>
      <c r="C275" s="1318" t="s">
        <v>958</v>
      </c>
      <c r="D275" s="1322" t="s">
        <v>266</v>
      </c>
      <c r="E275" s="1318" t="s">
        <v>7</v>
      </c>
      <c r="F275" s="1322" t="s">
        <v>3917</v>
      </c>
      <c r="G275" s="1318" t="s">
        <v>3384</v>
      </c>
      <c r="H275" s="1319">
        <f t="shared" si="58"/>
        <v>254992</v>
      </c>
      <c r="I275" s="1654"/>
      <c r="J275" s="1654"/>
      <c r="K275" s="1654"/>
      <c r="L275" s="1654"/>
    </row>
    <row r="276" spans="1:12" ht="18" customHeight="1" outlineLevel="2">
      <c r="A276" s="1318">
        <v>267</v>
      </c>
      <c r="B276" s="1322" t="s">
        <v>3918</v>
      </c>
      <c r="C276" s="1318" t="s">
        <v>958</v>
      </c>
      <c r="D276" s="1322" t="s">
        <v>266</v>
      </c>
      <c r="E276" s="1318" t="s">
        <v>7</v>
      </c>
      <c r="F276" s="1322" t="s">
        <v>3919</v>
      </c>
      <c r="G276" s="1318" t="s">
        <v>3387</v>
      </c>
      <c r="H276" s="1323">
        <f t="shared" ref="H276:H277" si="59">ROUND(254991.7/12*5,0)</f>
        <v>106247</v>
      </c>
      <c r="I276" s="1654"/>
      <c r="J276" s="1654"/>
      <c r="K276" s="1654"/>
      <c r="L276" s="1654"/>
    </row>
    <row r="277" spans="1:12" ht="18" customHeight="1" outlineLevel="2">
      <c r="A277" s="1318">
        <v>268</v>
      </c>
      <c r="B277" s="1322" t="s">
        <v>3920</v>
      </c>
      <c r="C277" s="1318" t="s">
        <v>958</v>
      </c>
      <c r="D277" s="1322" t="s">
        <v>266</v>
      </c>
      <c r="E277" s="1318" t="s">
        <v>7</v>
      </c>
      <c r="F277" s="1322" t="s">
        <v>3921</v>
      </c>
      <c r="G277" s="1318" t="s">
        <v>3387</v>
      </c>
      <c r="H277" s="1323">
        <f t="shared" si="59"/>
        <v>106247</v>
      </c>
      <c r="I277" s="1654"/>
      <c r="J277" s="1654"/>
      <c r="K277" s="1654"/>
      <c r="L277" s="1654"/>
    </row>
    <row r="278" spans="1:12" ht="18" customHeight="1" outlineLevel="2">
      <c r="A278" s="1318">
        <v>269</v>
      </c>
      <c r="B278" s="1322" t="s">
        <v>3922</v>
      </c>
      <c r="C278" s="1318" t="s">
        <v>958</v>
      </c>
      <c r="D278" s="1322" t="s">
        <v>266</v>
      </c>
      <c r="E278" s="1318" t="s">
        <v>7</v>
      </c>
      <c r="F278" s="1322" t="s">
        <v>3923</v>
      </c>
      <c r="G278" s="1318" t="s">
        <v>3384</v>
      </c>
      <c r="H278" s="1319">
        <v>285394</v>
      </c>
      <c r="I278" s="1654"/>
      <c r="J278" s="1654"/>
      <c r="K278" s="1654"/>
      <c r="L278" s="1654"/>
    </row>
    <row r="279" spans="1:12" ht="18" customHeight="1" outlineLevel="2">
      <c r="A279" s="1318">
        <v>270</v>
      </c>
      <c r="B279" s="1322" t="s">
        <v>3924</v>
      </c>
      <c r="C279" s="1318" t="s">
        <v>958</v>
      </c>
      <c r="D279" s="1322" t="s">
        <v>266</v>
      </c>
      <c r="E279" s="1318" t="s">
        <v>7</v>
      </c>
      <c r="F279" s="1322" t="s">
        <v>3925</v>
      </c>
      <c r="G279" s="1318" t="s">
        <v>3384</v>
      </c>
      <c r="H279" s="1319">
        <v>285394</v>
      </c>
      <c r="I279" s="1654"/>
      <c r="J279" s="1654"/>
      <c r="K279" s="1654"/>
      <c r="L279" s="1654"/>
    </row>
    <row r="280" spans="1:12" ht="18" customHeight="1" outlineLevel="2">
      <c r="A280" s="1318">
        <v>271</v>
      </c>
      <c r="B280" s="1322" t="s">
        <v>3926</v>
      </c>
      <c r="C280" s="1318" t="s">
        <v>958</v>
      </c>
      <c r="D280" s="1322" t="s">
        <v>266</v>
      </c>
      <c r="E280" s="1318" t="s">
        <v>7</v>
      </c>
      <c r="F280" s="1322" t="s">
        <v>3927</v>
      </c>
      <c r="G280" s="1318" t="s">
        <v>3387</v>
      </c>
      <c r="H280" s="1323">
        <f t="shared" ref="H280:H281" si="60">ROUND(285394/12*5,0)</f>
        <v>118914</v>
      </c>
      <c r="I280" s="1654"/>
      <c r="J280" s="1654"/>
      <c r="K280" s="1654"/>
      <c r="L280" s="1654"/>
    </row>
    <row r="281" spans="1:12" ht="18" customHeight="1" outlineLevel="2">
      <c r="A281" s="1318">
        <v>272</v>
      </c>
      <c r="B281" s="1322" t="s">
        <v>3928</v>
      </c>
      <c r="C281" s="1318" t="s">
        <v>958</v>
      </c>
      <c r="D281" s="1322" t="s">
        <v>266</v>
      </c>
      <c r="E281" s="1318" t="s">
        <v>7</v>
      </c>
      <c r="F281" s="1322" t="s">
        <v>3929</v>
      </c>
      <c r="G281" s="1318" t="s">
        <v>3387</v>
      </c>
      <c r="H281" s="1323">
        <f t="shared" si="60"/>
        <v>118914</v>
      </c>
      <c r="I281" s="1654"/>
      <c r="J281" s="1654"/>
      <c r="K281" s="1654"/>
      <c r="L281" s="1654"/>
    </row>
    <row r="282" spans="1:12" ht="18" customHeight="1" outlineLevel="2">
      <c r="A282" s="1318">
        <v>273</v>
      </c>
      <c r="B282" s="1322" t="s">
        <v>3930</v>
      </c>
      <c r="C282" s="1318" t="s">
        <v>958</v>
      </c>
      <c r="D282" s="1322" t="s">
        <v>1031</v>
      </c>
      <c r="E282" s="1318" t="s">
        <v>7</v>
      </c>
      <c r="F282" s="1322" t="s">
        <v>3931</v>
      </c>
      <c r="G282" s="1318" t="s">
        <v>3384</v>
      </c>
      <c r="H282" s="1319">
        <v>285394</v>
      </c>
      <c r="I282" s="1654"/>
      <c r="J282" s="1654"/>
      <c r="K282" s="1654"/>
      <c r="L282" s="1654"/>
    </row>
    <row r="283" spans="1:12" ht="18" customHeight="1" outlineLevel="2">
      <c r="A283" s="1318">
        <v>274</v>
      </c>
      <c r="B283" s="1322" t="s">
        <v>3932</v>
      </c>
      <c r="C283" s="1318" t="s">
        <v>958</v>
      </c>
      <c r="D283" s="1322" t="s">
        <v>1031</v>
      </c>
      <c r="E283" s="1318" t="s">
        <v>7</v>
      </c>
      <c r="F283" s="1322" t="s">
        <v>3933</v>
      </c>
      <c r="G283" s="1318" t="s">
        <v>3384</v>
      </c>
      <c r="H283" s="1319">
        <v>285394</v>
      </c>
      <c r="I283" s="1654"/>
      <c r="J283" s="1654"/>
      <c r="K283" s="1654"/>
      <c r="L283" s="1654"/>
    </row>
    <row r="284" spans="1:12" ht="18" customHeight="1" outlineLevel="2">
      <c r="A284" s="1318">
        <v>275</v>
      </c>
      <c r="B284" s="1322" t="s">
        <v>3934</v>
      </c>
      <c r="C284" s="1318" t="s">
        <v>962</v>
      </c>
      <c r="D284" s="1322" t="s">
        <v>1030</v>
      </c>
      <c r="E284" s="1318" t="s">
        <v>7</v>
      </c>
      <c r="F284" s="1322" t="s">
        <v>3935</v>
      </c>
      <c r="G284" s="1318" t="s">
        <v>3387</v>
      </c>
      <c r="H284" s="1323">
        <f t="shared" ref="H284:H285" si="61">ROUND(285394/12*5,0)</f>
        <v>118914</v>
      </c>
      <c r="I284" s="1654"/>
      <c r="J284" s="1654"/>
      <c r="K284" s="1654"/>
      <c r="L284" s="1654"/>
    </row>
    <row r="285" spans="1:12" ht="18" customHeight="1" outlineLevel="2">
      <c r="A285" s="1318">
        <v>276</v>
      </c>
      <c r="B285" s="1322" t="s">
        <v>3936</v>
      </c>
      <c r="C285" s="1318" t="s">
        <v>962</v>
      </c>
      <c r="D285" s="1322" t="s">
        <v>1030</v>
      </c>
      <c r="E285" s="1318" t="s">
        <v>7</v>
      </c>
      <c r="F285" s="1322" t="s">
        <v>3937</v>
      </c>
      <c r="G285" s="1318" t="s">
        <v>3387</v>
      </c>
      <c r="H285" s="1323">
        <f t="shared" si="61"/>
        <v>118914</v>
      </c>
      <c r="I285" s="1654"/>
      <c r="J285" s="1654"/>
      <c r="K285" s="1654"/>
      <c r="L285" s="1654"/>
    </row>
    <row r="286" spans="1:12" ht="18" customHeight="1" outlineLevel="2">
      <c r="A286" s="1318">
        <v>277</v>
      </c>
      <c r="B286" s="1318" t="s">
        <v>3938</v>
      </c>
      <c r="C286" s="1318" t="s">
        <v>958</v>
      </c>
      <c r="D286" s="1318" t="s">
        <v>266</v>
      </c>
      <c r="E286" s="1318" t="str">
        <f>VLOOKUP(D286,[2]Sheet1!D:F,3,FALSE)</f>
        <v>马桥</v>
      </c>
      <c r="F286" s="1318" t="s">
        <v>3939</v>
      </c>
      <c r="G286" s="1318" t="s">
        <v>3838</v>
      </c>
      <c r="H286" s="1319">
        <f>ROUND(285394/12*6,0)</f>
        <v>142697</v>
      </c>
      <c r="I286" s="1655"/>
      <c r="J286" s="1655"/>
      <c r="K286" s="1655"/>
      <c r="L286" s="1655"/>
    </row>
    <row r="287" spans="1:12" ht="18" customHeight="1" outlineLevel="1">
      <c r="A287" s="1318"/>
      <c r="B287" s="1318"/>
      <c r="C287" s="1318"/>
      <c r="D287" s="1318"/>
      <c r="E287" s="1326" t="s">
        <v>259</v>
      </c>
      <c r="F287" s="1318"/>
      <c r="G287" s="1318"/>
      <c r="H287" s="1319">
        <f>SUBTOTAL(9,H261:H286)</f>
        <v>4844755</v>
      </c>
      <c r="I287" s="1325">
        <f t="shared" ref="I287:L287" si="62">SUBTOTAL(9,I261:I286)</f>
        <v>3710599.68</v>
      </c>
      <c r="J287" s="1325">
        <f t="shared" si="62"/>
        <v>1134155.3199999998</v>
      </c>
      <c r="K287" s="1325">
        <f t="shared" si="62"/>
        <v>0</v>
      </c>
      <c r="L287" s="1325">
        <f t="shared" si="62"/>
        <v>1134155.3199999998</v>
      </c>
    </row>
    <row r="288" spans="1:12" ht="18" customHeight="1" outlineLevel="2">
      <c r="A288" s="1318">
        <v>278</v>
      </c>
      <c r="B288" s="1318" t="s">
        <v>3940</v>
      </c>
      <c r="C288" s="1318" t="s">
        <v>3081</v>
      </c>
      <c r="D288" s="1318" t="s">
        <v>1044</v>
      </c>
      <c r="E288" s="1318" t="s">
        <v>8</v>
      </c>
      <c r="F288" s="1322" t="s">
        <v>3941</v>
      </c>
      <c r="G288" s="1318" t="s">
        <v>3384</v>
      </c>
      <c r="H288" s="1319">
        <f t="shared" ref="H288:H289" si="63">ROUND(232297.1,0)</f>
        <v>232297</v>
      </c>
      <c r="I288" s="1653">
        <v>1713103.84</v>
      </c>
      <c r="J288" s="1653">
        <f>H313-I288</f>
        <v>2018960.16</v>
      </c>
      <c r="K288" s="1653">
        <v>0</v>
      </c>
      <c r="L288" s="1653">
        <f>J288-K288</f>
        <v>2018960.16</v>
      </c>
    </row>
    <row r="289" spans="1:12" ht="18" customHeight="1" outlineLevel="2">
      <c r="A289" s="1318">
        <v>279</v>
      </c>
      <c r="B289" s="1318" t="s">
        <v>3942</v>
      </c>
      <c r="C289" s="1318" t="s">
        <v>3081</v>
      </c>
      <c r="D289" s="1318" t="s">
        <v>659</v>
      </c>
      <c r="E289" s="1318" t="s">
        <v>8</v>
      </c>
      <c r="F289" s="1322" t="s">
        <v>3943</v>
      </c>
      <c r="G289" s="1318" t="s">
        <v>3384</v>
      </c>
      <c r="H289" s="1319">
        <f t="shared" si="63"/>
        <v>232297</v>
      </c>
      <c r="I289" s="1654"/>
      <c r="J289" s="1654"/>
      <c r="K289" s="1654"/>
      <c r="L289" s="1654"/>
    </row>
    <row r="290" spans="1:12" ht="18" customHeight="1" outlineLevel="2">
      <c r="A290" s="1318">
        <v>280</v>
      </c>
      <c r="B290" s="1318" t="s">
        <v>3944</v>
      </c>
      <c r="C290" s="1318" t="s">
        <v>3081</v>
      </c>
      <c r="D290" s="1318" t="s">
        <v>1042</v>
      </c>
      <c r="E290" s="1318" t="s">
        <v>8</v>
      </c>
      <c r="F290" s="1322" t="s">
        <v>3945</v>
      </c>
      <c r="G290" s="1318" t="s">
        <v>3387</v>
      </c>
      <c r="H290" s="1323">
        <f t="shared" ref="H290:H295" si="64">ROUND(232297.1/12*5,0)</f>
        <v>96790</v>
      </c>
      <c r="I290" s="1654"/>
      <c r="J290" s="1654"/>
      <c r="K290" s="1654"/>
      <c r="L290" s="1654"/>
    </row>
    <row r="291" spans="1:12" ht="18" customHeight="1" outlineLevel="2">
      <c r="A291" s="1318">
        <v>281</v>
      </c>
      <c r="B291" s="1318" t="s">
        <v>3946</v>
      </c>
      <c r="C291" s="1318" t="s">
        <v>3081</v>
      </c>
      <c r="D291" s="1318" t="s">
        <v>1042</v>
      </c>
      <c r="E291" s="1318" t="s">
        <v>8</v>
      </c>
      <c r="F291" s="1322" t="s">
        <v>3947</v>
      </c>
      <c r="G291" s="1318" t="s">
        <v>3387</v>
      </c>
      <c r="H291" s="1323">
        <f t="shared" si="64"/>
        <v>96790</v>
      </c>
      <c r="I291" s="1654"/>
      <c r="J291" s="1654"/>
      <c r="K291" s="1654"/>
      <c r="L291" s="1654"/>
    </row>
    <row r="292" spans="1:12" ht="18" customHeight="1" outlineLevel="2">
      <c r="A292" s="1318">
        <v>282</v>
      </c>
      <c r="B292" s="1318" t="s">
        <v>3948</v>
      </c>
      <c r="C292" s="1318" t="s">
        <v>3081</v>
      </c>
      <c r="D292" s="1318" t="s">
        <v>1042</v>
      </c>
      <c r="E292" s="1318" t="s">
        <v>8</v>
      </c>
      <c r="F292" s="1322" t="s">
        <v>3949</v>
      </c>
      <c r="G292" s="1318" t="s">
        <v>3387</v>
      </c>
      <c r="H292" s="1323">
        <f t="shared" si="64"/>
        <v>96790</v>
      </c>
      <c r="I292" s="1654"/>
      <c r="J292" s="1654"/>
      <c r="K292" s="1654"/>
      <c r="L292" s="1654"/>
    </row>
    <row r="293" spans="1:12" ht="18" customHeight="1" outlineLevel="2">
      <c r="A293" s="1318">
        <v>283</v>
      </c>
      <c r="B293" s="1318" t="s">
        <v>3950</v>
      </c>
      <c r="C293" s="1318" t="s">
        <v>3081</v>
      </c>
      <c r="D293" s="1318" t="s">
        <v>1042</v>
      </c>
      <c r="E293" s="1318" t="s">
        <v>8</v>
      </c>
      <c r="F293" s="1322" t="s">
        <v>3951</v>
      </c>
      <c r="G293" s="1318" t="s">
        <v>3387</v>
      </c>
      <c r="H293" s="1323">
        <f t="shared" si="64"/>
        <v>96790</v>
      </c>
      <c r="I293" s="1654"/>
      <c r="J293" s="1654"/>
      <c r="K293" s="1654"/>
      <c r="L293" s="1654"/>
    </row>
    <row r="294" spans="1:12" ht="18" customHeight="1" outlineLevel="2">
      <c r="A294" s="1318">
        <v>284</v>
      </c>
      <c r="B294" s="1318" t="s">
        <v>3952</v>
      </c>
      <c r="C294" s="1318" t="s">
        <v>3081</v>
      </c>
      <c r="D294" s="1318" t="s">
        <v>1042</v>
      </c>
      <c r="E294" s="1318" t="s">
        <v>8</v>
      </c>
      <c r="F294" s="1322" t="s">
        <v>3953</v>
      </c>
      <c r="G294" s="1318" t="s">
        <v>3387</v>
      </c>
      <c r="H294" s="1323">
        <f t="shared" si="64"/>
        <v>96790</v>
      </c>
      <c r="I294" s="1654"/>
      <c r="J294" s="1654"/>
      <c r="K294" s="1654"/>
      <c r="L294" s="1654"/>
    </row>
    <row r="295" spans="1:12" ht="18" customHeight="1" outlineLevel="2">
      <c r="A295" s="1318">
        <v>285</v>
      </c>
      <c r="B295" s="1318" t="s">
        <v>3954</v>
      </c>
      <c r="C295" s="1318" t="s">
        <v>3081</v>
      </c>
      <c r="D295" s="1318" t="s">
        <v>1042</v>
      </c>
      <c r="E295" s="1318" t="s">
        <v>8</v>
      </c>
      <c r="F295" s="1322" t="s">
        <v>3955</v>
      </c>
      <c r="G295" s="1318" t="s">
        <v>3387</v>
      </c>
      <c r="H295" s="1323">
        <f t="shared" si="64"/>
        <v>96790</v>
      </c>
      <c r="I295" s="1654"/>
      <c r="J295" s="1654"/>
      <c r="K295" s="1654"/>
      <c r="L295" s="1654"/>
    </row>
    <row r="296" spans="1:12" ht="18" customHeight="1" outlineLevel="2">
      <c r="A296" s="1318">
        <v>286</v>
      </c>
      <c r="B296" s="1322" t="s">
        <v>3956</v>
      </c>
      <c r="C296" s="1318" t="s">
        <v>958</v>
      </c>
      <c r="D296" s="1322" t="s">
        <v>225</v>
      </c>
      <c r="E296" s="1318" t="s">
        <v>8</v>
      </c>
      <c r="F296" s="1322" t="s">
        <v>3957</v>
      </c>
      <c r="G296" s="1318" t="s">
        <v>3384</v>
      </c>
      <c r="H296" s="1319">
        <f>ROUND(254991.7,0)</f>
        <v>254992</v>
      </c>
      <c r="I296" s="1654"/>
      <c r="J296" s="1654"/>
      <c r="K296" s="1654"/>
      <c r="L296" s="1654"/>
    </row>
    <row r="297" spans="1:12" ht="18" customHeight="1" outlineLevel="2">
      <c r="A297" s="1318">
        <v>287</v>
      </c>
      <c r="B297" s="1322" t="s">
        <v>3958</v>
      </c>
      <c r="C297" s="1318" t="s">
        <v>958</v>
      </c>
      <c r="D297" s="1322" t="s">
        <v>225</v>
      </c>
      <c r="E297" s="1318" t="s">
        <v>8</v>
      </c>
      <c r="F297" s="1322" t="s">
        <v>3959</v>
      </c>
      <c r="G297" s="1318" t="s">
        <v>3387</v>
      </c>
      <c r="H297" s="1323">
        <f t="shared" ref="H297:H298" si="65">ROUND(254991.7/12*5,0)</f>
        <v>106247</v>
      </c>
      <c r="I297" s="1654"/>
      <c r="J297" s="1654"/>
      <c r="K297" s="1654"/>
      <c r="L297" s="1654"/>
    </row>
    <row r="298" spans="1:12" ht="18" customHeight="1" outlineLevel="2">
      <c r="A298" s="1318">
        <v>288</v>
      </c>
      <c r="B298" s="1322" t="s">
        <v>3960</v>
      </c>
      <c r="C298" s="1318" t="s">
        <v>958</v>
      </c>
      <c r="D298" s="1322" t="s">
        <v>225</v>
      </c>
      <c r="E298" s="1318" t="s">
        <v>8</v>
      </c>
      <c r="F298" s="1322" t="s">
        <v>3961</v>
      </c>
      <c r="G298" s="1318" t="s">
        <v>3387</v>
      </c>
      <c r="H298" s="1323">
        <f t="shared" si="65"/>
        <v>106247</v>
      </c>
      <c r="I298" s="1654"/>
      <c r="J298" s="1654"/>
      <c r="K298" s="1654"/>
      <c r="L298" s="1654"/>
    </row>
    <row r="299" spans="1:12" ht="18" customHeight="1" outlineLevel="2">
      <c r="A299" s="1318">
        <v>289</v>
      </c>
      <c r="B299" s="1322" t="s">
        <v>3962</v>
      </c>
      <c r="C299" s="1318" t="s">
        <v>958</v>
      </c>
      <c r="D299" s="1322" t="s">
        <v>224</v>
      </c>
      <c r="E299" s="1318" t="s">
        <v>8</v>
      </c>
      <c r="F299" s="1322" t="s">
        <v>3963</v>
      </c>
      <c r="G299" s="1318" t="s">
        <v>3384</v>
      </c>
      <c r="H299" s="1319">
        <f t="shared" ref="H299:H300" si="66">ROUND(254991.7,0)</f>
        <v>254992</v>
      </c>
      <c r="I299" s="1654"/>
      <c r="J299" s="1654"/>
      <c r="K299" s="1654"/>
      <c r="L299" s="1654"/>
    </row>
    <row r="300" spans="1:12" ht="18" customHeight="1" outlineLevel="2">
      <c r="A300" s="1318">
        <v>290</v>
      </c>
      <c r="B300" s="1322" t="s">
        <v>3964</v>
      </c>
      <c r="C300" s="1318" t="s">
        <v>958</v>
      </c>
      <c r="D300" s="1322" t="s">
        <v>224</v>
      </c>
      <c r="E300" s="1318" t="s">
        <v>8</v>
      </c>
      <c r="F300" s="1322" t="s">
        <v>3965</v>
      </c>
      <c r="G300" s="1318" t="s">
        <v>3384</v>
      </c>
      <c r="H300" s="1319">
        <f t="shared" si="66"/>
        <v>254992</v>
      </c>
      <c r="I300" s="1654"/>
      <c r="J300" s="1654"/>
      <c r="K300" s="1654"/>
      <c r="L300" s="1654"/>
    </row>
    <row r="301" spans="1:12" ht="18" customHeight="1" outlineLevel="2">
      <c r="A301" s="1318">
        <v>291</v>
      </c>
      <c r="B301" s="1322" t="s">
        <v>3966</v>
      </c>
      <c r="C301" s="1318" t="s">
        <v>958</v>
      </c>
      <c r="D301" s="1322" t="s">
        <v>224</v>
      </c>
      <c r="E301" s="1318" t="s">
        <v>8</v>
      </c>
      <c r="F301" s="1322" t="s">
        <v>3967</v>
      </c>
      <c r="G301" s="1318" t="s">
        <v>3387</v>
      </c>
      <c r="H301" s="1323">
        <f t="shared" ref="H301:H304" si="67">ROUND(254991.7/12*5,0)</f>
        <v>106247</v>
      </c>
      <c r="I301" s="1654"/>
      <c r="J301" s="1654"/>
      <c r="K301" s="1654"/>
      <c r="L301" s="1654"/>
    </row>
    <row r="302" spans="1:12" ht="18" customHeight="1" outlineLevel="2">
      <c r="A302" s="1318">
        <v>292</v>
      </c>
      <c r="B302" s="1322" t="s">
        <v>3968</v>
      </c>
      <c r="C302" s="1318" t="s">
        <v>958</v>
      </c>
      <c r="D302" s="1322" t="s">
        <v>224</v>
      </c>
      <c r="E302" s="1318" t="s">
        <v>8</v>
      </c>
      <c r="F302" s="1322" t="s">
        <v>3969</v>
      </c>
      <c r="G302" s="1318" t="s">
        <v>3387</v>
      </c>
      <c r="H302" s="1323">
        <f t="shared" si="67"/>
        <v>106247</v>
      </c>
      <c r="I302" s="1654"/>
      <c r="J302" s="1654"/>
      <c r="K302" s="1654"/>
      <c r="L302" s="1654"/>
    </row>
    <row r="303" spans="1:12" ht="18" customHeight="1" outlineLevel="2">
      <c r="A303" s="1318">
        <v>293</v>
      </c>
      <c r="B303" s="1322" t="s">
        <v>3970</v>
      </c>
      <c r="C303" s="1318" t="s">
        <v>958</v>
      </c>
      <c r="D303" s="1322" t="s">
        <v>224</v>
      </c>
      <c r="E303" s="1318" t="s">
        <v>8</v>
      </c>
      <c r="F303" s="1322" t="s">
        <v>3971</v>
      </c>
      <c r="G303" s="1318" t="s">
        <v>3387</v>
      </c>
      <c r="H303" s="1323">
        <f t="shared" si="67"/>
        <v>106247</v>
      </c>
      <c r="I303" s="1654"/>
      <c r="J303" s="1654"/>
      <c r="K303" s="1654"/>
      <c r="L303" s="1654"/>
    </row>
    <row r="304" spans="1:12" ht="18" customHeight="1" outlineLevel="2">
      <c r="A304" s="1318">
        <v>294</v>
      </c>
      <c r="B304" s="1322" t="s">
        <v>3972</v>
      </c>
      <c r="C304" s="1318" t="s">
        <v>958</v>
      </c>
      <c r="D304" s="1322" t="s">
        <v>224</v>
      </c>
      <c r="E304" s="1318" t="s">
        <v>8</v>
      </c>
      <c r="F304" s="1322" t="s">
        <v>3973</v>
      </c>
      <c r="G304" s="1318" t="s">
        <v>3387</v>
      </c>
      <c r="H304" s="1323">
        <f t="shared" si="67"/>
        <v>106247</v>
      </c>
      <c r="I304" s="1654"/>
      <c r="J304" s="1654"/>
      <c r="K304" s="1654"/>
      <c r="L304" s="1654"/>
    </row>
    <row r="305" spans="1:12" ht="18" customHeight="1" outlineLevel="2">
      <c r="A305" s="1318">
        <v>295</v>
      </c>
      <c r="B305" s="1322" t="s">
        <v>3974</v>
      </c>
      <c r="C305" s="1318" t="s">
        <v>958</v>
      </c>
      <c r="D305" s="1322" t="s">
        <v>225</v>
      </c>
      <c r="E305" s="1318" t="s">
        <v>8</v>
      </c>
      <c r="F305" s="1322" t="s">
        <v>3975</v>
      </c>
      <c r="G305" s="1318" t="s">
        <v>3384</v>
      </c>
      <c r="H305" s="1319">
        <v>285394</v>
      </c>
      <c r="I305" s="1654"/>
      <c r="J305" s="1654"/>
      <c r="K305" s="1654"/>
      <c r="L305" s="1654"/>
    </row>
    <row r="306" spans="1:12" ht="18" customHeight="1" outlineLevel="2">
      <c r="A306" s="1318">
        <v>296</v>
      </c>
      <c r="B306" s="1322" t="s">
        <v>3976</v>
      </c>
      <c r="C306" s="1318" t="s">
        <v>958</v>
      </c>
      <c r="D306" s="1322" t="s">
        <v>224</v>
      </c>
      <c r="E306" s="1318" t="s">
        <v>8</v>
      </c>
      <c r="F306" s="1322" t="s">
        <v>3977</v>
      </c>
      <c r="G306" s="1318" t="s">
        <v>3387</v>
      </c>
      <c r="H306" s="1323">
        <f>ROUND(285394/12*5,0)</f>
        <v>118914</v>
      </c>
      <c r="I306" s="1654"/>
      <c r="J306" s="1654"/>
      <c r="K306" s="1654"/>
      <c r="L306" s="1654"/>
    </row>
    <row r="307" spans="1:12" ht="18" customHeight="1" outlineLevel="2">
      <c r="A307" s="1318">
        <v>297</v>
      </c>
      <c r="B307" s="1322" t="s">
        <v>3978</v>
      </c>
      <c r="C307" s="1318" t="s">
        <v>958</v>
      </c>
      <c r="D307" s="1322" t="s">
        <v>224</v>
      </c>
      <c r="E307" s="1318" t="s">
        <v>8</v>
      </c>
      <c r="F307" s="1322" t="s">
        <v>3979</v>
      </c>
      <c r="G307" s="1318" t="s">
        <v>3384</v>
      </c>
      <c r="H307" s="1319">
        <v>285394</v>
      </c>
      <c r="I307" s="1654"/>
      <c r="J307" s="1654"/>
      <c r="K307" s="1654"/>
      <c r="L307" s="1654"/>
    </row>
    <row r="308" spans="1:12" ht="18" customHeight="1" outlineLevel="2">
      <c r="A308" s="1318">
        <v>298</v>
      </c>
      <c r="B308" s="1322" t="s">
        <v>3980</v>
      </c>
      <c r="C308" s="1318" t="s">
        <v>958</v>
      </c>
      <c r="D308" s="1322" t="s">
        <v>224</v>
      </c>
      <c r="E308" s="1318" t="s">
        <v>8</v>
      </c>
      <c r="F308" s="1322" t="s">
        <v>3981</v>
      </c>
      <c r="G308" s="1318" t="s">
        <v>3387</v>
      </c>
      <c r="H308" s="1323">
        <f t="shared" ref="H308:H312" si="68">ROUND(285394/12*5,0)</f>
        <v>118914</v>
      </c>
      <c r="I308" s="1654"/>
      <c r="J308" s="1654"/>
      <c r="K308" s="1654"/>
      <c r="L308" s="1654"/>
    </row>
    <row r="309" spans="1:12" ht="18" customHeight="1" outlineLevel="2">
      <c r="A309" s="1318">
        <v>299</v>
      </c>
      <c r="B309" s="1322" t="s">
        <v>3982</v>
      </c>
      <c r="C309" s="1318" t="s">
        <v>958</v>
      </c>
      <c r="D309" s="1322" t="s">
        <v>224</v>
      </c>
      <c r="E309" s="1318" t="s">
        <v>8</v>
      </c>
      <c r="F309" s="1322" t="s">
        <v>3983</v>
      </c>
      <c r="G309" s="1318" t="s">
        <v>3387</v>
      </c>
      <c r="H309" s="1323">
        <f t="shared" si="68"/>
        <v>118914</v>
      </c>
      <c r="I309" s="1654"/>
      <c r="J309" s="1654"/>
      <c r="K309" s="1654"/>
      <c r="L309" s="1654"/>
    </row>
    <row r="310" spans="1:12" ht="18" customHeight="1" outlineLevel="2">
      <c r="A310" s="1318">
        <v>300</v>
      </c>
      <c r="B310" s="1322" t="s">
        <v>3984</v>
      </c>
      <c r="C310" s="1318" t="s">
        <v>958</v>
      </c>
      <c r="D310" s="1322" t="s">
        <v>224</v>
      </c>
      <c r="E310" s="1318" t="s">
        <v>8</v>
      </c>
      <c r="F310" s="1322" t="s">
        <v>3985</v>
      </c>
      <c r="G310" s="1318" t="s">
        <v>3387</v>
      </c>
      <c r="H310" s="1323">
        <f t="shared" si="68"/>
        <v>118914</v>
      </c>
      <c r="I310" s="1654"/>
      <c r="J310" s="1654"/>
      <c r="K310" s="1654"/>
      <c r="L310" s="1654"/>
    </row>
    <row r="311" spans="1:12" ht="18" customHeight="1" outlineLevel="2">
      <c r="A311" s="1318">
        <v>301</v>
      </c>
      <c r="B311" s="1322" t="s">
        <v>3986</v>
      </c>
      <c r="C311" s="1318" t="s">
        <v>958</v>
      </c>
      <c r="D311" s="1322" t="s">
        <v>1040</v>
      </c>
      <c r="E311" s="1318" t="s">
        <v>8</v>
      </c>
      <c r="F311" s="1322" t="s">
        <v>3987</v>
      </c>
      <c r="G311" s="1318" t="s">
        <v>3387</v>
      </c>
      <c r="H311" s="1323">
        <f t="shared" si="68"/>
        <v>118914</v>
      </c>
      <c r="I311" s="1654"/>
      <c r="J311" s="1654"/>
      <c r="K311" s="1654"/>
      <c r="L311" s="1654"/>
    </row>
    <row r="312" spans="1:12" ht="18" customHeight="1" outlineLevel="2">
      <c r="A312" s="1318">
        <v>302</v>
      </c>
      <c r="B312" s="1322" t="s">
        <v>3988</v>
      </c>
      <c r="C312" s="1318" t="s">
        <v>958</v>
      </c>
      <c r="D312" s="1322" t="s">
        <v>1040</v>
      </c>
      <c r="E312" s="1318" t="s">
        <v>8</v>
      </c>
      <c r="F312" s="1322" t="s">
        <v>3989</v>
      </c>
      <c r="G312" s="1318" t="s">
        <v>3387</v>
      </c>
      <c r="H312" s="1323">
        <f t="shared" si="68"/>
        <v>118914</v>
      </c>
      <c r="I312" s="1655"/>
      <c r="J312" s="1655"/>
      <c r="K312" s="1655"/>
      <c r="L312" s="1655"/>
    </row>
    <row r="313" spans="1:12" ht="18" customHeight="1" outlineLevel="1">
      <c r="A313" s="1318"/>
      <c r="B313" s="1322"/>
      <c r="C313" s="1318"/>
      <c r="D313" s="1322"/>
      <c r="E313" s="1326" t="s">
        <v>260</v>
      </c>
      <c r="F313" s="1322"/>
      <c r="G313" s="1318"/>
      <c r="H313" s="1323">
        <f>SUBTOTAL(9,H288:H312)</f>
        <v>3732064</v>
      </c>
      <c r="I313" s="1327">
        <f t="shared" ref="I313:L313" si="69">SUBTOTAL(9,I288:I312)</f>
        <v>1713103.84</v>
      </c>
      <c r="J313" s="1327">
        <f t="shared" si="69"/>
        <v>2018960.16</v>
      </c>
      <c r="K313" s="1327">
        <f t="shared" si="69"/>
        <v>0</v>
      </c>
      <c r="L313" s="1327">
        <f t="shared" si="69"/>
        <v>2018960.16</v>
      </c>
    </row>
    <row r="314" spans="1:12" ht="18" customHeight="1" outlineLevel="2">
      <c r="A314" s="1318">
        <v>303</v>
      </c>
      <c r="B314" s="1318" t="s">
        <v>3990</v>
      </c>
      <c r="C314" s="1318" t="s">
        <v>3081</v>
      </c>
      <c r="D314" s="1318" t="s">
        <v>2491</v>
      </c>
      <c r="E314" s="1318" t="s">
        <v>10</v>
      </c>
      <c r="F314" s="1322" t="s">
        <v>3991</v>
      </c>
      <c r="G314" s="1318" t="s">
        <v>3387</v>
      </c>
      <c r="H314" s="1323">
        <f t="shared" ref="H314:H318" si="70">ROUND(232297.1/12*5,0)</f>
        <v>96790</v>
      </c>
      <c r="I314" s="1653">
        <v>2789601.2799999998</v>
      </c>
      <c r="J314" s="1653">
        <f>H333-I314</f>
        <v>803531.7200000002</v>
      </c>
      <c r="K314" s="1653">
        <v>0</v>
      </c>
      <c r="L314" s="1653">
        <f>J314-K314</f>
        <v>803531.7200000002</v>
      </c>
    </row>
    <row r="315" spans="1:12" ht="18" customHeight="1" outlineLevel="2">
      <c r="A315" s="1318">
        <v>304</v>
      </c>
      <c r="B315" s="1318" t="s">
        <v>3992</v>
      </c>
      <c r="C315" s="1318" t="s">
        <v>3081</v>
      </c>
      <c r="D315" s="1318" t="s">
        <v>2491</v>
      </c>
      <c r="E315" s="1318" t="s">
        <v>10</v>
      </c>
      <c r="F315" s="1322" t="s">
        <v>3993</v>
      </c>
      <c r="G315" s="1318" t="s">
        <v>3387</v>
      </c>
      <c r="H315" s="1323">
        <f t="shared" si="70"/>
        <v>96790</v>
      </c>
      <c r="I315" s="1654"/>
      <c r="J315" s="1654"/>
      <c r="K315" s="1654"/>
      <c r="L315" s="1654"/>
    </row>
    <row r="316" spans="1:12" ht="18" customHeight="1" outlineLevel="2">
      <c r="A316" s="1318">
        <v>305</v>
      </c>
      <c r="B316" s="1318" t="s">
        <v>3994</v>
      </c>
      <c r="C316" s="1318" t="s">
        <v>3081</v>
      </c>
      <c r="D316" s="1318" t="s">
        <v>2491</v>
      </c>
      <c r="E316" s="1318" t="s">
        <v>10</v>
      </c>
      <c r="F316" s="1322" t="s">
        <v>3995</v>
      </c>
      <c r="G316" s="1318" t="s">
        <v>3387</v>
      </c>
      <c r="H316" s="1323">
        <f t="shared" si="70"/>
        <v>96790</v>
      </c>
      <c r="I316" s="1654"/>
      <c r="J316" s="1654"/>
      <c r="K316" s="1654"/>
      <c r="L316" s="1654"/>
    </row>
    <row r="317" spans="1:12" ht="18" customHeight="1" outlineLevel="2">
      <c r="A317" s="1318">
        <v>306</v>
      </c>
      <c r="B317" s="1318" t="s">
        <v>3996</v>
      </c>
      <c r="C317" s="1318" t="s">
        <v>3081</v>
      </c>
      <c r="D317" s="1318" t="s">
        <v>2491</v>
      </c>
      <c r="E317" s="1318" t="s">
        <v>10</v>
      </c>
      <c r="F317" s="1322" t="s">
        <v>3997</v>
      </c>
      <c r="G317" s="1318" t="s">
        <v>3387</v>
      </c>
      <c r="H317" s="1323">
        <f t="shared" si="70"/>
        <v>96790</v>
      </c>
      <c r="I317" s="1654"/>
      <c r="J317" s="1654"/>
      <c r="K317" s="1654"/>
      <c r="L317" s="1654"/>
    </row>
    <row r="318" spans="1:12" ht="18" customHeight="1" outlineLevel="2">
      <c r="A318" s="1318">
        <v>307</v>
      </c>
      <c r="B318" s="1318" t="s">
        <v>3998</v>
      </c>
      <c r="C318" s="1318" t="s">
        <v>3081</v>
      </c>
      <c r="D318" s="1318" t="s">
        <v>2491</v>
      </c>
      <c r="E318" s="1318" t="s">
        <v>10</v>
      </c>
      <c r="F318" s="1322" t="s">
        <v>3999</v>
      </c>
      <c r="G318" s="1318" t="s">
        <v>3387</v>
      </c>
      <c r="H318" s="1323">
        <f t="shared" si="70"/>
        <v>96790</v>
      </c>
      <c r="I318" s="1654"/>
      <c r="J318" s="1654"/>
      <c r="K318" s="1654"/>
      <c r="L318" s="1654"/>
    </row>
    <row r="319" spans="1:12" ht="18" customHeight="1" outlineLevel="2">
      <c r="A319" s="1318">
        <v>308</v>
      </c>
      <c r="B319" s="1322" t="s">
        <v>4000</v>
      </c>
      <c r="C319" s="1318" t="s">
        <v>1465</v>
      </c>
      <c r="D319" s="1322" t="s">
        <v>222</v>
      </c>
      <c r="E319" s="1318" t="s">
        <v>10</v>
      </c>
      <c r="F319" s="1322" t="s">
        <v>4001</v>
      </c>
      <c r="G319" s="1318" t="s">
        <v>3387</v>
      </c>
      <c r="H319" s="1323">
        <f>ROUND(254991.7/12*5,0)</f>
        <v>106247</v>
      </c>
      <c r="I319" s="1654"/>
      <c r="J319" s="1654"/>
      <c r="K319" s="1654"/>
      <c r="L319" s="1654"/>
    </row>
    <row r="320" spans="1:12" ht="18" customHeight="1" outlineLevel="2">
      <c r="A320" s="1318">
        <v>309</v>
      </c>
      <c r="B320" s="1322" t="s">
        <v>4002</v>
      </c>
      <c r="C320" s="1318" t="s">
        <v>1465</v>
      </c>
      <c r="D320" s="1322" t="s">
        <v>222</v>
      </c>
      <c r="E320" s="1318" t="s">
        <v>10</v>
      </c>
      <c r="F320" s="1322" t="s">
        <v>4003</v>
      </c>
      <c r="G320" s="1318" t="s">
        <v>3384</v>
      </c>
      <c r="H320" s="1319">
        <f t="shared" ref="H320:H321" si="71">ROUND(254991.7,0)</f>
        <v>254992</v>
      </c>
      <c r="I320" s="1654"/>
      <c r="J320" s="1654"/>
      <c r="K320" s="1654"/>
      <c r="L320" s="1654"/>
    </row>
    <row r="321" spans="1:12" ht="18" customHeight="1" outlineLevel="2">
      <c r="A321" s="1318">
        <v>310</v>
      </c>
      <c r="B321" s="1322" t="s">
        <v>4004</v>
      </c>
      <c r="C321" s="1318" t="s">
        <v>1465</v>
      </c>
      <c r="D321" s="1322" t="s">
        <v>222</v>
      </c>
      <c r="E321" s="1318" t="s">
        <v>10</v>
      </c>
      <c r="F321" s="1322" t="s">
        <v>4005</v>
      </c>
      <c r="G321" s="1318" t="s">
        <v>3384</v>
      </c>
      <c r="H321" s="1319">
        <f t="shared" si="71"/>
        <v>254992</v>
      </c>
      <c r="I321" s="1654"/>
      <c r="J321" s="1654"/>
      <c r="K321" s="1654"/>
      <c r="L321" s="1654"/>
    </row>
    <row r="322" spans="1:12" ht="18" customHeight="1" outlineLevel="2">
      <c r="A322" s="1318">
        <v>311</v>
      </c>
      <c r="B322" s="1322" t="s">
        <v>4006</v>
      </c>
      <c r="C322" s="1318" t="s">
        <v>1465</v>
      </c>
      <c r="D322" s="1322" t="s">
        <v>222</v>
      </c>
      <c r="E322" s="1318" t="s">
        <v>10</v>
      </c>
      <c r="F322" s="1322" t="s">
        <v>4007</v>
      </c>
      <c r="G322" s="1318" t="s">
        <v>3387</v>
      </c>
      <c r="H322" s="1323">
        <f t="shared" ref="H322:H323" si="72">ROUND(254991.7/12*5,0)</f>
        <v>106247</v>
      </c>
      <c r="I322" s="1654"/>
      <c r="J322" s="1654"/>
      <c r="K322" s="1654"/>
      <c r="L322" s="1654"/>
    </row>
    <row r="323" spans="1:12" ht="18" customHeight="1" outlineLevel="2">
      <c r="A323" s="1318">
        <v>312</v>
      </c>
      <c r="B323" s="1322" t="s">
        <v>4008</v>
      </c>
      <c r="C323" s="1318" t="s">
        <v>1465</v>
      </c>
      <c r="D323" s="1322" t="s">
        <v>222</v>
      </c>
      <c r="E323" s="1318" t="s">
        <v>10</v>
      </c>
      <c r="F323" s="1322" t="s">
        <v>4009</v>
      </c>
      <c r="G323" s="1318" t="s">
        <v>3387</v>
      </c>
      <c r="H323" s="1323">
        <f t="shared" si="72"/>
        <v>106247</v>
      </c>
      <c r="I323" s="1654"/>
      <c r="J323" s="1654"/>
      <c r="K323" s="1654"/>
      <c r="L323" s="1654"/>
    </row>
    <row r="324" spans="1:12" ht="18" customHeight="1" outlineLevel="2">
      <c r="A324" s="1318">
        <v>313</v>
      </c>
      <c r="B324" s="1322" t="s">
        <v>4010</v>
      </c>
      <c r="C324" s="1318" t="s">
        <v>958</v>
      </c>
      <c r="D324" s="1322" t="s">
        <v>734</v>
      </c>
      <c r="E324" s="1318" t="s">
        <v>10</v>
      </c>
      <c r="F324" s="1322" t="s">
        <v>4011</v>
      </c>
      <c r="G324" s="1318" t="s">
        <v>3384</v>
      </c>
      <c r="H324" s="1319">
        <f t="shared" ref="H324:H327" si="73">ROUND(254991.7,0)</f>
        <v>254992</v>
      </c>
      <c r="I324" s="1654"/>
      <c r="J324" s="1654"/>
      <c r="K324" s="1654"/>
      <c r="L324" s="1654"/>
    </row>
    <row r="325" spans="1:12" ht="18" customHeight="1" outlineLevel="2">
      <c r="A325" s="1318">
        <v>314</v>
      </c>
      <c r="B325" s="1322" t="s">
        <v>4012</v>
      </c>
      <c r="C325" s="1318" t="s">
        <v>958</v>
      </c>
      <c r="D325" s="1322" t="s">
        <v>734</v>
      </c>
      <c r="E325" s="1318" t="s">
        <v>10</v>
      </c>
      <c r="F325" s="1322" t="s">
        <v>4013</v>
      </c>
      <c r="G325" s="1318" t="s">
        <v>3384</v>
      </c>
      <c r="H325" s="1319">
        <f t="shared" si="73"/>
        <v>254992</v>
      </c>
      <c r="I325" s="1654"/>
      <c r="J325" s="1654"/>
      <c r="K325" s="1654"/>
      <c r="L325" s="1654"/>
    </row>
    <row r="326" spans="1:12" ht="18" customHeight="1" outlineLevel="2">
      <c r="A326" s="1318">
        <v>315</v>
      </c>
      <c r="B326" s="1322" t="s">
        <v>4014</v>
      </c>
      <c r="C326" s="1318" t="s">
        <v>958</v>
      </c>
      <c r="D326" s="1322" t="s">
        <v>734</v>
      </c>
      <c r="E326" s="1318" t="s">
        <v>10</v>
      </c>
      <c r="F326" s="1322" t="s">
        <v>4015</v>
      </c>
      <c r="G326" s="1318" t="s">
        <v>3384</v>
      </c>
      <c r="H326" s="1319">
        <f t="shared" si="73"/>
        <v>254992</v>
      </c>
      <c r="I326" s="1654"/>
      <c r="J326" s="1654"/>
      <c r="K326" s="1654"/>
      <c r="L326" s="1654"/>
    </row>
    <row r="327" spans="1:12" ht="18" customHeight="1" outlineLevel="2">
      <c r="A327" s="1318">
        <v>316</v>
      </c>
      <c r="B327" s="1322" t="s">
        <v>4016</v>
      </c>
      <c r="C327" s="1318" t="s">
        <v>1465</v>
      </c>
      <c r="D327" s="1322" t="s">
        <v>223</v>
      </c>
      <c r="E327" s="1318" t="s">
        <v>10</v>
      </c>
      <c r="F327" s="1322" t="s">
        <v>4017</v>
      </c>
      <c r="G327" s="1318" t="s">
        <v>3384</v>
      </c>
      <c r="H327" s="1319">
        <f t="shared" si="73"/>
        <v>254992</v>
      </c>
      <c r="I327" s="1654"/>
      <c r="J327" s="1654"/>
      <c r="K327" s="1654"/>
      <c r="L327" s="1654"/>
    </row>
    <row r="328" spans="1:12" ht="18" customHeight="1" outlineLevel="2">
      <c r="A328" s="1318">
        <v>317</v>
      </c>
      <c r="B328" s="1322" t="s">
        <v>4018</v>
      </c>
      <c r="C328" s="1318" t="s">
        <v>962</v>
      </c>
      <c r="D328" s="1322" t="s">
        <v>221</v>
      </c>
      <c r="E328" s="1318" t="s">
        <v>10</v>
      </c>
      <c r="F328" s="1322" t="s">
        <v>4019</v>
      </c>
      <c r="G328" s="1318" t="s">
        <v>3384</v>
      </c>
      <c r="H328" s="1319">
        <v>285394</v>
      </c>
      <c r="I328" s="1654"/>
      <c r="J328" s="1654"/>
      <c r="K328" s="1654"/>
      <c r="L328" s="1654"/>
    </row>
    <row r="329" spans="1:12" ht="18" customHeight="1" outlineLevel="2">
      <c r="A329" s="1318">
        <v>318</v>
      </c>
      <c r="B329" s="1322" t="s">
        <v>4020</v>
      </c>
      <c r="C329" s="1318" t="s">
        <v>962</v>
      </c>
      <c r="D329" s="1322" t="s">
        <v>221</v>
      </c>
      <c r="E329" s="1318" t="s">
        <v>10</v>
      </c>
      <c r="F329" s="1322" t="s">
        <v>4021</v>
      </c>
      <c r="G329" s="1318" t="s">
        <v>3384</v>
      </c>
      <c r="H329" s="1319">
        <v>285394</v>
      </c>
      <c r="I329" s="1654"/>
      <c r="J329" s="1654"/>
      <c r="K329" s="1654"/>
      <c r="L329" s="1654"/>
    </row>
    <row r="330" spans="1:12" ht="18" customHeight="1" outlineLevel="2">
      <c r="A330" s="1318">
        <v>319</v>
      </c>
      <c r="B330" s="1322" t="s">
        <v>4022</v>
      </c>
      <c r="C330" s="1318" t="s">
        <v>962</v>
      </c>
      <c r="D330" s="1322" t="s">
        <v>221</v>
      </c>
      <c r="E330" s="1318" t="s">
        <v>10</v>
      </c>
      <c r="F330" s="1322" t="s">
        <v>4023</v>
      </c>
      <c r="G330" s="1318" t="s">
        <v>3387</v>
      </c>
      <c r="H330" s="1323">
        <f>ROUND(285394/12*5,0)</f>
        <v>118914</v>
      </c>
      <c r="I330" s="1654"/>
      <c r="J330" s="1654"/>
      <c r="K330" s="1654"/>
      <c r="L330" s="1654"/>
    </row>
    <row r="331" spans="1:12" ht="18" customHeight="1" outlineLevel="2">
      <c r="A331" s="1318">
        <v>320</v>
      </c>
      <c r="B331" s="1322" t="s">
        <v>4024</v>
      </c>
      <c r="C331" s="1318" t="s">
        <v>962</v>
      </c>
      <c r="D331" s="1322" t="s">
        <v>654</v>
      </c>
      <c r="E331" s="1318" t="s">
        <v>10</v>
      </c>
      <c r="F331" s="1322" t="s">
        <v>4025</v>
      </c>
      <c r="G331" s="1318" t="s">
        <v>3384</v>
      </c>
      <c r="H331" s="1319">
        <v>285394</v>
      </c>
      <c r="I331" s="1654"/>
      <c r="J331" s="1654"/>
      <c r="K331" s="1654"/>
      <c r="L331" s="1654"/>
    </row>
    <row r="332" spans="1:12" ht="18" customHeight="1" outlineLevel="2">
      <c r="A332" s="1318">
        <v>321</v>
      </c>
      <c r="B332" s="1322" t="s">
        <v>4026</v>
      </c>
      <c r="C332" s="1318" t="s">
        <v>962</v>
      </c>
      <c r="D332" s="1322" t="s">
        <v>654</v>
      </c>
      <c r="E332" s="1318" t="s">
        <v>10</v>
      </c>
      <c r="F332" s="1322" t="s">
        <v>4027</v>
      </c>
      <c r="G332" s="1318" t="s">
        <v>3384</v>
      </c>
      <c r="H332" s="1319">
        <v>285394</v>
      </c>
      <c r="I332" s="1655"/>
      <c r="J332" s="1655"/>
      <c r="K332" s="1655"/>
      <c r="L332" s="1655"/>
    </row>
    <row r="333" spans="1:12" ht="18" customHeight="1" outlineLevel="1">
      <c r="A333" s="1318"/>
      <c r="B333" s="1322"/>
      <c r="C333" s="1318"/>
      <c r="D333" s="1322"/>
      <c r="E333" s="1326" t="s">
        <v>262</v>
      </c>
      <c r="F333" s="1322"/>
      <c r="G333" s="1318"/>
      <c r="H333" s="1319">
        <f>SUBTOTAL(9,H314:H332)</f>
        <v>3593133</v>
      </c>
      <c r="I333" s="1325">
        <f t="shared" ref="I333:L333" si="74">SUBTOTAL(9,I314:I332)</f>
        <v>2789601.2799999998</v>
      </c>
      <c r="J333" s="1325">
        <f t="shared" si="74"/>
        <v>803531.7200000002</v>
      </c>
      <c r="K333" s="1325">
        <f t="shared" si="74"/>
        <v>0</v>
      </c>
      <c r="L333" s="1325">
        <f t="shared" si="74"/>
        <v>803531.7200000002</v>
      </c>
    </row>
    <row r="334" spans="1:12" ht="18" customHeight="1">
      <c r="A334" s="1318"/>
      <c r="B334" s="1322"/>
      <c r="C334" s="1318"/>
      <c r="D334" s="1322"/>
      <c r="E334" s="1326" t="s">
        <v>252</v>
      </c>
      <c r="F334" s="1322"/>
      <c r="G334" s="1318"/>
      <c r="H334" s="1319">
        <f>SUBTOTAL(9,H4:H332)</f>
        <v>54839029</v>
      </c>
      <c r="I334" s="1325">
        <f t="shared" ref="I334:L334" si="75">SUBTOTAL(9,I4:I332)</f>
        <v>36913906.800000004</v>
      </c>
      <c r="J334" s="1325">
        <f t="shared" si="75"/>
        <v>17925122.199999999</v>
      </c>
      <c r="K334" s="1325">
        <f t="shared" si="75"/>
        <v>4216966.78</v>
      </c>
      <c r="L334" s="1325">
        <f t="shared" si="75"/>
        <v>13708155.420000002</v>
      </c>
    </row>
    <row r="335" spans="1:12" ht="18" customHeight="1">
      <c r="H335" s="1328"/>
    </row>
  </sheetData>
  <mergeCells count="38">
    <mergeCell ref="A1:L1"/>
    <mergeCell ref="A2:L2"/>
    <mergeCell ref="I4:I41"/>
    <mergeCell ref="J4:J41"/>
    <mergeCell ref="K4:K41"/>
    <mergeCell ref="L4:L41"/>
    <mergeCell ref="I43:I52"/>
    <mergeCell ref="J43:J52"/>
    <mergeCell ref="K43:K52"/>
    <mergeCell ref="L43:L52"/>
    <mergeCell ref="I54:I66"/>
    <mergeCell ref="J54:J66"/>
    <mergeCell ref="K54:K66"/>
    <mergeCell ref="L54:L66"/>
    <mergeCell ref="I68:I113"/>
    <mergeCell ref="J68:J113"/>
    <mergeCell ref="K68:K113"/>
    <mergeCell ref="L68:L113"/>
    <mergeCell ref="I115:I238"/>
    <mergeCell ref="J115:J238"/>
    <mergeCell ref="K115:K238"/>
    <mergeCell ref="L115:L238"/>
    <mergeCell ref="I240:I259"/>
    <mergeCell ref="J240:J259"/>
    <mergeCell ref="K240:K259"/>
    <mergeCell ref="L240:L259"/>
    <mergeCell ref="I261:I286"/>
    <mergeCell ref="J261:J286"/>
    <mergeCell ref="K261:K286"/>
    <mergeCell ref="L261:L286"/>
    <mergeCell ref="I288:I312"/>
    <mergeCell ref="J288:J312"/>
    <mergeCell ref="K288:K312"/>
    <mergeCell ref="L288:L312"/>
    <mergeCell ref="I314:I332"/>
    <mergeCell ref="J314:J332"/>
    <mergeCell ref="K314:K332"/>
    <mergeCell ref="L314:L332"/>
  </mergeCells>
  <phoneticPr fontId="1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N24"/>
  <sheetViews>
    <sheetView topLeftCell="A10" workbookViewId="0">
      <selection activeCell="M24" sqref="M24:N24"/>
    </sheetView>
  </sheetViews>
  <sheetFormatPr defaultRowHeight="15" outlineLevelRow="2"/>
  <cols>
    <col min="1" max="1" width="25.625" style="255" customWidth="1"/>
    <col min="2" max="2" width="8" style="255" customWidth="1"/>
    <col min="3" max="3" width="7.625" style="255" customWidth="1"/>
    <col min="4" max="4" width="8.5" style="255" customWidth="1"/>
    <col min="5" max="5" width="19.875" style="255" customWidth="1"/>
    <col min="6" max="6" width="18.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313" customWidth="1"/>
    <col min="12" max="12" width="10" style="1313" customWidth="1"/>
    <col min="13" max="13" width="11.375" style="1313" customWidth="1"/>
    <col min="14" max="14" width="10.625" style="226" customWidth="1"/>
    <col min="15" max="16384" width="9" style="227"/>
  </cols>
  <sheetData>
    <row r="1" spans="1:14" ht="22.5">
      <c r="A1" s="1391" t="s">
        <v>4039</v>
      </c>
      <c r="B1" s="1391"/>
      <c r="C1" s="1391"/>
      <c r="D1" s="1391"/>
      <c r="E1" s="1391"/>
      <c r="F1" s="1391"/>
      <c r="G1" s="1391"/>
      <c r="H1" s="1391"/>
      <c r="I1" s="1391"/>
      <c r="J1" s="1391"/>
      <c r="K1" s="1572"/>
      <c r="L1" s="1572"/>
      <c r="M1" s="1572"/>
      <c r="N1" s="1572"/>
    </row>
    <row r="2" spans="1:14" ht="20.100000000000001" customHeight="1" outlineLevel="1">
      <c r="A2" s="1652" t="s">
        <v>3000</v>
      </c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  <c r="M2" s="1634"/>
      <c r="N2" s="1634"/>
    </row>
    <row r="3" spans="1:14" ht="29.1" customHeight="1" outlineLevel="2">
      <c r="A3" s="1658" t="s">
        <v>632</v>
      </c>
      <c r="B3" s="1658" t="s">
        <v>1248</v>
      </c>
      <c r="C3" s="1658" t="s">
        <v>3207</v>
      </c>
      <c r="D3" s="1658" t="s">
        <v>3358</v>
      </c>
      <c r="E3" s="1658" t="s">
        <v>13</v>
      </c>
      <c r="F3" s="1658" t="s">
        <v>1242</v>
      </c>
      <c r="G3" s="1658" t="s">
        <v>1243</v>
      </c>
      <c r="H3" s="1658" t="s">
        <v>1244</v>
      </c>
      <c r="I3" s="1658" t="s">
        <v>1245</v>
      </c>
      <c r="J3" s="1659" t="s">
        <v>4035</v>
      </c>
      <c r="K3" s="1659" t="s">
        <v>4036</v>
      </c>
      <c r="L3" s="1649" t="s">
        <v>4037</v>
      </c>
      <c r="M3" s="1660"/>
      <c r="N3" s="1651"/>
    </row>
    <row r="4" spans="1:14" ht="29.1" customHeight="1" outlineLevel="1">
      <c r="A4" s="1645"/>
      <c r="B4" s="1645" t="s">
        <v>4034</v>
      </c>
      <c r="C4" s="1645"/>
      <c r="D4" s="1645"/>
      <c r="E4" s="1645"/>
      <c r="F4" s="1645"/>
      <c r="G4" s="1645"/>
      <c r="H4" s="1645"/>
      <c r="I4" s="1645"/>
      <c r="J4" s="1648">
        <f>SUBTOTAL(9,J3:J3)</f>
        <v>0</v>
      </c>
      <c r="K4" s="1648">
        <f>SUBTOTAL(9,K3:K3)</f>
        <v>0</v>
      </c>
      <c r="L4" s="1340">
        <f>SUBTOTAL(9,L3:L3)</f>
        <v>0</v>
      </c>
      <c r="M4" s="1337">
        <f>SUBTOTAL(9,M3:M3)</f>
        <v>0</v>
      </c>
      <c r="N4" s="1341">
        <f>SUBTOTAL(9,N3:N3)</f>
        <v>0</v>
      </c>
    </row>
    <row r="5" spans="1:14" ht="29.1" customHeight="1" outlineLevel="1">
      <c r="A5" s="1646"/>
      <c r="B5" s="1646"/>
      <c r="C5" s="1646"/>
      <c r="D5" s="1646"/>
      <c r="E5" s="1646"/>
      <c r="F5" s="1646"/>
      <c r="G5" s="1646"/>
      <c r="H5" s="1646"/>
      <c r="I5" s="1646"/>
      <c r="J5" s="1646"/>
      <c r="K5" s="1646"/>
      <c r="L5" s="1314" t="s">
        <v>3237</v>
      </c>
      <c r="M5" s="1330" t="s">
        <v>4038</v>
      </c>
      <c r="N5" s="1307" t="s">
        <v>3080</v>
      </c>
    </row>
    <row r="6" spans="1:14" ht="29.1" customHeight="1" outlineLevel="2">
      <c r="A6" s="237" t="s">
        <v>1250</v>
      </c>
      <c r="B6" s="239" t="s">
        <v>10</v>
      </c>
      <c r="C6" s="239" t="s">
        <v>1001</v>
      </c>
      <c r="D6" s="239" t="s">
        <v>2973</v>
      </c>
      <c r="E6" s="254" t="s">
        <v>1251</v>
      </c>
      <c r="F6" s="254" t="s">
        <v>1252</v>
      </c>
      <c r="G6" s="254" t="s">
        <v>1253</v>
      </c>
      <c r="H6" s="239">
        <v>1</v>
      </c>
      <c r="I6" s="1308">
        <v>800000</v>
      </c>
      <c r="J6" s="1308">
        <f t="shared" ref="J6" si="0">I6*H6</f>
        <v>800000</v>
      </c>
      <c r="K6" s="1315">
        <v>500000</v>
      </c>
      <c r="L6" s="1315">
        <f>K6-J6</f>
        <v>-300000</v>
      </c>
      <c r="M6" s="1315"/>
      <c r="N6" s="1309">
        <f t="shared" ref="N6:N12" si="1">K6-J6</f>
        <v>-300000</v>
      </c>
    </row>
    <row r="7" spans="1:14" ht="29.1" customHeight="1" outlineLevel="1">
      <c r="A7" s="237"/>
      <c r="B7" s="238" t="s">
        <v>262</v>
      </c>
      <c r="C7" s="239"/>
      <c r="D7" s="239"/>
      <c r="E7" s="240"/>
      <c r="F7" s="240"/>
      <c r="G7" s="240"/>
      <c r="H7" s="239"/>
      <c r="I7" s="1308"/>
      <c r="J7" s="1308">
        <f>SUBTOTAL(9,J6:J6)</f>
        <v>800000</v>
      </c>
      <c r="K7" s="1308">
        <f>SUBTOTAL(9,K6:K6)</f>
        <v>500000</v>
      </c>
      <c r="L7" s="1308">
        <f>SUBTOTAL(9,L6:L6)</f>
        <v>-300000</v>
      </c>
      <c r="M7" s="1308">
        <f>SUBTOTAL(9,M6:M6)</f>
        <v>0</v>
      </c>
      <c r="N7" s="1308">
        <f>SUBTOTAL(9,N6:N6)</f>
        <v>-300000</v>
      </c>
    </row>
    <row r="8" spans="1:14" ht="29.1" customHeight="1" outlineLevel="2">
      <c r="A8" s="237" t="s">
        <v>1256</v>
      </c>
      <c r="B8" s="247" t="s">
        <v>8</v>
      </c>
      <c r="C8" s="247" t="s">
        <v>464</v>
      </c>
      <c r="D8" s="247" t="s">
        <v>2374</v>
      </c>
      <c r="E8" s="1342" t="s">
        <v>1251</v>
      </c>
      <c r="F8" s="254" t="s">
        <v>1252</v>
      </c>
      <c r="G8" s="1342" t="s">
        <v>1253</v>
      </c>
      <c r="H8" s="247">
        <v>1</v>
      </c>
      <c r="I8" s="1308">
        <v>800000</v>
      </c>
      <c r="J8" s="1308">
        <f t="shared" ref="J8" si="2">I8*H8</f>
        <v>800000</v>
      </c>
      <c r="K8" s="1310">
        <v>300000</v>
      </c>
      <c r="L8" s="1315">
        <f t="shared" ref="L8:L16" si="3">K8-J8</f>
        <v>-500000</v>
      </c>
      <c r="M8" s="1310"/>
      <c r="N8" s="1309">
        <f t="shared" si="1"/>
        <v>-500000</v>
      </c>
    </row>
    <row r="9" spans="1:14" ht="29.1" customHeight="1" outlineLevel="1">
      <c r="A9" s="237"/>
      <c r="B9" s="238" t="s">
        <v>260</v>
      </c>
      <c r="C9" s="239"/>
      <c r="D9" s="247"/>
      <c r="E9" s="240"/>
      <c r="F9" s="240"/>
      <c r="G9" s="240"/>
      <c r="H9" s="239"/>
      <c r="I9" s="1308"/>
      <c r="J9" s="1308">
        <f>SUBTOTAL(9,J8:J8)</f>
        <v>800000</v>
      </c>
      <c r="K9" s="1308">
        <f>SUBTOTAL(9,K8:K8)</f>
        <v>300000</v>
      </c>
      <c r="L9" s="1308">
        <f>SUBTOTAL(9,L8:L8)</f>
        <v>-500000</v>
      </c>
      <c r="M9" s="1308">
        <f>SUBTOTAL(9,M8:M8)</f>
        <v>0</v>
      </c>
      <c r="N9" s="1308">
        <f>SUBTOTAL(9,N8:N8)</f>
        <v>-500000</v>
      </c>
    </row>
    <row r="10" spans="1:14" ht="29.1" customHeight="1" outlineLevel="2">
      <c r="A10" s="237" t="s">
        <v>1257</v>
      </c>
      <c r="B10" s="239" t="s">
        <v>7</v>
      </c>
      <c r="C10" s="239" t="s">
        <v>464</v>
      </c>
      <c r="D10" s="239" t="s">
        <v>2374</v>
      </c>
      <c r="E10" s="254" t="s">
        <v>1251</v>
      </c>
      <c r="F10" s="254" t="s">
        <v>1252</v>
      </c>
      <c r="G10" s="254" t="s">
        <v>1253</v>
      </c>
      <c r="H10" s="239">
        <v>1</v>
      </c>
      <c r="I10" s="1308">
        <v>800000</v>
      </c>
      <c r="J10" s="1308">
        <f>I10*H10</f>
        <v>800000</v>
      </c>
      <c r="K10" s="1310">
        <v>500000</v>
      </c>
      <c r="L10" s="1315">
        <f t="shared" si="3"/>
        <v>-300000</v>
      </c>
      <c r="M10" s="1310">
        <v>-300000</v>
      </c>
      <c r="N10" s="1309">
        <v>0</v>
      </c>
    </row>
    <row r="11" spans="1:14" ht="29.1" customHeight="1" outlineLevel="1">
      <c r="A11" s="237"/>
      <c r="B11" s="238" t="s">
        <v>259</v>
      </c>
      <c r="C11" s="239"/>
      <c r="D11" s="239"/>
      <c r="E11" s="240"/>
      <c r="F11" s="240"/>
      <c r="G11" s="240"/>
      <c r="H11" s="239"/>
      <c r="I11" s="1308"/>
      <c r="J11" s="1308">
        <f>SUBTOTAL(9,J10:J10)</f>
        <v>800000</v>
      </c>
      <c r="K11" s="1308">
        <f>SUBTOTAL(9,K10:K10)</f>
        <v>500000</v>
      </c>
      <c r="L11" s="1308">
        <f>SUBTOTAL(9,L10:L10)</f>
        <v>-300000</v>
      </c>
      <c r="M11" s="1308">
        <f>SUBTOTAL(9,M10:M10)</f>
        <v>-300000</v>
      </c>
      <c r="N11" s="1308">
        <f>SUBTOTAL(9,N10:N10)</f>
        <v>0</v>
      </c>
    </row>
    <row r="12" spans="1:14" ht="29.1" customHeight="1" outlineLevel="2">
      <c r="A12" s="237" t="s">
        <v>1258</v>
      </c>
      <c r="B12" s="239" t="s">
        <v>6</v>
      </c>
      <c r="C12" s="239" t="s">
        <v>464</v>
      </c>
      <c r="D12" s="239" t="s">
        <v>2374</v>
      </c>
      <c r="E12" s="254" t="s">
        <v>1251</v>
      </c>
      <c r="F12" s="254" t="s">
        <v>1252</v>
      </c>
      <c r="G12" s="254" t="s">
        <v>1253</v>
      </c>
      <c r="H12" s="239">
        <v>1</v>
      </c>
      <c r="I12" s="1308">
        <v>1300000</v>
      </c>
      <c r="J12" s="1308">
        <f>I12*H12</f>
        <v>1300000</v>
      </c>
      <c r="K12" s="1343">
        <v>1000000</v>
      </c>
      <c r="L12" s="1315">
        <f t="shared" si="3"/>
        <v>-300000</v>
      </c>
      <c r="M12" s="1343"/>
      <c r="N12" s="1309">
        <f t="shared" si="1"/>
        <v>-300000</v>
      </c>
    </row>
    <row r="13" spans="1:14" ht="29.1" customHeight="1" outlineLevel="1">
      <c r="A13" s="237"/>
      <c r="B13" s="238" t="s">
        <v>258</v>
      </c>
      <c r="C13" s="239"/>
      <c r="D13" s="239"/>
      <c r="E13" s="240"/>
      <c r="F13" s="240"/>
      <c r="G13" s="240"/>
      <c r="H13" s="239"/>
      <c r="I13" s="1308"/>
      <c r="J13" s="1339">
        <f>SUBTOTAL(9,J12:J12)</f>
        <v>1300000</v>
      </c>
      <c r="K13" s="1339">
        <f>SUBTOTAL(9,K12:K12)</f>
        <v>1000000</v>
      </c>
      <c r="L13" s="1339">
        <f>SUBTOTAL(9,L12:L12)</f>
        <v>-300000</v>
      </c>
      <c r="M13" s="1339">
        <f>SUBTOTAL(9,M12:M12)</f>
        <v>0</v>
      </c>
      <c r="N13" s="1339">
        <f>SUBTOTAL(9,N12:N12)</f>
        <v>-300000</v>
      </c>
    </row>
    <row r="14" spans="1:14" ht="29.1" customHeight="1" outlineLevel="2">
      <c r="A14" s="237" t="s">
        <v>1262</v>
      </c>
      <c r="B14" s="239" t="s">
        <v>5</v>
      </c>
      <c r="C14" s="239" t="s">
        <v>464</v>
      </c>
      <c r="D14" s="239" t="s">
        <v>2374</v>
      </c>
      <c r="E14" s="254" t="s">
        <v>1251</v>
      </c>
      <c r="F14" s="254" t="s">
        <v>1252</v>
      </c>
      <c r="G14" s="254" t="s">
        <v>1253</v>
      </c>
      <c r="H14" s="239">
        <v>1</v>
      </c>
      <c r="I14" s="1333">
        <v>1300000</v>
      </c>
      <c r="J14" s="1339">
        <v>1300000</v>
      </c>
      <c r="K14" s="1343">
        <v>1000000</v>
      </c>
      <c r="L14" s="1315">
        <f t="shared" si="3"/>
        <v>-300000</v>
      </c>
      <c r="M14" s="1343">
        <f>L14</f>
        <v>-300000</v>
      </c>
      <c r="N14" s="1309">
        <f>L14-M14</f>
        <v>0</v>
      </c>
    </row>
    <row r="15" spans="1:14" ht="29.1" customHeight="1" outlineLevel="1">
      <c r="A15" s="237"/>
      <c r="B15" s="238" t="s">
        <v>257</v>
      </c>
      <c r="C15" s="239"/>
      <c r="D15" s="239"/>
      <c r="E15" s="1305"/>
      <c r="F15" s="1305"/>
      <c r="G15" s="1305"/>
      <c r="H15" s="1306"/>
      <c r="I15" s="1335"/>
      <c r="J15" s="1312">
        <f>SUBTOTAL(9,J14:J14)</f>
        <v>1300000</v>
      </c>
      <c r="K15" s="1312">
        <f>SUBTOTAL(9,K14:K14)</f>
        <v>1000000</v>
      </c>
      <c r="L15" s="1312">
        <f>SUBTOTAL(9,L14:L14)</f>
        <v>-300000</v>
      </c>
      <c r="M15" s="1312">
        <f>SUBTOTAL(9,M14:M14)</f>
        <v>-300000</v>
      </c>
      <c r="N15" s="1312">
        <f>SUBTOTAL(9,N14:N14)</f>
        <v>0</v>
      </c>
    </row>
    <row r="16" spans="1:14" ht="29.1" customHeight="1" outlineLevel="2">
      <c r="A16" s="237" t="s">
        <v>1274</v>
      </c>
      <c r="B16" s="239" t="s">
        <v>4</v>
      </c>
      <c r="C16" s="239" t="s">
        <v>464</v>
      </c>
      <c r="D16" s="239" t="s">
        <v>2374</v>
      </c>
      <c r="E16" s="254" t="s">
        <v>1251</v>
      </c>
      <c r="F16" s="254" t="s">
        <v>1252</v>
      </c>
      <c r="G16" s="254" t="s">
        <v>1253</v>
      </c>
      <c r="H16" s="239">
        <v>1</v>
      </c>
      <c r="I16" s="1308">
        <v>1300000</v>
      </c>
      <c r="J16" s="1308">
        <f t="shared" ref="J16" si="4">I16*H16</f>
        <v>1300000</v>
      </c>
      <c r="K16" s="1315">
        <v>1000000</v>
      </c>
      <c r="L16" s="1315">
        <f t="shared" si="3"/>
        <v>-300000</v>
      </c>
      <c r="M16" s="1315"/>
      <c r="N16" s="1309">
        <f>L16-M16</f>
        <v>-300000</v>
      </c>
    </row>
    <row r="17" spans="1:14" ht="29.1" customHeight="1" outlineLevel="1">
      <c r="A17" s="237"/>
      <c r="B17" s="238" t="s">
        <v>256</v>
      </c>
      <c r="C17" s="239"/>
      <c r="D17" s="239"/>
      <c r="E17" s="1305"/>
      <c r="F17" s="1305"/>
      <c r="G17" s="1305"/>
      <c r="H17" s="1306"/>
      <c r="I17" s="1311"/>
      <c r="J17" s="1312">
        <f>SUBTOTAL(9,J16:J16)</f>
        <v>1300000</v>
      </c>
      <c r="K17" s="1312">
        <f>SUBTOTAL(9,K16:K16)</f>
        <v>1000000</v>
      </c>
      <c r="L17" s="1312">
        <f>SUBTOTAL(9,L16:L16)</f>
        <v>-300000</v>
      </c>
      <c r="M17" s="1312">
        <f>SUBTOTAL(9,M16:M16)</f>
        <v>0</v>
      </c>
      <c r="N17" s="1312">
        <f>SUBTOTAL(9,N16:N16)</f>
        <v>-300000</v>
      </c>
    </row>
    <row r="18" spans="1:14" ht="29.1" customHeight="1" outlineLevel="2">
      <c r="A18" s="237" t="s">
        <v>1278</v>
      </c>
      <c r="B18" s="239" t="s">
        <v>2</v>
      </c>
      <c r="C18" s="239" t="s">
        <v>464</v>
      </c>
      <c r="D18" s="239" t="s">
        <v>2374</v>
      </c>
      <c r="E18" s="254" t="s">
        <v>1251</v>
      </c>
      <c r="F18" s="254" t="s">
        <v>1252</v>
      </c>
      <c r="G18" s="254" t="s">
        <v>1253</v>
      </c>
      <c r="H18" s="239">
        <v>1</v>
      </c>
      <c r="I18" s="1308">
        <v>800000</v>
      </c>
      <c r="J18" s="1308">
        <v>800000</v>
      </c>
      <c r="K18" s="1308">
        <v>400000</v>
      </c>
      <c r="L18" s="1315">
        <f t="shared" ref="L18:L22" si="5">K18-J18</f>
        <v>-400000</v>
      </c>
      <c r="M18" s="1308">
        <f>L18</f>
        <v>-400000</v>
      </c>
      <c r="N18" s="1309">
        <v>0</v>
      </c>
    </row>
    <row r="19" spans="1:14" ht="29.1" customHeight="1" outlineLevel="1">
      <c r="A19" s="237"/>
      <c r="B19" s="238" t="s">
        <v>254</v>
      </c>
      <c r="C19" s="239"/>
      <c r="D19" s="239"/>
      <c r="E19" s="240"/>
      <c r="F19" s="240"/>
      <c r="G19" s="240"/>
      <c r="H19" s="239"/>
      <c r="I19" s="1308"/>
      <c r="J19" s="1308">
        <f>SUBTOTAL(9,J18:J18)</f>
        <v>800000</v>
      </c>
      <c r="K19" s="1308">
        <f>SUBTOTAL(9,K18:K18)</f>
        <v>400000</v>
      </c>
      <c r="L19" s="1308">
        <f>SUBTOTAL(9,L18:L18)</f>
        <v>-400000</v>
      </c>
      <c r="M19" s="1308">
        <f>SUBTOTAL(9,M18:M18)</f>
        <v>-400000</v>
      </c>
      <c r="N19" s="1308">
        <f>SUBTOTAL(9,N18:N18)</f>
        <v>0</v>
      </c>
    </row>
    <row r="20" spans="1:14" ht="29.1" customHeight="1" outlineLevel="2">
      <c r="A20" s="237" t="s">
        <v>1291</v>
      </c>
      <c r="B20" s="239" t="s">
        <v>3</v>
      </c>
      <c r="C20" s="239" t="s">
        <v>464</v>
      </c>
      <c r="D20" s="239" t="s">
        <v>2374</v>
      </c>
      <c r="E20" s="254" t="s">
        <v>1251</v>
      </c>
      <c r="F20" s="254" t="s">
        <v>1252</v>
      </c>
      <c r="G20" s="254" t="s">
        <v>1253</v>
      </c>
      <c r="H20" s="239">
        <v>1</v>
      </c>
      <c r="I20" s="1308">
        <v>800000</v>
      </c>
      <c r="J20" s="1308">
        <v>800000</v>
      </c>
      <c r="K20" s="1343">
        <v>400000</v>
      </c>
      <c r="L20" s="1315">
        <f t="shared" si="5"/>
        <v>-400000</v>
      </c>
      <c r="M20" s="1343">
        <f>L20</f>
        <v>-400000</v>
      </c>
      <c r="N20" s="1309">
        <v>0</v>
      </c>
    </row>
    <row r="21" spans="1:14" ht="29.1" customHeight="1" outlineLevel="1">
      <c r="A21" s="237"/>
      <c r="B21" s="238" t="s">
        <v>255</v>
      </c>
      <c r="C21" s="239"/>
      <c r="D21" s="239"/>
      <c r="E21" s="254"/>
      <c r="F21" s="254"/>
      <c r="G21" s="254"/>
      <c r="H21" s="239"/>
      <c r="I21" s="1308"/>
      <c r="J21" s="1308">
        <f>SUBTOTAL(9,J20:J20)</f>
        <v>800000</v>
      </c>
      <c r="K21" s="1308">
        <f>SUBTOTAL(9,K20:K20)</f>
        <v>400000</v>
      </c>
      <c r="L21" s="1308">
        <f>SUBTOTAL(9,L20:L20)</f>
        <v>-400000</v>
      </c>
      <c r="M21" s="1308">
        <f>SUBTOTAL(9,M20:M20)</f>
        <v>-400000</v>
      </c>
      <c r="N21" s="1308">
        <f>SUBTOTAL(9,N20:N20)</f>
        <v>0</v>
      </c>
    </row>
    <row r="22" spans="1:14" ht="29.1" customHeight="1" outlineLevel="2">
      <c r="A22" s="237" t="s">
        <v>1300</v>
      </c>
      <c r="B22" s="239" t="s">
        <v>9</v>
      </c>
      <c r="C22" s="239" t="s">
        <v>464</v>
      </c>
      <c r="D22" s="239" t="s">
        <v>2374</v>
      </c>
      <c r="E22" s="254" t="s">
        <v>1251</v>
      </c>
      <c r="F22" s="254" t="s">
        <v>1252</v>
      </c>
      <c r="G22" s="254" t="s">
        <v>1253</v>
      </c>
      <c r="H22" s="239">
        <v>1</v>
      </c>
      <c r="I22" s="1308">
        <v>1800000</v>
      </c>
      <c r="J22" s="1308">
        <f>I22*H22</f>
        <v>1800000</v>
      </c>
      <c r="K22" s="1343">
        <v>1300000</v>
      </c>
      <c r="L22" s="1315">
        <f t="shared" si="5"/>
        <v>-500000</v>
      </c>
      <c r="M22" s="1343"/>
      <c r="N22" s="1309">
        <f t="shared" ref="N22" si="6">K22-J22</f>
        <v>-500000</v>
      </c>
    </row>
    <row r="23" spans="1:14" ht="29.1" customHeight="1" outlineLevel="1">
      <c r="A23" s="237"/>
      <c r="B23" s="238" t="s">
        <v>261</v>
      </c>
      <c r="C23" s="239"/>
      <c r="D23" s="239"/>
      <c r="E23" s="240"/>
      <c r="F23" s="240"/>
      <c r="G23" s="240"/>
      <c r="H23" s="239"/>
      <c r="I23" s="1308"/>
      <c r="J23" s="1308">
        <f>SUBTOTAL(9,J22:J22)</f>
        <v>1800000</v>
      </c>
      <c r="K23" s="1308">
        <f>SUBTOTAL(9,K22:K22)</f>
        <v>1300000</v>
      </c>
      <c r="L23" s="1308">
        <f>SUBTOTAL(9,L22:L22)</f>
        <v>-500000</v>
      </c>
      <c r="M23" s="1308">
        <f>SUBTOTAL(9,M22:M22)</f>
        <v>0</v>
      </c>
      <c r="N23" s="1308">
        <f>SUBTOTAL(9,N22:N22)</f>
        <v>-500000</v>
      </c>
    </row>
    <row r="24" spans="1:14" ht="29.1" customHeight="1">
      <c r="A24" s="237"/>
      <c r="B24" s="238" t="s">
        <v>252</v>
      </c>
      <c r="C24" s="239"/>
      <c r="D24" s="239"/>
      <c r="E24" s="240"/>
      <c r="F24" s="240"/>
      <c r="G24" s="240"/>
      <c r="H24" s="239"/>
      <c r="I24" s="1308"/>
      <c r="J24" s="1308">
        <f>SUBTOTAL(9,J2:J22)</f>
        <v>9700000</v>
      </c>
      <c r="K24" s="1308">
        <f>SUBTOTAL(9,K2:K22)</f>
        <v>6400000</v>
      </c>
      <c r="L24" s="1308">
        <f>SUBTOTAL(9,L2:L22)</f>
        <v>-3300000</v>
      </c>
      <c r="M24" s="1308">
        <f>SUBTOTAL(9,M2:M22)</f>
        <v>-1400000</v>
      </c>
      <c r="N24" s="1308">
        <f>SUBTOTAL(9,N2:N22)</f>
        <v>-1900000</v>
      </c>
    </row>
  </sheetData>
  <mergeCells count="14">
    <mergeCell ref="I3:I5"/>
    <mergeCell ref="J3:J5"/>
    <mergeCell ref="K3:K5"/>
    <mergeCell ref="L3:N3"/>
    <mergeCell ref="A1:N1"/>
    <mergeCell ref="A2:N2"/>
    <mergeCell ref="A3:A5"/>
    <mergeCell ref="B3:B5"/>
    <mergeCell ref="C3:C5"/>
    <mergeCell ref="D3:D5"/>
    <mergeCell ref="E3:E5"/>
    <mergeCell ref="F3:F5"/>
    <mergeCell ref="G3:G5"/>
    <mergeCell ref="H3:H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355" t="s">
        <v>831</v>
      </c>
      <c r="B1" s="1356"/>
      <c r="C1" s="1356"/>
      <c r="D1" s="1356"/>
      <c r="E1" s="1356"/>
      <c r="F1" s="1356"/>
      <c r="G1" s="1356"/>
      <c r="H1" s="1356"/>
      <c r="I1" s="1356"/>
      <c r="J1" s="1356"/>
      <c r="K1" s="1356"/>
      <c r="L1" s="1356"/>
      <c r="M1" s="1356"/>
      <c r="N1" s="1356"/>
      <c r="O1" s="1356"/>
    </row>
    <row r="2" spans="1:15" ht="1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359" t="s">
        <v>17</v>
      </c>
      <c r="O2" s="1359" t="s">
        <v>18</v>
      </c>
    </row>
    <row r="3" spans="1:15" ht="15" customHeight="1">
      <c r="A3" s="1360"/>
      <c r="B3" s="1360"/>
      <c r="C3" s="1360"/>
      <c r="D3" s="1360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360"/>
      <c r="O3" s="1360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WUZ7"/>
  <sheetViews>
    <sheetView tabSelected="1" workbookViewId="0">
      <selection activeCell="C5" sqref="C5"/>
    </sheetView>
  </sheetViews>
  <sheetFormatPr defaultColWidth="9" defaultRowHeight="13.5"/>
  <cols>
    <col min="1" max="1" width="14.125" style="1664" customWidth="1"/>
    <col min="2" max="2" width="25.625" style="1673" customWidth="1"/>
    <col min="3" max="3" width="25.625" style="1664" customWidth="1"/>
    <col min="4" max="236" width="9" style="1664"/>
    <col min="237" max="237" width="6.625" style="1664" customWidth="1"/>
    <col min="238" max="239" width="21.625" style="1664" customWidth="1"/>
    <col min="240" max="240" width="16.125" style="1664" customWidth="1"/>
    <col min="241" max="241" width="13.875" style="1664" customWidth="1"/>
    <col min="242" max="242" width="17.25" style="1664" customWidth="1"/>
    <col min="243" max="244" width="20.5" style="1664" customWidth="1"/>
    <col min="245" max="245" width="9" style="1664" hidden="1" customWidth="1"/>
    <col min="246" max="246" width="18.375" style="1664" customWidth="1"/>
    <col min="247" max="248" width="9" style="1664" hidden="1" customWidth="1"/>
    <col min="249" max="492" width="9" style="1664"/>
    <col min="493" max="493" width="6.625" style="1664" customWidth="1"/>
    <col min="494" max="495" width="21.625" style="1664" customWidth="1"/>
    <col min="496" max="496" width="16.125" style="1664" customWidth="1"/>
    <col min="497" max="497" width="13.875" style="1664" customWidth="1"/>
    <col min="498" max="498" width="17.25" style="1664" customWidth="1"/>
    <col min="499" max="500" width="20.5" style="1664" customWidth="1"/>
    <col min="501" max="501" width="9" style="1664" hidden="1" customWidth="1"/>
    <col min="502" max="502" width="18.375" style="1664" customWidth="1"/>
    <col min="503" max="504" width="9" style="1664" hidden="1" customWidth="1"/>
    <col min="505" max="748" width="9" style="1664"/>
    <col min="749" max="749" width="6.625" style="1664" customWidth="1"/>
    <col min="750" max="751" width="21.625" style="1664" customWidth="1"/>
    <col min="752" max="752" width="16.125" style="1664" customWidth="1"/>
    <col min="753" max="753" width="13.875" style="1664" customWidth="1"/>
    <col min="754" max="754" width="17.25" style="1664" customWidth="1"/>
    <col min="755" max="756" width="20.5" style="1664" customWidth="1"/>
    <col min="757" max="757" width="9" style="1664" hidden="1" customWidth="1"/>
    <col min="758" max="758" width="18.375" style="1664" customWidth="1"/>
    <col min="759" max="760" width="9" style="1664" hidden="1" customWidth="1"/>
    <col min="761" max="1004" width="9" style="1664"/>
    <col min="1005" max="1005" width="6.625" style="1664" customWidth="1"/>
    <col min="1006" max="1007" width="21.625" style="1664" customWidth="1"/>
    <col min="1008" max="1008" width="16.125" style="1664" customWidth="1"/>
    <col min="1009" max="1009" width="13.875" style="1664" customWidth="1"/>
    <col min="1010" max="1010" width="17.25" style="1664" customWidth="1"/>
    <col min="1011" max="1012" width="20.5" style="1664" customWidth="1"/>
    <col min="1013" max="1013" width="9" style="1664" hidden="1" customWidth="1"/>
    <col min="1014" max="1014" width="18.375" style="1664" customWidth="1"/>
    <col min="1015" max="1016" width="9" style="1664" hidden="1" customWidth="1"/>
    <col min="1017" max="1260" width="9" style="1664"/>
    <col min="1261" max="1261" width="6.625" style="1664" customWidth="1"/>
    <col min="1262" max="1263" width="21.625" style="1664" customWidth="1"/>
    <col min="1264" max="1264" width="16.125" style="1664" customWidth="1"/>
    <col min="1265" max="1265" width="13.875" style="1664" customWidth="1"/>
    <col min="1266" max="1266" width="17.25" style="1664" customWidth="1"/>
    <col min="1267" max="1268" width="20.5" style="1664" customWidth="1"/>
    <col min="1269" max="1269" width="9" style="1664" hidden="1" customWidth="1"/>
    <col min="1270" max="1270" width="18.375" style="1664" customWidth="1"/>
    <col min="1271" max="1272" width="9" style="1664" hidden="1" customWidth="1"/>
    <col min="1273" max="1516" width="9" style="1664"/>
    <col min="1517" max="1517" width="6.625" style="1664" customWidth="1"/>
    <col min="1518" max="1519" width="21.625" style="1664" customWidth="1"/>
    <col min="1520" max="1520" width="16.125" style="1664" customWidth="1"/>
    <col min="1521" max="1521" width="13.875" style="1664" customWidth="1"/>
    <col min="1522" max="1522" width="17.25" style="1664" customWidth="1"/>
    <col min="1523" max="1524" width="20.5" style="1664" customWidth="1"/>
    <col min="1525" max="1525" width="9" style="1664" hidden="1" customWidth="1"/>
    <col min="1526" max="1526" width="18.375" style="1664" customWidth="1"/>
    <col min="1527" max="1528" width="9" style="1664" hidden="1" customWidth="1"/>
    <col min="1529" max="1772" width="9" style="1664"/>
    <col min="1773" max="1773" width="6.625" style="1664" customWidth="1"/>
    <col min="1774" max="1775" width="21.625" style="1664" customWidth="1"/>
    <col min="1776" max="1776" width="16.125" style="1664" customWidth="1"/>
    <col min="1777" max="1777" width="13.875" style="1664" customWidth="1"/>
    <col min="1778" max="1778" width="17.25" style="1664" customWidth="1"/>
    <col min="1779" max="1780" width="20.5" style="1664" customWidth="1"/>
    <col min="1781" max="1781" width="9" style="1664" hidden="1" customWidth="1"/>
    <col min="1782" max="1782" width="18.375" style="1664" customWidth="1"/>
    <col min="1783" max="1784" width="9" style="1664" hidden="1" customWidth="1"/>
    <col min="1785" max="2028" width="9" style="1664"/>
    <col min="2029" max="2029" width="6.625" style="1664" customWidth="1"/>
    <col min="2030" max="2031" width="21.625" style="1664" customWidth="1"/>
    <col min="2032" max="2032" width="16.125" style="1664" customWidth="1"/>
    <col min="2033" max="2033" width="13.875" style="1664" customWidth="1"/>
    <col min="2034" max="2034" width="17.25" style="1664" customWidth="1"/>
    <col min="2035" max="2036" width="20.5" style="1664" customWidth="1"/>
    <col min="2037" max="2037" width="9" style="1664" hidden="1" customWidth="1"/>
    <col min="2038" max="2038" width="18.375" style="1664" customWidth="1"/>
    <col min="2039" max="2040" width="9" style="1664" hidden="1" customWidth="1"/>
    <col min="2041" max="2284" width="9" style="1664"/>
    <col min="2285" max="2285" width="6.625" style="1664" customWidth="1"/>
    <col min="2286" max="2287" width="21.625" style="1664" customWidth="1"/>
    <col min="2288" max="2288" width="16.125" style="1664" customWidth="1"/>
    <col min="2289" max="2289" width="13.875" style="1664" customWidth="1"/>
    <col min="2290" max="2290" width="17.25" style="1664" customWidth="1"/>
    <col min="2291" max="2292" width="20.5" style="1664" customWidth="1"/>
    <col min="2293" max="2293" width="9" style="1664" hidden="1" customWidth="1"/>
    <col min="2294" max="2294" width="18.375" style="1664" customWidth="1"/>
    <col min="2295" max="2296" width="9" style="1664" hidden="1" customWidth="1"/>
    <col min="2297" max="2540" width="9" style="1664"/>
    <col min="2541" max="2541" width="6.625" style="1664" customWidth="1"/>
    <col min="2542" max="2543" width="21.625" style="1664" customWidth="1"/>
    <col min="2544" max="2544" width="16.125" style="1664" customWidth="1"/>
    <col min="2545" max="2545" width="13.875" style="1664" customWidth="1"/>
    <col min="2546" max="2546" width="17.25" style="1664" customWidth="1"/>
    <col min="2547" max="2548" width="20.5" style="1664" customWidth="1"/>
    <col min="2549" max="2549" width="9" style="1664" hidden="1" customWidth="1"/>
    <col min="2550" max="2550" width="18.375" style="1664" customWidth="1"/>
    <col min="2551" max="2552" width="9" style="1664" hidden="1" customWidth="1"/>
    <col min="2553" max="2796" width="9" style="1664"/>
    <col min="2797" max="2797" width="6.625" style="1664" customWidth="1"/>
    <col min="2798" max="2799" width="21.625" style="1664" customWidth="1"/>
    <col min="2800" max="2800" width="16.125" style="1664" customWidth="1"/>
    <col min="2801" max="2801" width="13.875" style="1664" customWidth="1"/>
    <col min="2802" max="2802" width="17.25" style="1664" customWidth="1"/>
    <col min="2803" max="2804" width="20.5" style="1664" customWidth="1"/>
    <col min="2805" max="2805" width="9" style="1664" hidden="1" customWidth="1"/>
    <col min="2806" max="2806" width="18.375" style="1664" customWidth="1"/>
    <col min="2807" max="2808" width="9" style="1664" hidden="1" customWidth="1"/>
    <col min="2809" max="3052" width="9" style="1664"/>
    <col min="3053" max="3053" width="6.625" style="1664" customWidth="1"/>
    <col min="3054" max="3055" width="21.625" style="1664" customWidth="1"/>
    <col min="3056" max="3056" width="16.125" style="1664" customWidth="1"/>
    <col min="3057" max="3057" width="13.875" style="1664" customWidth="1"/>
    <col min="3058" max="3058" width="17.25" style="1664" customWidth="1"/>
    <col min="3059" max="3060" width="20.5" style="1664" customWidth="1"/>
    <col min="3061" max="3061" width="9" style="1664" hidden="1" customWidth="1"/>
    <col min="3062" max="3062" width="18.375" style="1664" customWidth="1"/>
    <col min="3063" max="3064" width="9" style="1664" hidden="1" customWidth="1"/>
    <col min="3065" max="3308" width="9" style="1664"/>
    <col min="3309" max="3309" width="6.625" style="1664" customWidth="1"/>
    <col min="3310" max="3311" width="21.625" style="1664" customWidth="1"/>
    <col min="3312" max="3312" width="16.125" style="1664" customWidth="1"/>
    <col min="3313" max="3313" width="13.875" style="1664" customWidth="1"/>
    <col min="3314" max="3314" width="17.25" style="1664" customWidth="1"/>
    <col min="3315" max="3316" width="20.5" style="1664" customWidth="1"/>
    <col min="3317" max="3317" width="9" style="1664" hidden="1" customWidth="1"/>
    <col min="3318" max="3318" width="18.375" style="1664" customWidth="1"/>
    <col min="3319" max="3320" width="9" style="1664" hidden="1" customWidth="1"/>
    <col min="3321" max="3564" width="9" style="1664"/>
    <col min="3565" max="3565" width="6.625" style="1664" customWidth="1"/>
    <col min="3566" max="3567" width="21.625" style="1664" customWidth="1"/>
    <col min="3568" max="3568" width="16.125" style="1664" customWidth="1"/>
    <col min="3569" max="3569" width="13.875" style="1664" customWidth="1"/>
    <col min="3570" max="3570" width="17.25" style="1664" customWidth="1"/>
    <col min="3571" max="3572" width="20.5" style="1664" customWidth="1"/>
    <col min="3573" max="3573" width="9" style="1664" hidden="1" customWidth="1"/>
    <col min="3574" max="3574" width="18.375" style="1664" customWidth="1"/>
    <col min="3575" max="3576" width="9" style="1664" hidden="1" customWidth="1"/>
    <col min="3577" max="3820" width="9" style="1664"/>
    <col min="3821" max="3821" width="6.625" style="1664" customWidth="1"/>
    <col min="3822" max="3823" width="21.625" style="1664" customWidth="1"/>
    <col min="3824" max="3824" width="16.125" style="1664" customWidth="1"/>
    <col min="3825" max="3825" width="13.875" style="1664" customWidth="1"/>
    <col min="3826" max="3826" width="17.25" style="1664" customWidth="1"/>
    <col min="3827" max="3828" width="20.5" style="1664" customWidth="1"/>
    <col min="3829" max="3829" width="9" style="1664" hidden="1" customWidth="1"/>
    <col min="3830" max="3830" width="18.375" style="1664" customWidth="1"/>
    <col min="3831" max="3832" width="9" style="1664" hidden="1" customWidth="1"/>
    <col min="3833" max="4076" width="9" style="1664"/>
    <col min="4077" max="4077" width="6.625" style="1664" customWidth="1"/>
    <col min="4078" max="4079" width="21.625" style="1664" customWidth="1"/>
    <col min="4080" max="4080" width="16.125" style="1664" customWidth="1"/>
    <col min="4081" max="4081" width="13.875" style="1664" customWidth="1"/>
    <col min="4082" max="4082" width="17.25" style="1664" customWidth="1"/>
    <col min="4083" max="4084" width="20.5" style="1664" customWidth="1"/>
    <col min="4085" max="4085" width="9" style="1664" hidden="1" customWidth="1"/>
    <col min="4086" max="4086" width="18.375" style="1664" customWidth="1"/>
    <col min="4087" max="4088" width="9" style="1664" hidden="1" customWidth="1"/>
    <col min="4089" max="4332" width="9" style="1664"/>
    <col min="4333" max="4333" width="6.625" style="1664" customWidth="1"/>
    <col min="4334" max="4335" width="21.625" style="1664" customWidth="1"/>
    <col min="4336" max="4336" width="16.125" style="1664" customWidth="1"/>
    <col min="4337" max="4337" width="13.875" style="1664" customWidth="1"/>
    <col min="4338" max="4338" width="17.25" style="1664" customWidth="1"/>
    <col min="4339" max="4340" width="20.5" style="1664" customWidth="1"/>
    <col min="4341" max="4341" width="9" style="1664" hidden="1" customWidth="1"/>
    <col min="4342" max="4342" width="18.375" style="1664" customWidth="1"/>
    <col min="4343" max="4344" width="9" style="1664" hidden="1" customWidth="1"/>
    <col min="4345" max="4588" width="9" style="1664"/>
    <col min="4589" max="4589" width="6.625" style="1664" customWidth="1"/>
    <col min="4590" max="4591" width="21.625" style="1664" customWidth="1"/>
    <col min="4592" max="4592" width="16.125" style="1664" customWidth="1"/>
    <col min="4593" max="4593" width="13.875" style="1664" customWidth="1"/>
    <col min="4594" max="4594" width="17.25" style="1664" customWidth="1"/>
    <col min="4595" max="4596" width="20.5" style="1664" customWidth="1"/>
    <col min="4597" max="4597" width="9" style="1664" hidden="1" customWidth="1"/>
    <col min="4598" max="4598" width="18.375" style="1664" customWidth="1"/>
    <col min="4599" max="4600" width="9" style="1664" hidden="1" customWidth="1"/>
    <col min="4601" max="4844" width="9" style="1664"/>
    <col min="4845" max="4845" width="6.625" style="1664" customWidth="1"/>
    <col min="4846" max="4847" width="21.625" style="1664" customWidth="1"/>
    <col min="4848" max="4848" width="16.125" style="1664" customWidth="1"/>
    <col min="4849" max="4849" width="13.875" style="1664" customWidth="1"/>
    <col min="4850" max="4850" width="17.25" style="1664" customWidth="1"/>
    <col min="4851" max="4852" width="20.5" style="1664" customWidth="1"/>
    <col min="4853" max="4853" width="9" style="1664" hidden="1" customWidth="1"/>
    <col min="4854" max="4854" width="18.375" style="1664" customWidth="1"/>
    <col min="4855" max="4856" width="9" style="1664" hidden="1" customWidth="1"/>
    <col min="4857" max="5100" width="9" style="1664"/>
    <col min="5101" max="5101" width="6.625" style="1664" customWidth="1"/>
    <col min="5102" max="5103" width="21.625" style="1664" customWidth="1"/>
    <col min="5104" max="5104" width="16.125" style="1664" customWidth="1"/>
    <col min="5105" max="5105" width="13.875" style="1664" customWidth="1"/>
    <col min="5106" max="5106" width="17.25" style="1664" customWidth="1"/>
    <col min="5107" max="5108" width="20.5" style="1664" customWidth="1"/>
    <col min="5109" max="5109" width="9" style="1664" hidden="1" customWidth="1"/>
    <col min="5110" max="5110" width="18.375" style="1664" customWidth="1"/>
    <col min="5111" max="5112" width="9" style="1664" hidden="1" customWidth="1"/>
    <col min="5113" max="5356" width="9" style="1664"/>
    <col min="5357" max="5357" width="6.625" style="1664" customWidth="1"/>
    <col min="5358" max="5359" width="21.625" style="1664" customWidth="1"/>
    <col min="5360" max="5360" width="16.125" style="1664" customWidth="1"/>
    <col min="5361" max="5361" width="13.875" style="1664" customWidth="1"/>
    <col min="5362" max="5362" width="17.25" style="1664" customWidth="1"/>
    <col min="5363" max="5364" width="20.5" style="1664" customWidth="1"/>
    <col min="5365" max="5365" width="9" style="1664" hidden="1" customWidth="1"/>
    <col min="5366" max="5366" width="18.375" style="1664" customWidth="1"/>
    <col min="5367" max="5368" width="9" style="1664" hidden="1" customWidth="1"/>
    <col min="5369" max="5612" width="9" style="1664"/>
    <col min="5613" max="5613" width="6.625" style="1664" customWidth="1"/>
    <col min="5614" max="5615" width="21.625" style="1664" customWidth="1"/>
    <col min="5616" max="5616" width="16.125" style="1664" customWidth="1"/>
    <col min="5617" max="5617" width="13.875" style="1664" customWidth="1"/>
    <col min="5618" max="5618" width="17.25" style="1664" customWidth="1"/>
    <col min="5619" max="5620" width="20.5" style="1664" customWidth="1"/>
    <col min="5621" max="5621" width="9" style="1664" hidden="1" customWidth="1"/>
    <col min="5622" max="5622" width="18.375" style="1664" customWidth="1"/>
    <col min="5623" max="5624" width="9" style="1664" hidden="1" customWidth="1"/>
    <col min="5625" max="5868" width="9" style="1664"/>
    <col min="5869" max="5869" width="6.625" style="1664" customWidth="1"/>
    <col min="5870" max="5871" width="21.625" style="1664" customWidth="1"/>
    <col min="5872" max="5872" width="16.125" style="1664" customWidth="1"/>
    <col min="5873" max="5873" width="13.875" style="1664" customWidth="1"/>
    <col min="5874" max="5874" width="17.25" style="1664" customWidth="1"/>
    <col min="5875" max="5876" width="20.5" style="1664" customWidth="1"/>
    <col min="5877" max="5877" width="9" style="1664" hidden="1" customWidth="1"/>
    <col min="5878" max="5878" width="18.375" style="1664" customWidth="1"/>
    <col min="5879" max="5880" width="9" style="1664" hidden="1" customWidth="1"/>
    <col min="5881" max="6124" width="9" style="1664"/>
    <col min="6125" max="6125" width="6.625" style="1664" customWidth="1"/>
    <col min="6126" max="6127" width="21.625" style="1664" customWidth="1"/>
    <col min="6128" max="6128" width="16.125" style="1664" customWidth="1"/>
    <col min="6129" max="6129" width="13.875" style="1664" customWidth="1"/>
    <col min="6130" max="6130" width="17.25" style="1664" customWidth="1"/>
    <col min="6131" max="6132" width="20.5" style="1664" customWidth="1"/>
    <col min="6133" max="6133" width="9" style="1664" hidden="1" customWidth="1"/>
    <col min="6134" max="6134" width="18.375" style="1664" customWidth="1"/>
    <col min="6135" max="6136" width="9" style="1664" hidden="1" customWidth="1"/>
    <col min="6137" max="6380" width="9" style="1664"/>
    <col min="6381" max="6381" width="6.625" style="1664" customWidth="1"/>
    <col min="6382" max="6383" width="21.625" style="1664" customWidth="1"/>
    <col min="6384" max="6384" width="16.125" style="1664" customWidth="1"/>
    <col min="6385" max="6385" width="13.875" style="1664" customWidth="1"/>
    <col min="6386" max="6386" width="17.25" style="1664" customWidth="1"/>
    <col min="6387" max="6388" width="20.5" style="1664" customWidth="1"/>
    <col min="6389" max="6389" width="9" style="1664" hidden="1" customWidth="1"/>
    <col min="6390" max="6390" width="18.375" style="1664" customWidth="1"/>
    <col min="6391" max="6392" width="9" style="1664" hidden="1" customWidth="1"/>
    <col min="6393" max="6636" width="9" style="1664"/>
    <col min="6637" max="6637" width="6.625" style="1664" customWidth="1"/>
    <col min="6638" max="6639" width="21.625" style="1664" customWidth="1"/>
    <col min="6640" max="6640" width="16.125" style="1664" customWidth="1"/>
    <col min="6641" max="6641" width="13.875" style="1664" customWidth="1"/>
    <col min="6642" max="6642" width="17.25" style="1664" customWidth="1"/>
    <col min="6643" max="6644" width="20.5" style="1664" customWidth="1"/>
    <col min="6645" max="6645" width="9" style="1664" hidden="1" customWidth="1"/>
    <col min="6646" max="6646" width="18.375" style="1664" customWidth="1"/>
    <col min="6647" max="6648" width="9" style="1664" hidden="1" customWidth="1"/>
    <col min="6649" max="6892" width="9" style="1664"/>
    <col min="6893" max="6893" width="6.625" style="1664" customWidth="1"/>
    <col min="6894" max="6895" width="21.625" style="1664" customWidth="1"/>
    <col min="6896" max="6896" width="16.125" style="1664" customWidth="1"/>
    <col min="6897" max="6897" width="13.875" style="1664" customWidth="1"/>
    <col min="6898" max="6898" width="17.25" style="1664" customWidth="1"/>
    <col min="6899" max="6900" width="20.5" style="1664" customWidth="1"/>
    <col min="6901" max="6901" width="9" style="1664" hidden="1" customWidth="1"/>
    <col min="6902" max="6902" width="18.375" style="1664" customWidth="1"/>
    <col min="6903" max="6904" width="9" style="1664" hidden="1" customWidth="1"/>
    <col min="6905" max="7148" width="9" style="1664"/>
    <col min="7149" max="7149" width="6.625" style="1664" customWidth="1"/>
    <col min="7150" max="7151" width="21.625" style="1664" customWidth="1"/>
    <col min="7152" max="7152" width="16.125" style="1664" customWidth="1"/>
    <col min="7153" max="7153" width="13.875" style="1664" customWidth="1"/>
    <col min="7154" max="7154" width="17.25" style="1664" customWidth="1"/>
    <col min="7155" max="7156" width="20.5" style="1664" customWidth="1"/>
    <col min="7157" max="7157" width="9" style="1664" hidden="1" customWidth="1"/>
    <col min="7158" max="7158" width="18.375" style="1664" customWidth="1"/>
    <col min="7159" max="7160" width="9" style="1664" hidden="1" customWidth="1"/>
    <col min="7161" max="7404" width="9" style="1664"/>
    <col min="7405" max="7405" width="6.625" style="1664" customWidth="1"/>
    <col min="7406" max="7407" width="21.625" style="1664" customWidth="1"/>
    <col min="7408" max="7408" width="16.125" style="1664" customWidth="1"/>
    <col min="7409" max="7409" width="13.875" style="1664" customWidth="1"/>
    <col min="7410" max="7410" width="17.25" style="1664" customWidth="1"/>
    <col min="7411" max="7412" width="20.5" style="1664" customWidth="1"/>
    <col min="7413" max="7413" width="9" style="1664" hidden="1" customWidth="1"/>
    <col min="7414" max="7414" width="18.375" style="1664" customWidth="1"/>
    <col min="7415" max="7416" width="9" style="1664" hidden="1" customWidth="1"/>
    <col min="7417" max="7660" width="9" style="1664"/>
    <col min="7661" max="7661" width="6.625" style="1664" customWidth="1"/>
    <col min="7662" max="7663" width="21.625" style="1664" customWidth="1"/>
    <col min="7664" max="7664" width="16.125" style="1664" customWidth="1"/>
    <col min="7665" max="7665" width="13.875" style="1664" customWidth="1"/>
    <col min="7666" max="7666" width="17.25" style="1664" customWidth="1"/>
    <col min="7667" max="7668" width="20.5" style="1664" customWidth="1"/>
    <col min="7669" max="7669" width="9" style="1664" hidden="1" customWidth="1"/>
    <col min="7670" max="7670" width="18.375" style="1664" customWidth="1"/>
    <col min="7671" max="7672" width="9" style="1664" hidden="1" customWidth="1"/>
    <col min="7673" max="7916" width="9" style="1664"/>
    <col min="7917" max="7917" width="6.625" style="1664" customWidth="1"/>
    <col min="7918" max="7919" width="21.625" style="1664" customWidth="1"/>
    <col min="7920" max="7920" width="16.125" style="1664" customWidth="1"/>
    <col min="7921" max="7921" width="13.875" style="1664" customWidth="1"/>
    <col min="7922" max="7922" width="17.25" style="1664" customWidth="1"/>
    <col min="7923" max="7924" width="20.5" style="1664" customWidth="1"/>
    <col min="7925" max="7925" width="9" style="1664" hidden="1" customWidth="1"/>
    <col min="7926" max="7926" width="18.375" style="1664" customWidth="1"/>
    <col min="7927" max="7928" width="9" style="1664" hidden="1" customWidth="1"/>
    <col min="7929" max="8172" width="9" style="1664"/>
    <col min="8173" max="8173" width="6.625" style="1664" customWidth="1"/>
    <col min="8174" max="8175" width="21.625" style="1664" customWidth="1"/>
    <col min="8176" max="8176" width="16.125" style="1664" customWidth="1"/>
    <col min="8177" max="8177" width="13.875" style="1664" customWidth="1"/>
    <col min="8178" max="8178" width="17.25" style="1664" customWidth="1"/>
    <col min="8179" max="8180" width="20.5" style="1664" customWidth="1"/>
    <col min="8181" max="8181" width="9" style="1664" hidden="1" customWidth="1"/>
    <col min="8182" max="8182" width="18.375" style="1664" customWidth="1"/>
    <col min="8183" max="8184" width="9" style="1664" hidden="1" customWidth="1"/>
    <col min="8185" max="8428" width="9" style="1664"/>
    <col min="8429" max="8429" width="6.625" style="1664" customWidth="1"/>
    <col min="8430" max="8431" width="21.625" style="1664" customWidth="1"/>
    <col min="8432" max="8432" width="16.125" style="1664" customWidth="1"/>
    <col min="8433" max="8433" width="13.875" style="1664" customWidth="1"/>
    <col min="8434" max="8434" width="17.25" style="1664" customWidth="1"/>
    <col min="8435" max="8436" width="20.5" style="1664" customWidth="1"/>
    <col min="8437" max="8437" width="9" style="1664" hidden="1" customWidth="1"/>
    <col min="8438" max="8438" width="18.375" style="1664" customWidth="1"/>
    <col min="8439" max="8440" width="9" style="1664" hidden="1" customWidth="1"/>
    <col min="8441" max="8684" width="9" style="1664"/>
    <col min="8685" max="8685" width="6.625" style="1664" customWidth="1"/>
    <col min="8686" max="8687" width="21.625" style="1664" customWidth="1"/>
    <col min="8688" max="8688" width="16.125" style="1664" customWidth="1"/>
    <col min="8689" max="8689" width="13.875" style="1664" customWidth="1"/>
    <col min="8690" max="8690" width="17.25" style="1664" customWidth="1"/>
    <col min="8691" max="8692" width="20.5" style="1664" customWidth="1"/>
    <col min="8693" max="8693" width="9" style="1664" hidden="1" customWidth="1"/>
    <col min="8694" max="8694" width="18.375" style="1664" customWidth="1"/>
    <col min="8695" max="8696" width="9" style="1664" hidden="1" customWidth="1"/>
    <col min="8697" max="8940" width="9" style="1664"/>
    <col min="8941" max="8941" width="6.625" style="1664" customWidth="1"/>
    <col min="8942" max="8943" width="21.625" style="1664" customWidth="1"/>
    <col min="8944" max="8944" width="16.125" style="1664" customWidth="1"/>
    <col min="8945" max="8945" width="13.875" style="1664" customWidth="1"/>
    <col min="8946" max="8946" width="17.25" style="1664" customWidth="1"/>
    <col min="8947" max="8948" width="20.5" style="1664" customWidth="1"/>
    <col min="8949" max="8949" width="9" style="1664" hidden="1" customWidth="1"/>
    <col min="8950" max="8950" width="18.375" style="1664" customWidth="1"/>
    <col min="8951" max="8952" width="9" style="1664" hidden="1" customWidth="1"/>
    <col min="8953" max="9196" width="9" style="1664"/>
    <col min="9197" max="9197" width="6.625" style="1664" customWidth="1"/>
    <col min="9198" max="9199" width="21.625" style="1664" customWidth="1"/>
    <col min="9200" max="9200" width="16.125" style="1664" customWidth="1"/>
    <col min="9201" max="9201" width="13.875" style="1664" customWidth="1"/>
    <col min="9202" max="9202" width="17.25" style="1664" customWidth="1"/>
    <col min="9203" max="9204" width="20.5" style="1664" customWidth="1"/>
    <col min="9205" max="9205" width="9" style="1664" hidden="1" customWidth="1"/>
    <col min="9206" max="9206" width="18.375" style="1664" customWidth="1"/>
    <col min="9207" max="9208" width="9" style="1664" hidden="1" customWidth="1"/>
    <col min="9209" max="9452" width="9" style="1664"/>
    <col min="9453" max="9453" width="6.625" style="1664" customWidth="1"/>
    <col min="9454" max="9455" width="21.625" style="1664" customWidth="1"/>
    <col min="9456" max="9456" width="16.125" style="1664" customWidth="1"/>
    <col min="9457" max="9457" width="13.875" style="1664" customWidth="1"/>
    <col min="9458" max="9458" width="17.25" style="1664" customWidth="1"/>
    <col min="9459" max="9460" width="20.5" style="1664" customWidth="1"/>
    <col min="9461" max="9461" width="9" style="1664" hidden="1" customWidth="1"/>
    <col min="9462" max="9462" width="18.375" style="1664" customWidth="1"/>
    <col min="9463" max="9464" width="9" style="1664" hidden="1" customWidth="1"/>
    <col min="9465" max="9708" width="9" style="1664"/>
    <col min="9709" max="9709" width="6.625" style="1664" customWidth="1"/>
    <col min="9710" max="9711" width="21.625" style="1664" customWidth="1"/>
    <col min="9712" max="9712" width="16.125" style="1664" customWidth="1"/>
    <col min="9713" max="9713" width="13.875" style="1664" customWidth="1"/>
    <col min="9714" max="9714" width="17.25" style="1664" customWidth="1"/>
    <col min="9715" max="9716" width="20.5" style="1664" customWidth="1"/>
    <col min="9717" max="9717" width="9" style="1664" hidden="1" customWidth="1"/>
    <col min="9718" max="9718" width="18.375" style="1664" customWidth="1"/>
    <col min="9719" max="9720" width="9" style="1664" hidden="1" customWidth="1"/>
    <col min="9721" max="9964" width="9" style="1664"/>
    <col min="9965" max="9965" width="6.625" style="1664" customWidth="1"/>
    <col min="9966" max="9967" width="21.625" style="1664" customWidth="1"/>
    <col min="9968" max="9968" width="16.125" style="1664" customWidth="1"/>
    <col min="9969" max="9969" width="13.875" style="1664" customWidth="1"/>
    <col min="9970" max="9970" width="17.25" style="1664" customWidth="1"/>
    <col min="9971" max="9972" width="20.5" style="1664" customWidth="1"/>
    <col min="9973" max="9973" width="9" style="1664" hidden="1" customWidth="1"/>
    <col min="9974" max="9974" width="18.375" style="1664" customWidth="1"/>
    <col min="9975" max="9976" width="9" style="1664" hidden="1" customWidth="1"/>
    <col min="9977" max="10220" width="9" style="1664"/>
    <col min="10221" max="10221" width="6.625" style="1664" customWidth="1"/>
    <col min="10222" max="10223" width="21.625" style="1664" customWidth="1"/>
    <col min="10224" max="10224" width="16.125" style="1664" customWidth="1"/>
    <col min="10225" max="10225" width="13.875" style="1664" customWidth="1"/>
    <col min="10226" max="10226" width="17.25" style="1664" customWidth="1"/>
    <col min="10227" max="10228" width="20.5" style="1664" customWidth="1"/>
    <col min="10229" max="10229" width="9" style="1664" hidden="1" customWidth="1"/>
    <col min="10230" max="10230" width="18.375" style="1664" customWidth="1"/>
    <col min="10231" max="10232" width="9" style="1664" hidden="1" customWidth="1"/>
    <col min="10233" max="10476" width="9" style="1664"/>
    <col min="10477" max="10477" width="6.625" style="1664" customWidth="1"/>
    <col min="10478" max="10479" width="21.625" style="1664" customWidth="1"/>
    <col min="10480" max="10480" width="16.125" style="1664" customWidth="1"/>
    <col min="10481" max="10481" width="13.875" style="1664" customWidth="1"/>
    <col min="10482" max="10482" width="17.25" style="1664" customWidth="1"/>
    <col min="10483" max="10484" width="20.5" style="1664" customWidth="1"/>
    <col min="10485" max="10485" width="9" style="1664" hidden="1" customWidth="1"/>
    <col min="10486" max="10486" width="18.375" style="1664" customWidth="1"/>
    <col min="10487" max="10488" width="9" style="1664" hidden="1" customWidth="1"/>
    <col min="10489" max="10732" width="9" style="1664"/>
    <col min="10733" max="10733" width="6.625" style="1664" customWidth="1"/>
    <col min="10734" max="10735" width="21.625" style="1664" customWidth="1"/>
    <col min="10736" max="10736" width="16.125" style="1664" customWidth="1"/>
    <col min="10737" max="10737" width="13.875" style="1664" customWidth="1"/>
    <col min="10738" max="10738" width="17.25" style="1664" customWidth="1"/>
    <col min="10739" max="10740" width="20.5" style="1664" customWidth="1"/>
    <col min="10741" max="10741" width="9" style="1664" hidden="1" customWidth="1"/>
    <col min="10742" max="10742" width="18.375" style="1664" customWidth="1"/>
    <col min="10743" max="10744" width="9" style="1664" hidden="1" customWidth="1"/>
    <col min="10745" max="10988" width="9" style="1664"/>
    <col min="10989" max="10989" width="6.625" style="1664" customWidth="1"/>
    <col min="10990" max="10991" width="21.625" style="1664" customWidth="1"/>
    <col min="10992" max="10992" width="16.125" style="1664" customWidth="1"/>
    <col min="10993" max="10993" width="13.875" style="1664" customWidth="1"/>
    <col min="10994" max="10994" width="17.25" style="1664" customWidth="1"/>
    <col min="10995" max="10996" width="20.5" style="1664" customWidth="1"/>
    <col min="10997" max="10997" width="9" style="1664" hidden="1" customWidth="1"/>
    <col min="10998" max="10998" width="18.375" style="1664" customWidth="1"/>
    <col min="10999" max="11000" width="9" style="1664" hidden="1" customWidth="1"/>
    <col min="11001" max="11244" width="9" style="1664"/>
    <col min="11245" max="11245" width="6.625" style="1664" customWidth="1"/>
    <col min="11246" max="11247" width="21.625" style="1664" customWidth="1"/>
    <col min="11248" max="11248" width="16.125" style="1664" customWidth="1"/>
    <col min="11249" max="11249" width="13.875" style="1664" customWidth="1"/>
    <col min="11250" max="11250" width="17.25" style="1664" customWidth="1"/>
    <col min="11251" max="11252" width="20.5" style="1664" customWidth="1"/>
    <col min="11253" max="11253" width="9" style="1664" hidden="1" customWidth="1"/>
    <col min="11254" max="11254" width="18.375" style="1664" customWidth="1"/>
    <col min="11255" max="11256" width="9" style="1664" hidden="1" customWidth="1"/>
    <col min="11257" max="11500" width="9" style="1664"/>
    <col min="11501" max="11501" width="6.625" style="1664" customWidth="1"/>
    <col min="11502" max="11503" width="21.625" style="1664" customWidth="1"/>
    <col min="11504" max="11504" width="16.125" style="1664" customWidth="1"/>
    <col min="11505" max="11505" width="13.875" style="1664" customWidth="1"/>
    <col min="11506" max="11506" width="17.25" style="1664" customWidth="1"/>
    <col min="11507" max="11508" width="20.5" style="1664" customWidth="1"/>
    <col min="11509" max="11509" width="9" style="1664" hidden="1" customWidth="1"/>
    <col min="11510" max="11510" width="18.375" style="1664" customWidth="1"/>
    <col min="11511" max="11512" width="9" style="1664" hidden="1" customWidth="1"/>
    <col min="11513" max="11756" width="9" style="1664"/>
    <col min="11757" max="11757" width="6.625" style="1664" customWidth="1"/>
    <col min="11758" max="11759" width="21.625" style="1664" customWidth="1"/>
    <col min="11760" max="11760" width="16.125" style="1664" customWidth="1"/>
    <col min="11761" max="11761" width="13.875" style="1664" customWidth="1"/>
    <col min="11762" max="11762" width="17.25" style="1664" customWidth="1"/>
    <col min="11763" max="11764" width="20.5" style="1664" customWidth="1"/>
    <col min="11765" max="11765" width="9" style="1664" hidden="1" customWidth="1"/>
    <col min="11766" max="11766" width="18.375" style="1664" customWidth="1"/>
    <col min="11767" max="11768" width="9" style="1664" hidden="1" customWidth="1"/>
    <col min="11769" max="12012" width="9" style="1664"/>
    <col min="12013" max="12013" width="6.625" style="1664" customWidth="1"/>
    <col min="12014" max="12015" width="21.625" style="1664" customWidth="1"/>
    <col min="12016" max="12016" width="16.125" style="1664" customWidth="1"/>
    <col min="12017" max="12017" width="13.875" style="1664" customWidth="1"/>
    <col min="12018" max="12018" width="17.25" style="1664" customWidth="1"/>
    <col min="12019" max="12020" width="20.5" style="1664" customWidth="1"/>
    <col min="12021" max="12021" width="9" style="1664" hidden="1" customWidth="1"/>
    <col min="12022" max="12022" width="18.375" style="1664" customWidth="1"/>
    <col min="12023" max="12024" width="9" style="1664" hidden="1" customWidth="1"/>
    <col min="12025" max="12268" width="9" style="1664"/>
    <col min="12269" max="12269" width="6.625" style="1664" customWidth="1"/>
    <col min="12270" max="12271" width="21.625" style="1664" customWidth="1"/>
    <col min="12272" max="12272" width="16.125" style="1664" customWidth="1"/>
    <col min="12273" max="12273" width="13.875" style="1664" customWidth="1"/>
    <col min="12274" max="12274" width="17.25" style="1664" customWidth="1"/>
    <col min="12275" max="12276" width="20.5" style="1664" customWidth="1"/>
    <col min="12277" max="12277" width="9" style="1664" hidden="1" customWidth="1"/>
    <col min="12278" max="12278" width="18.375" style="1664" customWidth="1"/>
    <col min="12279" max="12280" width="9" style="1664" hidden="1" customWidth="1"/>
    <col min="12281" max="12524" width="9" style="1664"/>
    <col min="12525" max="12525" width="6.625" style="1664" customWidth="1"/>
    <col min="12526" max="12527" width="21.625" style="1664" customWidth="1"/>
    <col min="12528" max="12528" width="16.125" style="1664" customWidth="1"/>
    <col min="12529" max="12529" width="13.875" style="1664" customWidth="1"/>
    <col min="12530" max="12530" width="17.25" style="1664" customWidth="1"/>
    <col min="12531" max="12532" width="20.5" style="1664" customWidth="1"/>
    <col min="12533" max="12533" width="9" style="1664" hidden="1" customWidth="1"/>
    <col min="12534" max="12534" width="18.375" style="1664" customWidth="1"/>
    <col min="12535" max="12536" width="9" style="1664" hidden="1" customWidth="1"/>
    <col min="12537" max="12780" width="9" style="1664"/>
    <col min="12781" max="12781" width="6.625" style="1664" customWidth="1"/>
    <col min="12782" max="12783" width="21.625" style="1664" customWidth="1"/>
    <col min="12784" max="12784" width="16.125" style="1664" customWidth="1"/>
    <col min="12785" max="12785" width="13.875" style="1664" customWidth="1"/>
    <col min="12786" max="12786" width="17.25" style="1664" customWidth="1"/>
    <col min="12787" max="12788" width="20.5" style="1664" customWidth="1"/>
    <col min="12789" max="12789" width="9" style="1664" hidden="1" customWidth="1"/>
    <col min="12790" max="12790" width="18.375" style="1664" customWidth="1"/>
    <col min="12791" max="12792" width="9" style="1664" hidden="1" customWidth="1"/>
    <col min="12793" max="13036" width="9" style="1664"/>
    <col min="13037" max="13037" width="6.625" style="1664" customWidth="1"/>
    <col min="13038" max="13039" width="21.625" style="1664" customWidth="1"/>
    <col min="13040" max="13040" width="16.125" style="1664" customWidth="1"/>
    <col min="13041" max="13041" width="13.875" style="1664" customWidth="1"/>
    <col min="13042" max="13042" width="17.25" style="1664" customWidth="1"/>
    <col min="13043" max="13044" width="20.5" style="1664" customWidth="1"/>
    <col min="13045" max="13045" width="9" style="1664" hidden="1" customWidth="1"/>
    <col min="13046" max="13046" width="18.375" style="1664" customWidth="1"/>
    <col min="13047" max="13048" width="9" style="1664" hidden="1" customWidth="1"/>
    <col min="13049" max="13292" width="9" style="1664"/>
    <col min="13293" max="13293" width="6.625" style="1664" customWidth="1"/>
    <col min="13294" max="13295" width="21.625" style="1664" customWidth="1"/>
    <col min="13296" max="13296" width="16.125" style="1664" customWidth="1"/>
    <col min="13297" max="13297" width="13.875" style="1664" customWidth="1"/>
    <col min="13298" max="13298" width="17.25" style="1664" customWidth="1"/>
    <col min="13299" max="13300" width="20.5" style="1664" customWidth="1"/>
    <col min="13301" max="13301" width="9" style="1664" hidden="1" customWidth="1"/>
    <col min="13302" max="13302" width="18.375" style="1664" customWidth="1"/>
    <col min="13303" max="13304" width="9" style="1664" hidden="1" customWidth="1"/>
    <col min="13305" max="13548" width="9" style="1664"/>
    <col min="13549" max="13549" width="6.625" style="1664" customWidth="1"/>
    <col min="13550" max="13551" width="21.625" style="1664" customWidth="1"/>
    <col min="13552" max="13552" width="16.125" style="1664" customWidth="1"/>
    <col min="13553" max="13553" width="13.875" style="1664" customWidth="1"/>
    <col min="13554" max="13554" width="17.25" style="1664" customWidth="1"/>
    <col min="13555" max="13556" width="20.5" style="1664" customWidth="1"/>
    <col min="13557" max="13557" width="9" style="1664" hidden="1" customWidth="1"/>
    <col min="13558" max="13558" width="18.375" style="1664" customWidth="1"/>
    <col min="13559" max="13560" width="9" style="1664" hidden="1" customWidth="1"/>
    <col min="13561" max="13804" width="9" style="1664"/>
    <col min="13805" max="13805" width="6.625" style="1664" customWidth="1"/>
    <col min="13806" max="13807" width="21.625" style="1664" customWidth="1"/>
    <col min="13808" max="13808" width="16.125" style="1664" customWidth="1"/>
    <col min="13809" max="13809" width="13.875" style="1664" customWidth="1"/>
    <col min="13810" max="13810" width="17.25" style="1664" customWidth="1"/>
    <col min="13811" max="13812" width="20.5" style="1664" customWidth="1"/>
    <col min="13813" max="13813" width="9" style="1664" hidden="1" customWidth="1"/>
    <col min="13814" max="13814" width="18.375" style="1664" customWidth="1"/>
    <col min="13815" max="13816" width="9" style="1664" hidden="1" customWidth="1"/>
    <col min="13817" max="14060" width="9" style="1664"/>
    <col min="14061" max="14061" width="6.625" style="1664" customWidth="1"/>
    <col min="14062" max="14063" width="21.625" style="1664" customWidth="1"/>
    <col min="14064" max="14064" width="16.125" style="1664" customWidth="1"/>
    <col min="14065" max="14065" width="13.875" style="1664" customWidth="1"/>
    <col min="14066" max="14066" width="17.25" style="1664" customWidth="1"/>
    <col min="14067" max="14068" width="20.5" style="1664" customWidth="1"/>
    <col min="14069" max="14069" width="9" style="1664" hidden="1" customWidth="1"/>
    <col min="14070" max="14070" width="18.375" style="1664" customWidth="1"/>
    <col min="14071" max="14072" width="9" style="1664" hidden="1" customWidth="1"/>
    <col min="14073" max="14316" width="9" style="1664"/>
    <col min="14317" max="14317" width="6.625" style="1664" customWidth="1"/>
    <col min="14318" max="14319" width="21.625" style="1664" customWidth="1"/>
    <col min="14320" max="14320" width="16.125" style="1664" customWidth="1"/>
    <col min="14321" max="14321" width="13.875" style="1664" customWidth="1"/>
    <col min="14322" max="14322" width="17.25" style="1664" customWidth="1"/>
    <col min="14323" max="14324" width="20.5" style="1664" customWidth="1"/>
    <col min="14325" max="14325" width="9" style="1664" hidden="1" customWidth="1"/>
    <col min="14326" max="14326" width="18.375" style="1664" customWidth="1"/>
    <col min="14327" max="14328" width="9" style="1664" hidden="1" customWidth="1"/>
    <col min="14329" max="14572" width="9" style="1664"/>
    <col min="14573" max="14573" width="6.625" style="1664" customWidth="1"/>
    <col min="14574" max="14575" width="21.625" style="1664" customWidth="1"/>
    <col min="14576" max="14576" width="16.125" style="1664" customWidth="1"/>
    <col min="14577" max="14577" width="13.875" style="1664" customWidth="1"/>
    <col min="14578" max="14578" width="17.25" style="1664" customWidth="1"/>
    <col min="14579" max="14580" width="20.5" style="1664" customWidth="1"/>
    <col min="14581" max="14581" width="9" style="1664" hidden="1" customWidth="1"/>
    <col min="14582" max="14582" width="18.375" style="1664" customWidth="1"/>
    <col min="14583" max="14584" width="9" style="1664" hidden="1" customWidth="1"/>
    <col min="14585" max="14828" width="9" style="1664"/>
    <col min="14829" max="14829" width="6.625" style="1664" customWidth="1"/>
    <col min="14830" max="14831" width="21.625" style="1664" customWidth="1"/>
    <col min="14832" max="14832" width="16.125" style="1664" customWidth="1"/>
    <col min="14833" max="14833" width="13.875" style="1664" customWidth="1"/>
    <col min="14834" max="14834" width="17.25" style="1664" customWidth="1"/>
    <col min="14835" max="14836" width="20.5" style="1664" customWidth="1"/>
    <col min="14837" max="14837" width="9" style="1664" hidden="1" customWidth="1"/>
    <col min="14838" max="14838" width="18.375" style="1664" customWidth="1"/>
    <col min="14839" max="14840" width="9" style="1664" hidden="1" customWidth="1"/>
    <col min="14841" max="15084" width="9" style="1664"/>
    <col min="15085" max="15085" width="6.625" style="1664" customWidth="1"/>
    <col min="15086" max="15087" width="21.625" style="1664" customWidth="1"/>
    <col min="15088" max="15088" width="16.125" style="1664" customWidth="1"/>
    <col min="15089" max="15089" width="13.875" style="1664" customWidth="1"/>
    <col min="15090" max="15090" width="17.25" style="1664" customWidth="1"/>
    <col min="15091" max="15092" width="20.5" style="1664" customWidth="1"/>
    <col min="15093" max="15093" width="9" style="1664" hidden="1" customWidth="1"/>
    <col min="15094" max="15094" width="18.375" style="1664" customWidth="1"/>
    <col min="15095" max="15096" width="9" style="1664" hidden="1" customWidth="1"/>
    <col min="15097" max="15340" width="9" style="1664"/>
    <col min="15341" max="15341" width="6.625" style="1664" customWidth="1"/>
    <col min="15342" max="15343" width="21.625" style="1664" customWidth="1"/>
    <col min="15344" max="15344" width="16.125" style="1664" customWidth="1"/>
    <col min="15345" max="15345" width="13.875" style="1664" customWidth="1"/>
    <col min="15346" max="15346" width="17.25" style="1664" customWidth="1"/>
    <col min="15347" max="15348" width="20.5" style="1664" customWidth="1"/>
    <col min="15349" max="15349" width="9" style="1664" hidden="1" customWidth="1"/>
    <col min="15350" max="15350" width="18.375" style="1664" customWidth="1"/>
    <col min="15351" max="15352" width="9" style="1664" hidden="1" customWidth="1"/>
    <col min="15353" max="15596" width="9" style="1664"/>
    <col min="15597" max="15597" width="6.625" style="1664" customWidth="1"/>
    <col min="15598" max="15599" width="21.625" style="1664" customWidth="1"/>
    <col min="15600" max="15600" width="16.125" style="1664" customWidth="1"/>
    <col min="15601" max="15601" width="13.875" style="1664" customWidth="1"/>
    <col min="15602" max="15602" width="17.25" style="1664" customWidth="1"/>
    <col min="15603" max="15604" width="20.5" style="1664" customWidth="1"/>
    <col min="15605" max="15605" width="9" style="1664" hidden="1" customWidth="1"/>
    <col min="15606" max="15606" width="18.375" style="1664" customWidth="1"/>
    <col min="15607" max="15608" width="9" style="1664" hidden="1" customWidth="1"/>
    <col min="15609" max="15852" width="9" style="1664"/>
    <col min="15853" max="15853" width="6.625" style="1664" customWidth="1"/>
    <col min="15854" max="15855" width="21.625" style="1664" customWidth="1"/>
    <col min="15856" max="15856" width="16.125" style="1664" customWidth="1"/>
    <col min="15857" max="15857" width="13.875" style="1664" customWidth="1"/>
    <col min="15858" max="15858" width="17.25" style="1664" customWidth="1"/>
    <col min="15859" max="15860" width="20.5" style="1664" customWidth="1"/>
    <col min="15861" max="15861" width="9" style="1664" hidden="1" customWidth="1"/>
    <col min="15862" max="15862" width="18.375" style="1664" customWidth="1"/>
    <col min="15863" max="15864" width="9" style="1664" hidden="1" customWidth="1"/>
    <col min="15865" max="16108" width="9" style="1664"/>
    <col min="16109" max="16109" width="6.625" style="1664" customWidth="1"/>
    <col min="16110" max="16111" width="21.625" style="1664" customWidth="1"/>
    <col min="16112" max="16112" width="16.125" style="1664" customWidth="1"/>
    <col min="16113" max="16113" width="13.875" style="1664" customWidth="1"/>
    <col min="16114" max="16114" width="17.25" style="1664" customWidth="1"/>
    <col min="16115" max="16116" width="20.5" style="1664" customWidth="1"/>
    <col min="16117" max="16117" width="9" style="1664" hidden="1" customWidth="1"/>
    <col min="16118" max="16118" width="18.375" style="1664" customWidth="1"/>
    <col min="16119" max="16120" width="9" style="1664" hidden="1" customWidth="1"/>
    <col min="16121" max="16384" width="9" style="1664"/>
  </cols>
  <sheetData>
    <row r="1" spans="1:3" ht="30" customHeight="1">
      <c r="A1" s="1662" t="s">
        <v>4046</v>
      </c>
      <c r="B1" s="1663"/>
      <c r="C1" s="1663"/>
    </row>
    <row r="2" spans="1:3" ht="35.1" customHeight="1">
      <c r="A2" s="1665" t="s">
        <v>4049</v>
      </c>
      <c r="B2" s="1666"/>
      <c r="C2" s="1667" t="s">
        <v>3000</v>
      </c>
    </row>
    <row r="3" spans="1:3" s="1669" customFormat="1" ht="30" customHeight="1">
      <c r="A3" s="1668" t="s">
        <v>12</v>
      </c>
      <c r="B3" s="1668" t="s">
        <v>4047</v>
      </c>
      <c r="C3" s="1668" t="s">
        <v>4045</v>
      </c>
    </row>
    <row r="4" spans="1:3" ht="30" customHeight="1">
      <c r="A4" s="1670">
        <v>1</v>
      </c>
      <c r="B4" s="1670" t="s">
        <v>4048</v>
      </c>
      <c r="C4" s="1671">
        <f>补充公用经费课后延时清算!E14</f>
        <v>-53458.75</v>
      </c>
    </row>
    <row r="5" spans="1:3" ht="30" customHeight="1">
      <c r="A5" s="1668"/>
      <c r="B5" s="1668" t="s">
        <v>17</v>
      </c>
      <c r="C5" s="1672">
        <f>SUM(C4:C4)</f>
        <v>-53458.75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A15" sqref="A15:XFD38"/>
    </sheetView>
  </sheetViews>
  <sheetFormatPr defaultRowHeight="13.5"/>
  <cols>
    <col min="1" max="1" width="41.75" customWidth="1"/>
    <col min="2" max="2" width="20.625" customWidth="1"/>
    <col min="3" max="3" width="20.625" style="1354" customWidth="1"/>
    <col min="4" max="5" width="20.625" customWidth="1"/>
  </cols>
  <sheetData>
    <row r="1" spans="1:5" ht="25.5">
      <c r="A1" s="1661" t="s">
        <v>4042</v>
      </c>
      <c r="B1" s="1661"/>
      <c r="C1" s="1661"/>
      <c r="D1" s="1661"/>
      <c r="E1" s="1661"/>
    </row>
    <row r="2" spans="1:5" ht="20.25">
      <c r="A2" s="1652" t="s">
        <v>3078</v>
      </c>
      <c r="B2" s="1657"/>
      <c r="C2" s="1657"/>
      <c r="D2" s="1657"/>
      <c r="E2" s="1657"/>
    </row>
    <row r="3" spans="1:5">
      <c r="A3" s="1347" t="s">
        <v>737</v>
      </c>
      <c r="B3" s="1347" t="s">
        <v>736</v>
      </c>
      <c r="C3" s="1348" t="s">
        <v>4043</v>
      </c>
      <c r="D3" s="1349" t="s">
        <v>4044</v>
      </c>
      <c r="E3" s="1349" t="s">
        <v>4045</v>
      </c>
    </row>
    <row r="4" spans="1:5">
      <c r="A4" s="1353" t="s">
        <v>231</v>
      </c>
      <c r="B4" s="1350" t="s">
        <v>758</v>
      </c>
      <c r="C4" s="1348">
        <v>150332.5</v>
      </c>
      <c r="D4" s="1348">
        <v>150523</v>
      </c>
      <c r="E4" s="1348">
        <f t="shared" ref="E4:E13" si="0">C4-D4</f>
        <v>-190.5</v>
      </c>
    </row>
    <row r="5" spans="1:5">
      <c r="A5" s="1353" t="s">
        <v>232</v>
      </c>
      <c r="B5" s="1350" t="s">
        <v>758</v>
      </c>
      <c r="C5" s="1348">
        <v>36787.5</v>
      </c>
      <c r="D5" s="1348">
        <v>39465</v>
      </c>
      <c r="E5" s="1348">
        <f t="shared" si="0"/>
        <v>-2677.5</v>
      </c>
    </row>
    <row r="6" spans="1:5">
      <c r="A6" s="1353" t="s">
        <v>233</v>
      </c>
      <c r="B6" s="1350" t="s">
        <v>758</v>
      </c>
      <c r="C6" s="1348">
        <v>99554.880000000005</v>
      </c>
      <c r="D6" s="1348">
        <v>107333.38</v>
      </c>
      <c r="E6" s="1348">
        <f t="shared" si="0"/>
        <v>-7778.5</v>
      </c>
    </row>
    <row r="7" spans="1:5">
      <c r="A7" s="1353" t="s">
        <v>234</v>
      </c>
      <c r="B7" s="1350" t="s">
        <v>758</v>
      </c>
      <c r="C7" s="1348">
        <v>385827.75</v>
      </c>
      <c r="D7" s="1348">
        <v>401099.25</v>
      </c>
      <c r="E7" s="1348">
        <f t="shared" si="0"/>
        <v>-15271.5</v>
      </c>
    </row>
    <row r="8" spans="1:5">
      <c r="A8" s="1353" t="s">
        <v>1011</v>
      </c>
      <c r="B8" s="1350" t="s">
        <v>758</v>
      </c>
      <c r="C8" s="1348">
        <v>25757</v>
      </c>
      <c r="D8" s="1348">
        <v>26267</v>
      </c>
      <c r="E8" s="1348">
        <f t="shared" si="0"/>
        <v>-510</v>
      </c>
    </row>
    <row r="9" spans="1:5">
      <c r="A9" s="1350" t="s">
        <v>227</v>
      </c>
      <c r="B9" s="1350" t="s">
        <v>758</v>
      </c>
      <c r="C9" s="1348">
        <v>161890.5</v>
      </c>
      <c r="D9" s="1348">
        <v>166541.5</v>
      </c>
      <c r="E9" s="1348">
        <f t="shared" si="0"/>
        <v>-4651</v>
      </c>
    </row>
    <row r="10" spans="1:5">
      <c r="A10" s="1350" t="s">
        <v>228</v>
      </c>
      <c r="B10" s="1350" t="s">
        <v>758</v>
      </c>
      <c r="C10" s="1348">
        <v>32659</v>
      </c>
      <c r="D10" s="1348">
        <v>36869.5</v>
      </c>
      <c r="E10" s="1348">
        <f t="shared" si="0"/>
        <v>-4210.5</v>
      </c>
    </row>
    <row r="11" spans="1:5">
      <c r="A11" s="1350" t="s">
        <v>229</v>
      </c>
      <c r="B11" s="1350" t="s">
        <v>758</v>
      </c>
      <c r="C11" s="1348">
        <v>86743</v>
      </c>
      <c r="D11" s="1348">
        <v>93249.5</v>
      </c>
      <c r="E11" s="1348">
        <f t="shared" si="0"/>
        <v>-6506.5</v>
      </c>
    </row>
    <row r="12" spans="1:5">
      <c r="A12" s="1351" t="s">
        <v>230</v>
      </c>
      <c r="B12" s="1351" t="s">
        <v>758</v>
      </c>
      <c r="C12" s="1348">
        <v>28829.5</v>
      </c>
      <c r="D12" s="1348">
        <v>31315</v>
      </c>
      <c r="E12" s="1348">
        <f t="shared" si="0"/>
        <v>-2485.5</v>
      </c>
    </row>
    <row r="13" spans="1:5">
      <c r="A13" s="1351" t="s">
        <v>235</v>
      </c>
      <c r="B13" s="1351" t="s">
        <v>758</v>
      </c>
      <c r="C13" s="1348">
        <v>96267.25</v>
      </c>
      <c r="D13" s="1348">
        <v>105444.5</v>
      </c>
      <c r="E13" s="1348">
        <f t="shared" si="0"/>
        <v>-9177.25</v>
      </c>
    </row>
    <row r="14" spans="1:5">
      <c r="A14" s="1351"/>
      <c r="B14" s="1352" t="s">
        <v>257</v>
      </c>
      <c r="C14" s="1348">
        <f>SUBTOTAL(9,C4:C13)</f>
        <v>1104648.8799999999</v>
      </c>
      <c r="D14" s="1348">
        <f>SUBTOTAL(9,D4:D13)</f>
        <v>1158107.6299999999</v>
      </c>
      <c r="E14" s="1348">
        <f>SUBTOTAL(9,E4:E13)</f>
        <v>-53458.75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361" t="s">
        <v>415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</row>
    <row r="2" spans="1:20" ht="20.100000000000001" customHeight="1">
      <c r="A2" s="1364" t="s">
        <v>12</v>
      </c>
      <c r="B2" s="1364" t="s">
        <v>13</v>
      </c>
      <c r="C2" s="1364" t="s">
        <v>14</v>
      </c>
      <c r="D2" s="1364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364" t="s">
        <v>17</v>
      </c>
    </row>
    <row r="3" spans="1:20" ht="20.100000000000001" customHeight="1">
      <c r="A3" s="1365"/>
      <c r="B3" s="1365"/>
      <c r="C3" s="1365"/>
      <c r="D3" s="1365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365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363"/>
      <c r="C75" s="1363"/>
      <c r="D75" s="1363"/>
      <c r="E75" s="1363"/>
      <c r="F75" s="1363"/>
      <c r="G75" s="1363"/>
      <c r="H75" s="1363"/>
      <c r="I75" s="1363"/>
      <c r="J75" s="1363"/>
      <c r="K75" s="1363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355" t="s">
        <v>832</v>
      </c>
      <c r="B1" s="1356"/>
      <c r="C1" s="1356"/>
      <c r="D1" s="1356"/>
      <c r="E1" s="1356"/>
      <c r="F1" s="1356"/>
      <c r="G1" s="1356"/>
      <c r="H1" s="1356"/>
      <c r="I1" s="1356"/>
      <c r="J1" s="1356"/>
      <c r="K1" s="1356"/>
      <c r="L1" s="1356"/>
      <c r="M1" s="1356"/>
      <c r="N1" s="1356"/>
      <c r="O1" s="1356"/>
      <c r="P1" s="1356"/>
    </row>
    <row r="2" spans="1:16" ht="1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359" t="s">
        <v>17</v>
      </c>
    </row>
    <row r="3" spans="1:16" ht="15" customHeight="1">
      <c r="A3" s="1360"/>
      <c r="B3" s="1360"/>
      <c r="C3" s="1360"/>
      <c r="D3" s="1360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360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366" t="s">
        <v>979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7"/>
      <c r="O1" s="1367"/>
      <c r="P1" s="1367"/>
      <c r="Q1" s="1367"/>
    </row>
    <row r="2" spans="1:17">
      <c r="A2" s="1368" t="s">
        <v>631</v>
      </c>
      <c r="B2" s="1370" t="s">
        <v>980</v>
      </c>
      <c r="C2" s="1370" t="s">
        <v>12</v>
      </c>
      <c r="D2" s="1368" t="s">
        <v>981</v>
      </c>
      <c r="E2" s="1371" t="s">
        <v>982</v>
      </c>
      <c r="F2" s="1372" t="s">
        <v>983</v>
      </c>
      <c r="G2" s="1373"/>
      <c r="H2" s="1373"/>
      <c r="I2" s="1373"/>
      <c r="J2" s="1372" t="s">
        <v>984</v>
      </c>
      <c r="K2" s="1373"/>
      <c r="L2" s="1373"/>
      <c r="M2" s="1373"/>
      <c r="N2" s="1372" t="s">
        <v>985</v>
      </c>
      <c r="O2" s="1373"/>
      <c r="P2" s="1373"/>
      <c r="Q2" s="1373"/>
    </row>
    <row r="3" spans="1:17" ht="22.5">
      <c r="A3" s="1369"/>
      <c r="B3" s="1369"/>
      <c r="C3" s="1369"/>
      <c r="D3" s="1369"/>
      <c r="E3" s="1369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61</vt:i4>
      </vt:variant>
      <vt:variant>
        <vt:lpstr>命名范围</vt:lpstr>
      </vt:variant>
      <vt:variant>
        <vt:i4>89</vt:i4>
      </vt:variant>
    </vt:vector>
  </HeadingPairs>
  <TitlesOfParts>
    <vt:vector size="150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扩班设备（补充）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学前科（补充）</vt:lpstr>
      <vt:lpstr>普教一科（补充）</vt:lpstr>
      <vt:lpstr>基本支出调整</vt:lpstr>
      <vt:lpstr>莘庄基本支出调整</vt:lpstr>
      <vt:lpstr>吴泾基本支出调整</vt:lpstr>
      <vt:lpstr>七宝基本支出调整</vt:lpstr>
      <vt:lpstr>浦江基本支出调整</vt:lpstr>
      <vt:lpstr>梅陇基本支出调整</vt:lpstr>
      <vt:lpstr>马桥基本支出调整</vt:lpstr>
      <vt:lpstr>华漕基本支出调整</vt:lpstr>
      <vt:lpstr>颛桥基本支出调整</vt:lpstr>
      <vt:lpstr>虹桥基本支出调整</vt:lpstr>
      <vt:lpstr>社区教育调整</vt:lpstr>
      <vt:lpstr>补充公用经费调整</vt:lpstr>
      <vt:lpstr>残疾人保障金调整</vt:lpstr>
      <vt:lpstr>抚恤金调整</vt:lpstr>
      <vt:lpstr>2025年镇级维修尾款清算</vt:lpstr>
      <vt:lpstr>普教二科调整</vt:lpstr>
      <vt:lpstr>储备教师</vt:lpstr>
      <vt:lpstr>普教二科学区化集团化</vt:lpstr>
      <vt:lpstr>浦江镇</vt:lpstr>
      <vt:lpstr>补充公用经费课后延时清算</vt:lpstr>
      <vt:lpstr>'2024年校舍维修尾款'!Print_Area</vt:lpstr>
      <vt:lpstr>'2025年设备购置与更新'!Print_Area</vt:lpstr>
      <vt:lpstr>'2025年校舍维修'!Print_Area</vt:lpstr>
      <vt:lpstr>'2025年镇级维修尾款清算'!Print_Area</vt:lpstr>
      <vt:lpstr>保安经费!Print_Area</vt:lpstr>
      <vt:lpstr>保安经费追加!Print_Area</vt:lpstr>
      <vt:lpstr>北桥中学应急维修!Print_Area</vt:lpstr>
      <vt:lpstr>补充公用经费!Print_Area</vt:lpstr>
      <vt:lpstr>补充公用经费调整!Print_Area</vt:lpstr>
      <vt:lpstr>残疾就业保障!Print_Area</vt:lpstr>
      <vt:lpstr>残疾人保障金调整!Print_Area</vt:lpstr>
      <vt:lpstr>抚恤金调整!Print_Area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虹桥基本支出调整!Print_Area</vt:lpstr>
      <vt:lpstr>华漕!Print_Area</vt:lpstr>
      <vt:lpstr>华漕基本支出调整!Print_Area</vt:lpstr>
      <vt:lpstr>'华漕镇06-02地块设备'!Print_Area</vt:lpstr>
      <vt:lpstr>基本支出!Print_Area</vt:lpstr>
      <vt:lpstr>基本支出调整!Print_Area</vt:lpstr>
      <vt:lpstr>晶城中学应急维修!Print_Area</vt:lpstr>
      <vt:lpstr>扩班设备!Print_Area</vt:lpstr>
      <vt:lpstr>'扩班设备（补充）'!Print_Area</vt:lpstr>
      <vt:lpstr>龙柏一幼雨林分园维修!Print_Area</vt:lpstr>
      <vt:lpstr>马桥!Print_Area</vt:lpstr>
      <vt:lpstr>马桥基本支出调整!Print_Area</vt:lpstr>
      <vt:lpstr>梅陇基本支出调整!Print_Area</vt:lpstr>
      <vt:lpstr>浦江基本支出调整!Print_Area</vt:lpstr>
      <vt:lpstr>普教二科调整!Print_Area</vt:lpstr>
      <vt:lpstr>'普教一科（补充）'!Print_Area</vt:lpstr>
      <vt:lpstr>七宝!Print_Area</vt:lpstr>
      <vt:lpstr>七宝基本支出调整!Print_Area</vt:lpstr>
      <vt:lpstr>启英宝盛茂盛分园维修!Print_Area</vt:lpstr>
      <vt:lpstr>社区教育!Print_Area</vt:lpstr>
      <vt:lpstr>莘庄!Print_Area</vt:lpstr>
      <vt:lpstr>莘庄基本支出调整!Print_Area</vt:lpstr>
      <vt:lpstr>实验幼儿园群英分园维修!Print_Area</vt:lpstr>
      <vt:lpstr>塘湾小学维修!Print_Area</vt:lpstr>
      <vt:lpstr>吴泾!Print_Area</vt:lpstr>
      <vt:lpstr>吴泾基本支出调整!Print_Area</vt:lpstr>
      <vt:lpstr>中小学教育补充!Print_Area</vt:lpstr>
      <vt:lpstr>颛桥!Print_Area</vt:lpstr>
      <vt:lpstr>颛桥基本支出调整!Print_Area</vt:lpstr>
      <vt:lpstr>'2024年校舍维修尾款'!Print_Titles</vt:lpstr>
      <vt:lpstr>'2025年设备购置与更新'!Print_Titles</vt:lpstr>
      <vt:lpstr>'2025年校舍维修'!Print_Titles</vt:lpstr>
      <vt:lpstr>'2025年镇级维修尾款清算'!Print_Titles</vt:lpstr>
      <vt:lpstr>保安经费!Print_Titles</vt:lpstr>
      <vt:lpstr>保安经费追加!Print_Titles</vt:lpstr>
      <vt:lpstr>北桥中学应急维修!Print_Titles</vt:lpstr>
      <vt:lpstr>补充公用经费!Print_Titles</vt:lpstr>
      <vt:lpstr>补充公用经费调整!Print_Titles</vt:lpstr>
      <vt:lpstr>残疾就业保障!Print_Titles</vt:lpstr>
      <vt:lpstr>残疾人保障金调整!Print_Titles</vt:lpstr>
      <vt:lpstr>抚恤金调整!Print_Titles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虹桥基本支出调整!Print_Titles</vt:lpstr>
      <vt:lpstr>华漕!Print_Titles</vt:lpstr>
      <vt:lpstr>华漕基本支出调整!Print_Titles</vt:lpstr>
      <vt:lpstr>'华漕镇06-02地块设备'!Print_Titles</vt:lpstr>
      <vt:lpstr>基本支出!Print_Titles</vt:lpstr>
      <vt:lpstr>基本支出调整!Print_Titles</vt:lpstr>
      <vt:lpstr>晶城中学应急维修!Print_Titles</vt:lpstr>
      <vt:lpstr>扩班设备!Print_Titles</vt:lpstr>
      <vt:lpstr>龙柏一幼雨林分园维修!Print_Titles</vt:lpstr>
      <vt:lpstr>马桥!Print_Titles</vt:lpstr>
      <vt:lpstr>马桥基本支出调整!Print_Titles</vt:lpstr>
      <vt:lpstr>梅陇基本支出调整!Print_Titles</vt:lpstr>
      <vt:lpstr>浦江基本支出调整!Print_Titles</vt:lpstr>
      <vt:lpstr>普教二科调整!Print_Titles</vt:lpstr>
      <vt:lpstr>'普教一科（补充）'!Print_Titles</vt:lpstr>
      <vt:lpstr>七宝!Print_Titles</vt:lpstr>
      <vt:lpstr>七宝基本支出调整!Print_Titles</vt:lpstr>
      <vt:lpstr>启英宝盛茂盛分园维修!Print_Titles</vt:lpstr>
      <vt:lpstr>莘庄!Print_Titles</vt:lpstr>
      <vt:lpstr>莘庄基本支出调整!Print_Titles</vt:lpstr>
      <vt:lpstr>实验幼儿园群英分园维修!Print_Titles</vt:lpstr>
      <vt:lpstr>塘湾小学维修!Print_Titles</vt:lpstr>
      <vt:lpstr>吴泾!Print_Titles</vt:lpstr>
      <vt:lpstr>吴泾基本支出调整!Print_Titles</vt:lpstr>
      <vt:lpstr>中小学教育补充!Print_Titles</vt:lpstr>
      <vt:lpstr>颛桥!Print_Titles</vt:lpstr>
      <vt:lpstr>颛桥基本支出调整!Print_Titles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2025-11-19T08:08:23Z</cp:lastPrinted>
  <dcterms:created xsi:type="dcterms:W3CDTF">2022-11-10T02:18:00Z</dcterms:created>
  <dcterms:modified xsi:type="dcterms:W3CDTF">2025-11-19T08:49:34Z</dcterms:modified>
</cp:coreProperties>
</file>