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awei\Desktop\闵教字〔2025〕165号\"/>
    </mc:Choice>
  </mc:AlternateContent>
  <bookViews>
    <workbookView xWindow="360" yWindow="90" windowWidth="1980" windowHeight="12330" firstSheet="52" activeTab="52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（补充）" sheetId="91" state="hidden" r:id="rId30"/>
    <sheet name="扩班设备" sheetId="83" state="hidden" r:id="rId31"/>
    <sheet name="华漕镇06-02地块设备" sheetId="90" state="hidden" r:id="rId32"/>
    <sheet name="塘湾小学维修" sheetId="84" state="hidden" r:id="rId33"/>
    <sheet name="启英宝盛茂盛分园维修" sheetId="85" state="hidden" r:id="rId34"/>
    <sheet name="龙柏一幼雨林分园维修" sheetId="86" state="hidden" r:id="rId35"/>
    <sheet name="实验幼儿园群英分园维修" sheetId="87" state="hidden" r:id="rId36"/>
    <sheet name="上虹中学维修" sheetId="89" state="hidden" r:id="rId37"/>
    <sheet name="教育学院" sheetId="82" state="hidden" r:id="rId38"/>
    <sheet name="党建经费" sheetId="88" state="hidden" r:id="rId39"/>
    <sheet name="学前科（补充）" sheetId="92" state="hidden" r:id="rId40"/>
    <sheet name="普教一科（补充）" sheetId="93" state="hidden" r:id="rId41"/>
    <sheet name="基本支出调整" sheetId="103" state="hidden" r:id="rId42"/>
    <sheet name="莘庄基本支出调整" sheetId="94" state="hidden" r:id="rId43"/>
    <sheet name="吴泾基本支出调整" sheetId="95" state="hidden" r:id="rId44"/>
    <sheet name="七宝基本支出调整" sheetId="96" state="hidden" r:id="rId45"/>
    <sheet name="浦江基本支出调整" sheetId="97" state="hidden" r:id="rId46"/>
    <sheet name="梅陇基本支出调整" sheetId="98" state="hidden" r:id="rId47"/>
    <sheet name="马桥基本支出调整" sheetId="99" state="hidden" r:id="rId48"/>
    <sheet name="华漕基本支出调整" sheetId="100" state="hidden" r:id="rId49"/>
    <sheet name="颛桥基本支出调整" sheetId="101" state="hidden" r:id="rId50"/>
    <sheet name="虹桥基本支出调整" sheetId="102" state="hidden" r:id="rId51"/>
    <sheet name="社区教育调整" sheetId="107" state="hidden" r:id="rId52"/>
    <sheet name="浦江镇" sheetId="114" r:id="rId53"/>
    <sheet name="补充公用经费调整" sheetId="104" state="hidden" r:id="rId54"/>
    <sheet name="残疾人保障金调整" sheetId="105" state="hidden" r:id="rId55"/>
    <sheet name="抚恤金调整" sheetId="106" state="hidden" r:id="rId56"/>
    <sheet name="2025年镇级维修尾款清算" sheetId="108" state="hidden" r:id="rId57"/>
    <sheet name="普教二科调整" sheetId="111" state="hidden" r:id="rId58"/>
    <sheet name="储备教师" sheetId="112" state="hidden" r:id="rId59"/>
    <sheet name="普教二科学区化集团化" sheetId="113" state="hidden" r:id="rId60"/>
  </sheets>
  <externalReferences>
    <externalReference r:id="rId61"/>
    <externalReference r:id="rId62"/>
  </externalReference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53" hidden="1">补充公用经费调整!$A$4:$AV$23</definedName>
    <definedName name="_xlnm._FilterDatabase" localSheetId="11" hidden="1">残疾就业保障!$A$2:$E$122</definedName>
    <definedName name="_xlnm._FilterDatabase" localSheetId="38" hidden="1">党建经费!$A$2:$D$105</definedName>
    <definedName name="_xlnm._FilterDatabase" localSheetId="30" hidden="1">扩班设备!$A$2:$K$389</definedName>
    <definedName name="_xlnm._FilterDatabase" localSheetId="57" hidden="1">普教二科调整!$A$3:$N$107</definedName>
    <definedName name="_xlnm._FilterDatabase" localSheetId="40" hidden="1">'普教一科（补充）'!$A$2:$AN$39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56">'2025年镇级维修尾款清算'!$A$1:$K$87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53">补充公用经费调整!$B$2:$AZ$23</definedName>
    <definedName name="_xlnm.Print_Area" localSheetId="11">残疾就业保障!$A$1:$E$122</definedName>
    <definedName name="_xlnm.Print_Area" localSheetId="54">残疾人保障金调整!$A$1:$G$125</definedName>
    <definedName name="_xlnm.Print_Area" localSheetId="55">抚恤金调整!$A$1:$G$38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0">虹桥基本支出调整!$A$1:$Q$75</definedName>
    <definedName name="_xlnm.Print_Area" localSheetId="5">华漕!$A$1:$O$72</definedName>
    <definedName name="_xlnm.Print_Area" localSheetId="48">华漕基本支出调整!$A$1:$O$75</definedName>
    <definedName name="_xlnm.Print_Area" localSheetId="31">'华漕镇06-02地块设备'!$A$1:$L$168</definedName>
    <definedName name="_xlnm.Print_Area" localSheetId="0">基本支出!$A$1:$N$71</definedName>
    <definedName name="_xlnm.Print_Area" localSheetId="41">基本支出调整!$B$2:$Q$75</definedName>
    <definedName name="_xlnm.Print_Area" localSheetId="26">晶城中学应急维修!$A$1:$K$18</definedName>
    <definedName name="_xlnm.Print_Area" localSheetId="30">扩班设备!$A$1:$K$391</definedName>
    <definedName name="_xlnm.Print_Area" localSheetId="29">'扩班设备（补充）'!$A$1:$K$16</definedName>
    <definedName name="_xlnm.Print_Area" localSheetId="34">龙柏一幼雨林分园维修!$A$1:$M$57</definedName>
    <definedName name="_xlnm.Print_Area" localSheetId="4">马桥!$A$1:$Q$72</definedName>
    <definedName name="_xlnm.Print_Area" localSheetId="47">马桥基本支出调整!$A$1:$R$75</definedName>
    <definedName name="_xlnm.Print_Area" localSheetId="46">梅陇基本支出调整!$A$1:$V$75</definedName>
    <definedName name="_xlnm.Print_Area" localSheetId="45">浦江基本支出调整!$A$1:$Y$75</definedName>
    <definedName name="_xlnm.Print_Area" localSheetId="57">普教二科调整!$A$2:$N$108</definedName>
    <definedName name="_xlnm.Print_Area" localSheetId="40">'普教一科（补充）'!$A$1:$I$39</definedName>
    <definedName name="_xlnm.Print_Area" localSheetId="3">七宝!$A$1:$Y$72</definedName>
    <definedName name="_xlnm.Print_Area" localSheetId="44">七宝基本支出调整!$A$1:$Z$75</definedName>
    <definedName name="_xlnm.Print_Area" localSheetId="33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42">莘庄基本支出调整!$A$1:$K$75</definedName>
    <definedName name="_xlnm.Print_Area" localSheetId="35">实验幼儿园群英分园维修!$A$1:$O$64</definedName>
    <definedName name="_xlnm.Print_Area" localSheetId="32">塘湾小学维修!$A$1:$O$55</definedName>
    <definedName name="_xlnm.Print_Area" localSheetId="2">吴泾!$A$1:$K$72</definedName>
    <definedName name="_xlnm.Print_Area" localSheetId="43">吴泾基本支出调整!$A$1:$K$75</definedName>
    <definedName name="_xlnm.Print_Area" localSheetId="18">中小学教育补充!$A$1:$J$126</definedName>
    <definedName name="_xlnm.Print_Area" localSheetId="6">颛桥!$A$1:$T$72</definedName>
    <definedName name="_xlnm.Print_Area" localSheetId="49">颛桥基本支出调整!$A$1:$U$75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56">'2025年镇级维修尾款清算'!$1:$3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53">补充公用经费调整!$1:$4</definedName>
    <definedName name="_xlnm.Print_Titles" localSheetId="11">残疾就业保障!$1:$2</definedName>
    <definedName name="_xlnm.Print_Titles" localSheetId="54">残疾人保障金调整!$1:$3</definedName>
    <definedName name="_xlnm.Print_Titles" localSheetId="55">抚恤金调整!$1:$3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0">虹桥基本支出调整!$1:$4</definedName>
    <definedName name="_xlnm.Print_Titles" localSheetId="5">华漕!$1:$3</definedName>
    <definedName name="_xlnm.Print_Titles" localSheetId="48">华漕基本支出调整!$1:$4</definedName>
    <definedName name="_xlnm.Print_Titles" localSheetId="31">'华漕镇06-02地块设备'!$1:$2</definedName>
    <definedName name="_xlnm.Print_Titles" localSheetId="0">基本支出!$1:$2</definedName>
    <definedName name="_xlnm.Print_Titles" localSheetId="41">基本支出调整!$1:$4</definedName>
    <definedName name="_xlnm.Print_Titles" localSheetId="26">晶城中学应急维修!$1:$2</definedName>
    <definedName name="_xlnm.Print_Titles" localSheetId="30">扩班设备!$1:$2</definedName>
    <definedName name="_xlnm.Print_Titles" localSheetId="34">龙柏一幼雨林分园维修!$1:$3</definedName>
    <definedName name="_xlnm.Print_Titles" localSheetId="4">马桥!$1:$3</definedName>
    <definedName name="_xlnm.Print_Titles" localSheetId="47">马桥基本支出调整!$1:$4</definedName>
    <definedName name="_xlnm.Print_Titles" localSheetId="46">梅陇基本支出调整!$1:$4</definedName>
    <definedName name="_xlnm.Print_Titles" localSheetId="45">浦江基本支出调整!$1:$4</definedName>
    <definedName name="_xlnm.Print_Titles" localSheetId="57">普教二科调整!$1:$5</definedName>
    <definedName name="_xlnm.Print_Titles" localSheetId="40">'普教一科（补充）'!$1:$2</definedName>
    <definedName name="_xlnm.Print_Titles" localSheetId="3">七宝!$1:$3</definedName>
    <definedName name="_xlnm.Print_Titles" localSheetId="44">七宝基本支出调整!$1:$4</definedName>
    <definedName name="_xlnm.Print_Titles" localSheetId="33">启英宝盛茂盛分园维修!$1:$3</definedName>
    <definedName name="_xlnm.Print_Titles" localSheetId="1">莘庄!$1:$3</definedName>
    <definedName name="_xlnm.Print_Titles" localSheetId="42">莘庄基本支出调整!$1:$4</definedName>
    <definedName name="_xlnm.Print_Titles" localSheetId="35">实验幼儿园群英分园维修!$1:$4</definedName>
    <definedName name="_xlnm.Print_Titles" localSheetId="32">塘湾小学维修!$1:$3</definedName>
    <definedName name="_xlnm.Print_Titles" localSheetId="2">吴泾!$1:$3</definedName>
    <definedName name="_xlnm.Print_Titles" localSheetId="43">吴泾基本支出调整!$1:$4</definedName>
    <definedName name="_xlnm.Print_Titles" localSheetId="18">中小学教育补充!$1:$2</definedName>
    <definedName name="_xlnm.Print_Titles" localSheetId="6">颛桥!$1:$3</definedName>
    <definedName name="_xlnm.Print_Titles" localSheetId="49">颛桥基本支出调整!$1:$4</definedName>
  </definedNames>
  <calcPr calcId="162913"/>
</workbook>
</file>

<file path=xl/calcChain.xml><?xml version="1.0" encoding="utf-8"?>
<calcChain xmlns="http://schemas.openxmlformats.org/spreadsheetml/2006/main">
  <c r="AX23" i="104" l="1"/>
  <c r="C4" i="114" s="1"/>
  <c r="AY23" i="104"/>
  <c r="D4" i="114" s="1"/>
  <c r="AZ23" i="104"/>
  <c r="I6" i="104"/>
  <c r="N6" i="104"/>
  <c r="O6" i="104"/>
  <c r="P6" i="104"/>
  <c r="Q6" i="104"/>
  <c r="R6" i="104"/>
  <c r="X6" i="104"/>
  <c r="AC6" i="104"/>
  <c r="AF6" i="104" s="1"/>
  <c r="AD6" i="104"/>
  <c r="AJ6" i="104"/>
  <c r="AQ6" i="104"/>
  <c r="AU6" i="104" s="1"/>
  <c r="AW6" i="104" s="1"/>
  <c r="AT6" i="104"/>
  <c r="I7" i="104"/>
  <c r="N7" i="104"/>
  <c r="O7" i="104"/>
  <c r="P7" i="104"/>
  <c r="Q7" i="104"/>
  <c r="R7" i="104"/>
  <c r="X7" i="104"/>
  <c r="AC7" i="104"/>
  <c r="AF7" i="104" s="1"/>
  <c r="AD7" i="104"/>
  <c r="AJ7" i="104"/>
  <c r="AQ7" i="104"/>
  <c r="AU7" i="104" s="1"/>
  <c r="AW7" i="104" s="1"/>
  <c r="AT7" i="104"/>
  <c r="I8" i="104"/>
  <c r="N8" i="104"/>
  <c r="O8" i="104"/>
  <c r="P8" i="104"/>
  <c r="Q8" i="104"/>
  <c r="R8" i="104"/>
  <c r="X8" i="104"/>
  <c r="AC8" i="104"/>
  <c r="AH8" i="104" s="1"/>
  <c r="AD8" i="104"/>
  <c r="AJ8" i="104"/>
  <c r="AQ8" i="104"/>
  <c r="AU8" i="104" s="1"/>
  <c r="AW8" i="104" s="1"/>
  <c r="AT8" i="104"/>
  <c r="I9" i="104"/>
  <c r="N9" i="104"/>
  <c r="O9" i="104"/>
  <c r="P9" i="104"/>
  <c r="Q9" i="104"/>
  <c r="R9" i="104"/>
  <c r="X9" i="104"/>
  <c r="AC9" i="104"/>
  <c r="AE9" i="104" s="1"/>
  <c r="AD9" i="104"/>
  <c r="AJ9" i="104"/>
  <c r="AN9" i="104"/>
  <c r="AQ9" i="104" s="1"/>
  <c r="AU9" i="104" s="1"/>
  <c r="AW9" i="104" s="1"/>
  <c r="AT9" i="104"/>
  <c r="I10" i="104"/>
  <c r="N10" i="104"/>
  <c r="O10" i="104"/>
  <c r="P10" i="104"/>
  <c r="Q10" i="104"/>
  <c r="R10" i="104"/>
  <c r="X10" i="104"/>
  <c r="AC10" i="104"/>
  <c r="AE10" i="104" s="1"/>
  <c r="AD10" i="104"/>
  <c r="AJ10" i="104"/>
  <c r="AQ10" i="104"/>
  <c r="AU10" i="104" s="1"/>
  <c r="AW10" i="104" s="1"/>
  <c r="AT10" i="104"/>
  <c r="I11" i="104"/>
  <c r="N11" i="104"/>
  <c r="O11" i="104"/>
  <c r="P11" i="104"/>
  <c r="Q11" i="104"/>
  <c r="R11" i="104"/>
  <c r="X11" i="104"/>
  <c r="AC11" i="104"/>
  <c r="AF11" i="104" s="1"/>
  <c r="AD11" i="104"/>
  <c r="AJ11" i="104"/>
  <c r="AQ11" i="104"/>
  <c r="AU11" i="104" s="1"/>
  <c r="AW11" i="104" s="1"/>
  <c r="AT11" i="104"/>
  <c r="I12" i="104"/>
  <c r="N12" i="104"/>
  <c r="O12" i="104"/>
  <c r="P12" i="104"/>
  <c r="Q12" i="104"/>
  <c r="R12" i="104"/>
  <c r="X12" i="104"/>
  <c r="AC12" i="104"/>
  <c r="AF12" i="104" s="1"/>
  <c r="AD12" i="104"/>
  <c r="AI12" i="104"/>
  <c r="AJ12" i="104"/>
  <c r="AN12" i="104"/>
  <c r="AQ12" i="104" s="1"/>
  <c r="AU12" i="104" s="1"/>
  <c r="AW12" i="104" s="1"/>
  <c r="AT12" i="104"/>
  <c r="I13" i="104"/>
  <c r="N13" i="104"/>
  <c r="O13" i="104"/>
  <c r="P13" i="104"/>
  <c r="Q13" i="104"/>
  <c r="R13" i="104"/>
  <c r="X13" i="104"/>
  <c r="AC13" i="104"/>
  <c r="AE13" i="104" s="1"/>
  <c r="AD13" i="104"/>
  <c r="AH13" i="104"/>
  <c r="AJ13" i="104"/>
  <c r="AQ13" i="104"/>
  <c r="AU13" i="104" s="1"/>
  <c r="AW13" i="104" s="1"/>
  <c r="AT13" i="104"/>
  <c r="I14" i="104"/>
  <c r="N14" i="104"/>
  <c r="O14" i="104"/>
  <c r="P14" i="104"/>
  <c r="Q14" i="104"/>
  <c r="R14" i="104"/>
  <c r="X14" i="104"/>
  <c r="AC14" i="104"/>
  <c r="AL14" i="104" s="1"/>
  <c r="AD14" i="104"/>
  <c r="AH14" i="104"/>
  <c r="AJ14" i="104"/>
  <c r="AQ14" i="104"/>
  <c r="AU14" i="104" s="1"/>
  <c r="AW14" i="104" s="1"/>
  <c r="AT14" i="104"/>
  <c r="I15" i="104"/>
  <c r="N15" i="104"/>
  <c r="O15" i="104"/>
  <c r="P15" i="104"/>
  <c r="Q15" i="104"/>
  <c r="R15" i="104"/>
  <c r="X15" i="104"/>
  <c r="AC15" i="104"/>
  <c r="AE15" i="104" s="1"/>
  <c r="AD15" i="104"/>
  <c r="AH15" i="104"/>
  <c r="AJ15" i="104"/>
  <c r="AQ15" i="104"/>
  <c r="AU15" i="104" s="1"/>
  <c r="AW15" i="104" s="1"/>
  <c r="AT15" i="104"/>
  <c r="I16" i="104"/>
  <c r="N16" i="104"/>
  <c r="O16" i="104"/>
  <c r="P16" i="104"/>
  <c r="Q16" i="104"/>
  <c r="R16" i="104"/>
  <c r="X16" i="104"/>
  <c r="AC16" i="104"/>
  <c r="AF16" i="104" s="1"/>
  <c r="AD16" i="104"/>
  <c r="AJ16" i="104"/>
  <c r="AQ16" i="104"/>
  <c r="AU16" i="104" s="1"/>
  <c r="AW16" i="104" s="1"/>
  <c r="AT16" i="104"/>
  <c r="I17" i="104"/>
  <c r="N17" i="104"/>
  <c r="O17" i="104"/>
  <c r="P17" i="104"/>
  <c r="Q17" i="104"/>
  <c r="R17" i="104"/>
  <c r="X17" i="104"/>
  <c r="AC17" i="104"/>
  <c r="AE17" i="104" s="1"/>
  <c r="AD17" i="104"/>
  <c r="AJ17" i="104"/>
  <c r="AQ17" i="104"/>
  <c r="AU17" i="104" s="1"/>
  <c r="AW17" i="104" s="1"/>
  <c r="AT17" i="104"/>
  <c r="I18" i="104"/>
  <c r="N18" i="104"/>
  <c r="O18" i="104"/>
  <c r="P18" i="104"/>
  <c r="Q18" i="104"/>
  <c r="R18" i="104"/>
  <c r="X18" i="104"/>
  <c r="AC18" i="104"/>
  <c r="AH18" i="104" s="1"/>
  <c r="AD18" i="104"/>
  <c r="AJ18" i="104"/>
  <c r="AQ18" i="104"/>
  <c r="AU18" i="104" s="1"/>
  <c r="AW18" i="104" s="1"/>
  <c r="AT18" i="104"/>
  <c r="I19" i="104"/>
  <c r="N19" i="104"/>
  <c r="O19" i="104"/>
  <c r="P19" i="104"/>
  <c r="Q19" i="104"/>
  <c r="R19" i="104"/>
  <c r="X19" i="104"/>
  <c r="AC19" i="104"/>
  <c r="AE19" i="104" s="1"/>
  <c r="AD19" i="104"/>
  <c r="AJ19" i="104"/>
  <c r="AK19" i="104"/>
  <c r="AQ19" i="104"/>
  <c r="AU19" i="104" s="1"/>
  <c r="AW19" i="104" s="1"/>
  <c r="AT19" i="104"/>
  <c r="I20" i="104"/>
  <c r="N20" i="104"/>
  <c r="O20" i="104"/>
  <c r="P20" i="104"/>
  <c r="Q20" i="104"/>
  <c r="R20" i="104"/>
  <c r="X20" i="104"/>
  <c r="AC20" i="104"/>
  <c r="AF20" i="104" s="1"/>
  <c r="AD20" i="104"/>
  <c r="AH20" i="104"/>
  <c r="AJ20" i="104"/>
  <c r="AQ20" i="104"/>
  <c r="AU20" i="104" s="1"/>
  <c r="AW20" i="104" s="1"/>
  <c r="AT20" i="104"/>
  <c r="I21" i="104"/>
  <c r="N21" i="104"/>
  <c r="O21" i="104"/>
  <c r="P21" i="104"/>
  <c r="Q21" i="104"/>
  <c r="R21" i="104"/>
  <c r="X21" i="104"/>
  <c r="AC21" i="104"/>
  <c r="AF21" i="104" s="1"/>
  <c r="AD21" i="104"/>
  <c r="AJ21" i="104"/>
  <c r="AK21" i="104"/>
  <c r="AQ21" i="104"/>
  <c r="AU21" i="104" s="1"/>
  <c r="AW21" i="104" s="1"/>
  <c r="AT21" i="104"/>
  <c r="I22" i="104"/>
  <c r="N22" i="104"/>
  <c r="O22" i="104"/>
  <c r="P22" i="104"/>
  <c r="Q22" i="104"/>
  <c r="R22" i="104"/>
  <c r="X22" i="104"/>
  <c r="AC22" i="104"/>
  <c r="AL22" i="104" s="1"/>
  <c r="AD22" i="104"/>
  <c r="AH22" i="104"/>
  <c r="AJ22" i="104"/>
  <c r="AQ22" i="104"/>
  <c r="AU22" i="104" s="1"/>
  <c r="AW22" i="104" s="1"/>
  <c r="AT22" i="104"/>
  <c r="K7" i="113"/>
  <c r="L6" i="113"/>
  <c r="M6" i="113" s="1"/>
  <c r="N4" i="113"/>
  <c r="M4" i="113"/>
  <c r="L4" i="113"/>
  <c r="K4" i="113"/>
  <c r="J4" i="113"/>
  <c r="AK12" i="104" l="1"/>
  <c r="E4" i="114"/>
  <c r="AG19" i="104"/>
  <c r="AG12" i="104"/>
  <c r="AI21" i="104"/>
  <c r="AK17" i="104"/>
  <c r="AE12" i="104"/>
  <c r="AM12" i="104" s="1"/>
  <c r="AE21" i="104"/>
  <c r="AL16" i="104"/>
  <c r="AL12" i="104"/>
  <c r="AH12" i="104"/>
  <c r="AH11" i="104"/>
  <c r="AK10" i="104"/>
  <c r="AL6" i="104"/>
  <c r="AF22" i="104"/>
  <c r="AG21" i="104"/>
  <c r="AH16" i="104"/>
  <c r="AI11" i="104"/>
  <c r="AI7" i="104"/>
  <c r="S21" i="104"/>
  <c r="S15" i="104"/>
  <c r="AK22" i="104"/>
  <c r="AL11" i="104"/>
  <c r="AK9" i="104"/>
  <c r="S7" i="104"/>
  <c r="AL20" i="104"/>
  <c r="S17" i="104"/>
  <c r="AK13" i="104"/>
  <c r="S13" i="104"/>
  <c r="S12" i="104"/>
  <c r="AE11" i="104"/>
  <c r="AE6" i="104"/>
  <c r="S6" i="104"/>
  <c r="AE20" i="104"/>
  <c r="S20" i="104"/>
  <c r="S18" i="104"/>
  <c r="AG17" i="104"/>
  <c r="AG13" i="104"/>
  <c r="AK11" i="104"/>
  <c r="AG11" i="104"/>
  <c r="S10" i="104"/>
  <c r="AF8" i="104"/>
  <c r="AK7" i="104"/>
  <c r="AE7" i="104"/>
  <c r="AH6" i="104"/>
  <c r="S14" i="104"/>
  <c r="AG7" i="104"/>
  <c r="AL21" i="104"/>
  <c r="AH21" i="104"/>
  <c r="AI20" i="104"/>
  <c r="S19" i="104"/>
  <c r="AG18" i="104"/>
  <c r="AF17" i="104"/>
  <c r="AK16" i="104"/>
  <c r="AG16" i="104"/>
  <c r="AG14" i="104"/>
  <c r="AF13" i="104"/>
  <c r="AG9" i="104"/>
  <c r="AK8" i="104"/>
  <c r="AL7" i="104"/>
  <c r="AH7" i="104"/>
  <c r="AI6" i="104"/>
  <c r="AG22" i="104"/>
  <c r="AK20" i="104"/>
  <c r="AG20" i="104"/>
  <c r="AK18" i="104"/>
  <c r="AL17" i="104"/>
  <c r="AH17" i="104"/>
  <c r="AI16" i="104"/>
  <c r="AK15" i="104"/>
  <c r="AL13" i="104"/>
  <c r="S11" i="104"/>
  <c r="S9" i="104"/>
  <c r="AG8" i="104"/>
  <c r="AK6" i="104"/>
  <c r="AG6" i="104"/>
  <c r="S22" i="104"/>
  <c r="AF18" i="104"/>
  <c r="AI17" i="104"/>
  <c r="AE16" i="104"/>
  <c r="S16" i="104"/>
  <c r="AG15" i="104"/>
  <c r="AK14" i="104"/>
  <c r="AF14" i="104"/>
  <c r="AI13" i="104"/>
  <c r="AG10" i="104"/>
  <c r="S8" i="104"/>
  <c r="AI22" i="104"/>
  <c r="AE22" i="104"/>
  <c r="AF19" i="104"/>
  <c r="AI18" i="104"/>
  <c r="AE18" i="104"/>
  <c r="AF15" i="104"/>
  <c r="AI14" i="104"/>
  <c r="AE14" i="104"/>
  <c r="AF10" i="104"/>
  <c r="AF9" i="104"/>
  <c r="AI8" i="104"/>
  <c r="AE8" i="104"/>
  <c r="AL19" i="104"/>
  <c r="AH19" i="104"/>
  <c r="AL15" i="104"/>
  <c r="AL10" i="104"/>
  <c r="AH10" i="104"/>
  <c r="AL9" i="104"/>
  <c r="AH9" i="104"/>
  <c r="AI19" i="104"/>
  <c r="AL18" i="104"/>
  <c r="AI15" i="104"/>
  <c r="AI10" i="104"/>
  <c r="AI9" i="104"/>
  <c r="AL8" i="104"/>
  <c r="M7" i="113"/>
  <c r="D5" i="114" s="1"/>
  <c r="D6" i="114" s="1"/>
  <c r="L7" i="113"/>
  <c r="C5" i="114" s="1"/>
  <c r="C6" i="114" s="1"/>
  <c r="N6" i="113"/>
  <c r="N7" i="113" s="1"/>
  <c r="J7" i="113"/>
  <c r="E5" i="114" l="1"/>
  <c r="E6" i="114" s="1"/>
  <c r="AM16" i="104"/>
  <c r="AM22" i="104"/>
  <c r="AM11" i="104"/>
  <c r="AM20" i="104"/>
  <c r="AM7" i="104"/>
  <c r="AM13" i="104"/>
  <c r="AM17" i="104"/>
  <c r="AM21" i="104"/>
  <c r="AM6" i="104"/>
  <c r="AM14" i="104"/>
  <c r="AM9" i="104"/>
  <c r="AM15" i="104"/>
  <c r="AM19" i="104"/>
  <c r="AM10" i="104"/>
  <c r="AM18" i="104"/>
  <c r="AM8" i="104"/>
  <c r="K107" i="111" l="1"/>
  <c r="M107" i="111"/>
  <c r="K88" i="111"/>
  <c r="N88" i="111"/>
  <c r="K86" i="111"/>
  <c r="N86" i="111"/>
  <c r="K83" i="111"/>
  <c r="M83" i="111"/>
  <c r="K62" i="111"/>
  <c r="K43" i="111"/>
  <c r="M43" i="111"/>
  <c r="K30" i="111"/>
  <c r="N30" i="111"/>
  <c r="K21" i="111"/>
  <c r="M21" i="111"/>
  <c r="K14" i="111"/>
  <c r="M14" i="111"/>
  <c r="F66" i="105"/>
  <c r="N11" i="111"/>
  <c r="N12" i="111"/>
  <c r="N13" i="111"/>
  <c r="N18" i="111"/>
  <c r="N19" i="111"/>
  <c r="N20" i="111"/>
  <c r="N38" i="111"/>
  <c r="N39" i="111"/>
  <c r="N40" i="111"/>
  <c r="N41" i="111"/>
  <c r="N42" i="111"/>
  <c r="N97" i="111"/>
  <c r="N98" i="111"/>
  <c r="N99" i="111"/>
  <c r="N100" i="111"/>
  <c r="N101" i="111"/>
  <c r="N102" i="111"/>
  <c r="N103" i="111"/>
  <c r="N104" i="111"/>
  <c r="N105" i="111"/>
  <c r="N106" i="111"/>
  <c r="L11" i="111"/>
  <c r="L12" i="111"/>
  <c r="L13" i="111"/>
  <c r="L18" i="111"/>
  <c r="L19" i="111"/>
  <c r="L20" i="111"/>
  <c r="L22" i="111"/>
  <c r="L26" i="111"/>
  <c r="M26" i="111" s="1"/>
  <c r="L27" i="111"/>
  <c r="M27" i="111" s="1"/>
  <c r="L28" i="111"/>
  <c r="L29" i="111"/>
  <c r="M29" i="111" s="1"/>
  <c r="L38" i="111"/>
  <c r="L39" i="111"/>
  <c r="L40" i="111"/>
  <c r="L41" i="111"/>
  <c r="L42" i="111"/>
  <c r="L54" i="111"/>
  <c r="M54" i="111" s="1"/>
  <c r="L55" i="111"/>
  <c r="M55" i="111" s="1"/>
  <c r="L56" i="111"/>
  <c r="L57" i="111"/>
  <c r="M57" i="111" s="1"/>
  <c r="L58" i="111"/>
  <c r="M58" i="111" s="1"/>
  <c r="L73" i="111"/>
  <c r="N73" i="111" s="1"/>
  <c r="L74" i="111"/>
  <c r="N74" i="111" s="1"/>
  <c r="L75" i="111"/>
  <c r="N75" i="111" s="1"/>
  <c r="L76" i="111"/>
  <c r="N76" i="111" s="1"/>
  <c r="L77" i="111"/>
  <c r="N77" i="111" s="1"/>
  <c r="L78" i="111"/>
  <c r="N78" i="111" s="1"/>
  <c r="L79" i="111"/>
  <c r="N79" i="111" s="1"/>
  <c r="L80" i="111"/>
  <c r="N80" i="111" s="1"/>
  <c r="L85" i="111"/>
  <c r="M85" i="111" s="1"/>
  <c r="L97" i="111"/>
  <c r="L98" i="111"/>
  <c r="L99" i="111"/>
  <c r="L100" i="111"/>
  <c r="L101" i="111"/>
  <c r="L102" i="111"/>
  <c r="L103" i="111"/>
  <c r="L104" i="111"/>
  <c r="L105" i="111"/>
  <c r="L106" i="111"/>
  <c r="N4" i="111"/>
  <c r="M4" i="111"/>
  <c r="L4" i="111"/>
  <c r="K4" i="111"/>
  <c r="J4" i="111"/>
  <c r="J46" i="111"/>
  <c r="L46" i="111" s="1"/>
  <c r="N46" i="111" s="1"/>
  <c r="K108" i="111" l="1"/>
  <c r="M30" i="111"/>
  <c r="M86" i="111"/>
  <c r="M56" i="111"/>
  <c r="N56" i="111" s="1"/>
  <c r="N57" i="111"/>
  <c r="M88" i="111"/>
  <c r="M62" i="111" l="1"/>
  <c r="M108" i="111" l="1"/>
  <c r="K333" i="112"/>
  <c r="I333" i="112"/>
  <c r="H330" i="112"/>
  <c r="H327" i="112"/>
  <c r="H326" i="112"/>
  <c r="H325" i="112"/>
  <c r="H324" i="112"/>
  <c r="H323" i="112"/>
  <c r="H322" i="112"/>
  <c r="H321" i="112"/>
  <c r="H320" i="112"/>
  <c r="H319" i="112"/>
  <c r="H318" i="112"/>
  <c r="H317" i="112"/>
  <c r="H316" i="112"/>
  <c r="H315" i="112"/>
  <c r="H314" i="112"/>
  <c r="K313" i="112"/>
  <c r="I313" i="112"/>
  <c r="H312" i="112"/>
  <c r="H311" i="112"/>
  <c r="H310" i="112"/>
  <c r="H309" i="112"/>
  <c r="H308" i="112"/>
  <c r="H306" i="112"/>
  <c r="H304" i="112"/>
  <c r="H303" i="112"/>
  <c r="H302" i="112"/>
  <c r="H301" i="112"/>
  <c r="H300" i="112"/>
  <c r="H299" i="112"/>
  <c r="H298" i="112"/>
  <c r="H297" i="112"/>
  <c r="H296" i="112"/>
  <c r="H295" i="112"/>
  <c r="H294" i="112"/>
  <c r="H293" i="112"/>
  <c r="H292" i="112"/>
  <c r="H291" i="112"/>
  <c r="H290" i="112"/>
  <c r="H289" i="112"/>
  <c r="H288" i="112"/>
  <c r="K287" i="112"/>
  <c r="I287" i="112"/>
  <c r="H286" i="112"/>
  <c r="E286" i="112"/>
  <c r="H285" i="112"/>
  <c r="H284" i="112"/>
  <c r="H281" i="112"/>
  <c r="H280" i="112"/>
  <c r="H277" i="112"/>
  <c r="H276" i="112"/>
  <c r="H275" i="112"/>
  <c r="H274" i="112"/>
  <c r="H273" i="112"/>
  <c r="H272" i="112"/>
  <c r="H271" i="112"/>
  <c r="H270" i="112"/>
  <c r="H269" i="112"/>
  <c r="H268" i="112"/>
  <c r="H267" i="112"/>
  <c r="E267" i="112"/>
  <c r="H266" i="112"/>
  <c r="H265" i="112"/>
  <c r="H264" i="112"/>
  <c r="H263" i="112"/>
  <c r="H262" i="112"/>
  <c r="H261" i="112"/>
  <c r="K260" i="112"/>
  <c r="I260" i="112"/>
  <c r="H259" i="112"/>
  <c r="E259" i="112"/>
  <c r="H258" i="112"/>
  <c r="H257" i="112"/>
  <c r="H256" i="112"/>
  <c r="H254" i="112"/>
  <c r="H253" i="112"/>
  <c r="H252" i="112"/>
  <c r="H251" i="112"/>
  <c r="H249" i="112"/>
  <c r="H248" i="112"/>
  <c r="H246" i="112"/>
  <c r="H245" i="112"/>
  <c r="H244" i="112"/>
  <c r="H243" i="112"/>
  <c r="H242" i="112"/>
  <c r="H241" i="112"/>
  <c r="H240" i="112"/>
  <c r="K239" i="112"/>
  <c r="I239" i="112"/>
  <c r="H238" i="112"/>
  <c r="E238" i="112"/>
  <c r="H237" i="112"/>
  <c r="E237" i="112"/>
  <c r="H236" i="112"/>
  <c r="E236" i="112"/>
  <c r="H235" i="112"/>
  <c r="E235" i="112"/>
  <c r="H234" i="112"/>
  <c r="E234" i="112"/>
  <c r="H233" i="112"/>
  <c r="H232" i="112"/>
  <c r="H228" i="112"/>
  <c r="H227" i="112"/>
  <c r="H226" i="112"/>
  <c r="H225" i="112"/>
  <c r="H224" i="112"/>
  <c r="H223" i="112"/>
  <c r="H221" i="112"/>
  <c r="H220" i="112"/>
  <c r="H219" i="112"/>
  <c r="H218" i="112"/>
  <c r="H215" i="112"/>
  <c r="H214" i="112"/>
  <c r="H210" i="112"/>
  <c r="E210" i="112"/>
  <c r="H209" i="112"/>
  <c r="H208" i="112"/>
  <c r="H207" i="112"/>
  <c r="H206" i="112"/>
  <c r="H205" i="112"/>
  <c r="H204" i="112"/>
  <c r="H203" i="112"/>
  <c r="H202" i="112"/>
  <c r="H201" i="112"/>
  <c r="H200" i="112"/>
  <c r="H199" i="112"/>
  <c r="H198" i="112"/>
  <c r="H197" i="112"/>
  <c r="H196" i="112"/>
  <c r="H195" i="112"/>
  <c r="H194" i="112"/>
  <c r="H193" i="112"/>
  <c r="H192" i="112"/>
  <c r="H191" i="112"/>
  <c r="H190" i="112"/>
  <c r="H189" i="112"/>
  <c r="H188" i="112"/>
  <c r="H187" i="112"/>
  <c r="H186" i="112"/>
  <c r="H185" i="112"/>
  <c r="H184" i="112"/>
  <c r="H183" i="112"/>
  <c r="H182" i="112"/>
  <c r="H181" i="112"/>
  <c r="H180" i="112"/>
  <c r="H179" i="112"/>
  <c r="H178" i="112"/>
  <c r="H177" i="112"/>
  <c r="H176" i="112"/>
  <c r="H175" i="112"/>
  <c r="H174" i="112"/>
  <c r="H173" i="112"/>
  <c r="H172" i="112"/>
  <c r="H171" i="112"/>
  <c r="H170" i="112"/>
  <c r="H169" i="112"/>
  <c r="H168" i="112"/>
  <c r="H167" i="112"/>
  <c r="H166" i="112"/>
  <c r="H165" i="112"/>
  <c r="H164" i="112"/>
  <c r="H163" i="112"/>
  <c r="H162" i="112"/>
  <c r="H161" i="112"/>
  <c r="H160" i="112"/>
  <c r="H159" i="112"/>
  <c r="H158" i="112"/>
  <c r="H157" i="112"/>
  <c r="H156" i="112"/>
  <c r="H155" i="112"/>
  <c r="H154" i="112"/>
  <c r="H153" i="112"/>
  <c r="H152" i="112"/>
  <c r="H151" i="112"/>
  <c r="H150" i="112"/>
  <c r="H149" i="112"/>
  <c r="H148" i="112"/>
  <c r="H147" i="112"/>
  <c r="H146" i="112"/>
  <c r="H145" i="112"/>
  <c r="H144" i="112"/>
  <c r="H143" i="112"/>
  <c r="H142" i="112"/>
  <c r="H141" i="112"/>
  <c r="H140" i="112"/>
  <c r="H139" i="112"/>
  <c r="H138" i="112"/>
  <c r="H137" i="112"/>
  <c r="H136" i="112"/>
  <c r="H135" i="112"/>
  <c r="H134" i="112"/>
  <c r="H133" i="112"/>
  <c r="H132" i="112"/>
  <c r="H131" i="112"/>
  <c r="H130" i="112"/>
  <c r="H129" i="112"/>
  <c r="H128" i="112"/>
  <c r="H127" i="112"/>
  <c r="H126" i="112"/>
  <c r="H125" i="112"/>
  <c r="H124" i="112"/>
  <c r="H123" i="112"/>
  <c r="H122" i="112"/>
  <c r="H121" i="112"/>
  <c r="H120" i="112"/>
  <c r="H119" i="112"/>
  <c r="H118" i="112"/>
  <c r="H117" i="112"/>
  <c r="H116" i="112"/>
  <c r="H115" i="112"/>
  <c r="K114" i="112"/>
  <c r="I114" i="112"/>
  <c r="H113" i="112"/>
  <c r="E113" i="112"/>
  <c r="H112" i="112"/>
  <c r="E112" i="112"/>
  <c r="H111" i="112"/>
  <c r="E111" i="112"/>
  <c r="H110" i="112"/>
  <c r="H109" i="112"/>
  <c r="H108" i="112"/>
  <c r="H107" i="112"/>
  <c r="H106" i="112"/>
  <c r="H105" i="112"/>
  <c r="H104" i="112"/>
  <c r="H102" i="112"/>
  <c r="H101" i="112"/>
  <c r="H100" i="112"/>
  <c r="H97" i="112"/>
  <c r="H96" i="112"/>
  <c r="H95" i="112"/>
  <c r="H94" i="112"/>
  <c r="H93" i="112"/>
  <c r="H91" i="112"/>
  <c r="H90" i="112"/>
  <c r="H89" i="112"/>
  <c r="H87" i="112"/>
  <c r="H86" i="112"/>
  <c r="H85" i="112"/>
  <c r="H84" i="112"/>
  <c r="H83" i="112"/>
  <c r="H82" i="112"/>
  <c r="H81" i="112"/>
  <c r="H80" i="112"/>
  <c r="H79" i="112"/>
  <c r="H78" i="112"/>
  <c r="H77" i="112"/>
  <c r="H76" i="112"/>
  <c r="H75" i="112"/>
  <c r="H74" i="112"/>
  <c r="H73" i="112"/>
  <c r="H72" i="112"/>
  <c r="H71" i="112"/>
  <c r="H70" i="112"/>
  <c r="H69" i="112"/>
  <c r="H68" i="112"/>
  <c r="K67" i="112"/>
  <c r="I67" i="112"/>
  <c r="H66" i="112"/>
  <c r="E66" i="112"/>
  <c r="H65" i="112"/>
  <c r="E65" i="112"/>
  <c r="H64" i="112"/>
  <c r="H63" i="112"/>
  <c r="H62" i="112"/>
  <c r="H58" i="112"/>
  <c r="H57" i="112"/>
  <c r="H56" i="112"/>
  <c r="H55" i="112"/>
  <c r="H54" i="112"/>
  <c r="K53" i="112"/>
  <c r="I53" i="112"/>
  <c r="H52" i="112"/>
  <c r="H51" i="112"/>
  <c r="H50" i="112"/>
  <c r="H49" i="112"/>
  <c r="H48" i="112"/>
  <c r="H47" i="112"/>
  <c r="H46" i="112"/>
  <c r="H45" i="112"/>
  <c r="H44" i="112"/>
  <c r="H43" i="112"/>
  <c r="K42" i="112"/>
  <c r="K334" i="112" s="1"/>
  <c r="I42" i="112"/>
  <c r="H41" i="112"/>
  <c r="E41" i="112"/>
  <c r="H40" i="112"/>
  <c r="H39" i="112"/>
  <c r="H38" i="112"/>
  <c r="H37" i="112"/>
  <c r="H36" i="112"/>
  <c r="H34" i="112"/>
  <c r="H33" i="112"/>
  <c r="H30" i="112"/>
  <c r="H29" i="112"/>
  <c r="H28" i="112"/>
  <c r="H27" i="112"/>
  <c r="H26" i="112"/>
  <c r="H25" i="112"/>
  <c r="H24" i="112"/>
  <c r="H23" i="112"/>
  <c r="H22" i="112"/>
  <c r="H21" i="112"/>
  <c r="H20" i="112"/>
  <c r="H19" i="112"/>
  <c r="H18" i="112"/>
  <c r="H17" i="112"/>
  <c r="H16" i="112"/>
  <c r="H15" i="112"/>
  <c r="H14" i="112"/>
  <c r="H13" i="112"/>
  <c r="H12" i="112"/>
  <c r="H11" i="112"/>
  <c r="H10" i="112"/>
  <c r="H9" i="112"/>
  <c r="H8" i="112"/>
  <c r="H7" i="112"/>
  <c r="H6" i="112"/>
  <c r="H5" i="112"/>
  <c r="H4" i="112"/>
  <c r="H287" i="112" l="1"/>
  <c r="J261" i="112" s="1"/>
  <c r="H53" i="112"/>
  <c r="J43" i="112" s="1"/>
  <c r="H67" i="112"/>
  <c r="J54" i="112" s="1"/>
  <c r="J67" i="112" s="1"/>
  <c r="H239" i="112"/>
  <c r="J115" i="112" s="1"/>
  <c r="L115" i="112" s="1"/>
  <c r="L239" i="112" s="1"/>
  <c r="H313" i="112"/>
  <c r="J288" i="112" s="1"/>
  <c r="J313" i="112" s="1"/>
  <c r="I334" i="112"/>
  <c r="H114" i="112"/>
  <c r="J68" i="112" s="1"/>
  <c r="H260" i="112"/>
  <c r="J240" i="112" s="1"/>
  <c r="H333" i="112"/>
  <c r="J314" i="112" s="1"/>
  <c r="J333" i="112" s="1"/>
  <c r="L68" i="112"/>
  <c r="L114" i="112" s="1"/>
  <c r="J114" i="112"/>
  <c r="L288" i="112"/>
  <c r="L313" i="112" s="1"/>
  <c r="J53" i="112"/>
  <c r="L43" i="112"/>
  <c r="L53" i="112" s="1"/>
  <c r="J260" i="112"/>
  <c r="L240" i="112"/>
  <c r="L260" i="112" s="1"/>
  <c r="J287" i="112"/>
  <c r="L261" i="112"/>
  <c r="L287" i="112" s="1"/>
  <c r="H42" i="112"/>
  <c r="J4" i="112" s="1"/>
  <c r="J239" i="112" l="1"/>
  <c r="L54" i="112"/>
  <c r="L67" i="112" s="1"/>
  <c r="L314" i="112"/>
  <c r="L333" i="112" s="1"/>
  <c r="J42" i="112"/>
  <c r="J334" i="112" s="1"/>
  <c r="L4" i="112"/>
  <c r="H334" i="112"/>
  <c r="L42" i="112" l="1"/>
  <c r="L334" i="112" s="1"/>
  <c r="AR23" i="104" l="1"/>
  <c r="AS23" i="104"/>
  <c r="AV23" i="104"/>
  <c r="AT5" i="104"/>
  <c r="AT23" i="104" l="1"/>
  <c r="J96" i="111"/>
  <c r="J95" i="111"/>
  <c r="J94" i="111"/>
  <c r="J93" i="111"/>
  <c r="J92" i="111"/>
  <c r="J91" i="111"/>
  <c r="J90" i="111"/>
  <c r="J89" i="111"/>
  <c r="J87" i="111"/>
  <c r="J84" i="111"/>
  <c r="J82" i="111"/>
  <c r="L82" i="111" s="1"/>
  <c r="N82" i="111" s="1"/>
  <c r="J81" i="111"/>
  <c r="L81" i="111" s="1"/>
  <c r="N81" i="111" s="1"/>
  <c r="J72" i="111"/>
  <c r="L72" i="111" s="1"/>
  <c r="N72" i="111" s="1"/>
  <c r="J71" i="111"/>
  <c r="L71" i="111" s="1"/>
  <c r="N71" i="111" s="1"/>
  <c r="J70" i="111"/>
  <c r="L70" i="111" s="1"/>
  <c r="N70" i="111" s="1"/>
  <c r="J69" i="111"/>
  <c r="L69" i="111" s="1"/>
  <c r="N69" i="111" s="1"/>
  <c r="J68" i="111"/>
  <c r="L68" i="111" s="1"/>
  <c r="N68" i="111" s="1"/>
  <c r="J67" i="111"/>
  <c r="L67" i="111" s="1"/>
  <c r="N67" i="111" s="1"/>
  <c r="J66" i="111"/>
  <c r="L66" i="111" s="1"/>
  <c r="N66" i="111" s="1"/>
  <c r="J65" i="111"/>
  <c r="L65" i="111" s="1"/>
  <c r="N65" i="111" s="1"/>
  <c r="J64" i="111"/>
  <c r="L64" i="111" s="1"/>
  <c r="N64" i="111" s="1"/>
  <c r="J63" i="111"/>
  <c r="L63" i="111" s="1"/>
  <c r="N63" i="111" s="1"/>
  <c r="J61" i="111"/>
  <c r="L61" i="111" s="1"/>
  <c r="N61" i="111" s="1"/>
  <c r="J60" i="111"/>
  <c r="L60" i="111" s="1"/>
  <c r="N60" i="111" s="1"/>
  <c r="J59" i="111"/>
  <c r="L59" i="111" s="1"/>
  <c r="N59" i="111" s="1"/>
  <c r="J53" i="111"/>
  <c r="L53" i="111" s="1"/>
  <c r="N53" i="111" s="1"/>
  <c r="J52" i="111"/>
  <c r="L52" i="111" s="1"/>
  <c r="N52" i="111" s="1"/>
  <c r="J51" i="111"/>
  <c r="L51" i="111" s="1"/>
  <c r="N51" i="111" s="1"/>
  <c r="J50" i="111"/>
  <c r="L50" i="111" s="1"/>
  <c r="N50" i="111" s="1"/>
  <c r="J49" i="111"/>
  <c r="L49" i="111" s="1"/>
  <c r="N49" i="111" s="1"/>
  <c r="J48" i="111"/>
  <c r="L48" i="111" s="1"/>
  <c r="N48" i="111" s="1"/>
  <c r="J47" i="111"/>
  <c r="L47" i="111" s="1"/>
  <c r="N47" i="111" s="1"/>
  <c r="J45" i="111"/>
  <c r="L45" i="111" s="1"/>
  <c r="N45" i="111" s="1"/>
  <c r="J44" i="111"/>
  <c r="L44" i="111" s="1"/>
  <c r="J37" i="111"/>
  <c r="J36" i="111"/>
  <c r="J35" i="111"/>
  <c r="J34" i="111"/>
  <c r="J33" i="111"/>
  <c r="J32" i="111"/>
  <c r="J31" i="111"/>
  <c r="J25" i="111"/>
  <c r="L25" i="111" s="1"/>
  <c r="J24" i="111"/>
  <c r="L24" i="111" s="1"/>
  <c r="J23" i="111"/>
  <c r="L23" i="111" s="1"/>
  <c r="J17" i="111"/>
  <c r="J16" i="111"/>
  <c r="J15" i="111"/>
  <c r="J10" i="111"/>
  <c r="J9" i="111"/>
  <c r="J8" i="111"/>
  <c r="J7" i="111"/>
  <c r="J6" i="111"/>
  <c r="L62" i="111" l="1"/>
  <c r="L83" i="111"/>
  <c r="N10" i="111"/>
  <c r="L10" i="111"/>
  <c r="N44" i="111"/>
  <c r="N62" i="111" s="1"/>
  <c r="N83" i="111"/>
  <c r="N8" i="111"/>
  <c r="L8" i="111"/>
  <c r="N15" i="111"/>
  <c r="L15" i="111"/>
  <c r="N32" i="111"/>
  <c r="L32" i="111"/>
  <c r="N36" i="111"/>
  <c r="L36" i="111"/>
  <c r="J88" i="111"/>
  <c r="L87" i="111"/>
  <c r="L88" i="111" s="1"/>
  <c r="N91" i="111"/>
  <c r="L91" i="111"/>
  <c r="N95" i="111"/>
  <c r="L95" i="111"/>
  <c r="N6" i="111"/>
  <c r="L6" i="111"/>
  <c r="N34" i="111"/>
  <c r="L34" i="111"/>
  <c r="N7" i="111"/>
  <c r="L7" i="111"/>
  <c r="J21" i="111"/>
  <c r="J30" i="111"/>
  <c r="L30" i="111"/>
  <c r="J43" i="111"/>
  <c r="N31" i="111"/>
  <c r="L31" i="111"/>
  <c r="N35" i="111"/>
  <c r="L35" i="111"/>
  <c r="J86" i="111"/>
  <c r="L84" i="111"/>
  <c r="L86" i="111" s="1"/>
  <c r="L90" i="111"/>
  <c r="N90" i="111"/>
  <c r="N94" i="111"/>
  <c r="L94" i="111"/>
  <c r="N17" i="111"/>
  <c r="L17" i="111"/>
  <c r="N89" i="111"/>
  <c r="L89" i="111"/>
  <c r="N93" i="111"/>
  <c r="L93" i="111"/>
  <c r="N9" i="111"/>
  <c r="L9" i="111"/>
  <c r="N16" i="111"/>
  <c r="L16" i="111"/>
  <c r="N33" i="111"/>
  <c r="L33" i="111"/>
  <c r="N37" i="111"/>
  <c r="L37" i="111"/>
  <c r="L92" i="111"/>
  <c r="N92" i="111"/>
  <c r="L96" i="111"/>
  <c r="N96" i="111"/>
  <c r="J62" i="111"/>
  <c r="J83" i="111"/>
  <c r="J14" i="111"/>
  <c r="J107" i="111"/>
  <c r="L21" i="111" l="1"/>
  <c r="N14" i="111"/>
  <c r="L107" i="111"/>
  <c r="N43" i="111"/>
  <c r="L14" i="111"/>
  <c r="N107" i="111"/>
  <c r="L43" i="111"/>
  <c r="N21" i="111"/>
  <c r="J108" i="111"/>
  <c r="L108" i="111" l="1"/>
  <c r="N108" i="111"/>
  <c r="F10" i="106"/>
  <c r="F11" i="106"/>
  <c r="I86" i="108"/>
  <c r="H86" i="108"/>
  <c r="G86" i="108"/>
  <c r="F86" i="108"/>
  <c r="E86" i="108"/>
  <c r="D86" i="108"/>
  <c r="D87" i="108" s="1"/>
  <c r="C86" i="108"/>
  <c r="C87" i="108" s="1"/>
  <c r="J78" i="108"/>
  <c r="J76" i="108"/>
  <c r="J75" i="108"/>
  <c r="I74" i="108"/>
  <c r="G74" i="108"/>
  <c r="F74" i="108"/>
  <c r="E74" i="108"/>
  <c r="D74" i="108"/>
  <c r="C74" i="108"/>
  <c r="H72" i="108"/>
  <c r="J72" i="108" s="1"/>
  <c r="H69" i="108"/>
  <c r="H74" i="108" s="1"/>
  <c r="F68" i="108"/>
  <c r="D68" i="108"/>
  <c r="C68" i="108"/>
  <c r="G67" i="108"/>
  <c r="F67" i="108"/>
  <c r="E67" i="108"/>
  <c r="H67" i="108" s="1"/>
  <c r="J67" i="108" s="1"/>
  <c r="I64" i="108"/>
  <c r="I68" i="108" s="1"/>
  <c r="G64" i="108"/>
  <c r="G68" i="108" s="1"/>
  <c r="F64" i="108"/>
  <c r="E64" i="108"/>
  <c r="E68" i="108" s="1"/>
  <c r="I63" i="108"/>
  <c r="G63" i="108"/>
  <c r="F63" i="108"/>
  <c r="E63" i="108"/>
  <c r="D63" i="108"/>
  <c r="C63" i="108"/>
  <c r="H62" i="108"/>
  <c r="J62" i="108" s="1"/>
  <c r="H61" i="108"/>
  <c r="J61" i="108" s="1"/>
  <c r="H60" i="108"/>
  <c r="J60" i="108" s="1"/>
  <c r="H59" i="108"/>
  <c r="J59" i="108" s="1"/>
  <c r="H58" i="108"/>
  <c r="J58" i="108" s="1"/>
  <c r="H57" i="108"/>
  <c r="J57" i="108" s="1"/>
  <c r="H56" i="108"/>
  <c r="J56" i="108" s="1"/>
  <c r="H55" i="108"/>
  <c r="J55" i="108" s="1"/>
  <c r="H54" i="108"/>
  <c r="J54" i="108" s="1"/>
  <c r="H53" i="108"/>
  <c r="J53" i="108" s="1"/>
  <c r="H52" i="108"/>
  <c r="J52" i="108" s="1"/>
  <c r="H51" i="108"/>
  <c r="I50" i="108"/>
  <c r="G50" i="108"/>
  <c r="F50" i="108"/>
  <c r="E50" i="108"/>
  <c r="D50" i="108"/>
  <c r="C50" i="108"/>
  <c r="H49" i="108"/>
  <c r="J49" i="108" s="1"/>
  <c r="H48" i="108"/>
  <c r="H50" i="108" s="1"/>
  <c r="I47" i="108"/>
  <c r="G47" i="108"/>
  <c r="F47" i="108"/>
  <c r="E47" i="108"/>
  <c r="D47" i="108"/>
  <c r="C47" i="108"/>
  <c r="H46" i="108"/>
  <c r="J46" i="108" s="1"/>
  <c r="H45" i="108"/>
  <c r="J45" i="108" s="1"/>
  <c r="H44" i="108"/>
  <c r="J44" i="108" s="1"/>
  <c r="H43" i="108"/>
  <c r="J43" i="108" s="1"/>
  <c r="H42" i="108"/>
  <c r="J42" i="108" s="1"/>
  <c r="H41" i="108"/>
  <c r="J41" i="108" s="1"/>
  <c r="H40" i="108"/>
  <c r="J40" i="108" s="1"/>
  <c r="H39" i="108"/>
  <c r="J39" i="108" s="1"/>
  <c r="H38" i="108"/>
  <c r="J38" i="108" s="1"/>
  <c r="H37" i="108"/>
  <c r="J37" i="108" s="1"/>
  <c r="H36" i="108"/>
  <c r="J36" i="108" s="1"/>
  <c r="H35" i="108"/>
  <c r="J35" i="108" s="1"/>
  <c r="H34" i="108"/>
  <c r="J34" i="108" s="1"/>
  <c r="H33" i="108"/>
  <c r="F32" i="108"/>
  <c r="E32" i="108"/>
  <c r="D32" i="108"/>
  <c r="C32" i="108"/>
  <c r="I31" i="108"/>
  <c r="I32" i="108" s="1"/>
  <c r="G31" i="108"/>
  <c r="G32" i="108" s="1"/>
  <c r="H30" i="108"/>
  <c r="J30" i="108" s="1"/>
  <c r="H29" i="108"/>
  <c r="J29" i="108" s="1"/>
  <c r="H28" i="108"/>
  <c r="J28" i="108" s="1"/>
  <c r="H27" i="108"/>
  <c r="J27" i="108" s="1"/>
  <c r="H26" i="108"/>
  <c r="J26" i="108" s="1"/>
  <c r="H25" i="108"/>
  <c r="J25" i="108" s="1"/>
  <c r="H24" i="108"/>
  <c r="J24" i="108" s="1"/>
  <c r="H23" i="108"/>
  <c r="J23" i="108" s="1"/>
  <c r="H22" i="108"/>
  <c r="J22" i="108" s="1"/>
  <c r="H21" i="108"/>
  <c r="J21" i="108" s="1"/>
  <c r="H20" i="108"/>
  <c r="J20" i="108" s="1"/>
  <c r="I19" i="108"/>
  <c r="G19" i="108"/>
  <c r="F19" i="108"/>
  <c r="E19" i="108"/>
  <c r="D19" i="108"/>
  <c r="C19" i="108"/>
  <c r="H18" i="108"/>
  <c r="J18" i="108" s="1"/>
  <c r="H17" i="108"/>
  <c r="J17" i="108" s="1"/>
  <c r="H16" i="108"/>
  <c r="J16" i="108" s="1"/>
  <c r="H15" i="108"/>
  <c r="J15" i="108" s="1"/>
  <c r="H14" i="108"/>
  <c r="J14" i="108" s="1"/>
  <c r="H13" i="108"/>
  <c r="J13" i="108" s="1"/>
  <c r="H12" i="108"/>
  <c r="J12" i="108" s="1"/>
  <c r="H11" i="108"/>
  <c r="J11" i="108" s="1"/>
  <c r="H10" i="108"/>
  <c r="I9" i="108"/>
  <c r="F9" i="108"/>
  <c r="E9" i="108"/>
  <c r="D9" i="108"/>
  <c r="C9" i="108"/>
  <c r="G8" i="108"/>
  <c r="G9" i="108" s="1"/>
  <c r="J7" i="108"/>
  <c r="H7" i="108"/>
  <c r="H6" i="108"/>
  <c r="J6" i="108" s="1"/>
  <c r="H5" i="108"/>
  <c r="J5" i="108" s="1"/>
  <c r="H4" i="108"/>
  <c r="H8" i="108" l="1"/>
  <c r="J8" i="108" s="1"/>
  <c r="H9" i="108"/>
  <c r="H47" i="108"/>
  <c r="F87" i="108"/>
  <c r="H19" i="108"/>
  <c r="H63" i="108"/>
  <c r="J86" i="108"/>
  <c r="J4" i="108"/>
  <c r="J9" i="108" s="1"/>
  <c r="G87" i="108"/>
  <c r="E87" i="108"/>
  <c r="I87" i="108"/>
  <c r="J10" i="108"/>
  <c r="J19" i="108" s="1"/>
  <c r="H31" i="108"/>
  <c r="J31" i="108" s="1"/>
  <c r="J32" i="108" s="1"/>
  <c r="J33" i="108"/>
  <c r="J47" i="108" s="1"/>
  <c r="J48" i="108"/>
  <c r="J50" i="108" s="1"/>
  <c r="J51" i="108"/>
  <c r="J63" i="108" s="1"/>
  <c r="J69" i="108"/>
  <c r="J74" i="108" s="1"/>
  <c r="H64" i="108"/>
  <c r="H68" i="108" l="1"/>
  <c r="J64" i="108"/>
  <c r="J68" i="108" s="1"/>
  <c r="J87" i="108" s="1"/>
  <c r="H32" i="108"/>
  <c r="H87" i="108" l="1"/>
  <c r="D14" i="107"/>
  <c r="E5" i="107"/>
  <c r="F5" i="107" s="1"/>
  <c r="E6" i="107"/>
  <c r="F6" i="107" s="1"/>
  <c r="E7" i="107"/>
  <c r="F7" i="107" s="1"/>
  <c r="E8" i="107"/>
  <c r="F8" i="107" s="1"/>
  <c r="E9" i="107"/>
  <c r="F9" i="107" s="1"/>
  <c r="E10" i="107"/>
  <c r="F10" i="107" s="1"/>
  <c r="E11" i="107"/>
  <c r="F11" i="107" s="1"/>
  <c r="E12" i="107"/>
  <c r="F12" i="107" s="1"/>
  <c r="E13" i="107"/>
  <c r="F13" i="107" s="1"/>
  <c r="E4" i="107"/>
  <c r="E14" i="107" s="1"/>
  <c r="F14" i="107" s="1"/>
  <c r="B14" i="107"/>
  <c r="C13" i="107"/>
  <c r="C12" i="107"/>
  <c r="C11" i="107"/>
  <c r="C10" i="107"/>
  <c r="C9" i="107"/>
  <c r="C8" i="107"/>
  <c r="C7" i="107"/>
  <c r="C6" i="107"/>
  <c r="C5" i="107"/>
  <c r="C4" i="107"/>
  <c r="C14" i="107" s="1"/>
  <c r="F4" i="107" l="1"/>
  <c r="E19" i="97"/>
  <c r="I19" i="101" l="1"/>
  <c r="Q19" i="101" l="1"/>
  <c r="F19" i="101"/>
  <c r="E19" i="101"/>
  <c r="U19" i="96"/>
  <c r="T19" i="96"/>
  <c r="R19" i="96"/>
  <c r="K19" i="96"/>
  <c r="N19" i="96"/>
  <c r="N19" i="99"/>
  <c r="E19" i="99"/>
  <c r="F37" i="106"/>
  <c r="E37" i="106"/>
  <c r="F33" i="106"/>
  <c r="E33" i="106"/>
  <c r="F30" i="106"/>
  <c r="E30" i="106"/>
  <c r="F25" i="106"/>
  <c r="E25" i="106"/>
  <c r="F22" i="106"/>
  <c r="E22" i="106"/>
  <c r="E17" i="106"/>
  <c r="F12" i="106"/>
  <c r="E12" i="106"/>
  <c r="F7" i="106"/>
  <c r="E7" i="106"/>
  <c r="F5" i="106"/>
  <c r="E5" i="106"/>
  <c r="G6" i="106"/>
  <c r="G7" i="106" s="1"/>
  <c r="F14" i="106"/>
  <c r="F17" i="106" s="1"/>
  <c r="F38" i="106" l="1"/>
  <c r="E38" i="106"/>
  <c r="G36" i="106"/>
  <c r="G35" i="106"/>
  <c r="G34" i="106"/>
  <c r="G32" i="106"/>
  <c r="G31" i="106"/>
  <c r="G33" i="106" s="1"/>
  <c r="G29" i="106"/>
  <c r="G28" i="106"/>
  <c r="G27" i="106"/>
  <c r="G26" i="106"/>
  <c r="G30" i="106" s="1"/>
  <c r="G24" i="106"/>
  <c r="G23" i="106"/>
  <c r="G21" i="106"/>
  <c r="G20" i="106"/>
  <c r="G18" i="106"/>
  <c r="G22" i="106" s="1"/>
  <c r="G16" i="106"/>
  <c r="G15" i="106"/>
  <c r="G14" i="106"/>
  <c r="G13" i="106"/>
  <c r="G17" i="106" s="1"/>
  <c r="G11" i="106"/>
  <c r="G12" i="106" s="1"/>
  <c r="G10" i="106"/>
  <c r="G9" i="106"/>
  <c r="G8" i="106"/>
  <c r="G4" i="106"/>
  <c r="G5" i="106" s="1"/>
  <c r="G25" i="106" l="1"/>
  <c r="G37" i="106"/>
  <c r="G38" i="106"/>
  <c r="F124" i="105"/>
  <c r="D124" i="105"/>
  <c r="E123" i="105"/>
  <c r="G123" i="105" s="1"/>
  <c r="G122" i="105"/>
  <c r="E121" i="105"/>
  <c r="G121" i="105" s="1"/>
  <c r="E120" i="105"/>
  <c r="G120" i="105" s="1"/>
  <c r="E119" i="105"/>
  <c r="G119" i="105" s="1"/>
  <c r="G118" i="105"/>
  <c r="E118" i="105"/>
  <c r="E117" i="105"/>
  <c r="G117" i="105" s="1"/>
  <c r="E116" i="105"/>
  <c r="G116" i="105" s="1"/>
  <c r="E115" i="105"/>
  <c r="G115" i="105" s="1"/>
  <c r="E114" i="105"/>
  <c r="G114" i="105" s="1"/>
  <c r="E113" i="105"/>
  <c r="G113" i="105" s="1"/>
  <c r="F112" i="105"/>
  <c r="D112" i="105"/>
  <c r="E111" i="105"/>
  <c r="G111" i="105" s="1"/>
  <c r="E110" i="105"/>
  <c r="G110" i="105" s="1"/>
  <c r="E109" i="105"/>
  <c r="G109" i="105" s="1"/>
  <c r="E108" i="105"/>
  <c r="G108" i="105" s="1"/>
  <c r="E107" i="105"/>
  <c r="G107" i="105" s="1"/>
  <c r="E106" i="105"/>
  <c r="G106" i="105" s="1"/>
  <c r="E105" i="105"/>
  <c r="G105" i="105" s="1"/>
  <c r="E104" i="105"/>
  <c r="G104" i="105" s="1"/>
  <c r="E103" i="105"/>
  <c r="G103" i="105" s="1"/>
  <c r="E102" i="105"/>
  <c r="G102" i="105" s="1"/>
  <c r="E101" i="105"/>
  <c r="G101" i="105" s="1"/>
  <c r="E100" i="105"/>
  <c r="G100" i="105" s="1"/>
  <c r="E99" i="105"/>
  <c r="G99" i="105" s="1"/>
  <c r="E98" i="105"/>
  <c r="G98" i="105" s="1"/>
  <c r="E97" i="105"/>
  <c r="F96" i="105"/>
  <c r="D96" i="105"/>
  <c r="E95" i="105"/>
  <c r="G95" i="105" s="1"/>
  <c r="G94" i="105"/>
  <c r="E93" i="105"/>
  <c r="G93" i="105" s="1"/>
  <c r="E92" i="105"/>
  <c r="G92" i="105" s="1"/>
  <c r="E91" i="105"/>
  <c r="G91" i="105" s="1"/>
  <c r="G90" i="105"/>
  <c r="E90" i="105"/>
  <c r="E89" i="105"/>
  <c r="G89" i="105" s="1"/>
  <c r="E88" i="105"/>
  <c r="E87" i="105"/>
  <c r="G87" i="105" s="1"/>
  <c r="F86" i="105"/>
  <c r="D86" i="105"/>
  <c r="E85" i="105"/>
  <c r="G85" i="105" s="1"/>
  <c r="G84" i="105"/>
  <c r="E84" i="105"/>
  <c r="E83" i="105"/>
  <c r="G83" i="105" s="1"/>
  <c r="E82" i="105"/>
  <c r="G82" i="105" s="1"/>
  <c r="E81" i="105"/>
  <c r="G81" i="105" s="1"/>
  <c r="G80" i="105"/>
  <c r="E80" i="105"/>
  <c r="E79" i="105"/>
  <c r="G79" i="105" s="1"/>
  <c r="E78" i="105"/>
  <c r="G78" i="105" s="1"/>
  <c r="E77" i="105"/>
  <c r="G77" i="105" s="1"/>
  <c r="E76" i="105"/>
  <c r="G76" i="105" s="1"/>
  <c r="E75" i="105"/>
  <c r="E74" i="105"/>
  <c r="G74" i="105" s="1"/>
  <c r="F73" i="105"/>
  <c r="D73" i="105"/>
  <c r="E72" i="105"/>
  <c r="G72" i="105" s="1"/>
  <c r="E71" i="105"/>
  <c r="G71" i="105" s="1"/>
  <c r="E70" i="105"/>
  <c r="G70" i="105" s="1"/>
  <c r="G69" i="105"/>
  <c r="E69" i="105"/>
  <c r="E68" i="105"/>
  <c r="G68" i="105" s="1"/>
  <c r="G67" i="105"/>
  <c r="E67" i="105"/>
  <c r="E66" i="105"/>
  <c r="G66" i="105" s="1"/>
  <c r="E65" i="105"/>
  <c r="G65" i="105" s="1"/>
  <c r="E64" i="105"/>
  <c r="G64" i="105" s="1"/>
  <c r="E63" i="105"/>
  <c r="G63" i="105" s="1"/>
  <c r="E62" i="105"/>
  <c r="G62" i="105" s="1"/>
  <c r="G61" i="105"/>
  <c r="E61" i="105"/>
  <c r="E60" i="105"/>
  <c r="G60" i="105" s="1"/>
  <c r="G59" i="105"/>
  <c r="E59" i="105"/>
  <c r="E58" i="105"/>
  <c r="G58" i="105" s="1"/>
  <c r="E57" i="105"/>
  <c r="F56" i="105"/>
  <c r="D56" i="105"/>
  <c r="E55" i="105"/>
  <c r="G55" i="105" s="1"/>
  <c r="E54" i="105"/>
  <c r="G54" i="105" s="1"/>
  <c r="E53" i="105"/>
  <c r="G53" i="105" s="1"/>
  <c r="E52" i="105"/>
  <c r="G52" i="105" s="1"/>
  <c r="E51" i="105"/>
  <c r="G51" i="105" s="1"/>
  <c r="E50" i="105"/>
  <c r="G50" i="105" s="1"/>
  <c r="E49" i="105"/>
  <c r="G49" i="105" s="1"/>
  <c r="E48" i="105"/>
  <c r="G48" i="105" s="1"/>
  <c r="E47" i="105"/>
  <c r="G47" i="105" s="1"/>
  <c r="E46" i="105"/>
  <c r="G46" i="105" s="1"/>
  <c r="E45" i="105"/>
  <c r="G45" i="105" s="1"/>
  <c r="E44" i="105"/>
  <c r="G44" i="105" s="1"/>
  <c r="E43" i="105"/>
  <c r="G43" i="105" s="1"/>
  <c r="E42" i="105"/>
  <c r="G42" i="105" s="1"/>
  <c r="E41" i="105"/>
  <c r="G41" i="105" s="1"/>
  <c r="E40" i="105"/>
  <c r="G40" i="105" s="1"/>
  <c r="E39" i="105"/>
  <c r="G39" i="105" s="1"/>
  <c r="E38" i="105"/>
  <c r="G38" i="105" s="1"/>
  <c r="E37" i="105"/>
  <c r="F36" i="105"/>
  <c r="D36" i="105"/>
  <c r="E35" i="105"/>
  <c r="G35" i="105" s="1"/>
  <c r="E34" i="105"/>
  <c r="G34" i="105" s="1"/>
  <c r="E33" i="105"/>
  <c r="G33" i="105" s="1"/>
  <c r="E32" i="105"/>
  <c r="G32" i="105" s="1"/>
  <c r="E31" i="105"/>
  <c r="G31" i="105" s="1"/>
  <c r="E30" i="105"/>
  <c r="G30" i="105" s="1"/>
  <c r="E29" i="105"/>
  <c r="G29" i="105" s="1"/>
  <c r="E28" i="105"/>
  <c r="G28" i="105" s="1"/>
  <c r="E27" i="105"/>
  <c r="G27" i="105" s="1"/>
  <c r="E26" i="105"/>
  <c r="G26" i="105" s="1"/>
  <c r="E25" i="105"/>
  <c r="G25" i="105" s="1"/>
  <c r="E24" i="105"/>
  <c r="G24" i="105" s="1"/>
  <c r="E23" i="105"/>
  <c r="G23" i="105" s="1"/>
  <c r="E22" i="105"/>
  <c r="G22" i="105" s="1"/>
  <c r="E21" i="105"/>
  <c r="G21" i="105" s="1"/>
  <c r="E20" i="105"/>
  <c r="G20" i="105" s="1"/>
  <c r="E19" i="105"/>
  <c r="G19" i="105" s="1"/>
  <c r="E18" i="105"/>
  <c r="G18" i="105" s="1"/>
  <c r="E17" i="105"/>
  <c r="G17" i="105" s="1"/>
  <c r="E16" i="105"/>
  <c r="F15" i="105"/>
  <c r="D15" i="105"/>
  <c r="E14" i="105"/>
  <c r="G14" i="105" s="1"/>
  <c r="E13" i="105"/>
  <c r="G13" i="105" s="1"/>
  <c r="E12" i="105"/>
  <c r="G12" i="105" s="1"/>
  <c r="E11" i="105"/>
  <c r="G11" i="105" s="1"/>
  <c r="E10" i="105"/>
  <c r="G10" i="105" s="1"/>
  <c r="G15" i="105" s="1"/>
  <c r="F9" i="105"/>
  <c r="D9" i="105"/>
  <c r="E8" i="105"/>
  <c r="G8" i="105" s="1"/>
  <c r="E7" i="105"/>
  <c r="G7" i="105" s="1"/>
  <c r="E6" i="105"/>
  <c r="G6" i="105" s="1"/>
  <c r="E5" i="105"/>
  <c r="G5" i="105" s="1"/>
  <c r="E4" i="105"/>
  <c r="G124" i="105" l="1"/>
  <c r="E96" i="105"/>
  <c r="D125" i="105"/>
  <c r="G88" i="105"/>
  <c r="G96" i="105" s="1"/>
  <c r="F125" i="105"/>
  <c r="E56" i="105"/>
  <c r="E86" i="105"/>
  <c r="E73" i="105"/>
  <c r="E9" i="105"/>
  <c r="E36" i="105"/>
  <c r="E112" i="105"/>
  <c r="G86" i="105"/>
  <c r="G4" i="105"/>
  <c r="G9" i="105" s="1"/>
  <c r="E15" i="105"/>
  <c r="G16" i="105"/>
  <c r="G36" i="105" s="1"/>
  <c r="G37" i="105"/>
  <c r="G56" i="105" s="1"/>
  <c r="G75" i="105"/>
  <c r="G97" i="105"/>
  <c r="G112" i="105" s="1"/>
  <c r="G57" i="105"/>
  <c r="G73" i="105" s="1"/>
  <c r="E124" i="105"/>
  <c r="G125" i="105" l="1"/>
  <c r="E125" i="105"/>
  <c r="AQ5" i="104" l="1"/>
  <c r="AQ23" i="104" l="1"/>
  <c r="AP23" i="104" l="1"/>
  <c r="AN23" i="104" l="1"/>
  <c r="AO23" i="104" l="1"/>
  <c r="AD5" i="104"/>
  <c r="AD23" i="104" l="1"/>
  <c r="AJ5" i="104"/>
  <c r="AJ23" i="104" l="1"/>
  <c r="AB23" i="104" l="1"/>
  <c r="AA23" i="104"/>
  <c r="Z23" i="104"/>
  <c r="Y23" i="104"/>
  <c r="W23" i="104"/>
  <c r="V23" i="104"/>
  <c r="U23" i="104"/>
  <c r="T23" i="104"/>
  <c r="M23" i="104"/>
  <c r="L23" i="104"/>
  <c r="K23" i="104"/>
  <c r="J23" i="104"/>
  <c r="H23" i="104"/>
  <c r="G23" i="104"/>
  <c r="F23" i="104"/>
  <c r="E23" i="104"/>
  <c r="D23" i="104"/>
  <c r="AC5" i="104"/>
  <c r="X5" i="104"/>
  <c r="R5" i="104"/>
  <c r="Q5" i="104"/>
  <c r="P5" i="104"/>
  <c r="O5" i="104"/>
  <c r="N5" i="104"/>
  <c r="I5" i="104"/>
  <c r="AU5" i="104" l="1"/>
  <c r="AW5" i="104" s="1"/>
  <c r="AG5" i="104"/>
  <c r="AF5" i="104"/>
  <c r="AE5" i="104"/>
  <c r="AL5" i="104"/>
  <c r="AK5" i="104"/>
  <c r="AI5" i="104"/>
  <c r="P23" i="104"/>
  <c r="N23" i="104"/>
  <c r="X23" i="104"/>
  <c r="O23" i="104"/>
  <c r="R23" i="104"/>
  <c r="I23" i="104"/>
  <c r="Q23" i="104"/>
  <c r="AH5" i="104"/>
  <c r="AC23" i="104"/>
  <c r="S5" i="104"/>
  <c r="AU23" i="104" l="1"/>
  <c r="AW23" i="104"/>
  <c r="AK23" i="104"/>
  <c r="AG23" i="104"/>
  <c r="AI23" i="104"/>
  <c r="AF23" i="104"/>
  <c r="AH23" i="104"/>
  <c r="AE23" i="104"/>
  <c r="AL23" i="104"/>
  <c r="S23" i="104"/>
  <c r="AM5" i="104"/>
  <c r="AM23" i="104" l="1"/>
  <c r="J30" i="102" l="1"/>
  <c r="N30" i="99" l="1"/>
  <c r="I30" i="99"/>
  <c r="L30" i="99"/>
  <c r="G30" i="95"/>
  <c r="G30" i="94"/>
  <c r="P56" i="103" l="1"/>
  <c r="M18" i="103" l="1"/>
  <c r="M37" i="103"/>
  <c r="M39" i="103"/>
  <c r="M41" i="103"/>
  <c r="M42" i="103"/>
  <c r="M58" i="103"/>
  <c r="M61" i="103"/>
  <c r="M70" i="103"/>
  <c r="M74" i="103"/>
  <c r="M75" i="103"/>
  <c r="L65" i="103"/>
  <c r="L66" i="103"/>
  <c r="K65" i="103"/>
  <c r="K69" i="103"/>
  <c r="K73" i="103"/>
  <c r="J26" i="103"/>
  <c r="J55" i="103"/>
  <c r="J64" i="103"/>
  <c r="J66" i="103"/>
  <c r="J67" i="103"/>
  <c r="J69" i="103"/>
  <c r="I11" i="103"/>
  <c r="I13" i="103"/>
  <c r="I18" i="103"/>
  <c r="I35" i="103"/>
  <c r="I37" i="103"/>
  <c r="I39" i="103"/>
  <c r="I48" i="103"/>
  <c r="I50" i="103"/>
  <c r="I64" i="103"/>
  <c r="I66" i="103"/>
  <c r="I67" i="103"/>
  <c r="H37" i="103"/>
  <c r="H61" i="103"/>
  <c r="H62" i="103"/>
  <c r="H69" i="103"/>
  <c r="H71" i="103"/>
  <c r="H72" i="103"/>
  <c r="H73" i="103"/>
  <c r="H74" i="103"/>
  <c r="G15" i="103"/>
  <c r="G30" i="103"/>
  <c r="G39" i="103"/>
  <c r="G44" i="103"/>
  <c r="G58" i="103"/>
  <c r="G59" i="103"/>
  <c r="G61" i="103"/>
  <c r="G71" i="103"/>
  <c r="G72" i="103"/>
  <c r="G73" i="103"/>
  <c r="F19" i="103"/>
  <c r="F65" i="103"/>
  <c r="F66" i="103"/>
  <c r="E39" i="103"/>
  <c r="E65" i="103"/>
  <c r="E66" i="103"/>
  <c r="P75" i="102"/>
  <c r="P74" i="102"/>
  <c r="P73" i="102"/>
  <c r="M73" i="103" s="1"/>
  <c r="P72" i="102"/>
  <c r="M72" i="103" s="1"/>
  <c r="P71" i="102"/>
  <c r="M71" i="103" s="1"/>
  <c r="P70" i="102"/>
  <c r="P69" i="102"/>
  <c r="M69" i="103" s="1"/>
  <c r="O68" i="102"/>
  <c r="N68" i="102"/>
  <c r="M68" i="102"/>
  <c r="L68" i="102"/>
  <c r="K68" i="102"/>
  <c r="J68" i="102"/>
  <c r="I68" i="102"/>
  <c r="H68" i="102"/>
  <c r="G68" i="102"/>
  <c r="F68" i="102"/>
  <c r="E68" i="102"/>
  <c r="P67" i="102"/>
  <c r="M67" i="103" s="1"/>
  <c r="P66" i="102"/>
  <c r="M66" i="103" s="1"/>
  <c r="P65" i="102"/>
  <c r="M65" i="103" s="1"/>
  <c r="P64" i="102"/>
  <c r="M64" i="103" s="1"/>
  <c r="O63" i="102"/>
  <c r="N63" i="102"/>
  <c r="M63" i="102"/>
  <c r="L63" i="102"/>
  <c r="K63" i="102"/>
  <c r="J63" i="102"/>
  <c r="I63" i="102"/>
  <c r="H63" i="102"/>
  <c r="G63" i="102"/>
  <c r="F63" i="102"/>
  <c r="E63" i="102"/>
  <c r="P62" i="102"/>
  <c r="M62" i="103" s="1"/>
  <c r="P61" i="102"/>
  <c r="O60" i="102"/>
  <c r="N60" i="102"/>
  <c r="M60" i="102"/>
  <c r="L60" i="102"/>
  <c r="K60" i="102"/>
  <c r="J60" i="102"/>
  <c r="I60" i="102"/>
  <c r="H60" i="102"/>
  <c r="G60" i="102"/>
  <c r="F60" i="102"/>
  <c r="E60" i="102"/>
  <c r="E59" i="102"/>
  <c r="P59" i="102" s="1"/>
  <c r="M59" i="103" s="1"/>
  <c r="P58" i="102"/>
  <c r="O57" i="102"/>
  <c r="O56" i="102" s="1"/>
  <c r="N57" i="102"/>
  <c r="N56" i="102" s="1"/>
  <c r="M57" i="102"/>
  <c r="M56" i="102" s="1"/>
  <c r="M40" i="102" s="1"/>
  <c r="L57" i="102"/>
  <c r="L56" i="102" s="1"/>
  <c r="L40" i="102" s="1"/>
  <c r="K57" i="102"/>
  <c r="J57" i="102"/>
  <c r="J56" i="102" s="1"/>
  <c r="J40" i="102" s="1"/>
  <c r="I57" i="102"/>
  <c r="H57" i="102"/>
  <c r="G57" i="102"/>
  <c r="F57" i="102"/>
  <c r="E57" i="102"/>
  <c r="E56" i="102" s="1"/>
  <c r="K56" i="102"/>
  <c r="I56" i="102"/>
  <c r="H56" i="102"/>
  <c r="G56" i="102"/>
  <c r="F56" i="102"/>
  <c r="P55" i="102"/>
  <c r="M55" i="103" s="1"/>
  <c r="O54" i="102"/>
  <c r="N54" i="102"/>
  <c r="M54" i="102"/>
  <c r="L54" i="102"/>
  <c r="K54" i="102"/>
  <c r="J54" i="102"/>
  <c r="I54" i="102"/>
  <c r="H54" i="102"/>
  <c r="G54" i="102"/>
  <c r="F54" i="102"/>
  <c r="E54" i="102"/>
  <c r="P53" i="102"/>
  <c r="M53" i="103" s="1"/>
  <c r="O52" i="102"/>
  <c r="N52" i="102"/>
  <c r="M52" i="102"/>
  <c r="L52" i="102"/>
  <c r="K52" i="102"/>
  <c r="J52" i="102"/>
  <c r="I52" i="102"/>
  <c r="H52" i="102"/>
  <c r="G52" i="102"/>
  <c r="F52" i="102"/>
  <c r="E52" i="102"/>
  <c r="P51" i="102"/>
  <c r="M51" i="103" s="1"/>
  <c r="P50" i="102"/>
  <c r="M50" i="103" s="1"/>
  <c r="O49" i="102"/>
  <c r="N49" i="102"/>
  <c r="M49" i="102"/>
  <c r="L49" i="102"/>
  <c r="K49" i="102"/>
  <c r="J49" i="102"/>
  <c r="I49" i="102"/>
  <c r="H49" i="102"/>
  <c r="G49" i="102"/>
  <c r="F49" i="102"/>
  <c r="E49" i="102"/>
  <c r="P48" i="102"/>
  <c r="M48" i="103" s="1"/>
  <c r="O47" i="102"/>
  <c r="N47" i="102"/>
  <c r="M47" i="102"/>
  <c r="L47" i="102"/>
  <c r="K47" i="102"/>
  <c r="J47" i="102"/>
  <c r="I47" i="102"/>
  <c r="H47" i="102"/>
  <c r="G47" i="102"/>
  <c r="F47" i="102"/>
  <c r="E47" i="102"/>
  <c r="P46" i="102"/>
  <c r="M46" i="103" s="1"/>
  <c r="O45" i="102"/>
  <c r="N45" i="102"/>
  <c r="M45" i="102"/>
  <c r="L45" i="102"/>
  <c r="K45" i="102"/>
  <c r="J45" i="102"/>
  <c r="I45" i="102"/>
  <c r="H45" i="102"/>
  <c r="G45" i="102"/>
  <c r="F45" i="102"/>
  <c r="E45" i="102"/>
  <c r="P45" i="102" s="1"/>
  <c r="M45" i="103" s="1"/>
  <c r="P44" i="102"/>
  <c r="M44" i="103" s="1"/>
  <c r="O43" i="102"/>
  <c r="N43" i="102"/>
  <c r="M43" i="102"/>
  <c r="L43" i="102"/>
  <c r="K43" i="102"/>
  <c r="J43" i="102"/>
  <c r="I43" i="102"/>
  <c r="H43" i="102"/>
  <c r="G43" i="102"/>
  <c r="F43" i="102"/>
  <c r="E43" i="102"/>
  <c r="P43" i="102" s="1"/>
  <c r="M43" i="103" s="1"/>
  <c r="P42" i="102"/>
  <c r="P41" i="102"/>
  <c r="O40" i="102"/>
  <c r="I40" i="102"/>
  <c r="H40" i="102"/>
  <c r="G40" i="102"/>
  <c r="F40" i="102"/>
  <c r="P39" i="102"/>
  <c r="O38" i="102"/>
  <c r="N38" i="102"/>
  <c r="M38" i="102"/>
  <c r="L38" i="102"/>
  <c r="K38" i="102"/>
  <c r="J38" i="102"/>
  <c r="I38" i="102"/>
  <c r="H38" i="102"/>
  <c r="G38" i="102"/>
  <c r="F38" i="102"/>
  <c r="E38" i="102"/>
  <c r="P37" i="102"/>
  <c r="O36" i="102"/>
  <c r="N36" i="102"/>
  <c r="M36" i="102"/>
  <c r="L36" i="102"/>
  <c r="K36" i="102"/>
  <c r="J36" i="102"/>
  <c r="I36" i="102"/>
  <c r="H36" i="102"/>
  <c r="G36" i="102"/>
  <c r="F36" i="102"/>
  <c r="E36" i="102"/>
  <c r="P35" i="102"/>
  <c r="M35" i="103" s="1"/>
  <c r="O34" i="102"/>
  <c r="O33" i="102" s="1"/>
  <c r="N34" i="102"/>
  <c r="N33" i="102" s="1"/>
  <c r="M34" i="102"/>
  <c r="L34" i="102"/>
  <c r="K34" i="102"/>
  <c r="J34" i="102"/>
  <c r="I34" i="102"/>
  <c r="I33" i="102" s="1"/>
  <c r="H34" i="102"/>
  <c r="H33" i="102" s="1"/>
  <c r="G34" i="102"/>
  <c r="F34" i="102"/>
  <c r="F33" i="102" s="1"/>
  <c r="E34" i="102"/>
  <c r="M33" i="102"/>
  <c r="L33" i="102"/>
  <c r="K33" i="102"/>
  <c r="J33" i="102"/>
  <c r="G33" i="102"/>
  <c r="P32" i="102"/>
  <c r="M32" i="103" s="1"/>
  <c r="P31" i="102"/>
  <c r="M31" i="103" s="1"/>
  <c r="P30" i="102"/>
  <c r="O29" i="102"/>
  <c r="N29" i="102"/>
  <c r="M29" i="102"/>
  <c r="L29" i="102"/>
  <c r="K29" i="102"/>
  <c r="J29" i="102"/>
  <c r="I29" i="102"/>
  <c r="H29" i="102"/>
  <c r="G29" i="102"/>
  <c r="F29" i="102"/>
  <c r="E29" i="102"/>
  <c r="P28" i="102"/>
  <c r="M28" i="103" s="1"/>
  <c r="O27" i="102"/>
  <c r="N27" i="102"/>
  <c r="M27" i="102"/>
  <c r="L27" i="102"/>
  <c r="K27" i="102"/>
  <c r="J27" i="102"/>
  <c r="I27" i="102"/>
  <c r="H27" i="102"/>
  <c r="G27" i="102"/>
  <c r="F27" i="102"/>
  <c r="E27" i="102"/>
  <c r="P26" i="102"/>
  <c r="M26" i="103" s="1"/>
  <c r="P25" i="102"/>
  <c r="M25" i="103" s="1"/>
  <c r="O24" i="102"/>
  <c r="N24" i="102"/>
  <c r="M24" i="102"/>
  <c r="L24" i="102"/>
  <c r="K24" i="102"/>
  <c r="J24" i="102"/>
  <c r="I24" i="102"/>
  <c r="H24" i="102"/>
  <c r="G24" i="102"/>
  <c r="F24" i="102"/>
  <c r="E24" i="102"/>
  <c r="P23" i="102"/>
  <c r="O22" i="102"/>
  <c r="N22" i="102"/>
  <c r="N6" i="102" s="1"/>
  <c r="M22" i="102"/>
  <c r="L22" i="102"/>
  <c r="K22" i="102"/>
  <c r="J22" i="102"/>
  <c r="I22" i="102"/>
  <c r="H22" i="102"/>
  <c r="G22" i="102"/>
  <c r="F22" i="102"/>
  <c r="E22" i="102"/>
  <c r="P21" i="102"/>
  <c r="M21" i="103" s="1"/>
  <c r="P20" i="102"/>
  <c r="M20" i="103" s="1"/>
  <c r="P19" i="102"/>
  <c r="M19" i="103" s="1"/>
  <c r="P18" i="102"/>
  <c r="O17" i="102"/>
  <c r="N17" i="102"/>
  <c r="M17" i="102"/>
  <c r="L17" i="102"/>
  <c r="K17" i="102"/>
  <c r="J17" i="102"/>
  <c r="I17" i="102"/>
  <c r="H17" i="102"/>
  <c r="G17" i="102"/>
  <c r="F17" i="102"/>
  <c r="E17" i="102"/>
  <c r="P16" i="102"/>
  <c r="P15" i="102"/>
  <c r="M15" i="103" s="1"/>
  <c r="O14" i="102"/>
  <c r="N14" i="102"/>
  <c r="M14" i="102"/>
  <c r="L14" i="102"/>
  <c r="K14" i="102"/>
  <c r="J14" i="102"/>
  <c r="I14" i="102"/>
  <c r="H14" i="102"/>
  <c r="G14" i="102"/>
  <c r="F14" i="102"/>
  <c r="E14" i="102"/>
  <c r="P13" i="102"/>
  <c r="M13" i="103" s="1"/>
  <c r="O12" i="102"/>
  <c r="N12" i="102"/>
  <c r="M12" i="102"/>
  <c r="L12" i="102"/>
  <c r="K12" i="102"/>
  <c r="J12" i="102"/>
  <c r="I12" i="102"/>
  <c r="H12" i="102"/>
  <c r="H10" i="102" s="1"/>
  <c r="G12" i="102"/>
  <c r="F12" i="102"/>
  <c r="E12" i="102"/>
  <c r="P11" i="102"/>
  <c r="M11" i="103" s="1"/>
  <c r="O10" i="102"/>
  <c r="N10" i="102"/>
  <c r="M10" i="102"/>
  <c r="L10" i="102"/>
  <c r="K10" i="102"/>
  <c r="J10" i="102"/>
  <c r="I10" i="102"/>
  <c r="G10" i="102"/>
  <c r="F10" i="102"/>
  <c r="F6" i="102" s="1"/>
  <c r="F5" i="102" s="1"/>
  <c r="E10" i="102"/>
  <c r="P9" i="102"/>
  <c r="M9" i="103" s="1"/>
  <c r="P8" i="102"/>
  <c r="M8" i="103" s="1"/>
  <c r="O7" i="102"/>
  <c r="N7" i="102"/>
  <c r="M7" i="102"/>
  <c r="L7" i="102"/>
  <c r="L6" i="102" s="1"/>
  <c r="K7" i="102"/>
  <c r="J7" i="102"/>
  <c r="I7" i="102"/>
  <c r="H7" i="102"/>
  <c r="G7" i="102"/>
  <c r="G6" i="102" s="1"/>
  <c r="G5" i="102" s="1"/>
  <c r="F7" i="102"/>
  <c r="E7" i="102"/>
  <c r="J6" i="102"/>
  <c r="J5" i="102" s="1"/>
  <c r="O75" i="101"/>
  <c r="L75" i="101"/>
  <c r="K75" i="101"/>
  <c r="S74" i="101"/>
  <c r="O74" i="101"/>
  <c r="L74" i="101"/>
  <c r="K74" i="101"/>
  <c r="T73" i="101"/>
  <c r="L73" i="103" s="1"/>
  <c r="T72" i="101"/>
  <c r="L72" i="103" s="1"/>
  <c r="T71" i="101"/>
  <c r="L71" i="103" s="1"/>
  <c r="T70" i="101"/>
  <c r="L70" i="103" s="1"/>
  <c r="T69" i="101"/>
  <c r="L69" i="103" s="1"/>
  <c r="S68" i="101"/>
  <c r="R68" i="101"/>
  <c r="Q68" i="101"/>
  <c r="P68" i="101"/>
  <c r="O68" i="101"/>
  <c r="N68" i="101"/>
  <c r="M68" i="101"/>
  <c r="L68" i="101"/>
  <c r="K68" i="101"/>
  <c r="J68" i="101"/>
  <c r="I68" i="101"/>
  <c r="H68" i="101"/>
  <c r="G68" i="101"/>
  <c r="F68" i="101"/>
  <c r="E68" i="101"/>
  <c r="T67" i="101"/>
  <c r="L67" i="103" s="1"/>
  <c r="T66" i="101"/>
  <c r="T65" i="101"/>
  <c r="T64" i="101"/>
  <c r="L64" i="103" s="1"/>
  <c r="S63" i="101"/>
  <c r="R63" i="101"/>
  <c r="R44" i="101" s="1"/>
  <c r="R43" i="101" s="1"/>
  <c r="Q63" i="101"/>
  <c r="Q44" i="101" s="1"/>
  <c r="P63" i="101"/>
  <c r="O63" i="101"/>
  <c r="O44" i="101" s="1"/>
  <c r="O43" i="101" s="1"/>
  <c r="N63" i="101"/>
  <c r="M63" i="101"/>
  <c r="L63" i="101"/>
  <c r="K63" i="101"/>
  <c r="J63" i="101"/>
  <c r="I63" i="101"/>
  <c r="H63" i="101"/>
  <c r="H44" i="101" s="1"/>
  <c r="H43" i="101" s="1"/>
  <c r="G63" i="101"/>
  <c r="F63" i="101"/>
  <c r="F44" i="101" s="1"/>
  <c r="F43" i="101" s="1"/>
  <c r="E63" i="101"/>
  <c r="T62" i="101"/>
  <c r="L62" i="103" s="1"/>
  <c r="T61" i="101"/>
  <c r="L61" i="103" s="1"/>
  <c r="S60" i="101"/>
  <c r="R60" i="101"/>
  <c r="Q60" i="101"/>
  <c r="P60" i="101"/>
  <c r="O60" i="101"/>
  <c r="N60" i="101"/>
  <c r="M60" i="101"/>
  <c r="L60" i="101"/>
  <c r="K60" i="101"/>
  <c r="J60" i="101"/>
  <c r="I60" i="101"/>
  <c r="H60" i="101"/>
  <c r="G60" i="101"/>
  <c r="F60" i="101"/>
  <c r="E60" i="101"/>
  <c r="S59" i="101"/>
  <c r="R59" i="101"/>
  <c r="Q59" i="101"/>
  <c r="P59" i="101"/>
  <c r="P56" i="101" s="1"/>
  <c r="O59" i="101"/>
  <c r="N59" i="101"/>
  <c r="M59" i="101"/>
  <c r="L59" i="101"/>
  <c r="K59" i="101"/>
  <c r="K56" i="101" s="1"/>
  <c r="J59" i="101"/>
  <c r="I59" i="101"/>
  <c r="H59" i="101"/>
  <c r="G59" i="101"/>
  <c r="F59" i="101"/>
  <c r="E59" i="101"/>
  <c r="S58" i="101"/>
  <c r="R58" i="101"/>
  <c r="P58" i="101"/>
  <c r="O58" i="101"/>
  <c r="O57" i="101" s="1"/>
  <c r="O56" i="101" s="1"/>
  <c r="M58" i="101"/>
  <c r="M57" i="101" s="1"/>
  <c r="L58" i="101"/>
  <c r="L57" i="101" s="1"/>
  <c r="K58" i="101"/>
  <c r="I58" i="101"/>
  <c r="H58" i="101"/>
  <c r="G58" i="101"/>
  <c r="F58" i="101"/>
  <c r="F57" i="101" s="1"/>
  <c r="E58" i="101"/>
  <c r="S57" i="101"/>
  <c r="R57" i="101"/>
  <c r="Q57" i="101"/>
  <c r="P57" i="101"/>
  <c r="N57" i="101"/>
  <c r="K57" i="101"/>
  <c r="J57" i="101"/>
  <c r="J56" i="101" s="1"/>
  <c r="I57" i="101"/>
  <c r="H57" i="101"/>
  <c r="G57" i="101"/>
  <c r="G56" i="101" s="1"/>
  <c r="E57" i="101"/>
  <c r="S56" i="101"/>
  <c r="Q56" i="101"/>
  <c r="T55" i="101"/>
  <c r="L55" i="103" s="1"/>
  <c r="S54" i="101"/>
  <c r="R54" i="101"/>
  <c r="Q54" i="101"/>
  <c r="P54" i="101"/>
  <c r="O54" i="101"/>
  <c r="N54" i="101"/>
  <c r="M54" i="101"/>
  <c r="L54" i="101"/>
  <c r="K54" i="101"/>
  <c r="J54" i="101"/>
  <c r="I54" i="101"/>
  <c r="H54" i="101"/>
  <c r="G54" i="101"/>
  <c r="F54" i="101"/>
  <c r="E54" i="101"/>
  <c r="S51" i="101"/>
  <c r="R51" i="101"/>
  <c r="P51" i="101"/>
  <c r="P49" i="101" s="1"/>
  <c r="O51" i="101"/>
  <c r="O49" i="101" s="1"/>
  <c r="N51" i="101"/>
  <c r="M51" i="101"/>
  <c r="L51" i="101"/>
  <c r="K51" i="101"/>
  <c r="I51" i="101"/>
  <c r="H51" i="101"/>
  <c r="G51" i="101"/>
  <c r="F51" i="101"/>
  <c r="E51" i="101"/>
  <c r="S50" i="101"/>
  <c r="S49" i="101" s="1"/>
  <c r="R50" i="101"/>
  <c r="Q50" i="101"/>
  <c r="Q49" i="101" s="1"/>
  <c r="P50" i="101"/>
  <c r="O50" i="101"/>
  <c r="N50" i="101"/>
  <c r="M50" i="101"/>
  <c r="L50" i="101"/>
  <c r="L49" i="101" s="1"/>
  <c r="K50" i="101"/>
  <c r="J50" i="101"/>
  <c r="J49" i="101" s="1"/>
  <c r="I50" i="101"/>
  <c r="H50" i="101"/>
  <c r="H49" i="101" s="1"/>
  <c r="G50" i="101"/>
  <c r="G49" i="101" s="1"/>
  <c r="F50" i="101"/>
  <c r="F49" i="101" s="1"/>
  <c r="E50" i="101"/>
  <c r="N49" i="101"/>
  <c r="M49" i="101"/>
  <c r="K49" i="101"/>
  <c r="I49" i="101"/>
  <c r="S48" i="101"/>
  <c r="R48" i="101"/>
  <c r="R47" i="101" s="1"/>
  <c r="Q48" i="101"/>
  <c r="P48" i="101"/>
  <c r="O48" i="101"/>
  <c r="N48" i="101"/>
  <c r="M48" i="101"/>
  <c r="M47" i="101" s="1"/>
  <c r="L48" i="101"/>
  <c r="L47" i="101" s="1"/>
  <c r="K48" i="101"/>
  <c r="K47" i="101" s="1"/>
  <c r="J48" i="101"/>
  <c r="I48" i="101"/>
  <c r="H48" i="101"/>
  <c r="G48" i="101"/>
  <c r="F48" i="101"/>
  <c r="F47" i="101" s="1"/>
  <c r="E48" i="101"/>
  <c r="S47" i="101"/>
  <c r="Q47" i="101"/>
  <c r="P47" i="101"/>
  <c r="O47" i="101"/>
  <c r="N47" i="101"/>
  <c r="J47" i="101"/>
  <c r="I47" i="101"/>
  <c r="H47" i="101"/>
  <c r="G47" i="101"/>
  <c r="E47" i="101"/>
  <c r="S46" i="101"/>
  <c r="S45" i="101" s="1"/>
  <c r="R46" i="101"/>
  <c r="R45" i="101" s="1"/>
  <c r="Q46" i="101"/>
  <c r="Q45" i="101" s="1"/>
  <c r="P46" i="101"/>
  <c r="O46" i="101"/>
  <c r="N46" i="101"/>
  <c r="M46" i="101"/>
  <c r="L46" i="101"/>
  <c r="L45" i="101" s="1"/>
  <c r="J46" i="101"/>
  <c r="I46" i="101"/>
  <c r="H46" i="101"/>
  <c r="G46" i="101"/>
  <c r="G45" i="101" s="1"/>
  <c r="F46" i="101"/>
  <c r="F45" i="101" s="1"/>
  <c r="E46" i="101"/>
  <c r="P45" i="101"/>
  <c r="O45" i="101"/>
  <c r="N45" i="101"/>
  <c r="M45" i="101"/>
  <c r="J45" i="101"/>
  <c r="I45" i="101"/>
  <c r="H45" i="101"/>
  <c r="S44" i="101"/>
  <c r="P44" i="101"/>
  <c r="P43" i="101" s="1"/>
  <c r="N44" i="101"/>
  <c r="M44" i="101"/>
  <c r="M43" i="101" s="1"/>
  <c r="L44" i="101"/>
  <c r="L43" i="101" s="1"/>
  <c r="K44" i="101"/>
  <c r="K43" i="101" s="1"/>
  <c r="J44" i="101"/>
  <c r="I44" i="101"/>
  <c r="G44" i="101"/>
  <c r="S43" i="101"/>
  <c r="Q43" i="101"/>
  <c r="N43" i="101"/>
  <c r="J43" i="101"/>
  <c r="I43" i="101"/>
  <c r="G43" i="101"/>
  <c r="S42" i="101"/>
  <c r="Q42" i="101"/>
  <c r="O42" i="101"/>
  <c r="N42" i="101"/>
  <c r="M42" i="101"/>
  <c r="L42" i="101"/>
  <c r="K42" i="101"/>
  <c r="J42" i="101"/>
  <c r="I42" i="101"/>
  <c r="G42" i="101"/>
  <c r="F42" i="101"/>
  <c r="E42" i="101"/>
  <c r="S41" i="101"/>
  <c r="Q41" i="101"/>
  <c r="O41" i="101"/>
  <c r="N41" i="101"/>
  <c r="M41" i="101"/>
  <c r="L41" i="101"/>
  <c r="K41" i="101"/>
  <c r="J41" i="101"/>
  <c r="I41" i="101"/>
  <c r="G41" i="101"/>
  <c r="F41" i="101"/>
  <c r="E41" i="101"/>
  <c r="T39" i="101"/>
  <c r="L39" i="103" s="1"/>
  <c r="S38" i="101"/>
  <c r="R38" i="101"/>
  <c r="Q38" i="101"/>
  <c r="P38" i="101"/>
  <c r="O38" i="101"/>
  <c r="N38" i="101"/>
  <c r="M38" i="101"/>
  <c r="L38" i="101"/>
  <c r="K38" i="101"/>
  <c r="J38" i="101"/>
  <c r="I38" i="101"/>
  <c r="H38" i="101"/>
  <c r="G38" i="101"/>
  <c r="F38" i="101"/>
  <c r="E38" i="101"/>
  <c r="S37" i="101"/>
  <c r="S36" i="101" s="1"/>
  <c r="R37" i="101"/>
  <c r="Q37" i="101"/>
  <c r="Q36" i="101" s="1"/>
  <c r="P37" i="101"/>
  <c r="P36" i="101" s="1"/>
  <c r="O37" i="101"/>
  <c r="O36" i="101" s="1"/>
  <c r="N37" i="101"/>
  <c r="N36" i="101" s="1"/>
  <c r="M37" i="101"/>
  <c r="L37" i="101"/>
  <c r="L36" i="101" s="1"/>
  <c r="K37" i="101"/>
  <c r="K36" i="101" s="1"/>
  <c r="J37" i="101"/>
  <c r="J36" i="101" s="1"/>
  <c r="I37" i="101"/>
  <c r="I36" i="101" s="1"/>
  <c r="H37" i="101"/>
  <c r="H36" i="101" s="1"/>
  <c r="G37" i="101"/>
  <c r="G36" i="101" s="1"/>
  <c r="F37" i="101"/>
  <c r="E37" i="101"/>
  <c r="R36" i="101"/>
  <c r="M36" i="101"/>
  <c r="F36" i="101"/>
  <c r="E36" i="101"/>
  <c r="S35" i="101"/>
  <c r="S34" i="101" s="1"/>
  <c r="R35" i="101"/>
  <c r="R34" i="101" s="1"/>
  <c r="Q35" i="101"/>
  <c r="Q34" i="101" s="1"/>
  <c r="P35" i="101"/>
  <c r="P34" i="101" s="1"/>
  <c r="O35" i="101"/>
  <c r="N35" i="101"/>
  <c r="N34" i="101" s="1"/>
  <c r="M35" i="101"/>
  <c r="M34" i="101" s="1"/>
  <c r="L35" i="101"/>
  <c r="L34" i="101" s="1"/>
  <c r="K34" i="101"/>
  <c r="J35" i="101"/>
  <c r="J34" i="101" s="1"/>
  <c r="I35" i="101"/>
  <c r="I34" i="101" s="1"/>
  <c r="H35" i="101"/>
  <c r="H34" i="101" s="1"/>
  <c r="G35" i="101"/>
  <c r="G34" i="101" s="1"/>
  <c r="F35" i="101"/>
  <c r="F34" i="101" s="1"/>
  <c r="E35" i="101"/>
  <c r="E34" i="101" s="1"/>
  <c r="O34" i="101"/>
  <c r="T32" i="101"/>
  <c r="L32" i="103" s="1"/>
  <c r="S31" i="101"/>
  <c r="S53" i="101" s="1"/>
  <c r="S52" i="101" s="1"/>
  <c r="R31" i="101"/>
  <c r="R53" i="101" s="1"/>
  <c r="R52" i="101" s="1"/>
  <c r="Q31" i="101"/>
  <c r="Q53" i="101" s="1"/>
  <c r="Q52" i="101" s="1"/>
  <c r="P31" i="101"/>
  <c r="P53" i="101" s="1"/>
  <c r="P52" i="101" s="1"/>
  <c r="O31" i="101"/>
  <c r="O53" i="101" s="1"/>
  <c r="O52" i="101" s="1"/>
  <c r="N31" i="101"/>
  <c r="N53" i="101" s="1"/>
  <c r="N52" i="101" s="1"/>
  <c r="M31" i="101"/>
  <c r="M53" i="101" s="1"/>
  <c r="M52" i="101" s="1"/>
  <c r="L31" i="101"/>
  <c r="L53" i="101" s="1"/>
  <c r="L52" i="101" s="1"/>
  <c r="K31" i="101"/>
  <c r="K53" i="101" s="1"/>
  <c r="K52" i="101" s="1"/>
  <c r="J31" i="101"/>
  <c r="J53" i="101" s="1"/>
  <c r="J52" i="101" s="1"/>
  <c r="I31" i="101"/>
  <c r="I53" i="101" s="1"/>
  <c r="I52" i="101" s="1"/>
  <c r="H31" i="101"/>
  <c r="H53" i="101" s="1"/>
  <c r="H52" i="101" s="1"/>
  <c r="G31" i="101"/>
  <c r="G53" i="101" s="1"/>
  <c r="G52" i="101" s="1"/>
  <c r="F31" i="101"/>
  <c r="F53" i="101" s="1"/>
  <c r="F52" i="101" s="1"/>
  <c r="E31" i="101"/>
  <c r="E53" i="101" s="1"/>
  <c r="R30" i="101"/>
  <c r="Q30" i="101"/>
  <c r="Q29" i="101" s="1"/>
  <c r="P30" i="101"/>
  <c r="P29" i="101" s="1"/>
  <c r="O30" i="101"/>
  <c r="O29" i="101" s="1"/>
  <c r="M30" i="101"/>
  <c r="M29" i="101" s="1"/>
  <c r="L30" i="101"/>
  <c r="L29" i="101" s="1"/>
  <c r="K30" i="101"/>
  <c r="K29" i="101" s="1"/>
  <c r="J30" i="101"/>
  <c r="J29" i="101" s="1"/>
  <c r="I30" i="101"/>
  <c r="I29" i="101" s="1"/>
  <c r="H30" i="101"/>
  <c r="H29" i="101" s="1"/>
  <c r="G30" i="101"/>
  <c r="G29" i="101" s="1"/>
  <c r="F30" i="101"/>
  <c r="F29" i="101" s="1"/>
  <c r="E30" i="101"/>
  <c r="S29" i="101"/>
  <c r="R29" i="101"/>
  <c r="N29" i="101"/>
  <c r="S27" i="101"/>
  <c r="R28" i="101"/>
  <c r="R27" i="101" s="1"/>
  <c r="Q28" i="101"/>
  <c r="Q27" i="101" s="1"/>
  <c r="P28" i="101"/>
  <c r="P27" i="101" s="1"/>
  <c r="O28" i="101"/>
  <c r="O27" i="101" s="1"/>
  <c r="N28" i="101"/>
  <c r="N27" i="101" s="1"/>
  <c r="M28" i="101"/>
  <c r="M27" i="101" s="1"/>
  <c r="L28" i="101"/>
  <c r="L27" i="101" s="1"/>
  <c r="K28" i="101"/>
  <c r="K27" i="101" s="1"/>
  <c r="J28" i="101"/>
  <c r="J27" i="101" s="1"/>
  <c r="I28" i="101"/>
  <c r="I27" i="101" s="1"/>
  <c r="H28" i="101"/>
  <c r="H27" i="101" s="1"/>
  <c r="G28" i="101"/>
  <c r="G27" i="101" s="1"/>
  <c r="F28" i="101"/>
  <c r="F27" i="101" s="1"/>
  <c r="E28" i="101"/>
  <c r="S26" i="101"/>
  <c r="R26" i="101"/>
  <c r="Q26" i="101"/>
  <c r="P26" i="101"/>
  <c r="O26" i="101"/>
  <c r="N26" i="101"/>
  <c r="M26" i="101"/>
  <c r="L26" i="101"/>
  <c r="K26" i="101"/>
  <c r="J26" i="101"/>
  <c r="I26" i="101"/>
  <c r="H26" i="101"/>
  <c r="G26" i="101"/>
  <c r="F26" i="101"/>
  <c r="E26" i="101"/>
  <c r="S25" i="101"/>
  <c r="R25" i="101"/>
  <c r="Q25" i="101"/>
  <c r="P25" i="101"/>
  <c r="O25" i="101"/>
  <c r="O24" i="101" s="1"/>
  <c r="N25" i="101"/>
  <c r="M25" i="101"/>
  <c r="L25" i="101"/>
  <c r="K25" i="101"/>
  <c r="J25" i="101"/>
  <c r="I25" i="101"/>
  <c r="I24" i="101" s="1"/>
  <c r="H25" i="101"/>
  <c r="G25" i="101"/>
  <c r="F25" i="101"/>
  <c r="E25" i="101"/>
  <c r="R23" i="101"/>
  <c r="Q23" i="101"/>
  <c r="P23" i="101"/>
  <c r="O23" i="101"/>
  <c r="N23" i="101"/>
  <c r="M23" i="101"/>
  <c r="L23" i="101"/>
  <c r="K23" i="101"/>
  <c r="J23" i="101"/>
  <c r="I23" i="101"/>
  <c r="I22" i="101" s="1"/>
  <c r="H23" i="101"/>
  <c r="G23" i="101"/>
  <c r="F23" i="101"/>
  <c r="E23" i="101"/>
  <c r="T21" i="101"/>
  <c r="L21" i="103" s="1"/>
  <c r="S20" i="101"/>
  <c r="S17" i="101" s="1"/>
  <c r="R20" i="101"/>
  <c r="Q20" i="101"/>
  <c r="Q17" i="101" s="1"/>
  <c r="P20" i="101"/>
  <c r="O20" i="101"/>
  <c r="O17" i="101" s="1"/>
  <c r="N20" i="101"/>
  <c r="M20" i="101"/>
  <c r="M17" i="101" s="1"/>
  <c r="L20" i="101"/>
  <c r="L17" i="101" s="1"/>
  <c r="K20" i="101"/>
  <c r="K17" i="101" s="1"/>
  <c r="J20" i="101"/>
  <c r="I20" i="101"/>
  <c r="I17" i="101" s="1"/>
  <c r="H20" i="101"/>
  <c r="H17" i="101" s="1"/>
  <c r="G20" i="101"/>
  <c r="G17" i="101" s="1"/>
  <c r="F20" i="101"/>
  <c r="E20" i="101"/>
  <c r="T19" i="101"/>
  <c r="L19" i="103" s="1"/>
  <c r="T18" i="101"/>
  <c r="L18" i="103" s="1"/>
  <c r="R17" i="101"/>
  <c r="P17" i="101"/>
  <c r="N17" i="101"/>
  <c r="J17" i="101"/>
  <c r="F17" i="101"/>
  <c r="R16" i="101"/>
  <c r="Q16" i="101"/>
  <c r="P16" i="101"/>
  <c r="O16" i="101"/>
  <c r="N16" i="101"/>
  <c r="M16" i="101"/>
  <c r="L16" i="101"/>
  <c r="K16" i="101"/>
  <c r="J16" i="101"/>
  <c r="I16" i="101"/>
  <c r="H16" i="101"/>
  <c r="G16" i="101"/>
  <c r="F16" i="101"/>
  <c r="E16" i="101"/>
  <c r="S14" i="101"/>
  <c r="R15" i="101"/>
  <c r="Q15" i="101"/>
  <c r="P15" i="101"/>
  <c r="O15" i="101"/>
  <c r="N15" i="101"/>
  <c r="M15" i="101"/>
  <c r="L15" i="101"/>
  <c r="K15" i="101"/>
  <c r="J15" i="101"/>
  <c r="I15" i="101"/>
  <c r="H15" i="101"/>
  <c r="G15" i="101"/>
  <c r="F15" i="101"/>
  <c r="E15" i="101"/>
  <c r="S13" i="101"/>
  <c r="S12" i="101" s="1"/>
  <c r="R13" i="101"/>
  <c r="R12" i="101" s="1"/>
  <c r="Q13" i="101"/>
  <c r="Q12" i="101" s="1"/>
  <c r="P13" i="101"/>
  <c r="O13" i="101"/>
  <c r="O12" i="101" s="1"/>
  <c r="N13" i="101"/>
  <c r="N12" i="101" s="1"/>
  <c r="M13" i="101"/>
  <c r="M12" i="101" s="1"/>
  <c r="L13" i="101"/>
  <c r="L12" i="101" s="1"/>
  <c r="K13" i="101"/>
  <c r="K12" i="101" s="1"/>
  <c r="J13" i="101"/>
  <c r="J12" i="101" s="1"/>
  <c r="I13" i="101"/>
  <c r="I12" i="101" s="1"/>
  <c r="H13" i="101"/>
  <c r="H12" i="101" s="1"/>
  <c r="G13" i="101"/>
  <c r="G12" i="101" s="1"/>
  <c r="F13" i="101"/>
  <c r="F12" i="101" s="1"/>
  <c r="E13" i="101"/>
  <c r="E12" i="101" s="1"/>
  <c r="P12" i="101"/>
  <c r="S11" i="101"/>
  <c r="R11" i="101"/>
  <c r="Q11" i="101"/>
  <c r="Q10" i="101" s="1"/>
  <c r="P11" i="101"/>
  <c r="O11" i="101"/>
  <c r="N11" i="101"/>
  <c r="M11" i="101"/>
  <c r="L11" i="101"/>
  <c r="K11" i="101"/>
  <c r="J11" i="101"/>
  <c r="I11" i="101"/>
  <c r="H11" i="101"/>
  <c r="G11" i="101"/>
  <c r="F11" i="101"/>
  <c r="E11" i="101"/>
  <c r="E10" i="101" s="1"/>
  <c r="S9" i="101"/>
  <c r="R9" i="101"/>
  <c r="Q9" i="101"/>
  <c r="P9" i="101"/>
  <c r="O9" i="101"/>
  <c r="N9" i="101"/>
  <c r="M9" i="101"/>
  <c r="L9" i="101"/>
  <c r="K9" i="101"/>
  <c r="J9" i="101"/>
  <c r="I9" i="101"/>
  <c r="H9" i="101"/>
  <c r="G9" i="101"/>
  <c r="F9" i="101"/>
  <c r="E9" i="101"/>
  <c r="S8" i="101"/>
  <c r="R8" i="101"/>
  <c r="Q8" i="101"/>
  <c r="P8" i="101"/>
  <c r="O8" i="101"/>
  <c r="N8" i="101"/>
  <c r="M8" i="101"/>
  <c r="L8" i="101"/>
  <c r="K8" i="101"/>
  <c r="J8" i="101"/>
  <c r="I8" i="101"/>
  <c r="I7" i="101" s="1"/>
  <c r="H8" i="101"/>
  <c r="G8" i="101"/>
  <c r="F8" i="101"/>
  <c r="E8" i="101"/>
  <c r="Q7" i="101"/>
  <c r="M7" i="101"/>
  <c r="N75" i="100"/>
  <c r="K75" i="103" s="1"/>
  <c r="N74" i="100"/>
  <c r="K74" i="103" s="1"/>
  <c r="N73" i="100"/>
  <c r="N72" i="100"/>
  <c r="K72" i="103" s="1"/>
  <c r="N71" i="100"/>
  <c r="K71" i="103" s="1"/>
  <c r="N70" i="100"/>
  <c r="K70" i="103" s="1"/>
  <c r="N69" i="100"/>
  <c r="M68" i="100"/>
  <c r="L68" i="100"/>
  <c r="K68" i="100"/>
  <c r="J68" i="100"/>
  <c r="I68" i="100"/>
  <c r="H68" i="100"/>
  <c r="G68" i="100"/>
  <c r="F68" i="100"/>
  <c r="E68" i="100"/>
  <c r="N67" i="100"/>
  <c r="K67" i="103" s="1"/>
  <c r="N66" i="100"/>
  <c r="K66" i="103" s="1"/>
  <c r="N65" i="100"/>
  <c r="N64" i="100"/>
  <c r="K64" i="103" s="1"/>
  <c r="M63" i="100"/>
  <c r="L63" i="100"/>
  <c r="K63" i="100"/>
  <c r="J63" i="100"/>
  <c r="I63" i="100"/>
  <c r="H63" i="100"/>
  <c r="G63" i="100"/>
  <c r="F63" i="100"/>
  <c r="E63" i="100"/>
  <c r="N62" i="100"/>
  <c r="K62" i="103" s="1"/>
  <c r="N61" i="100"/>
  <c r="K61" i="103" s="1"/>
  <c r="M60" i="100"/>
  <c r="L60" i="100"/>
  <c r="K60" i="100"/>
  <c r="J60" i="100"/>
  <c r="I60" i="100"/>
  <c r="H60" i="100"/>
  <c r="G60" i="100"/>
  <c r="F60" i="100"/>
  <c r="E60" i="100"/>
  <c r="N59" i="100"/>
  <c r="K59" i="103" s="1"/>
  <c r="N58" i="100"/>
  <c r="K58" i="103" s="1"/>
  <c r="M57" i="100"/>
  <c r="L57" i="100"/>
  <c r="K57" i="100"/>
  <c r="K56" i="100" s="1"/>
  <c r="J57" i="100"/>
  <c r="J56" i="100" s="1"/>
  <c r="I57" i="100"/>
  <c r="I56" i="100" s="1"/>
  <c r="H57" i="100"/>
  <c r="H56" i="100" s="1"/>
  <c r="G57" i="100"/>
  <c r="G56" i="100" s="1"/>
  <c r="F57" i="100"/>
  <c r="F56" i="100" s="1"/>
  <c r="E57" i="100"/>
  <c r="M56" i="100"/>
  <c r="L56" i="100"/>
  <c r="E56" i="100"/>
  <c r="N55" i="100"/>
  <c r="K55" i="103" s="1"/>
  <c r="M54" i="100"/>
  <c r="L54" i="100"/>
  <c r="K54" i="100"/>
  <c r="J54" i="100"/>
  <c r="I54" i="100"/>
  <c r="H54" i="100"/>
  <c r="G54" i="100"/>
  <c r="F54" i="100"/>
  <c r="E54" i="100"/>
  <c r="N53" i="100"/>
  <c r="K53" i="103" s="1"/>
  <c r="M52" i="100"/>
  <c r="L52" i="100"/>
  <c r="K52" i="100"/>
  <c r="J52" i="100"/>
  <c r="I52" i="100"/>
  <c r="H52" i="100"/>
  <c r="G52" i="100"/>
  <c r="F52" i="100"/>
  <c r="E52" i="100"/>
  <c r="N51" i="100"/>
  <c r="K51" i="103" s="1"/>
  <c r="N50" i="100"/>
  <c r="K50" i="103" s="1"/>
  <c r="M49" i="100"/>
  <c r="L49" i="100"/>
  <c r="K49" i="100"/>
  <c r="J49" i="100"/>
  <c r="I49" i="100"/>
  <c r="H49" i="100"/>
  <c r="G49" i="100"/>
  <c r="F49" i="100"/>
  <c r="E49" i="100"/>
  <c r="N48" i="100"/>
  <c r="K48" i="103" s="1"/>
  <c r="M47" i="100"/>
  <c r="L47" i="100"/>
  <c r="K47" i="100"/>
  <c r="J47" i="100"/>
  <c r="I47" i="100"/>
  <c r="H47" i="100"/>
  <c r="G47" i="100"/>
  <c r="F47" i="100"/>
  <c r="E47" i="100"/>
  <c r="M46" i="100"/>
  <c r="M45" i="100" s="1"/>
  <c r="J46" i="100"/>
  <c r="N46" i="100" s="1"/>
  <c r="K46" i="103" s="1"/>
  <c r="L45" i="100"/>
  <c r="K45" i="100"/>
  <c r="J45" i="100"/>
  <c r="I45" i="100"/>
  <c r="I40" i="100" s="1"/>
  <c r="H45" i="100"/>
  <c r="G45" i="100"/>
  <c r="F45" i="100"/>
  <c r="E45" i="100"/>
  <c r="N44" i="100"/>
  <c r="K44" i="103" s="1"/>
  <c r="M43" i="100"/>
  <c r="L43" i="100"/>
  <c r="K43" i="100"/>
  <c r="J43" i="100"/>
  <c r="I43" i="100"/>
  <c r="H43" i="100"/>
  <c r="G43" i="100"/>
  <c r="F43" i="100"/>
  <c r="E43" i="100"/>
  <c r="N42" i="100"/>
  <c r="K42" i="103" s="1"/>
  <c r="N41" i="100"/>
  <c r="K41" i="103" s="1"/>
  <c r="N39" i="100"/>
  <c r="K39" i="103" s="1"/>
  <c r="M38" i="100"/>
  <c r="L38" i="100"/>
  <c r="K38" i="100"/>
  <c r="J38" i="100"/>
  <c r="I38" i="100"/>
  <c r="H38" i="100"/>
  <c r="G38" i="100"/>
  <c r="F38" i="100"/>
  <c r="E38" i="100"/>
  <c r="N37" i="100"/>
  <c r="K37" i="103" s="1"/>
  <c r="M36" i="100"/>
  <c r="L36" i="100"/>
  <c r="K36" i="100"/>
  <c r="J36" i="100"/>
  <c r="I36" i="100"/>
  <c r="H36" i="100"/>
  <c r="G36" i="100"/>
  <c r="F36" i="100"/>
  <c r="E36" i="100"/>
  <c r="H35" i="100"/>
  <c r="N35" i="100" s="1"/>
  <c r="K35" i="103" s="1"/>
  <c r="M34" i="100"/>
  <c r="L34" i="100"/>
  <c r="K34" i="100"/>
  <c r="J34" i="100"/>
  <c r="I34" i="100"/>
  <c r="G34" i="100"/>
  <c r="F34" i="100"/>
  <c r="E34" i="100"/>
  <c r="M33" i="100"/>
  <c r="F33" i="100"/>
  <c r="N32" i="100"/>
  <c r="K32" i="103" s="1"/>
  <c r="N31" i="100"/>
  <c r="K31" i="103" s="1"/>
  <c r="N30" i="100"/>
  <c r="M29" i="100"/>
  <c r="L29" i="100"/>
  <c r="K29" i="100"/>
  <c r="J29" i="100"/>
  <c r="I29" i="100"/>
  <c r="H29" i="100"/>
  <c r="G29" i="100"/>
  <c r="F29" i="100"/>
  <c r="E29" i="100"/>
  <c r="N28" i="100"/>
  <c r="K28" i="103" s="1"/>
  <c r="M27" i="100"/>
  <c r="L27" i="100"/>
  <c r="K27" i="100"/>
  <c r="J27" i="100"/>
  <c r="I27" i="100"/>
  <c r="H27" i="100"/>
  <c r="G27" i="100"/>
  <c r="F27" i="100"/>
  <c r="E27" i="100"/>
  <c r="N26" i="100"/>
  <c r="K26" i="103" s="1"/>
  <c r="E25" i="100"/>
  <c r="M24" i="100"/>
  <c r="M22" i="100" s="1"/>
  <c r="L24" i="100"/>
  <c r="L22" i="100" s="1"/>
  <c r="K24" i="100"/>
  <c r="K22" i="100" s="1"/>
  <c r="J24" i="100"/>
  <c r="I24" i="100"/>
  <c r="H24" i="100"/>
  <c r="H22" i="100" s="1"/>
  <c r="G24" i="100"/>
  <c r="G22" i="100" s="1"/>
  <c r="F24" i="100"/>
  <c r="F22" i="100" s="1"/>
  <c r="N23" i="100"/>
  <c r="K23" i="103" s="1"/>
  <c r="J22" i="100"/>
  <c r="I22" i="100"/>
  <c r="N21" i="100"/>
  <c r="K21" i="103" s="1"/>
  <c r="N20" i="100"/>
  <c r="K20" i="103" s="1"/>
  <c r="N19" i="100"/>
  <c r="K19" i="103" s="1"/>
  <c r="N18" i="100"/>
  <c r="K18" i="103" s="1"/>
  <c r="M17" i="100"/>
  <c r="L17" i="100"/>
  <c r="K17" i="100"/>
  <c r="J17" i="100"/>
  <c r="I17" i="100"/>
  <c r="H17" i="100"/>
  <c r="G17" i="100"/>
  <c r="F17" i="100"/>
  <c r="E17" i="100"/>
  <c r="N16" i="100"/>
  <c r="N15" i="100"/>
  <c r="K15" i="103" s="1"/>
  <c r="M14" i="100"/>
  <c r="L14" i="100"/>
  <c r="K14" i="100"/>
  <c r="J14" i="100"/>
  <c r="I14" i="100"/>
  <c r="H14" i="100"/>
  <c r="G14" i="100"/>
  <c r="F14" i="100"/>
  <c r="E14" i="100"/>
  <c r="N13" i="100"/>
  <c r="K13" i="103" s="1"/>
  <c r="M12" i="100"/>
  <c r="L12" i="100"/>
  <c r="L10" i="100" s="1"/>
  <c r="K12" i="100"/>
  <c r="K10" i="100" s="1"/>
  <c r="J12" i="100"/>
  <c r="J10" i="100" s="1"/>
  <c r="I12" i="100"/>
  <c r="H12" i="100"/>
  <c r="H10" i="100" s="1"/>
  <c r="G12" i="100"/>
  <c r="G10" i="100" s="1"/>
  <c r="F12" i="100"/>
  <c r="F10" i="100" s="1"/>
  <c r="E12" i="100"/>
  <c r="E10" i="100" s="1"/>
  <c r="N11" i="100"/>
  <c r="K11" i="103" s="1"/>
  <c r="M10" i="100"/>
  <c r="I10" i="100"/>
  <c r="N9" i="100"/>
  <c r="K9" i="103" s="1"/>
  <c r="N8" i="100"/>
  <c r="K8" i="103" s="1"/>
  <c r="M7" i="100"/>
  <c r="L7" i="100"/>
  <c r="L6" i="100" s="1"/>
  <c r="K7" i="100"/>
  <c r="J7" i="100"/>
  <c r="I7" i="100"/>
  <c r="H7" i="100"/>
  <c r="G7" i="100"/>
  <c r="F7" i="100"/>
  <c r="E7" i="100"/>
  <c r="Q75" i="99"/>
  <c r="J75" i="103" s="1"/>
  <c r="Q74" i="99"/>
  <c r="J74" i="103" s="1"/>
  <c r="Q73" i="99"/>
  <c r="J73" i="103" s="1"/>
  <c r="Q72" i="99"/>
  <c r="J72" i="103" s="1"/>
  <c r="Q71" i="99"/>
  <c r="J71" i="103" s="1"/>
  <c r="Q70" i="99"/>
  <c r="J70" i="103" s="1"/>
  <c r="Q69" i="99"/>
  <c r="P68" i="99"/>
  <c r="O68" i="99"/>
  <c r="N68" i="99"/>
  <c r="M68" i="99"/>
  <c r="L68" i="99"/>
  <c r="K68" i="99"/>
  <c r="J68" i="99"/>
  <c r="I68" i="99"/>
  <c r="H68" i="99"/>
  <c r="G68" i="99"/>
  <c r="F68" i="99"/>
  <c r="E68" i="99"/>
  <c r="Q67" i="99"/>
  <c r="Q66" i="99"/>
  <c r="Q65" i="99"/>
  <c r="J65" i="103" s="1"/>
  <c r="Q64" i="99"/>
  <c r="P63" i="99"/>
  <c r="O63" i="99"/>
  <c r="N63" i="99"/>
  <c r="M63" i="99"/>
  <c r="L63" i="99"/>
  <c r="K63" i="99"/>
  <c r="J63" i="99"/>
  <c r="I63" i="99"/>
  <c r="H63" i="99"/>
  <c r="G63" i="99"/>
  <c r="F63" i="99"/>
  <c r="E63" i="99"/>
  <c r="Q62" i="99"/>
  <c r="J62" i="103" s="1"/>
  <c r="Q61" i="99"/>
  <c r="J61" i="103" s="1"/>
  <c r="P60" i="99"/>
  <c r="O60" i="99"/>
  <c r="N60" i="99"/>
  <c r="M60" i="99"/>
  <c r="L60" i="99"/>
  <c r="K60" i="99"/>
  <c r="J60" i="99"/>
  <c r="I60" i="99"/>
  <c r="H60" i="99"/>
  <c r="G60" i="99"/>
  <c r="F60" i="99"/>
  <c r="E60" i="99"/>
  <c r="Q59" i="99"/>
  <c r="J59" i="103" s="1"/>
  <c r="E58" i="99"/>
  <c r="E57" i="99" s="1"/>
  <c r="P57" i="99"/>
  <c r="O57" i="99"/>
  <c r="O56" i="99" s="1"/>
  <c r="O40" i="99" s="1"/>
  <c r="N57" i="99"/>
  <c r="N56" i="99" s="1"/>
  <c r="M57" i="99"/>
  <c r="L57" i="99"/>
  <c r="K57" i="99"/>
  <c r="K56" i="99" s="1"/>
  <c r="J57" i="99"/>
  <c r="J56" i="99" s="1"/>
  <c r="I57" i="99"/>
  <c r="H57" i="99"/>
  <c r="H56" i="99" s="1"/>
  <c r="G57" i="99"/>
  <c r="G56" i="99" s="1"/>
  <c r="F57" i="99"/>
  <c r="F56" i="99" s="1"/>
  <c r="P56" i="99"/>
  <c r="M56" i="99"/>
  <c r="L56" i="99"/>
  <c r="I56" i="99"/>
  <c r="Q55" i="99"/>
  <c r="P54" i="99"/>
  <c r="O54" i="99"/>
  <c r="N54" i="99"/>
  <c r="M54" i="99"/>
  <c r="L54" i="99"/>
  <c r="K54" i="99"/>
  <c r="J54" i="99"/>
  <c r="I54" i="99"/>
  <c r="H54" i="99"/>
  <c r="G54" i="99"/>
  <c r="F54" i="99"/>
  <c r="E54" i="99"/>
  <c r="P52" i="99"/>
  <c r="O52" i="99"/>
  <c r="N52" i="99"/>
  <c r="L52" i="99"/>
  <c r="K52" i="99"/>
  <c r="J52" i="99"/>
  <c r="I52" i="99"/>
  <c r="H52" i="99"/>
  <c r="G52" i="99"/>
  <c r="F52" i="99"/>
  <c r="E52" i="99"/>
  <c r="P51" i="99"/>
  <c r="M51" i="99"/>
  <c r="Q51" i="99" s="1"/>
  <c r="J51" i="103" s="1"/>
  <c r="P50" i="99"/>
  <c r="P49" i="99" s="1"/>
  <c r="M50" i="99"/>
  <c r="Q50" i="99" s="1"/>
  <c r="J50" i="103" s="1"/>
  <c r="O49" i="99"/>
  <c r="N49" i="99"/>
  <c r="M49" i="99"/>
  <c r="L49" i="99"/>
  <c r="K49" i="99"/>
  <c r="J49" i="99"/>
  <c r="I49" i="99"/>
  <c r="H49" i="99"/>
  <c r="G49" i="99"/>
  <c r="F49" i="99"/>
  <c r="E49" i="99"/>
  <c r="M48" i="99"/>
  <c r="I48" i="99"/>
  <c r="I47" i="99" s="1"/>
  <c r="F48" i="99"/>
  <c r="E48" i="99"/>
  <c r="E47" i="99" s="1"/>
  <c r="P47" i="99"/>
  <c r="O47" i="99"/>
  <c r="N47" i="99"/>
  <c r="M47" i="99"/>
  <c r="L47" i="99"/>
  <c r="K47" i="99"/>
  <c r="J47" i="99"/>
  <c r="H47" i="99"/>
  <c r="G47" i="99"/>
  <c r="F47" i="99"/>
  <c r="M46" i="99"/>
  <c r="M45" i="99" s="1"/>
  <c r="I46" i="99"/>
  <c r="I45" i="99" s="1"/>
  <c r="F46" i="99"/>
  <c r="E46" i="99"/>
  <c r="P45" i="99"/>
  <c r="O45" i="99"/>
  <c r="N45" i="99"/>
  <c r="L45" i="99"/>
  <c r="K45" i="99"/>
  <c r="J45" i="99"/>
  <c r="H45" i="99"/>
  <c r="G45" i="99"/>
  <c r="F45" i="99"/>
  <c r="E45" i="99"/>
  <c r="M44" i="99"/>
  <c r="F44" i="99"/>
  <c r="E44" i="99"/>
  <c r="Q44" i="99" s="1"/>
  <c r="J44" i="103" s="1"/>
  <c r="P43" i="99"/>
  <c r="O43" i="99"/>
  <c r="N43" i="99"/>
  <c r="M43" i="99"/>
  <c r="L43" i="99"/>
  <c r="K43" i="99"/>
  <c r="J43" i="99"/>
  <c r="I43" i="99"/>
  <c r="H43" i="99"/>
  <c r="G43" i="99"/>
  <c r="F43" i="99"/>
  <c r="E43" i="99"/>
  <c r="P42" i="99"/>
  <c r="E42" i="99"/>
  <c r="P41" i="99"/>
  <c r="F41" i="99"/>
  <c r="Q41" i="99" s="1"/>
  <c r="J41" i="103" s="1"/>
  <c r="Q39" i="99"/>
  <c r="J39" i="103" s="1"/>
  <c r="P38" i="99"/>
  <c r="O38" i="99"/>
  <c r="N38" i="99"/>
  <c r="M38" i="99"/>
  <c r="L38" i="99"/>
  <c r="K38" i="99"/>
  <c r="J38" i="99"/>
  <c r="I38" i="99"/>
  <c r="H38" i="99"/>
  <c r="G38" i="99"/>
  <c r="F38" i="99"/>
  <c r="E38" i="99"/>
  <c r="M37" i="99"/>
  <c r="M36" i="99" s="1"/>
  <c r="P36" i="99"/>
  <c r="O36" i="99"/>
  <c r="N36" i="99"/>
  <c r="L36" i="99"/>
  <c r="K36" i="99"/>
  <c r="J36" i="99"/>
  <c r="J33" i="99" s="1"/>
  <c r="I36" i="99"/>
  <c r="H36" i="99"/>
  <c r="H33" i="99" s="1"/>
  <c r="G36" i="99"/>
  <c r="F36" i="99"/>
  <c r="E36" i="99"/>
  <c r="M35" i="99"/>
  <c r="M34" i="99" s="1"/>
  <c r="M33" i="99" s="1"/>
  <c r="L35" i="99"/>
  <c r="L34" i="99" s="1"/>
  <c r="L33" i="99" s="1"/>
  <c r="E35" i="99"/>
  <c r="P34" i="99"/>
  <c r="O34" i="99"/>
  <c r="N34" i="99"/>
  <c r="N33" i="99" s="1"/>
  <c r="K34" i="99"/>
  <c r="K33" i="99" s="1"/>
  <c r="J34" i="99"/>
  <c r="I34" i="99"/>
  <c r="I33" i="99" s="1"/>
  <c r="H34" i="99"/>
  <c r="G34" i="99"/>
  <c r="G33" i="99" s="1"/>
  <c r="F34" i="99"/>
  <c r="E34" i="99"/>
  <c r="E33" i="99" s="1"/>
  <c r="P33" i="99"/>
  <c r="F33" i="99"/>
  <c r="Q32" i="99"/>
  <c r="J32" i="103" s="1"/>
  <c r="M31" i="99"/>
  <c r="Q31" i="99" s="1"/>
  <c r="J31" i="103" s="1"/>
  <c r="M30" i="99"/>
  <c r="P29" i="99"/>
  <c r="O29" i="99"/>
  <c r="N29" i="99"/>
  <c r="L29" i="99"/>
  <c r="K29" i="99"/>
  <c r="J29" i="99"/>
  <c r="I29" i="99"/>
  <c r="H29" i="99"/>
  <c r="G29" i="99"/>
  <c r="F29" i="99"/>
  <c r="E29" i="99"/>
  <c r="Q28" i="99"/>
  <c r="J28" i="103" s="1"/>
  <c r="M28" i="99"/>
  <c r="P27" i="99"/>
  <c r="O27" i="99"/>
  <c r="N27" i="99"/>
  <c r="M27" i="99"/>
  <c r="L27" i="99"/>
  <c r="K27" i="99"/>
  <c r="J27" i="99"/>
  <c r="I27" i="99"/>
  <c r="H27" i="99"/>
  <c r="G27" i="99"/>
  <c r="F27" i="99"/>
  <c r="E27" i="99"/>
  <c r="Q26" i="99"/>
  <c r="M25" i="99"/>
  <c r="Q25" i="99" s="1"/>
  <c r="J25" i="103" s="1"/>
  <c r="P24" i="99"/>
  <c r="P22" i="99" s="1"/>
  <c r="O24" i="99"/>
  <c r="N24" i="99"/>
  <c r="N22" i="99" s="1"/>
  <c r="L24" i="99"/>
  <c r="L22" i="99" s="1"/>
  <c r="K24" i="99"/>
  <c r="K22" i="99" s="1"/>
  <c r="J24" i="99"/>
  <c r="J22" i="99" s="1"/>
  <c r="I24" i="99"/>
  <c r="I22" i="99" s="1"/>
  <c r="H24" i="99"/>
  <c r="G24" i="99"/>
  <c r="G22" i="99" s="1"/>
  <c r="F24" i="99"/>
  <c r="E24" i="99"/>
  <c r="Q23" i="99"/>
  <c r="O22" i="99"/>
  <c r="H22" i="99"/>
  <c r="F22" i="99"/>
  <c r="E22" i="99"/>
  <c r="Q21" i="99"/>
  <c r="J21" i="103" s="1"/>
  <c r="M20" i="99"/>
  <c r="Q19" i="99"/>
  <c r="J19" i="103" s="1"/>
  <c r="Q18" i="99"/>
  <c r="J18" i="103" s="1"/>
  <c r="P17" i="99"/>
  <c r="O17" i="99"/>
  <c r="N17" i="99"/>
  <c r="L17" i="99"/>
  <c r="K17" i="99"/>
  <c r="J17" i="99"/>
  <c r="I17" i="99"/>
  <c r="H17" i="99"/>
  <c r="G17" i="99"/>
  <c r="F17" i="99"/>
  <c r="E17" i="99"/>
  <c r="M16" i="99"/>
  <c r="Q16" i="99" s="1"/>
  <c r="J16" i="103" s="1"/>
  <c r="M15" i="99"/>
  <c r="P14" i="99"/>
  <c r="O14" i="99"/>
  <c r="N14" i="99"/>
  <c r="L14" i="99"/>
  <c r="K14" i="99"/>
  <c r="J14" i="99"/>
  <c r="I14" i="99"/>
  <c r="H14" i="99"/>
  <c r="G14" i="99"/>
  <c r="F14" i="99"/>
  <c r="E14" i="99"/>
  <c r="M13" i="99"/>
  <c r="Q13" i="99" s="1"/>
  <c r="J13" i="103" s="1"/>
  <c r="P12" i="99"/>
  <c r="P10" i="99" s="1"/>
  <c r="O12" i="99"/>
  <c r="N12" i="99"/>
  <c r="M12" i="99"/>
  <c r="L12" i="99"/>
  <c r="K12" i="99"/>
  <c r="K10" i="99" s="1"/>
  <c r="J12" i="99"/>
  <c r="I12" i="99"/>
  <c r="I10" i="99" s="1"/>
  <c r="H12" i="99"/>
  <c r="H10" i="99" s="1"/>
  <c r="H6" i="99" s="1"/>
  <c r="G12" i="99"/>
  <c r="F12" i="99"/>
  <c r="F10" i="99" s="1"/>
  <c r="E12" i="99"/>
  <c r="M11" i="99"/>
  <c r="Q11" i="99" s="1"/>
  <c r="J11" i="103" s="1"/>
  <c r="O10" i="99"/>
  <c r="O6" i="99" s="1"/>
  <c r="N10" i="99"/>
  <c r="L10" i="99"/>
  <c r="J10" i="99"/>
  <c r="G10" i="99"/>
  <c r="Q9" i="99"/>
  <c r="J9" i="103" s="1"/>
  <c r="M9" i="99"/>
  <c r="M8" i="99"/>
  <c r="Q8" i="99" s="1"/>
  <c r="J8" i="103" s="1"/>
  <c r="P7" i="99"/>
  <c r="O7" i="99"/>
  <c r="N7" i="99"/>
  <c r="N6" i="99" s="1"/>
  <c r="L7" i="99"/>
  <c r="K7" i="99"/>
  <c r="J7" i="99"/>
  <c r="J6" i="99" s="1"/>
  <c r="I7" i="99"/>
  <c r="H7" i="99"/>
  <c r="G7" i="99"/>
  <c r="F7" i="99"/>
  <c r="E7" i="99"/>
  <c r="U75" i="98"/>
  <c r="I75" i="103" s="1"/>
  <c r="U74" i="98"/>
  <c r="I74" i="103" s="1"/>
  <c r="U73" i="98"/>
  <c r="I73" i="103" s="1"/>
  <c r="U72" i="98"/>
  <c r="I72" i="103" s="1"/>
  <c r="U71" i="98"/>
  <c r="I71" i="103" s="1"/>
  <c r="U70" i="98"/>
  <c r="I70" i="103" s="1"/>
  <c r="U69" i="98"/>
  <c r="I69" i="103" s="1"/>
  <c r="T68" i="98"/>
  <c r="S68" i="98"/>
  <c r="R68" i="98"/>
  <c r="Q68" i="98"/>
  <c r="P68" i="98"/>
  <c r="O68" i="98"/>
  <c r="N68" i="98"/>
  <c r="M68" i="98"/>
  <c r="L68" i="98"/>
  <c r="K68" i="98"/>
  <c r="J68" i="98"/>
  <c r="I68" i="98"/>
  <c r="H68" i="98"/>
  <c r="G68" i="98"/>
  <c r="F68" i="98"/>
  <c r="E68" i="98"/>
  <c r="U67" i="98"/>
  <c r="U66" i="98"/>
  <c r="U65" i="98"/>
  <c r="I65" i="103" s="1"/>
  <c r="U64" i="98"/>
  <c r="T63" i="98"/>
  <c r="S63" i="98"/>
  <c r="R63" i="98"/>
  <c r="Q63" i="98"/>
  <c r="P63" i="98"/>
  <c r="O63" i="98"/>
  <c r="N63" i="98"/>
  <c r="M63" i="98"/>
  <c r="L63" i="98"/>
  <c r="K63" i="98"/>
  <c r="J63" i="98"/>
  <c r="I63" i="98"/>
  <c r="H63" i="98"/>
  <c r="G63" i="98"/>
  <c r="F63" i="98"/>
  <c r="E63" i="98"/>
  <c r="U62" i="98"/>
  <c r="I62" i="103" s="1"/>
  <c r="U61" i="98"/>
  <c r="I61" i="103" s="1"/>
  <c r="T60" i="98"/>
  <c r="S60" i="98"/>
  <c r="R60" i="98"/>
  <c r="Q60" i="98"/>
  <c r="P60" i="98"/>
  <c r="O60" i="98"/>
  <c r="N60" i="98"/>
  <c r="M60" i="98"/>
  <c r="L60" i="98"/>
  <c r="K60" i="98"/>
  <c r="J60" i="98"/>
  <c r="I60" i="98"/>
  <c r="H60" i="98"/>
  <c r="G60" i="98"/>
  <c r="F60" i="98"/>
  <c r="E60" i="98"/>
  <c r="U59" i="98"/>
  <c r="I59" i="103" s="1"/>
  <c r="U58" i="98"/>
  <c r="I58" i="103" s="1"/>
  <c r="T57" i="98"/>
  <c r="T56" i="98" s="1"/>
  <c r="S57" i="98"/>
  <c r="R57" i="98"/>
  <c r="R56" i="98" s="1"/>
  <c r="R40" i="98" s="1"/>
  <c r="Q57" i="98"/>
  <c r="Q56" i="98" s="1"/>
  <c r="P57" i="98"/>
  <c r="P56" i="98" s="1"/>
  <c r="O57" i="98"/>
  <c r="O56" i="98" s="1"/>
  <c r="N57" i="98"/>
  <c r="N56" i="98" s="1"/>
  <c r="M57" i="98"/>
  <c r="L57" i="98"/>
  <c r="K57" i="98"/>
  <c r="K56" i="98" s="1"/>
  <c r="J57" i="98"/>
  <c r="J56" i="98" s="1"/>
  <c r="I57" i="98"/>
  <c r="H57" i="98"/>
  <c r="H56" i="98" s="1"/>
  <c r="G57" i="98"/>
  <c r="F57" i="98"/>
  <c r="F56" i="98" s="1"/>
  <c r="F40" i="98" s="1"/>
  <c r="E57" i="98"/>
  <c r="S56" i="98"/>
  <c r="M56" i="98"/>
  <c r="L56" i="98"/>
  <c r="I56" i="98"/>
  <c r="G56" i="98"/>
  <c r="E56" i="98"/>
  <c r="U55" i="98"/>
  <c r="I55" i="103" s="1"/>
  <c r="T54" i="98"/>
  <c r="S54" i="98"/>
  <c r="R54" i="98"/>
  <c r="Q54" i="98"/>
  <c r="P54" i="98"/>
  <c r="O54" i="98"/>
  <c r="N54" i="98"/>
  <c r="M54" i="98"/>
  <c r="L54" i="98"/>
  <c r="K54" i="98"/>
  <c r="J54" i="98"/>
  <c r="I54" i="98"/>
  <c r="H54" i="98"/>
  <c r="G54" i="98"/>
  <c r="F54" i="98"/>
  <c r="E54" i="98"/>
  <c r="U53" i="98"/>
  <c r="I53" i="103" s="1"/>
  <c r="T52" i="98"/>
  <c r="S52" i="98"/>
  <c r="R52" i="98"/>
  <c r="Q52" i="98"/>
  <c r="P52" i="98"/>
  <c r="P40" i="98" s="1"/>
  <c r="O52" i="98"/>
  <c r="N52" i="98"/>
  <c r="M52" i="98"/>
  <c r="L52" i="98"/>
  <c r="K52" i="98"/>
  <c r="J52" i="98"/>
  <c r="I52" i="98"/>
  <c r="H52" i="98"/>
  <c r="G52" i="98"/>
  <c r="F52" i="98"/>
  <c r="E52" i="98"/>
  <c r="U51" i="98"/>
  <c r="I51" i="103" s="1"/>
  <c r="U50" i="98"/>
  <c r="T49" i="98"/>
  <c r="S49" i="98"/>
  <c r="R49" i="98"/>
  <c r="Q49" i="98"/>
  <c r="P49" i="98"/>
  <c r="O49" i="98"/>
  <c r="N49" i="98"/>
  <c r="M49" i="98"/>
  <c r="L49" i="98"/>
  <c r="K49" i="98"/>
  <c r="J49" i="98"/>
  <c r="I49" i="98"/>
  <c r="H49" i="98"/>
  <c r="G49" i="98"/>
  <c r="F49" i="98"/>
  <c r="E49" i="98"/>
  <c r="U48" i="98"/>
  <c r="T47" i="98"/>
  <c r="S47" i="98"/>
  <c r="R47" i="98"/>
  <c r="Q47" i="98"/>
  <c r="P47" i="98"/>
  <c r="O47" i="98"/>
  <c r="N47" i="98"/>
  <c r="M47" i="98"/>
  <c r="L47" i="98"/>
  <c r="K47" i="98"/>
  <c r="J47" i="98"/>
  <c r="I47" i="98"/>
  <c r="H47" i="98"/>
  <c r="G47" i="98"/>
  <c r="F47" i="98"/>
  <c r="E47" i="98"/>
  <c r="U46" i="98"/>
  <c r="I46" i="103" s="1"/>
  <c r="T45" i="98"/>
  <c r="S45" i="98"/>
  <c r="S40" i="98" s="1"/>
  <c r="R45" i="98"/>
  <c r="Q45" i="98"/>
  <c r="P45" i="98"/>
  <c r="O45" i="98"/>
  <c r="N45" i="98"/>
  <c r="M45" i="98"/>
  <c r="L45" i="98"/>
  <c r="K45" i="98"/>
  <c r="J45" i="98"/>
  <c r="I45" i="98"/>
  <c r="H45" i="98"/>
  <c r="G45" i="98"/>
  <c r="F45" i="98"/>
  <c r="E45" i="98"/>
  <c r="U44" i="98"/>
  <c r="I44" i="103" s="1"/>
  <c r="T43" i="98"/>
  <c r="S43" i="98"/>
  <c r="R43" i="98"/>
  <c r="Q43" i="98"/>
  <c r="P43" i="98"/>
  <c r="O43" i="98"/>
  <c r="N43" i="98"/>
  <c r="M43" i="98"/>
  <c r="L43" i="98"/>
  <c r="K43" i="98"/>
  <c r="K40" i="98" s="1"/>
  <c r="J43" i="98"/>
  <c r="I43" i="98"/>
  <c r="H43" i="98"/>
  <c r="G43" i="98"/>
  <c r="F43" i="98"/>
  <c r="E43" i="98"/>
  <c r="U42" i="98"/>
  <c r="I42" i="103" s="1"/>
  <c r="U41" i="98"/>
  <c r="I41" i="103" s="1"/>
  <c r="Q40" i="98"/>
  <c r="O40" i="98"/>
  <c r="E40" i="98"/>
  <c r="U39" i="98"/>
  <c r="T38" i="98"/>
  <c r="S38" i="98"/>
  <c r="R38" i="98"/>
  <c r="Q38" i="98"/>
  <c r="P38" i="98"/>
  <c r="O38" i="98"/>
  <c r="N38" i="98"/>
  <c r="M38" i="98"/>
  <c r="L38" i="98"/>
  <c r="K38" i="98"/>
  <c r="J38" i="98"/>
  <c r="J33" i="98" s="1"/>
  <c r="I38" i="98"/>
  <c r="H38" i="98"/>
  <c r="G38" i="98"/>
  <c r="F38" i="98"/>
  <c r="E38" i="98"/>
  <c r="U37" i="98"/>
  <c r="T36" i="98"/>
  <c r="S36" i="98"/>
  <c r="R36" i="98"/>
  <c r="Q36" i="98"/>
  <c r="P36" i="98"/>
  <c r="O36" i="98"/>
  <c r="N36" i="98"/>
  <c r="M36" i="98"/>
  <c r="L36" i="98"/>
  <c r="L33" i="98" s="1"/>
  <c r="K36" i="98"/>
  <c r="J36" i="98"/>
  <c r="I36" i="98"/>
  <c r="H36" i="98"/>
  <c r="G36" i="98"/>
  <c r="F36" i="98"/>
  <c r="E36" i="98"/>
  <c r="U35" i="98"/>
  <c r="T34" i="98"/>
  <c r="T33" i="98" s="1"/>
  <c r="S34" i="98"/>
  <c r="R34" i="98"/>
  <c r="R33" i="98" s="1"/>
  <c r="Q34" i="98"/>
  <c r="P34" i="98"/>
  <c r="P33" i="98" s="1"/>
  <c r="O34" i="98"/>
  <c r="N34" i="98"/>
  <c r="M34" i="98"/>
  <c r="L34" i="98"/>
  <c r="K34" i="98"/>
  <c r="K33" i="98" s="1"/>
  <c r="J34" i="98"/>
  <c r="I34" i="98"/>
  <c r="I33" i="98" s="1"/>
  <c r="H34" i="98"/>
  <c r="G34" i="98"/>
  <c r="F34" i="98"/>
  <c r="F33" i="98" s="1"/>
  <c r="E34" i="98"/>
  <c r="S33" i="98"/>
  <c r="N33" i="98"/>
  <c r="G33" i="98"/>
  <c r="U32" i="98"/>
  <c r="I32" i="103" s="1"/>
  <c r="U31" i="98"/>
  <c r="X31" i="98" s="1"/>
  <c r="U30" i="98"/>
  <c r="X30" i="98" s="1"/>
  <c r="T29" i="98"/>
  <c r="S29" i="98"/>
  <c r="R29" i="98"/>
  <c r="Q29" i="98"/>
  <c r="P29" i="98"/>
  <c r="O29" i="98"/>
  <c r="N29" i="98"/>
  <c r="M29" i="98"/>
  <c r="L29" i="98"/>
  <c r="K29" i="98"/>
  <c r="J29" i="98"/>
  <c r="I29" i="98"/>
  <c r="H29" i="98"/>
  <c r="G29" i="98"/>
  <c r="F29" i="98"/>
  <c r="E29" i="98"/>
  <c r="U28" i="98"/>
  <c r="T27" i="98"/>
  <c r="S27" i="98"/>
  <c r="R27" i="98"/>
  <c r="Q27" i="98"/>
  <c r="P27" i="98"/>
  <c r="O27" i="98"/>
  <c r="N27" i="98"/>
  <c r="M27" i="98"/>
  <c r="L27" i="98"/>
  <c r="K27" i="98"/>
  <c r="J27" i="98"/>
  <c r="I27" i="98"/>
  <c r="H27" i="98"/>
  <c r="G27" i="98"/>
  <c r="F27" i="98"/>
  <c r="E27" i="98"/>
  <c r="U26" i="98"/>
  <c r="I26" i="103" s="1"/>
  <c r="U25" i="98"/>
  <c r="I25" i="103" s="1"/>
  <c r="T24" i="98"/>
  <c r="S24" i="98"/>
  <c r="R24" i="98"/>
  <c r="R22" i="98" s="1"/>
  <c r="Q24" i="98"/>
  <c r="P24" i="98"/>
  <c r="O24" i="98"/>
  <c r="N24" i="98"/>
  <c r="M24" i="98"/>
  <c r="L24" i="98"/>
  <c r="L22" i="98" s="1"/>
  <c r="K24" i="98"/>
  <c r="K22" i="98" s="1"/>
  <c r="J24" i="98"/>
  <c r="J22" i="98" s="1"/>
  <c r="I24" i="98"/>
  <c r="I22" i="98" s="1"/>
  <c r="H24" i="98"/>
  <c r="G24" i="98"/>
  <c r="G22" i="98" s="1"/>
  <c r="F24" i="98"/>
  <c r="E24" i="98"/>
  <c r="E22" i="98" s="1"/>
  <c r="U23" i="98"/>
  <c r="X23" i="98" s="1"/>
  <c r="T22" i="98"/>
  <c r="S22" i="98"/>
  <c r="Q22" i="98"/>
  <c r="P22" i="98"/>
  <c r="O22" i="98"/>
  <c r="N22" i="98"/>
  <c r="M22" i="98"/>
  <c r="H22" i="98"/>
  <c r="F22" i="98"/>
  <c r="U21" i="98"/>
  <c r="I21" i="103" s="1"/>
  <c r="U20" i="98"/>
  <c r="I20" i="103" s="1"/>
  <c r="U19" i="98"/>
  <c r="I19" i="103" s="1"/>
  <c r="U18" i="98"/>
  <c r="T17" i="98"/>
  <c r="S17" i="98"/>
  <c r="R17" i="98"/>
  <c r="Q17" i="98"/>
  <c r="P17" i="98"/>
  <c r="O17" i="98"/>
  <c r="N17" i="98"/>
  <c r="M17" i="98"/>
  <c r="L17" i="98"/>
  <c r="K17" i="98"/>
  <c r="J17" i="98"/>
  <c r="I17" i="98"/>
  <c r="H17" i="98"/>
  <c r="G17" i="98"/>
  <c r="F17" i="98"/>
  <c r="E17" i="98"/>
  <c r="U16" i="98"/>
  <c r="X16" i="98" s="1"/>
  <c r="U15" i="98"/>
  <c r="X15" i="98" s="1"/>
  <c r="T14" i="98"/>
  <c r="S14" i="98"/>
  <c r="R14" i="98"/>
  <c r="Q14" i="98"/>
  <c r="P14" i="98"/>
  <c r="O14" i="98"/>
  <c r="N14" i="98"/>
  <c r="M14" i="98"/>
  <c r="L14" i="98"/>
  <c r="K14" i="98"/>
  <c r="J14" i="98"/>
  <c r="I14" i="98"/>
  <c r="H14" i="98"/>
  <c r="G14" i="98"/>
  <c r="F14" i="98"/>
  <c r="F6" i="98" s="1"/>
  <c r="E14" i="98"/>
  <c r="U13" i="98"/>
  <c r="T12" i="98"/>
  <c r="T10" i="98" s="1"/>
  <c r="S12" i="98"/>
  <c r="R12" i="98"/>
  <c r="Q12" i="98"/>
  <c r="Q10" i="98" s="1"/>
  <c r="P12" i="98"/>
  <c r="O12" i="98"/>
  <c r="N12" i="98"/>
  <c r="M12" i="98"/>
  <c r="M10" i="98" s="1"/>
  <c r="L12" i="98"/>
  <c r="K12" i="98"/>
  <c r="K10" i="98" s="1"/>
  <c r="J12" i="98"/>
  <c r="J10" i="98" s="1"/>
  <c r="I12" i="98"/>
  <c r="I10" i="98" s="1"/>
  <c r="H12" i="98"/>
  <c r="H10" i="98" s="1"/>
  <c r="G12" i="98"/>
  <c r="F12" i="98"/>
  <c r="E12" i="98"/>
  <c r="U11" i="98"/>
  <c r="S10" i="98"/>
  <c r="R10" i="98"/>
  <c r="P10" i="98"/>
  <c r="P6" i="98" s="1"/>
  <c r="O10" i="98"/>
  <c r="N10" i="98"/>
  <c r="L10" i="98"/>
  <c r="G10" i="98"/>
  <c r="F10" i="98"/>
  <c r="E10" i="98"/>
  <c r="U9" i="98"/>
  <c r="I9" i="103" s="1"/>
  <c r="U8" i="98"/>
  <c r="I8" i="103" s="1"/>
  <c r="T7" i="98"/>
  <c r="S7" i="98"/>
  <c r="R7" i="98"/>
  <c r="Q7" i="98"/>
  <c r="P7" i="98"/>
  <c r="O7" i="98"/>
  <c r="N7" i="98"/>
  <c r="M7" i="98"/>
  <c r="L7" i="98"/>
  <c r="K7" i="98"/>
  <c r="J7" i="98"/>
  <c r="I7" i="98"/>
  <c r="H7" i="98"/>
  <c r="G7" i="98"/>
  <c r="F7" i="98"/>
  <c r="E7" i="98"/>
  <c r="I6" i="98"/>
  <c r="X75" i="97"/>
  <c r="H75" i="103" s="1"/>
  <c r="X74" i="97"/>
  <c r="X73" i="97"/>
  <c r="X72" i="97"/>
  <c r="X71" i="97"/>
  <c r="X70" i="97"/>
  <c r="H70" i="103" s="1"/>
  <c r="X69" i="97"/>
  <c r="W68" i="97"/>
  <c r="U68" i="97"/>
  <c r="T68" i="97"/>
  <c r="S68" i="97"/>
  <c r="R68" i="97"/>
  <c r="Q68" i="97"/>
  <c r="P68" i="97"/>
  <c r="O68" i="97"/>
  <c r="N68" i="97"/>
  <c r="M68" i="97"/>
  <c r="L68" i="97"/>
  <c r="K68" i="97"/>
  <c r="J68" i="97"/>
  <c r="I68" i="97"/>
  <c r="H68" i="97"/>
  <c r="G68" i="97"/>
  <c r="F68" i="97"/>
  <c r="E68" i="97"/>
  <c r="X67" i="97"/>
  <c r="H67" i="103" s="1"/>
  <c r="X66" i="97"/>
  <c r="H66" i="103" s="1"/>
  <c r="X65" i="97"/>
  <c r="H65" i="103" s="1"/>
  <c r="X64" i="97"/>
  <c r="H64" i="103" s="1"/>
  <c r="W63" i="97"/>
  <c r="V63" i="97"/>
  <c r="U63" i="97"/>
  <c r="T63" i="97"/>
  <c r="S63" i="97"/>
  <c r="R63" i="97"/>
  <c r="Q63" i="97"/>
  <c r="P63" i="97"/>
  <c r="O63" i="97"/>
  <c r="N63" i="97"/>
  <c r="M63" i="97"/>
  <c r="L63" i="97"/>
  <c r="K63" i="97"/>
  <c r="J63" i="97"/>
  <c r="I63" i="97"/>
  <c r="H63" i="97"/>
  <c r="G63" i="97"/>
  <c r="F63" i="97"/>
  <c r="E63" i="97"/>
  <c r="X62" i="97"/>
  <c r="X61" i="97"/>
  <c r="W60" i="97"/>
  <c r="V60" i="97"/>
  <c r="U60" i="97"/>
  <c r="T60" i="97"/>
  <c r="S60" i="97"/>
  <c r="R60" i="97"/>
  <c r="Q60" i="97"/>
  <c r="P60" i="97"/>
  <c r="O60" i="97"/>
  <c r="N60" i="97"/>
  <c r="M60" i="97"/>
  <c r="L60" i="97"/>
  <c r="K60" i="97"/>
  <c r="J60" i="97"/>
  <c r="I60" i="97"/>
  <c r="H60" i="97"/>
  <c r="G60" i="97"/>
  <c r="F60" i="97"/>
  <c r="E60" i="97"/>
  <c r="N59" i="97"/>
  <c r="X59" i="97" s="1"/>
  <c r="H59" i="103" s="1"/>
  <c r="Q58" i="97"/>
  <c r="H58" i="97"/>
  <c r="H57" i="97" s="1"/>
  <c r="H56" i="97" s="1"/>
  <c r="F58" i="97"/>
  <c r="W57" i="97"/>
  <c r="V57" i="97"/>
  <c r="U57" i="97"/>
  <c r="U56" i="97" s="1"/>
  <c r="T57" i="97"/>
  <c r="S57" i="97"/>
  <c r="R57" i="97"/>
  <c r="Q57" i="97"/>
  <c r="Q56" i="97" s="1"/>
  <c r="P57" i="97"/>
  <c r="O57" i="97"/>
  <c r="O56" i="97" s="1"/>
  <c r="N57" i="97"/>
  <c r="N56" i="97" s="1"/>
  <c r="M57" i="97"/>
  <c r="M56" i="97" s="1"/>
  <c r="L57" i="97"/>
  <c r="L56" i="97" s="1"/>
  <c r="K57" i="97"/>
  <c r="J57" i="97"/>
  <c r="I57" i="97"/>
  <c r="I56" i="97" s="1"/>
  <c r="G57" i="97"/>
  <c r="E57" i="97"/>
  <c r="W56" i="97"/>
  <c r="V56" i="97"/>
  <c r="T56" i="97"/>
  <c r="S56" i="97"/>
  <c r="R56" i="97"/>
  <c r="P56" i="97"/>
  <c r="K56" i="97"/>
  <c r="J56" i="97"/>
  <c r="G56" i="97"/>
  <c r="E56" i="97"/>
  <c r="X55" i="97"/>
  <c r="H55" i="103" s="1"/>
  <c r="W54" i="97"/>
  <c r="V54" i="97"/>
  <c r="U54" i="97"/>
  <c r="T54" i="97"/>
  <c r="S54" i="97"/>
  <c r="R54" i="97"/>
  <c r="Q54" i="97"/>
  <c r="P54" i="97"/>
  <c r="O54" i="97"/>
  <c r="N54" i="97"/>
  <c r="M54" i="97"/>
  <c r="L54" i="97"/>
  <c r="K54" i="97"/>
  <c r="J54" i="97"/>
  <c r="I54" i="97"/>
  <c r="H54" i="97"/>
  <c r="G54" i="97"/>
  <c r="F54" i="97"/>
  <c r="E54" i="97"/>
  <c r="W52" i="97"/>
  <c r="V52" i="97"/>
  <c r="U52" i="97"/>
  <c r="T52" i="97"/>
  <c r="S52" i="97"/>
  <c r="R52" i="97"/>
  <c r="Q52" i="97"/>
  <c r="P52" i="97"/>
  <c r="O52" i="97"/>
  <c r="N52" i="97"/>
  <c r="L52" i="97"/>
  <c r="K52" i="97"/>
  <c r="J52" i="97"/>
  <c r="I52" i="97"/>
  <c r="H52" i="97"/>
  <c r="G52" i="97"/>
  <c r="F52" i="97"/>
  <c r="E52" i="97"/>
  <c r="Q51" i="97"/>
  <c r="N51" i="97"/>
  <c r="M51" i="97"/>
  <c r="H51" i="97"/>
  <c r="X51" i="97" s="1"/>
  <c r="H51" i="103" s="1"/>
  <c r="F51" i="97"/>
  <c r="U50" i="97"/>
  <c r="U49" i="97" s="1"/>
  <c r="Q50" i="97"/>
  <c r="Q49" i="97" s="1"/>
  <c r="N50" i="97"/>
  <c r="M50" i="97"/>
  <c r="M49" i="97" s="1"/>
  <c r="H50" i="97"/>
  <c r="H49" i="97" s="1"/>
  <c r="F50" i="97"/>
  <c r="W49" i="97"/>
  <c r="W40" i="97" s="1"/>
  <c r="V49" i="97"/>
  <c r="T49" i="97"/>
  <c r="S49" i="97"/>
  <c r="R49" i="97"/>
  <c r="P49" i="97"/>
  <c r="O49" i="97"/>
  <c r="N49" i="97"/>
  <c r="L49" i="97"/>
  <c r="L40" i="97" s="1"/>
  <c r="K49" i="97"/>
  <c r="J49" i="97"/>
  <c r="I49" i="97"/>
  <c r="G49" i="97"/>
  <c r="E49" i="97"/>
  <c r="S48" i="97"/>
  <c r="S47" i="97" s="1"/>
  <c r="Q48" i="97"/>
  <c r="N48" i="97"/>
  <c r="M48" i="97"/>
  <c r="H48" i="97"/>
  <c r="H47" i="97" s="1"/>
  <c r="F48" i="97"/>
  <c r="W47" i="97"/>
  <c r="V47" i="97"/>
  <c r="U47" i="97"/>
  <c r="T47" i="97"/>
  <c r="R47" i="97"/>
  <c r="Q47" i="97"/>
  <c r="P47" i="97"/>
  <c r="O47" i="97"/>
  <c r="N47" i="97"/>
  <c r="M47" i="97"/>
  <c r="L47" i="97"/>
  <c r="K47" i="97"/>
  <c r="J47" i="97"/>
  <c r="I47" i="97"/>
  <c r="G47" i="97"/>
  <c r="E47" i="97"/>
  <c r="S46" i="97"/>
  <c r="Q46" i="97"/>
  <c r="Q45" i="97" s="1"/>
  <c r="N46" i="97"/>
  <c r="M46" i="97"/>
  <c r="H46" i="97"/>
  <c r="H45" i="97" s="1"/>
  <c r="F46" i="97"/>
  <c r="W45" i="97"/>
  <c r="V45" i="97"/>
  <c r="U45" i="97"/>
  <c r="T45" i="97"/>
  <c r="S45" i="97"/>
  <c r="R45" i="97"/>
  <c r="R40" i="97" s="1"/>
  <c r="P45" i="97"/>
  <c r="O45" i="97"/>
  <c r="N45" i="97"/>
  <c r="M45" i="97"/>
  <c r="L45" i="97"/>
  <c r="K45" i="97"/>
  <c r="J45" i="97"/>
  <c r="I45" i="97"/>
  <c r="G45" i="97"/>
  <c r="F45" i="97"/>
  <c r="E45" i="97"/>
  <c r="U44" i="97"/>
  <c r="U43" i="97" s="1"/>
  <c r="S44" i="97"/>
  <c r="S43" i="97" s="1"/>
  <c r="Q44" i="97"/>
  <c r="Q43" i="97" s="1"/>
  <c r="N44" i="97"/>
  <c r="M44" i="97"/>
  <c r="H44" i="97"/>
  <c r="W43" i="97"/>
  <c r="V43" i="97"/>
  <c r="T43" i="97"/>
  <c r="R43" i="97"/>
  <c r="P43" i="97"/>
  <c r="P40" i="97" s="1"/>
  <c r="O43" i="97"/>
  <c r="O40" i="97" s="1"/>
  <c r="N43" i="97"/>
  <c r="N40" i="97" s="1"/>
  <c r="M43" i="97"/>
  <c r="L43" i="97"/>
  <c r="K43" i="97"/>
  <c r="J43" i="97"/>
  <c r="I43" i="97"/>
  <c r="H43" i="97"/>
  <c r="G43" i="97"/>
  <c r="G40" i="97" s="1"/>
  <c r="F43" i="97"/>
  <c r="E43" i="97"/>
  <c r="H42" i="97"/>
  <c r="U41" i="97"/>
  <c r="U40" i="97" s="1"/>
  <c r="S41" i="97"/>
  <c r="M41" i="97"/>
  <c r="X39" i="97"/>
  <c r="H39" i="103" s="1"/>
  <c r="W38" i="97"/>
  <c r="W33" i="97" s="1"/>
  <c r="V38" i="97"/>
  <c r="U38" i="97"/>
  <c r="T38" i="97"/>
  <c r="S38" i="97"/>
  <c r="R38" i="97"/>
  <c r="Q38" i="97"/>
  <c r="P38" i="97"/>
  <c r="O38" i="97"/>
  <c r="N38" i="97"/>
  <c r="M38" i="97"/>
  <c r="L38" i="97"/>
  <c r="K38" i="97"/>
  <c r="K33" i="97" s="1"/>
  <c r="J38" i="97"/>
  <c r="I38" i="97"/>
  <c r="H38" i="97"/>
  <c r="G38" i="97"/>
  <c r="F38" i="97"/>
  <c r="E38" i="97"/>
  <c r="R37" i="97"/>
  <c r="M37" i="97"/>
  <c r="H37" i="97"/>
  <c r="X37" i="97" s="1"/>
  <c r="W36" i="97"/>
  <c r="V36" i="97"/>
  <c r="U36" i="97"/>
  <c r="T36" i="97"/>
  <c r="S36" i="97"/>
  <c r="R36" i="97"/>
  <c r="Q36" i="97"/>
  <c r="P36" i="97"/>
  <c r="P33" i="97" s="1"/>
  <c r="O36" i="97"/>
  <c r="N36" i="97"/>
  <c r="M36" i="97"/>
  <c r="L36" i="97"/>
  <c r="K36" i="97"/>
  <c r="J36" i="97"/>
  <c r="I36" i="97"/>
  <c r="G36" i="97"/>
  <c r="F36" i="97"/>
  <c r="E36" i="97"/>
  <c r="Q35" i="97"/>
  <c r="N35" i="97"/>
  <c r="N34" i="97" s="1"/>
  <c r="M35" i="97"/>
  <c r="H35" i="97"/>
  <c r="F35" i="97"/>
  <c r="E35" i="97"/>
  <c r="W34" i="97"/>
  <c r="V34" i="97"/>
  <c r="V33" i="97" s="1"/>
  <c r="U34" i="97"/>
  <c r="T34" i="97"/>
  <c r="S34" i="97"/>
  <c r="R34" i="97"/>
  <c r="Q34" i="97"/>
  <c r="Q33" i="97" s="1"/>
  <c r="P34" i="97"/>
  <c r="O34" i="97"/>
  <c r="M34" i="97"/>
  <c r="L34" i="97"/>
  <c r="K34" i="97"/>
  <c r="J34" i="97"/>
  <c r="J33" i="97" s="1"/>
  <c r="I34" i="97"/>
  <c r="H34" i="97"/>
  <c r="G34" i="97"/>
  <c r="F34" i="97"/>
  <c r="F33" i="97" s="1"/>
  <c r="E34" i="97"/>
  <c r="E33" i="97" s="1"/>
  <c r="O33" i="97"/>
  <c r="N33" i="97"/>
  <c r="M33" i="97"/>
  <c r="L33" i="97"/>
  <c r="X32" i="97"/>
  <c r="H32" i="103" s="1"/>
  <c r="M31" i="97"/>
  <c r="M28" i="97" s="1"/>
  <c r="M27" i="97" s="1"/>
  <c r="F31" i="97"/>
  <c r="E31" i="97"/>
  <c r="X31" i="97" s="1"/>
  <c r="AA31" i="97" s="1"/>
  <c r="R30" i="97"/>
  <c r="H30" i="97"/>
  <c r="F30" i="97"/>
  <c r="E30" i="97"/>
  <c r="W29" i="97"/>
  <c r="V29" i="97"/>
  <c r="U29" i="97"/>
  <c r="T29" i="97"/>
  <c r="S29" i="97"/>
  <c r="R29" i="97"/>
  <c r="Q29" i="97"/>
  <c r="P29" i="97"/>
  <c r="O29" i="97"/>
  <c r="N29" i="97"/>
  <c r="L29" i="97"/>
  <c r="K29" i="97"/>
  <c r="J29" i="97"/>
  <c r="I29" i="97"/>
  <c r="H29" i="97"/>
  <c r="G29" i="97"/>
  <c r="F29" i="97"/>
  <c r="E29" i="97"/>
  <c r="H28" i="97"/>
  <c r="H27" i="97" s="1"/>
  <c r="F28" i="97"/>
  <c r="F27" i="97" s="1"/>
  <c r="W27" i="97"/>
  <c r="V27" i="97"/>
  <c r="U27" i="97"/>
  <c r="T27" i="97"/>
  <c r="S27" i="97"/>
  <c r="R27" i="97"/>
  <c r="Q27" i="97"/>
  <c r="P27" i="97"/>
  <c r="O27" i="97"/>
  <c r="N27" i="97"/>
  <c r="L27" i="97"/>
  <c r="K27" i="97"/>
  <c r="J27" i="97"/>
  <c r="I27" i="97"/>
  <c r="G27" i="97"/>
  <c r="E27" i="97"/>
  <c r="N26" i="97"/>
  <c r="H26" i="97"/>
  <c r="X26" i="97" s="1"/>
  <c r="H26" i="103" s="1"/>
  <c r="F25" i="97"/>
  <c r="X25" i="97" s="1"/>
  <c r="H25" i="103" s="1"/>
  <c r="W24" i="97"/>
  <c r="W22" i="97" s="1"/>
  <c r="V24" i="97"/>
  <c r="V22" i="97" s="1"/>
  <c r="U24" i="97"/>
  <c r="U22" i="97" s="1"/>
  <c r="T24" i="97"/>
  <c r="S24" i="97"/>
  <c r="S22" i="97" s="1"/>
  <c r="R24" i="97"/>
  <c r="Q24" i="97"/>
  <c r="Q22" i="97" s="1"/>
  <c r="P24" i="97"/>
  <c r="O24" i="97"/>
  <c r="O22" i="97" s="1"/>
  <c r="N24" i="97"/>
  <c r="M24" i="97"/>
  <c r="L24" i="97"/>
  <c r="L22" i="97" s="1"/>
  <c r="K24" i="97"/>
  <c r="K22" i="97" s="1"/>
  <c r="J24" i="97"/>
  <c r="J22" i="97" s="1"/>
  <c r="I24" i="97"/>
  <c r="I22" i="97" s="1"/>
  <c r="G24" i="97"/>
  <c r="G22" i="97" s="1"/>
  <c r="E24" i="97"/>
  <c r="H23" i="97"/>
  <c r="F23" i="97"/>
  <c r="T22" i="97"/>
  <c r="R22" i="97"/>
  <c r="P22" i="97"/>
  <c r="N22" i="97"/>
  <c r="X21" i="97"/>
  <c r="H21" i="103" s="1"/>
  <c r="Q20" i="97"/>
  <c r="Q17" i="97" s="1"/>
  <c r="M20" i="97"/>
  <c r="H20" i="97"/>
  <c r="H17" i="97" s="1"/>
  <c r="F20" i="97"/>
  <c r="F17" i="97" s="1"/>
  <c r="E20" i="97"/>
  <c r="X19" i="97"/>
  <c r="H19" i="103" s="1"/>
  <c r="X18" i="97"/>
  <c r="H18" i="103" s="1"/>
  <c r="W17" i="97"/>
  <c r="V17" i="97"/>
  <c r="U17" i="97"/>
  <c r="T17" i="97"/>
  <c r="S17" i="97"/>
  <c r="R17" i="97"/>
  <c r="P17" i="97"/>
  <c r="O17" i="97"/>
  <c r="N17" i="97"/>
  <c r="M17" i="97"/>
  <c r="L17" i="97"/>
  <c r="K17" i="97"/>
  <c r="J17" i="97"/>
  <c r="I17" i="97"/>
  <c r="G17" i="97"/>
  <c r="E17" i="97"/>
  <c r="H16" i="97"/>
  <c r="F16" i="97"/>
  <c r="X16" i="97"/>
  <c r="H15" i="97"/>
  <c r="H14" i="97" s="1"/>
  <c r="F15" i="97"/>
  <c r="X15" i="97"/>
  <c r="W14" i="97"/>
  <c r="V14" i="97"/>
  <c r="U14" i="97"/>
  <c r="T14" i="97"/>
  <c r="S14" i="97"/>
  <c r="R14" i="97"/>
  <c r="Q14" i="97"/>
  <c r="P14" i="97"/>
  <c r="O14" i="97"/>
  <c r="N14" i="97"/>
  <c r="M14" i="97"/>
  <c r="L14" i="97"/>
  <c r="K14" i="97"/>
  <c r="J14" i="97"/>
  <c r="I14" i="97"/>
  <c r="G14" i="97"/>
  <c r="E14" i="97"/>
  <c r="M13" i="97"/>
  <c r="M12" i="97" s="1"/>
  <c r="E13" i="97"/>
  <c r="W12" i="97"/>
  <c r="V12" i="97"/>
  <c r="V10" i="97" s="1"/>
  <c r="V6" i="97" s="1"/>
  <c r="U12" i="97"/>
  <c r="T12" i="97"/>
  <c r="T10" i="97" s="1"/>
  <c r="S12" i="97"/>
  <c r="S10" i="97" s="1"/>
  <c r="R12" i="97"/>
  <c r="Q12" i="97"/>
  <c r="P12" i="97"/>
  <c r="O12" i="97"/>
  <c r="N12" i="97"/>
  <c r="L12" i="97"/>
  <c r="K12" i="97"/>
  <c r="K10" i="97" s="1"/>
  <c r="J12" i="97"/>
  <c r="I12" i="97"/>
  <c r="I10" i="97" s="1"/>
  <c r="H12" i="97"/>
  <c r="G12" i="97"/>
  <c r="G10" i="97" s="1"/>
  <c r="F12" i="97"/>
  <c r="F10" i="97" s="1"/>
  <c r="E12" i="97"/>
  <c r="E10" i="97" s="1"/>
  <c r="R11" i="97"/>
  <c r="M11" i="97"/>
  <c r="E11" i="97"/>
  <c r="W10" i="97"/>
  <c r="U10" i="97"/>
  <c r="Q10" i="97"/>
  <c r="P10" i="97"/>
  <c r="P6" i="97" s="1"/>
  <c r="P5" i="97" s="1"/>
  <c r="O10" i="97"/>
  <c r="N10" i="97"/>
  <c r="L10" i="97"/>
  <c r="J10" i="97"/>
  <c r="H10" i="97"/>
  <c r="R9" i="97"/>
  <c r="R7" i="97" s="1"/>
  <c r="M9" i="97"/>
  <c r="M7" i="97" s="1"/>
  <c r="H9" i="97"/>
  <c r="H7" i="97" s="1"/>
  <c r="E9" i="97"/>
  <c r="R8" i="97"/>
  <c r="M8" i="97"/>
  <c r="H8" i="97"/>
  <c r="E8" i="97"/>
  <c r="X8" i="97" s="1"/>
  <c r="H8" i="103" s="1"/>
  <c r="W7" i="97"/>
  <c r="V7" i="97"/>
  <c r="U7" i="97"/>
  <c r="T7" i="97"/>
  <c r="S7" i="97"/>
  <c r="Q7" i="97"/>
  <c r="P7" i="97"/>
  <c r="O7" i="97"/>
  <c r="N7" i="97"/>
  <c r="L7" i="97"/>
  <c r="K7" i="97"/>
  <c r="J7" i="97"/>
  <c r="I7" i="97"/>
  <c r="G7" i="97"/>
  <c r="F7" i="97"/>
  <c r="Y75" i="96"/>
  <c r="G75" i="103" s="1"/>
  <c r="Y74" i="96"/>
  <c r="G74" i="103" s="1"/>
  <c r="Y73" i="96"/>
  <c r="Y72" i="96"/>
  <c r="Y71" i="96"/>
  <c r="Y70" i="96"/>
  <c r="G70" i="103" s="1"/>
  <c r="Y69" i="96"/>
  <c r="G69" i="103" s="1"/>
  <c r="X68" i="96"/>
  <c r="W68" i="96"/>
  <c r="V68" i="96"/>
  <c r="U68" i="96"/>
  <c r="T68" i="96"/>
  <c r="S68" i="96"/>
  <c r="R68" i="96"/>
  <c r="Q68" i="96"/>
  <c r="P68" i="96"/>
  <c r="O68" i="96"/>
  <c r="N68" i="96"/>
  <c r="M68" i="96"/>
  <c r="L68" i="96"/>
  <c r="K68" i="96"/>
  <c r="J68" i="96"/>
  <c r="I68" i="96"/>
  <c r="H68" i="96"/>
  <c r="G68" i="96"/>
  <c r="F68" i="96"/>
  <c r="E68" i="96"/>
  <c r="Y67" i="96"/>
  <c r="G67" i="103" s="1"/>
  <c r="Y66" i="96"/>
  <c r="G66" i="103" s="1"/>
  <c r="Y65" i="96"/>
  <c r="G65" i="103" s="1"/>
  <c r="Y64" i="96"/>
  <c r="G64" i="103" s="1"/>
  <c r="X63" i="96"/>
  <c r="W63" i="96"/>
  <c r="V63" i="96"/>
  <c r="U63" i="96"/>
  <c r="T63" i="96"/>
  <c r="S63" i="96"/>
  <c r="R63" i="96"/>
  <c r="Q63" i="96"/>
  <c r="P63" i="96"/>
  <c r="O63" i="96"/>
  <c r="N63" i="96"/>
  <c r="M63" i="96"/>
  <c r="L63" i="96"/>
  <c r="K63" i="96"/>
  <c r="J63" i="96"/>
  <c r="I63" i="96"/>
  <c r="H63" i="96"/>
  <c r="G63" i="96"/>
  <c r="F63" i="96"/>
  <c r="E63" i="96"/>
  <c r="Y62" i="96"/>
  <c r="G62" i="103" s="1"/>
  <c r="Y61" i="96"/>
  <c r="X60" i="96"/>
  <c r="W60" i="96"/>
  <c r="V60" i="96"/>
  <c r="U60" i="96"/>
  <c r="T60" i="96"/>
  <c r="S60" i="96"/>
  <c r="R60" i="96"/>
  <c r="Q60" i="96"/>
  <c r="P60" i="96"/>
  <c r="O60" i="96"/>
  <c r="N60" i="96"/>
  <c r="M60" i="96"/>
  <c r="L60" i="96"/>
  <c r="K60" i="96"/>
  <c r="J60" i="96"/>
  <c r="I60" i="96"/>
  <c r="H60" i="96"/>
  <c r="G60" i="96"/>
  <c r="F60" i="96"/>
  <c r="E60" i="96"/>
  <c r="Y59" i="96"/>
  <c r="Y58" i="96"/>
  <c r="X57" i="96"/>
  <c r="W57" i="96"/>
  <c r="V57" i="96"/>
  <c r="V56" i="96" s="1"/>
  <c r="V40" i="96" s="1"/>
  <c r="U57" i="96"/>
  <c r="T57" i="96"/>
  <c r="T56" i="96" s="1"/>
  <c r="S57" i="96"/>
  <c r="S56" i="96" s="1"/>
  <c r="R57" i="96"/>
  <c r="R56" i="96" s="1"/>
  <c r="Q57" i="96"/>
  <c r="Q56" i="96" s="1"/>
  <c r="P57" i="96"/>
  <c r="O57" i="96"/>
  <c r="N57" i="96"/>
  <c r="N56" i="96" s="1"/>
  <c r="M57" i="96"/>
  <c r="L57" i="96"/>
  <c r="K57" i="96"/>
  <c r="J57" i="96"/>
  <c r="J56" i="96" s="1"/>
  <c r="J40" i="96" s="1"/>
  <c r="I57" i="96"/>
  <c r="H57" i="96"/>
  <c r="H56" i="96" s="1"/>
  <c r="G57" i="96"/>
  <c r="G56" i="96" s="1"/>
  <c r="F57" i="96"/>
  <c r="F56" i="96" s="1"/>
  <c r="E57" i="96"/>
  <c r="X56" i="96"/>
  <c r="W56" i="96"/>
  <c r="U56" i="96"/>
  <c r="P56" i="96"/>
  <c r="O56" i="96"/>
  <c r="M56" i="96"/>
  <c r="L56" i="96"/>
  <c r="K56" i="96"/>
  <c r="I56" i="96"/>
  <c r="Y55" i="96"/>
  <c r="G55" i="103" s="1"/>
  <c r="X54" i="96"/>
  <c r="W54" i="96"/>
  <c r="V54" i="96"/>
  <c r="U54" i="96"/>
  <c r="T54" i="96"/>
  <c r="S54" i="96"/>
  <c r="R54" i="96"/>
  <c r="Q54" i="96"/>
  <c r="P54" i="96"/>
  <c r="O54" i="96"/>
  <c r="N54" i="96"/>
  <c r="M54" i="96"/>
  <c r="L54" i="96"/>
  <c r="K54" i="96"/>
  <c r="J54" i="96"/>
  <c r="I54" i="96"/>
  <c r="H54" i="96"/>
  <c r="G54" i="96"/>
  <c r="F54" i="96"/>
  <c r="E54" i="96"/>
  <c r="Y53" i="96"/>
  <c r="G53" i="103" s="1"/>
  <c r="X52" i="96"/>
  <c r="W52" i="96"/>
  <c r="V52" i="96"/>
  <c r="U52" i="96"/>
  <c r="T52" i="96"/>
  <c r="S52" i="96"/>
  <c r="R52" i="96"/>
  <c r="Q52" i="96"/>
  <c r="P52" i="96"/>
  <c r="O52" i="96"/>
  <c r="N52" i="96"/>
  <c r="M52" i="96"/>
  <c r="L52" i="96"/>
  <c r="K52" i="96"/>
  <c r="J52" i="96"/>
  <c r="I52" i="96"/>
  <c r="H52" i="96"/>
  <c r="G52" i="96"/>
  <c r="F52" i="96"/>
  <c r="E52" i="96"/>
  <c r="Y51" i="96"/>
  <c r="G51" i="103" s="1"/>
  <c r="Y50" i="96"/>
  <c r="G50" i="103" s="1"/>
  <c r="X49" i="96"/>
  <c r="W49" i="96"/>
  <c r="V49" i="96"/>
  <c r="U49" i="96"/>
  <c r="T49" i="96"/>
  <c r="S49" i="96"/>
  <c r="R49" i="96"/>
  <c r="Q49" i="96"/>
  <c r="P49" i="96"/>
  <c r="O49" i="96"/>
  <c r="N49" i="96"/>
  <c r="M49" i="96"/>
  <c r="M40" i="96" s="1"/>
  <c r="L49" i="96"/>
  <c r="K49" i="96"/>
  <c r="J49" i="96"/>
  <c r="I49" i="96"/>
  <c r="H49" i="96"/>
  <c r="G49" i="96"/>
  <c r="F49" i="96"/>
  <c r="E49" i="96"/>
  <c r="Y48" i="96"/>
  <c r="G48" i="103" s="1"/>
  <c r="X47" i="96"/>
  <c r="W47" i="96"/>
  <c r="V47" i="96"/>
  <c r="U47" i="96"/>
  <c r="T47" i="96"/>
  <c r="S47" i="96"/>
  <c r="R47" i="96"/>
  <c r="Q47" i="96"/>
  <c r="P47" i="96"/>
  <c r="O47" i="96"/>
  <c r="N47" i="96"/>
  <c r="M47" i="96"/>
  <c r="L47" i="96"/>
  <c r="L40" i="96" s="1"/>
  <c r="K47" i="96"/>
  <c r="K40" i="96" s="1"/>
  <c r="J47" i="96"/>
  <c r="I47" i="96"/>
  <c r="I40" i="96" s="1"/>
  <c r="H47" i="96"/>
  <c r="G47" i="96"/>
  <c r="F47" i="96"/>
  <c r="E47" i="96"/>
  <c r="Y46" i="96"/>
  <c r="G46" i="103" s="1"/>
  <c r="X45" i="96"/>
  <c r="W45" i="96"/>
  <c r="V45" i="96"/>
  <c r="U45" i="96"/>
  <c r="T45" i="96"/>
  <c r="S45" i="96"/>
  <c r="S40" i="96" s="1"/>
  <c r="R45" i="96"/>
  <c r="Q45" i="96"/>
  <c r="P45" i="96"/>
  <c r="O45" i="96"/>
  <c r="N45" i="96"/>
  <c r="M45" i="96"/>
  <c r="L45" i="96"/>
  <c r="K45" i="96"/>
  <c r="J45" i="96"/>
  <c r="I45" i="96"/>
  <c r="H45" i="96"/>
  <c r="G45" i="96"/>
  <c r="F45" i="96"/>
  <c r="E45" i="96"/>
  <c r="Y44" i="96"/>
  <c r="X43" i="96"/>
  <c r="W43" i="96"/>
  <c r="V43" i="96"/>
  <c r="U43" i="96"/>
  <c r="T43" i="96"/>
  <c r="S43" i="96"/>
  <c r="R43" i="96"/>
  <c r="Q43" i="96"/>
  <c r="P43" i="96"/>
  <c r="P40" i="96" s="1"/>
  <c r="O43" i="96"/>
  <c r="O40" i="96" s="1"/>
  <c r="N43" i="96"/>
  <c r="M43" i="96"/>
  <c r="L43" i="96"/>
  <c r="K43" i="96"/>
  <c r="J43" i="96"/>
  <c r="I43" i="96"/>
  <c r="H43" i="96"/>
  <c r="G43" i="96"/>
  <c r="F43" i="96"/>
  <c r="E43" i="96"/>
  <c r="W42" i="96"/>
  <c r="Y42" i="96" s="1"/>
  <c r="G42" i="103" s="1"/>
  <c r="W41" i="96"/>
  <c r="Y41" i="96" s="1"/>
  <c r="G41" i="103" s="1"/>
  <c r="Y39" i="96"/>
  <c r="X38" i="96"/>
  <c r="W38" i="96"/>
  <c r="V38" i="96"/>
  <c r="U38" i="96"/>
  <c r="T38" i="96"/>
  <c r="S38" i="96"/>
  <c r="R38" i="96"/>
  <c r="Q38" i="96"/>
  <c r="P38" i="96"/>
  <c r="O38" i="96"/>
  <c r="N38" i="96"/>
  <c r="M38" i="96"/>
  <c r="L38" i="96"/>
  <c r="K38" i="96"/>
  <c r="J38" i="96"/>
  <c r="J33" i="96" s="1"/>
  <c r="I38" i="96"/>
  <c r="H38" i="96"/>
  <c r="G38" i="96"/>
  <c r="F38" i="96"/>
  <c r="E38" i="96"/>
  <c r="Y37" i="96"/>
  <c r="G37" i="103" s="1"/>
  <c r="X36" i="96"/>
  <c r="W36" i="96"/>
  <c r="V36" i="96"/>
  <c r="U36" i="96"/>
  <c r="T36" i="96"/>
  <c r="S36" i="96"/>
  <c r="S33" i="96" s="1"/>
  <c r="R36" i="96"/>
  <c r="Q36" i="96"/>
  <c r="P36" i="96"/>
  <c r="O36" i="96"/>
  <c r="N36" i="96"/>
  <c r="M36" i="96"/>
  <c r="L36" i="96"/>
  <c r="K36" i="96"/>
  <c r="J36" i="96"/>
  <c r="I36" i="96"/>
  <c r="H36" i="96"/>
  <c r="G36" i="96"/>
  <c r="G33" i="96" s="1"/>
  <c r="F36" i="96"/>
  <c r="E36" i="96"/>
  <c r="Y35" i="96"/>
  <c r="G35" i="103" s="1"/>
  <c r="X34" i="96"/>
  <c r="W34" i="96"/>
  <c r="V34" i="96"/>
  <c r="V33" i="96" s="1"/>
  <c r="U34" i="96"/>
  <c r="T34" i="96"/>
  <c r="S34" i="96"/>
  <c r="R34" i="96"/>
  <c r="R33" i="96" s="1"/>
  <c r="Q34" i="96"/>
  <c r="P34" i="96"/>
  <c r="P33" i="96" s="1"/>
  <c r="O34" i="96"/>
  <c r="O33" i="96" s="1"/>
  <c r="N34" i="96"/>
  <c r="M34" i="96"/>
  <c r="M33" i="96" s="1"/>
  <c r="L34" i="96"/>
  <c r="K34" i="96"/>
  <c r="J34" i="96"/>
  <c r="I34" i="96"/>
  <c r="H34" i="96"/>
  <c r="H33" i="96" s="1"/>
  <c r="G34" i="96"/>
  <c r="F34" i="96"/>
  <c r="E34" i="96"/>
  <c r="X33" i="96"/>
  <c r="W33" i="96"/>
  <c r="T33" i="96"/>
  <c r="N33" i="96"/>
  <c r="K33" i="96"/>
  <c r="F33" i="96"/>
  <c r="Y32" i="96"/>
  <c r="G32" i="103" s="1"/>
  <c r="W31" i="96"/>
  <c r="Y31" i="96" s="1"/>
  <c r="G31" i="103" s="1"/>
  <c r="W30" i="96"/>
  <c r="Y30" i="96" s="1"/>
  <c r="X29" i="96"/>
  <c r="V29" i="96"/>
  <c r="U29" i="96"/>
  <c r="T29" i="96"/>
  <c r="S29" i="96"/>
  <c r="R29" i="96"/>
  <c r="Q29" i="96"/>
  <c r="P29" i="96"/>
  <c r="O29" i="96"/>
  <c r="N29" i="96"/>
  <c r="M29" i="96"/>
  <c r="L29" i="96"/>
  <c r="K29" i="96"/>
  <c r="J29" i="96"/>
  <c r="I29" i="96"/>
  <c r="H29" i="96"/>
  <c r="G29" i="96"/>
  <c r="F29" i="96"/>
  <c r="E29" i="96"/>
  <c r="Y28" i="96"/>
  <c r="G28" i="103" s="1"/>
  <c r="W28" i="96"/>
  <c r="X27" i="96"/>
  <c r="W27" i="96"/>
  <c r="V27" i="96"/>
  <c r="U27" i="96"/>
  <c r="T27" i="96"/>
  <c r="S27" i="96"/>
  <c r="R27" i="96"/>
  <c r="Q27" i="96"/>
  <c r="P27" i="96"/>
  <c r="O27" i="96"/>
  <c r="N27" i="96"/>
  <c r="M27" i="96"/>
  <c r="L27" i="96"/>
  <c r="K27" i="96"/>
  <c r="J27" i="96"/>
  <c r="I27" i="96"/>
  <c r="H27" i="96"/>
  <c r="G27" i="96"/>
  <c r="F27" i="96"/>
  <c r="E27" i="96"/>
  <c r="Y26" i="96"/>
  <c r="G26" i="103" s="1"/>
  <c r="Y25" i="96"/>
  <c r="G25" i="103" s="1"/>
  <c r="X24" i="96"/>
  <c r="X22" i="96" s="1"/>
  <c r="W24" i="96"/>
  <c r="V24" i="96"/>
  <c r="U24" i="96"/>
  <c r="T24" i="96"/>
  <c r="S24" i="96"/>
  <c r="S22" i="96" s="1"/>
  <c r="S6" i="96" s="1"/>
  <c r="S5" i="96" s="1"/>
  <c r="R24" i="96"/>
  <c r="R22" i="96" s="1"/>
  <c r="Q24" i="96"/>
  <c r="P24" i="96"/>
  <c r="P22" i="96" s="1"/>
  <c r="O24" i="96"/>
  <c r="O22" i="96" s="1"/>
  <c r="N24" i="96"/>
  <c r="N22" i="96" s="1"/>
  <c r="M24" i="96"/>
  <c r="M22" i="96" s="1"/>
  <c r="L24" i="96"/>
  <c r="L22" i="96" s="1"/>
  <c r="K24" i="96"/>
  <c r="J24" i="96"/>
  <c r="I24" i="96"/>
  <c r="H24" i="96"/>
  <c r="G24" i="96"/>
  <c r="F24" i="96"/>
  <c r="F22" i="96" s="1"/>
  <c r="E24" i="96"/>
  <c r="W23" i="96"/>
  <c r="Y23" i="96" s="1"/>
  <c r="G23" i="103" s="1"/>
  <c r="V22" i="96"/>
  <c r="U22" i="96"/>
  <c r="T22" i="96"/>
  <c r="Q22" i="96"/>
  <c r="K22" i="96"/>
  <c r="J22" i="96"/>
  <c r="I22" i="96"/>
  <c r="H22" i="96"/>
  <c r="G22" i="96"/>
  <c r="E22" i="96"/>
  <c r="Y21" i="96"/>
  <c r="G21" i="103" s="1"/>
  <c r="W20" i="96"/>
  <c r="Y20" i="96" s="1"/>
  <c r="G20" i="103" s="1"/>
  <c r="Y19" i="96"/>
  <c r="G19" i="103" s="1"/>
  <c r="W19" i="96"/>
  <c r="Y18" i="96"/>
  <c r="G18" i="103" s="1"/>
  <c r="X17" i="96"/>
  <c r="V17" i="96"/>
  <c r="U17" i="96"/>
  <c r="T17" i="96"/>
  <c r="S17" i="96"/>
  <c r="R17" i="96"/>
  <c r="Q17" i="96"/>
  <c r="P17" i="96"/>
  <c r="O17" i="96"/>
  <c r="N17" i="96"/>
  <c r="M17" i="96"/>
  <c r="L17" i="96"/>
  <c r="K17" i="96"/>
  <c r="J17" i="96"/>
  <c r="I17" i="96"/>
  <c r="H17" i="96"/>
  <c r="G17" i="96"/>
  <c r="F17" i="96"/>
  <c r="E17" i="96"/>
  <c r="Y16" i="96"/>
  <c r="G16" i="103" s="1"/>
  <c r="W16" i="96"/>
  <c r="W15" i="96"/>
  <c r="Y15" i="96" s="1"/>
  <c r="X14" i="96"/>
  <c r="V14" i="96"/>
  <c r="U14" i="96"/>
  <c r="T14" i="96"/>
  <c r="S14" i="96"/>
  <c r="R14" i="96"/>
  <c r="Q14" i="96"/>
  <c r="P14" i="96"/>
  <c r="O14" i="96"/>
  <c r="N14" i="96"/>
  <c r="M14" i="96"/>
  <c r="L14" i="96"/>
  <c r="K14" i="96"/>
  <c r="J14" i="96"/>
  <c r="I14" i="96"/>
  <c r="H14" i="96"/>
  <c r="G14" i="96"/>
  <c r="F14" i="96"/>
  <c r="E14" i="96"/>
  <c r="W13" i="96"/>
  <c r="Y13" i="96" s="1"/>
  <c r="G13" i="103" s="1"/>
  <c r="X12" i="96"/>
  <c r="V12" i="96"/>
  <c r="U12" i="96"/>
  <c r="U10" i="96" s="1"/>
  <c r="T12" i="96"/>
  <c r="T10" i="96" s="1"/>
  <c r="S12" i="96"/>
  <c r="R12" i="96"/>
  <c r="R10" i="96" s="1"/>
  <c r="Q12" i="96"/>
  <c r="Q10" i="96" s="1"/>
  <c r="P12" i="96"/>
  <c r="P10" i="96" s="1"/>
  <c r="O12" i="96"/>
  <c r="N12" i="96"/>
  <c r="N10" i="96" s="1"/>
  <c r="M12" i="96"/>
  <c r="M10" i="96" s="1"/>
  <c r="L12" i="96"/>
  <c r="K12" i="96"/>
  <c r="J12" i="96"/>
  <c r="I12" i="96"/>
  <c r="I10" i="96" s="1"/>
  <c r="H12" i="96"/>
  <c r="H10" i="96" s="1"/>
  <c r="G12" i="96"/>
  <c r="F12" i="96"/>
  <c r="F10" i="96" s="1"/>
  <c r="F6" i="96" s="1"/>
  <c r="E12" i="96"/>
  <c r="E10" i="96" s="1"/>
  <c r="Y11" i="96"/>
  <c r="G11" i="103" s="1"/>
  <c r="W11" i="96"/>
  <c r="X10" i="96"/>
  <c r="V10" i="96"/>
  <c r="V6" i="96" s="1"/>
  <c r="S10" i="96"/>
  <c r="O10" i="96"/>
  <c r="L10" i="96"/>
  <c r="K10" i="96"/>
  <c r="J10" i="96"/>
  <c r="J6" i="96" s="1"/>
  <c r="G10" i="96"/>
  <c r="W9" i="96"/>
  <c r="U9" i="96"/>
  <c r="I9" i="96"/>
  <c r="E9" i="96"/>
  <c r="Y9" i="96" s="1"/>
  <c r="G9" i="103" s="1"/>
  <c r="W8" i="96"/>
  <c r="W7" i="96" s="1"/>
  <c r="U8" i="96"/>
  <c r="U7" i="96" s="1"/>
  <c r="I8" i="96"/>
  <c r="I7" i="96" s="1"/>
  <c r="I6" i="96" s="1"/>
  <c r="E8" i="96"/>
  <c r="X7" i="96"/>
  <c r="V7" i="96"/>
  <c r="T7" i="96"/>
  <c r="S7" i="96"/>
  <c r="R7" i="96"/>
  <c r="R6" i="96" s="1"/>
  <c r="Q7" i="96"/>
  <c r="Q6" i="96" s="1"/>
  <c r="P7" i="96"/>
  <c r="P6" i="96" s="1"/>
  <c r="P5" i="96" s="1"/>
  <c r="O7" i="96"/>
  <c r="O6" i="96" s="1"/>
  <c r="N7" i="96"/>
  <c r="M7" i="96"/>
  <c r="L7" i="96"/>
  <c r="K7" i="96"/>
  <c r="J7" i="96"/>
  <c r="H7" i="96"/>
  <c r="G7" i="96"/>
  <c r="G6" i="96" s="1"/>
  <c r="F7" i="96"/>
  <c r="E7" i="96"/>
  <c r="E75" i="95"/>
  <c r="J75" i="95" s="1"/>
  <c r="F75" i="103" s="1"/>
  <c r="E74" i="95"/>
  <c r="J74" i="95" s="1"/>
  <c r="F74" i="103" s="1"/>
  <c r="J73" i="95"/>
  <c r="F73" i="103" s="1"/>
  <c r="J72" i="95"/>
  <c r="F72" i="103" s="1"/>
  <c r="J71" i="95"/>
  <c r="F71" i="103" s="1"/>
  <c r="J70" i="95"/>
  <c r="F70" i="103" s="1"/>
  <c r="J69" i="95"/>
  <c r="F69" i="103" s="1"/>
  <c r="I68" i="95"/>
  <c r="H68" i="95"/>
  <c r="G68" i="95"/>
  <c r="F68" i="95"/>
  <c r="E68" i="95"/>
  <c r="J67" i="95"/>
  <c r="F67" i="103" s="1"/>
  <c r="J66" i="95"/>
  <c r="J65" i="95"/>
  <c r="J64" i="95"/>
  <c r="F64" i="103" s="1"/>
  <c r="H63" i="95"/>
  <c r="G63" i="95"/>
  <c r="F63" i="95"/>
  <c r="E63" i="95"/>
  <c r="J62" i="95"/>
  <c r="F62" i="103" s="1"/>
  <c r="J61" i="95"/>
  <c r="F61" i="103" s="1"/>
  <c r="I60" i="95"/>
  <c r="H60" i="95"/>
  <c r="G60" i="95"/>
  <c r="F60" i="95"/>
  <c r="E60" i="95"/>
  <c r="J60" i="95" s="1"/>
  <c r="F60" i="103" s="1"/>
  <c r="J59" i="95"/>
  <c r="F59" i="103" s="1"/>
  <c r="F58" i="95"/>
  <c r="E58" i="95"/>
  <c r="I57" i="95"/>
  <c r="I56" i="95" s="1"/>
  <c r="I40" i="95" s="1"/>
  <c r="H57" i="95"/>
  <c r="H56" i="95" s="1"/>
  <c r="G57" i="95"/>
  <c r="G56" i="95" s="1"/>
  <c r="F57" i="95"/>
  <c r="F56" i="95" s="1"/>
  <c r="J55" i="95"/>
  <c r="F55" i="103" s="1"/>
  <c r="I54" i="95"/>
  <c r="H54" i="95"/>
  <c r="G54" i="95"/>
  <c r="F54" i="95"/>
  <c r="E54" i="95"/>
  <c r="J53" i="95"/>
  <c r="F53" i="103" s="1"/>
  <c r="F53" i="95"/>
  <c r="F52" i="95" s="1"/>
  <c r="I52" i="95"/>
  <c r="H52" i="95"/>
  <c r="G52" i="95"/>
  <c r="E52" i="95"/>
  <c r="H51" i="95"/>
  <c r="F51" i="95"/>
  <c r="J51" i="95" s="1"/>
  <c r="F51" i="103" s="1"/>
  <c r="E51" i="95"/>
  <c r="H50" i="95"/>
  <c r="H49" i="95" s="1"/>
  <c r="F50" i="95"/>
  <c r="F49" i="95" s="1"/>
  <c r="E50" i="95"/>
  <c r="E49" i="95" s="1"/>
  <c r="I49" i="95"/>
  <c r="G49" i="95"/>
  <c r="H48" i="95"/>
  <c r="H47" i="95" s="1"/>
  <c r="F48" i="95"/>
  <c r="F47" i="95" s="1"/>
  <c r="I47" i="95"/>
  <c r="G47" i="95"/>
  <c r="E47" i="95"/>
  <c r="H46" i="95"/>
  <c r="H45" i="95" s="1"/>
  <c r="F46" i="95"/>
  <c r="F45" i="95" s="1"/>
  <c r="I45" i="95"/>
  <c r="G45" i="95"/>
  <c r="H44" i="95"/>
  <c r="F44" i="95"/>
  <c r="E44" i="95"/>
  <c r="J44" i="95" s="1"/>
  <c r="F44" i="103" s="1"/>
  <c r="I43" i="95"/>
  <c r="H43" i="95"/>
  <c r="G43" i="95"/>
  <c r="F43" i="95"/>
  <c r="F42" i="95"/>
  <c r="H41" i="95"/>
  <c r="F41" i="95"/>
  <c r="E41" i="95"/>
  <c r="J41" i="95" s="1"/>
  <c r="F41" i="103" s="1"/>
  <c r="J39" i="95"/>
  <c r="F39" i="103" s="1"/>
  <c r="I38" i="95"/>
  <c r="H38" i="95"/>
  <c r="G38" i="95"/>
  <c r="F38" i="95"/>
  <c r="E38" i="95"/>
  <c r="J37" i="95"/>
  <c r="F37" i="103" s="1"/>
  <c r="I36" i="95"/>
  <c r="I33" i="95" s="1"/>
  <c r="H36" i="95"/>
  <c r="G36" i="95"/>
  <c r="F36" i="95"/>
  <c r="E36" i="95"/>
  <c r="E33" i="95" s="1"/>
  <c r="H35" i="95"/>
  <c r="J35" i="95" s="1"/>
  <c r="F35" i="103" s="1"/>
  <c r="I34" i="95"/>
  <c r="G34" i="95"/>
  <c r="F34" i="95"/>
  <c r="E34" i="95"/>
  <c r="J32" i="95"/>
  <c r="F32" i="103" s="1"/>
  <c r="J31" i="95"/>
  <c r="F31" i="103" s="1"/>
  <c r="J30" i="95"/>
  <c r="I29" i="95"/>
  <c r="H29" i="95"/>
  <c r="G29" i="95"/>
  <c r="F29" i="95"/>
  <c r="E29" i="95"/>
  <c r="J28" i="95"/>
  <c r="I27" i="95"/>
  <c r="H27" i="95"/>
  <c r="G27" i="95"/>
  <c r="F27" i="95"/>
  <c r="E27" i="95"/>
  <c r="F26" i="95"/>
  <c r="F24" i="95" s="1"/>
  <c r="J25" i="95"/>
  <c r="F25" i="103" s="1"/>
  <c r="H24" i="95"/>
  <c r="G24" i="95"/>
  <c r="E24" i="95"/>
  <c r="J23" i="95"/>
  <c r="F23" i="95"/>
  <c r="I22" i="95"/>
  <c r="H22" i="95"/>
  <c r="G22" i="95"/>
  <c r="E22" i="95"/>
  <c r="J21" i="95"/>
  <c r="F21" i="103" s="1"/>
  <c r="J20" i="95"/>
  <c r="F20" i="103" s="1"/>
  <c r="J19" i="95"/>
  <c r="J18" i="95"/>
  <c r="F18" i="103" s="1"/>
  <c r="I17" i="95"/>
  <c r="H17" i="95"/>
  <c r="G17" i="95"/>
  <c r="F17" i="95"/>
  <c r="E17" i="95"/>
  <c r="J16" i="95"/>
  <c r="F16" i="103" s="1"/>
  <c r="J15" i="95"/>
  <c r="I14" i="95"/>
  <c r="H14" i="95"/>
  <c r="G14" i="95"/>
  <c r="F14" i="95"/>
  <c r="E14" i="95"/>
  <c r="H13" i="95"/>
  <c r="J13" i="95" s="1"/>
  <c r="F13" i="103" s="1"/>
  <c r="I12" i="95"/>
  <c r="I10" i="95" s="1"/>
  <c r="H12" i="95"/>
  <c r="G12" i="95"/>
  <c r="G10" i="95" s="1"/>
  <c r="F12" i="95"/>
  <c r="F10" i="95" s="1"/>
  <c r="E12" i="95"/>
  <c r="H11" i="95"/>
  <c r="J11" i="95" s="1"/>
  <c r="F11" i="103" s="1"/>
  <c r="F11" i="95"/>
  <c r="J9" i="95"/>
  <c r="F9" i="103" s="1"/>
  <c r="H9" i="95"/>
  <c r="H8" i="95"/>
  <c r="J8" i="95" s="1"/>
  <c r="F8" i="103" s="1"/>
  <c r="I7" i="95"/>
  <c r="G7" i="95"/>
  <c r="G6" i="95" s="1"/>
  <c r="F7" i="95"/>
  <c r="E7" i="95"/>
  <c r="J75" i="94"/>
  <c r="E75" i="103" s="1"/>
  <c r="J74" i="94"/>
  <c r="E74" i="103" s="1"/>
  <c r="J73" i="94"/>
  <c r="E73" i="103" s="1"/>
  <c r="J72" i="94"/>
  <c r="E72" i="103" s="1"/>
  <c r="J71" i="94"/>
  <c r="E71" i="103" s="1"/>
  <c r="J70" i="94"/>
  <c r="E70" i="103" s="1"/>
  <c r="J69" i="94"/>
  <c r="E69" i="103" s="1"/>
  <c r="I68" i="94"/>
  <c r="H68" i="94"/>
  <c r="G68" i="94"/>
  <c r="F68" i="94"/>
  <c r="E68" i="94"/>
  <c r="J68" i="94" s="1"/>
  <c r="E68" i="103" s="1"/>
  <c r="J67" i="94"/>
  <c r="E67" i="103" s="1"/>
  <c r="J66" i="94"/>
  <c r="J65" i="94"/>
  <c r="J64" i="94"/>
  <c r="E64" i="103" s="1"/>
  <c r="I63" i="94"/>
  <c r="H63" i="94"/>
  <c r="G63" i="94"/>
  <c r="F63" i="94"/>
  <c r="E63" i="94"/>
  <c r="J62" i="94"/>
  <c r="E62" i="103" s="1"/>
  <c r="J61" i="94"/>
  <c r="E61" i="103" s="1"/>
  <c r="I60" i="94"/>
  <c r="H60" i="94"/>
  <c r="G60" i="94"/>
  <c r="F60" i="94"/>
  <c r="E60" i="94"/>
  <c r="J59" i="94"/>
  <c r="E59" i="103" s="1"/>
  <c r="E58" i="94"/>
  <c r="E57" i="94" s="1"/>
  <c r="I57" i="94"/>
  <c r="H57" i="94"/>
  <c r="G57" i="94"/>
  <c r="G56" i="94" s="1"/>
  <c r="F57" i="94"/>
  <c r="F56" i="94" s="1"/>
  <c r="I56" i="94"/>
  <c r="H56" i="94"/>
  <c r="J55" i="94"/>
  <c r="E55" i="103" s="1"/>
  <c r="I54" i="94"/>
  <c r="H54" i="94"/>
  <c r="G54" i="94"/>
  <c r="F54" i="94"/>
  <c r="E54" i="94"/>
  <c r="J53" i="94"/>
  <c r="E53" i="103" s="1"/>
  <c r="I52" i="94"/>
  <c r="H52" i="94"/>
  <c r="G52" i="94"/>
  <c r="F52" i="94"/>
  <c r="E52" i="94"/>
  <c r="J51" i="94"/>
  <c r="E51" i="103" s="1"/>
  <c r="J50" i="94"/>
  <c r="E50" i="103" s="1"/>
  <c r="I49" i="94"/>
  <c r="H49" i="94"/>
  <c r="G49" i="94"/>
  <c r="F49" i="94"/>
  <c r="E49" i="94"/>
  <c r="E48" i="94"/>
  <c r="E47" i="94" s="1"/>
  <c r="I47" i="94"/>
  <c r="H47" i="94"/>
  <c r="G47" i="94"/>
  <c r="F47" i="94"/>
  <c r="E46" i="94"/>
  <c r="E45" i="94" s="1"/>
  <c r="I45" i="94"/>
  <c r="H45" i="94"/>
  <c r="G45" i="94"/>
  <c r="F45" i="94"/>
  <c r="J44" i="94"/>
  <c r="E44" i="103" s="1"/>
  <c r="I43" i="94"/>
  <c r="I40" i="94" s="1"/>
  <c r="H43" i="94"/>
  <c r="G43" i="94"/>
  <c r="F43" i="94"/>
  <c r="E43" i="94"/>
  <c r="J42" i="94"/>
  <c r="E42" i="103" s="1"/>
  <c r="H41" i="94"/>
  <c r="J41" i="94" s="1"/>
  <c r="E41" i="103" s="1"/>
  <c r="J39" i="94"/>
  <c r="I38" i="94"/>
  <c r="H38" i="94"/>
  <c r="G38" i="94"/>
  <c r="F38" i="94"/>
  <c r="J38" i="94" s="1"/>
  <c r="E38" i="103" s="1"/>
  <c r="E38" i="94"/>
  <c r="J37" i="94"/>
  <c r="E37" i="103" s="1"/>
  <c r="I36" i="94"/>
  <c r="I33" i="94" s="1"/>
  <c r="H36" i="94"/>
  <c r="G36" i="94"/>
  <c r="G33" i="94" s="1"/>
  <c r="F36" i="94"/>
  <c r="E36" i="94"/>
  <c r="J35" i="94"/>
  <c r="E35" i="103" s="1"/>
  <c r="I34" i="94"/>
  <c r="H34" i="94"/>
  <c r="G34" i="94"/>
  <c r="F34" i="94"/>
  <c r="J34" i="94" s="1"/>
  <c r="E34" i="103" s="1"/>
  <c r="E34" i="94"/>
  <c r="J32" i="94"/>
  <c r="E32" i="103" s="1"/>
  <c r="J31" i="94"/>
  <c r="J30" i="94"/>
  <c r="I29" i="94"/>
  <c r="H29" i="94"/>
  <c r="G29" i="94"/>
  <c r="F29" i="94"/>
  <c r="E29" i="94"/>
  <c r="J28" i="94"/>
  <c r="E28" i="103" s="1"/>
  <c r="I27" i="94"/>
  <c r="H27" i="94"/>
  <c r="G27" i="94"/>
  <c r="F27" i="94"/>
  <c r="E27" i="94"/>
  <c r="J26" i="94"/>
  <c r="E26" i="103" s="1"/>
  <c r="J25" i="94"/>
  <c r="E25" i="103" s="1"/>
  <c r="I24" i="94"/>
  <c r="H24" i="94"/>
  <c r="G24" i="94"/>
  <c r="F24" i="94"/>
  <c r="E24" i="94"/>
  <c r="J23" i="94"/>
  <c r="E23" i="103" s="1"/>
  <c r="I22" i="94"/>
  <c r="H22" i="94"/>
  <c r="G22" i="94"/>
  <c r="E22" i="94"/>
  <c r="J21" i="94"/>
  <c r="E21" i="103" s="1"/>
  <c r="J20" i="94"/>
  <c r="E20" i="103" s="1"/>
  <c r="J19" i="94"/>
  <c r="E19" i="103" s="1"/>
  <c r="J18" i="94"/>
  <c r="E18" i="103" s="1"/>
  <c r="I17" i="94"/>
  <c r="H17" i="94"/>
  <c r="G17" i="94"/>
  <c r="F17" i="94"/>
  <c r="E17" i="94"/>
  <c r="J16" i="94"/>
  <c r="E16" i="103" s="1"/>
  <c r="J15" i="94"/>
  <c r="E15" i="103" s="1"/>
  <c r="I14" i="94"/>
  <c r="H14" i="94"/>
  <c r="G14" i="94"/>
  <c r="F14" i="94"/>
  <c r="E14" i="94"/>
  <c r="J13" i="94"/>
  <c r="E13" i="103" s="1"/>
  <c r="I12" i="94"/>
  <c r="H12" i="94"/>
  <c r="H10" i="94" s="1"/>
  <c r="H6" i="94" s="1"/>
  <c r="G12" i="94"/>
  <c r="G10" i="94" s="1"/>
  <c r="G6" i="94" s="1"/>
  <c r="F12" i="94"/>
  <c r="J12" i="94" s="1"/>
  <c r="E12" i="103" s="1"/>
  <c r="E12" i="94"/>
  <c r="E10" i="94" s="1"/>
  <c r="J11" i="94"/>
  <c r="E11" i="103" s="1"/>
  <c r="I10" i="94"/>
  <c r="J9" i="94"/>
  <c r="E9" i="103" s="1"/>
  <c r="J8" i="94"/>
  <c r="E8" i="103" s="1"/>
  <c r="I7" i="94"/>
  <c r="H7" i="94"/>
  <c r="G7" i="94"/>
  <c r="F7" i="94"/>
  <c r="E7" i="94"/>
  <c r="X6" i="96" l="1"/>
  <c r="O5" i="96"/>
  <c r="I6" i="99"/>
  <c r="Q40" i="97"/>
  <c r="K6" i="99"/>
  <c r="E6" i="96"/>
  <c r="L6" i="99"/>
  <c r="J24" i="95"/>
  <c r="F24" i="103" s="1"/>
  <c r="F22" i="95"/>
  <c r="G5" i="96"/>
  <c r="V5" i="97"/>
  <c r="L6" i="97"/>
  <c r="L5" i="97" s="1"/>
  <c r="G6" i="99"/>
  <c r="Q20" i="99"/>
  <c r="J20" i="103" s="1"/>
  <c r="M17" i="99"/>
  <c r="T74" i="101"/>
  <c r="L74" i="103" s="1"/>
  <c r="K46" i="101"/>
  <c r="K45" i="101" s="1"/>
  <c r="F33" i="94"/>
  <c r="F40" i="94"/>
  <c r="F6" i="95"/>
  <c r="J12" i="95"/>
  <c r="F12" i="103" s="1"/>
  <c r="J26" i="95"/>
  <c r="F26" i="103" s="1"/>
  <c r="F40" i="95"/>
  <c r="F5" i="95" s="1"/>
  <c r="J63" i="95"/>
  <c r="F63" i="103" s="1"/>
  <c r="U6" i="96"/>
  <c r="Y34" i="96"/>
  <c r="G34" i="103" s="1"/>
  <c r="G40" i="96"/>
  <c r="S33" i="97"/>
  <c r="T40" i="97"/>
  <c r="P5" i="98"/>
  <c r="H33" i="98"/>
  <c r="U33" i="98" s="1"/>
  <c r="I33" i="103" s="1"/>
  <c r="U45" i="98"/>
  <c r="I45" i="103" s="1"/>
  <c r="Q30" i="99"/>
  <c r="M29" i="99"/>
  <c r="Q29" i="99" s="1"/>
  <c r="J29" i="103" s="1"/>
  <c r="T57" i="101"/>
  <c r="L57" i="103" s="1"/>
  <c r="V5" i="96"/>
  <c r="T40" i="98"/>
  <c r="J36" i="95"/>
  <c r="F36" i="103" s="1"/>
  <c r="X43" i="97"/>
  <c r="H43" i="103" s="1"/>
  <c r="E40" i="97"/>
  <c r="M6" i="100"/>
  <c r="M5" i="100" s="1"/>
  <c r="T50" i="101"/>
  <c r="L50" i="103" s="1"/>
  <c r="N50" i="103" s="1"/>
  <c r="Q50" i="103" s="1"/>
  <c r="E49" i="101"/>
  <c r="T49" i="101" s="1"/>
  <c r="L49" i="103" s="1"/>
  <c r="P34" i="102"/>
  <c r="M34" i="103" s="1"/>
  <c r="E33" i="102"/>
  <c r="P33" i="102" s="1"/>
  <c r="M33" i="103" s="1"/>
  <c r="P36" i="102"/>
  <c r="M36" i="103" s="1"/>
  <c r="P38" i="102"/>
  <c r="M38" i="103" s="1"/>
  <c r="E40" i="102"/>
  <c r="J47" i="94"/>
  <c r="E47" i="103" s="1"/>
  <c r="J63" i="94"/>
  <c r="E63" i="103" s="1"/>
  <c r="J17" i="95"/>
  <c r="F17" i="103" s="1"/>
  <c r="J54" i="95"/>
  <c r="F54" i="103" s="1"/>
  <c r="J58" i="95"/>
  <c r="F58" i="103" s="1"/>
  <c r="K6" i="96"/>
  <c r="K5" i="96" s="1"/>
  <c r="U40" i="96"/>
  <c r="X40" i="96"/>
  <c r="Y52" i="96"/>
  <c r="G52" i="103" s="1"/>
  <c r="H33" i="97"/>
  <c r="I33" i="97"/>
  <c r="U33" i="97"/>
  <c r="K40" i="97"/>
  <c r="T6" i="98"/>
  <c r="T5" i="98" s="1"/>
  <c r="L40" i="98"/>
  <c r="I40" i="98"/>
  <c r="I40" i="99"/>
  <c r="I5" i="99" s="1"/>
  <c r="F40" i="99"/>
  <c r="Q58" i="99"/>
  <c r="J58" i="103" s="1"/>
  <c r="S33" i="101"/>
  <c r="R49" i="101"/>
  <c r="R40" i="101" s="1"/>
  <c r="H6" i="102"/>
  <c r="H5" i="102" s="1"/>
  <c r="H6" i="96"/>
  <c r="G40" i="94"/>
  <c r="G6" i="98"/>
  <c r="J24" i="94"/>
  <c r="E24" i="103" s="1"/>
  <c r="J29" i="94"/>
  <c r="E29" i="103" s="1"/>
  <c r="J49" i="94"/>
  <c r="E49" i="103" s="1"/>
  <c r="J54" i="94"/>
  <c r="E54" i="103" s="1"/>
  <c r="N54" i="103" s="1"/>
  <c r="Q54" i="103" s="1"/>
  <c r="J38" i="95"/>
  <c r="F38" i="103" s="1"/>
  <c r="N38" i="103" s="1"/>
  <c r="Q38" i="103" s="1"/>
  <c r="G40" i="95"/>
  <c r="M6" i="96"/>
  <c r="I33" i="96"/>
  <c r="I5" i="96" s="1"/>
  <c r="U33" i="96"/>
  <c r="U5" i="96" s="1"/>
  <c r="H40" i="96"/>
  <c r="T40" i="96"/>
  <c r="Y49" i="96"/>
  <c r="G49" i="103" s="1"/>
  <c r="X9" i="97"/>
  <c r="H9" i="103" s="1"/>
  <c r="I40" i="97"/>
  <c r="X48" i="97"/>
  <c r="H48" i="103" s="1"/>
  <c r="F47" i="97"/>
  <c r="X47" i="97" s="1"/>
  <c r="H47" i="103" s="1"/>
  <c r="Q60" i="99"/>
  <c r="J60" i="103" s="1"/>
  <c r="Q22" i="101"/>
  <c r="T46" i="101"/>
  <c r="L46" i="103" s="1"/>
  <c r="E45" i="101"/>
  <c r="T45" i="101" s="1"/>
  <c r="L45" i="103" s="1"/>
  <c r="T51" i="101"/>
  <c r="L51" i="103" s="1"/>
  <c r="N51" i="103" s="1"/>
  <c r="Q51" i="103" s="1"/>
  <c r="P24" i="102"/>
  <c r="M24" i="103" s="1"/>
  <c r="X50" i="97"/>
  <c r="H50" i="103" s="1"/>
  <c r="F49" i="97"/>
  <c r="M40" i="98"/>
  <c r="N6" i="96"/>
  <c r="Y57" i="96"/>
  <c r="G57" i="103" s="1"/>
  <c r="E56" i="96"/>
  <c r="Y56" i="96" s="1"/>
  <c r="G56" i="103" s="1"/>
  <c r="V40" i="97"/>
  <c r="U47" i="98"/>
  <c r="I47" i="103" s="1"/>
  <c r="Q33" i="99"/>
  <c r="J33" i="103" s="1"/>
  <c r="H40" i="99"/>
  <c r="H5" i="99" s="1"/>
  <c r="N25" i="100"/>
  <c r="K25" i="103" s="1"/>
  <c r="E24" i="100"/>
  <c r="E22" i="100" s="1"/>
  <c r="N72" i="103"/>
  <c r="Q72" i="103" s="1"/>
  <c r="K6" i="102"/>
  <c r="H10" i="95"/>
  <c r="J50" i="95"/>
  <c r="F50" i="103" s="1"/>
  <c r="U27" i="98"/>
  <c r="I27" i="103" s="1"/>
  <c r="N66" i="103"/>
  <c r="Q66" i="103" s="1"/>
  <c r="J14" i="94"/>
  <c r="E14" i="103" s="1"/>
  <c r="E10" i="95"/>
  <c r="E6" i="95" s="1"/>
  <c r="F33" i="95"/>
  <c r="J47" i="95"/>
  <c r="F47" i="103" s="1"/>
  <c r="Y38" i="96"/>
  <c r="G38" i="103" s="1"/>
  <c r="F40" i="96"/>
  <c r="R40" i="96"/>
  <c r="J40" i="97"/>
  <c r="X58" i="97"/>
  <c r="H58" i="103" s="1"/>
  <c r="X68" i="97"/>
  <c r="H68" i="103" s="1"/>
  <c r="P6" i="99"/>
  <c r="Q38" i="99"/>
  <c r="J38" i="103" s="1"/>
  <c r="K33" i="101"/>
  <c r="T47" i="101"/>
  <c r="L47" i="103" s="1"/>
  <c r="L5" i="102"/>
  <c r="K40" i="102"/>
  <c r="J52" i="94"/>
  <c r="E52" i="103" s="1"/>
  <c r="R33" i="97"/>
  <c r="R6" i="98"/>
  <c r="I6" i="95"/>
  <c r="I5" i="95" s="1"/>
  <c r="L33" i="96"/>
  <c r="H40" i="97"/>
  <c r="X63" i="97"/>
  <c r="H63" i="103" s="1"/>
  <c r="O33" i="98"/>
  <c r="U38" i="98"/>
  <c r="I38" i="103" s="1"/>
  <c r="Q15" i="99"/>
  <c r="J15" i="103" s="1"/>
  <c r="M14" i="99"/>
  <c r="Q49" i="99"/>
  <c r="J49" i="103" s="1"/>
  <c r="E33" i="100"/>
  <c r="Q40" i="101"/>
  <c r="M56" i="101"/>
  <c r="L56" i="101"/>
  <c r="S40" i="97"/>
  <c r="X34" i="97"/>
  <c r="H34" i="103" s="1"/>
  <c r="Y43" i="96"/>
  <c r="G43" i="103" s="1"/>
  <c r="T33" i="97"/>
  <c r="L6" i="96"/>
  <c r="L5" i="96" s="1"/>
  <c r="M53" i="97"/>
  <c r="X53" i="97" s="1"/>
  <c r="H53" i="103" s="1"/>
  <c r="M30" i="97"/>
  <c r="M29" i="97" s="1"/>
  <c r="X29" i="97" s="1"/>
  <c r="H29" i="103" s="1"/>
  <c r="M23" i="97"/>
  <c r="H40" i="98"/>
  <c r="H33" i="94"/>
  <c r="J60" i="94"/>
  <c r="E60" i="103" s="1"/>
  <c r="J14" i="95"/>
  <c r="F14" i="103" s="1"/>
  <c r="G33" i="95"/>
  <c r="G5" i="95" s="1"/>
  <c r="J29" i="95"/>
  <c r="F29" i="103" s="1"/>
  <c r="J52" i="95"/>
  <c r="F52" i="103" s="1"/>
  <c r="J68" i="95"/>
  <c r="F68" i="103" s="1"/>
  <c r="J6" i="98"/>
  <c r="F6" i="99"/>
  <c r="Q14" i="99"/>
  <c r="J14" i="103" s="1"/>
  <c r="L40" i="99"/>
  <c r="T63" i="101"/>
  <c r="L63" i="103" s="1"/>
  <c r="E44" i="101"/>
  <c r="N40" i="102"/>
  <c r="N5" i="102" s="1"/>
  <c r="J27" i="94"/>
  <c r="E27" i="103" s="1"/>
  <c r="T6" i="96"/>
  <c r="T5" i="96" s="1"/>
  <c r="Y54" i="96"/>
  <c r="G54" i="103" s="1"/>
  <c r="X36" i="97"/>
  <c r="H36" i="103" s="1"/>
  <c r="Y7" i="96"/>
  <c r="G7" i="103" s="1"/>
  <c r="Y27" i="96"/>
  <c r="G27" i="103" s="1"/>
  <c r="Q40" i="96"/>
  <c r="G33" i="97"/>
  <c r="X33" i="97" s="1"/>
  <c r="H33" i="103" s="1"/>
  <c r="N62" i="103"/>
  <c r="Q62" i="103" s="1"/>
  <c r="E33" i="94"/>
  <c r="Y8" i="96"/>
  <c r="G8" i="103" s="1"/>
  <c r="Y36" i="96"/>
  <c r="G36" i="103" s="1"/>
  <c r="R10" i="97"/>
  <c r="R6" i="97" s="1"/>
  <c r="R5" i="97" s="1"/>
  <c r="J6" i="97"/>
  <c r="J5" i="97" s="1"/>
  <c r="O6" i="98"/>
  <c r="O5" i="98" s="1"/>
  <c r="E33" i="98"/>
  <c r="Q33" i="98"/>
  <c r="G40" i="98"/>
  <c r="U40" i="98" s="1"/>
  <c r="I40" i="103" s="1"/>
  <c r="U57" i="98"/>
  <c r="I57" i="103" s="1"/>
  <c r="U63" i="98"/>
  <c r="I63" i="103" s="1"/>
  <c r="G6" i="100"/>
  <c r="J6" i="100"/>
  <c r="L40" i="100"/>
  <c r="N56" i="101"/>
  <c r="O6" i="102"/>
  <c r="O5" i="102" s="1"/>
  <c r="Q33" i="96"/>
  <c r="N6" i="97"/>
  <c r="N5" i="97" s="1"/>
  <c r="X20" i="97"/>
  <c r="H20" i="103" s="1"/>
  <c r="H36" i="97"/>
  <c r="X45" i="97"/>
  <c r="H45" i="103" s="1"/>
  <c r="U10" i="98"/>
  <c r="I10" i="103" s="1"/>
  <c r="U52" i="98"/>
  <c r="I52" i="103" s="1"/>
  <c r="M7" i="99"/>
  <c r="M24" i="99"/>
  <c r="M22" i="99" s="1"/>
  <c r="G40" i="99"/>
  <c r="G5" i="99" s="1"/>
  <c r="Q24" i="101"/>
  <c r="J33" i="101"/>
  <c r="T54" i="101"/>
  <c r="L54" i="103" s="1"/>
  <c r="I6" i="102"/>
  <c r="I5" i="102" s="1"/>
  <c r="P27" i="102"/>
  <c r="M27" i="103" s="1"/>
  <c r="Y24" i="96"/>
  <c r="G24" i="103" s="1"/>
  <c r="F14" i="97"/>
  <c r="X49" i="97"/>
  <c r="H49" i="103" s="1"/>
  <c r="X54" i="97"/>
  <c r="H54" i="103" s="1"/>
  <c r="X60" i="97"/>
  <c r="H60" i="103" s="1"/>
  <c r="M10" i="99"/>
  <c r="K6" i="100"/>
  <c r="N18" i="103"/>
  <c r="Q18" i="103" s="1"/>
  <c r="I33" i="100"/>
  <c r="M40" i="100"/>
  <c r="H40" i="100"/>
  <c r="T48" i="101"/>
  <c r="L48" i="103" s="1"/>
  <c r="T58" i="101"/>
  <c r="L58" i="103" s="1"/>
  <c r="P52" i="102"/>
  <c r="M52" i="103" s="1"/>
  <c r="Q6" i="97"/>
  <c r="Q5" i="97" s="1"/>
  <c r="X35" i="97"/>
  <c r="H35" i="103" s="1"/>
  <c r="U29" i="98"/>
  <c r="I29" i="103" s="1"/>
  <c r="U36" i="98"/>
  <c r="I36" i="103" s="1"/>
  <c r="U43" i="98"/>
  <c r="I43" i="103" s="1"/>
  <c r="J40" i="98"/>
  <c r="Q22" i="99"/>
  <c r="J22" i="103" s="1"/>
  <c r="Q43" i="99"/>
  <c r="J43" i="103" s="1"/>
  <c r="J40" i="99"/>
  <c r="J5" i="99" s="1"/>
  <c r="Q63" i="99"/>
  <c r="J63" i="103" s="1"/>
  <c r="J33" i="100"/>
  <c r="J5" i="100" s="1"/>
  <c r="L33" i="100"/>
  <c r="L5" i="100" s="1"/>
  <c r="N39" i="103"/>
  <c r="Q39" i="103" s="1"/>
  <c r="F56" i="101"/>
  <c r="R56" i="101"/>
  <c r="P49" i="102"/>
  <c r="M49" i="103" s="1"/>
  <c r="P57" i="102"/>
  <c r="M57" i="103" s="1"/>
  <c r="W40" i="96"/>
  <c r="Y47" i="96"/>
  <c r="G47" i="103" s="1"/>
  <c r="Y63" i="96"/>
  <c r="G63" i="103" s="1"/>
  <c r="Y68" i="96"/>
  <c r="G68" i="103" s="1"/>
  <c r="E6" i="98"/>
  <c r="E5" i="98" s="1"/>
  <c r="U24" i="98"/>
  <c r="I24" i="103" s="1"/>
  <c r="U60" i="98"/>
  <c r="I60" i="103" s="1"/>
  <c r="Q24" i="99"/>
  <c r="J24" i="103" s="1"/>
  <c r="K40" i="99"/>
  <c r="K5" i="99" s="1"/>
  <c r="F6" i="100"/>
  <c r="I6" i="100"/>
  <c r="E40" i="100"/>
  <c r="N33" i="101"/>
  <c r="M6" i="102"/>
  <c r="M5" i="102" s="1"/>
  <c r="P47" i="102"/>
  <c r="M47" i="103" s="1"/>
  <c r="P56" i="102"/>
  <c r="M56" i="103" s="1"/>
  <c r="U12" i="98"/>
  <c r="I12" i="103" s="1"/>
  <c r="U54" i="98"/>
  <c r="I54" i="103" s="1"/>
  <c r="O33" i="99"/>
  <c r="P40" i="99"/>
  <c r="P5" i="99" s="1"/>
  <c r="Q54" i="99"/>
  <c r="J54" i="103" s="1"/>
  <c r="F7" i="101"/>
  <c r="H56" i="101"/>
  <c r="H40" i="101" s="1"/>
  <c r="T60" i="101"/>
  <c r="L60" i="103" s="1"/>
  <c r="P54" i="102"/>
  <c r="M54" i="103" s="1"/>
  <c r="Y60" i="96"/>
  <c r="G60" i="103" s="1"/>
  <c r="X44" i="97"/>
  <c r="H44" i="103" s="1"/>
  <c r="U7" i="98"/>
  <c r="I7" i="103" s="1"/>
  <c r="M33" i="98"/>
  <c r="M5" i="98" s="1"/>
  <c r="U49" i="98"/>
  <c r="I49" i="103" s="1"/>
  <c r="U68" i="98"/>
  <c r="I68" i="103" s="1"/>
  <c r="Q46" i="99"/>
  <c r="J46" i="103" s="1"/>
  <c r="N38" i="100"/>
  <c r="K38" i="103" s="1"/>
  <c r="M10" i="101"/>
  <c r="I56" i="101"/>
  <c r="P7" i="102"/>
  <c r="M7" i="103" s="1"/>
  <c r="P60" i="102"/>
  <c r="M60" i="103" s="1"/>
  <c r="Y45" i="96"/>
  <c r="G45" i="103" s="1"/>
  <c r="X11" i="97"/>
  <c r="H11" i="103" s="1"/>
  <c r="I6" i="97"/>
  <c r="I5" i="97" s="1"/>
  <c r="U6" i="97"/>
  <c r="U5" i="97" s="1"/>
  <c r="X28" i="97"/>
  <c r="X38" i="97"/>
  <c r="H38" i="103" s="1"/>
  <c r="X41" i="97"/>
  <c r="H41" i="103" s="1"/>
  <c r="X46" i="97"/>
  <c r="H46" i="103" s="1"/>
  <c r="N6" i="98"/>
  <c r="N40" i="98"/>
  <c r="Q12" i="99"/>
  <c r="J12" i="103" s="1"/>
  <c r="Q27" i="99"/>
  <c r="J27" i="103" s="1"/>
  <c r="Q35" i="99"/>
  <c r="J35" i="103" s="1"/>
  <c r="N40" i="99"/>
  <c r="N5" i="99" s="1"/>
  <c r="Q68" i="99"/>
  <c r="J68" i="103" s="1"/>
  <c r="E33" i="101"/>
  <c r="Q33" i="101"/>
  <c r="T38" i="101"/>
  <c r="L38" i="103" s="1"/>
  <c r="T75" i="101"/>
  <c r="L75" i="103" s="1"/>
  <c r="P10" i="102"/>
  <c r="M10" i="103" s="1"/>
  <c r="P12" i="102"/>
  <c r="M12" i="103" s="1"/>
  <c r="P14" i="102"/>
  <c r="M14" i="103" s="1"/>
  <c r="P68" i="102"/>
  <c r="M68" i="103" s="1"/>
  <c r="E7" i="101"/>
  <c r="K14" i="101"/>
  <c r="J7" i="101"/>
  <c r="N7" i="101"/>
  <c r="O14" i="101"/>
  <c r="R7" i="101"/>
  <c r="L10" i="101"/>
  <c r="I14" i="101"/>
  <c r="F14" i="101"/>
  <c r="Q7" i="99"/>
  <c r="J7" i="103" s="1"/>
  <c r="E10" i="99"/>
  <c r="Q10" i="99" s="1"/>
  <c r="J10" i="103" s="1"/>
  <c r="N40" i="96"/>
  <c r="G40" i="100"/>
  <c r="N40" i="100" s="1"/>
  <c r="N7" i="100"/>
  <c r="K7" i="103" s="1"/>
  <c r="N27" i="100"/>
  <c r="K27" i="103" s="1"/>
  <c r="N45" i="100"/>
  <c r="K45" i="103" s="1"/>
  <c r="N52" i="100"/>
  <c r="K52" i="103" s="1"/>
  <c r="N63" i="100"/>
  <c r="K63" i="103" s="1"/>
  <c r="N68" i="100"/>
  <c r="K68" i="103" s="1"/>
  <c r="N75" i="103"/>
  <c r="Q75" i="103" s="1"/>
  <c r="N22" i="100"/>
  <c r="K22" i="103" s="1"/>
  <c r="K40" i="100"/>
  <c r="K5" i="100" s="1"/>
  <c r="N64" i="103"/>
  <c r="Q64" i="103" s="1"/>
  <c r="N32" i="103"/>
  <c r="Q32" i="103" s="1"/>
  <c r="N17" i="100"/>
  <c r="K17" i="103" s="1"/>
  <c r="N29" i="100"/>
  <c r="K29" i="103" s="1"/>
  <c r="G33" i="100"/>
  <c r="N47" i="100"/>
  <c r="K47" i="103" s="1"/>
  <c r="F40" i="100"/>
  <c r="F5" i="100" s="1"/>
  <c r="J40" i="100"/>
  <c r="N73" i="103"/>
  <c r="Q73" i="103" s="1"/>
  <c r="N69" i="103"/>
  <c r="Q69" i="103" s="1"/>
  <c r="N65" i="103"/>
  <c r="Q65" i="103" s="1"/>
  <c r="N61" i="103"/>
  <c r="Q61" i="103" s="1"/>
  <c r="N12" i="100"/>
  <c r="K12" i="103" s="1"/>
  <c r="H6" i="100"/>
  <c r="N24" i="100"/>
  <c r="K24" i="103" s="1"/>
  <c r="K33" i="100"/>
  <c r="N36" i="100"/>
  <c r="K36" i="103" s="1"/>
  <c r="N43" i="100"/>
  <c r="K43" i="103" s="1"/>
  <c r="N49" i="100"/>
  <c r="K49" i="103" s="1"/>
  <c r="N54" i="100"/>
  <c r="K54" i="103" s="1"/>
  <c r="N60" i="100"/>
  <c r="K60" i="103" s="1"/>
  <c r="N71" i="103"/>
  <c r="Q71" i="103" s="1"/>
  <c r="N74" i="103"/>
  <c r="Q74" i="103" s="1"/>
  <c r="N70" i="103"/>
  <c r="Q70" i="103" s="1"/>
  <c r="E6" i="102"/>
  <c r="N10" i="100"/>
  <c r="K10" i="103" s="1"/>
  <c r="R5" i="96"/>
  <c r="N5" i="96"/>
  <c r="N19" i="103"/>
  <c r="Q19" i="103" s="1"/>
  <c r="E6" i="94"/>
  <c r="S6" i="98"/>
  <c r="S5" i="98" s="1"/>
  <c r="I6" i="94"/>
  <c r="I5" i="94" s="1"/>
  <c r="J17" i="94"/>
  <c r="E17" i="103" s="1"/>
  <c r="F5" i="96"/>
  <c r="M5" i="96"/>
  <c r="J5" i="96"/>
  <c r="J5" i="98"/>
  <c r="K6" i="98"/>
  <c r="K5" i="98" s="1"/>
  <c r="U17" i="98"/>
  <c r="I17" i="103" s="1"/>
  <c r="F5" i="99"/>
  <c r="E6" i="100"/>
  <c r="E5" i="100" s="1"/>
  <c r="P17" i="102"/>
  <c r="M17" i="103" s="1"/>
  <c r="N55" i="103"/>
  <c r="Q55" i="103" s="1"/>
  <c r="N21" i="103"/>
  <c r="Q21" i="103" s="1"/>
  <c r="N67" i="103"/>
  <c r="Q67" i="103" s="1"/>
  <c r="P63" i="102"/>
  <c r="M63" i="103" s="1"/>
  <c r="N63" i="103" s="1"/>
  <c r="Q63" i="103" s="1"/>
  <c r="H31" i="103"/>
  <c r="Q17" i="99"/>
  <c r="J17" i="103" s="1"/>
  <c r="T6" i="97"/>
  <c r="H15" i="103"/>
  <c r="AA15" i="97"/>
  <c r="H28" i="103"/>
  <c r="AA28" i="97"/>
  <c r="H16" i="103"/>
  <c r="AA16" i="97"/>
  <c r="N14" i="101"/>
  <c r="P10" i="101"/>
  <c r="H24" i="101"/>
  <c r="H22" i="101" s="1"/>
  <c r="L24" i="101"/>
  <c r="L22" i="101" s="1"/>
  <c r="F33" i="101"/>
  <c r="R33" i="101"/>
  <c r="F40" i="101"/>
  <c r="N10" i="101"/>
  <c r="P24" i="101"/>
  <c r="H10" i="101"/>
  <c r="O22" i="101"/>
  <c r="J27" i="95"/>
  <c r="F27" i="103" s="1"/>
  <c r="F28" i="103"/>
  <c r="F15" i="103"/>
  <c r="X28" i="98"/>
  <c r="H6" i="98"/>
  <c r="H5" i="98" s="1"/>
  <c r="R10" i="101"/>
  <c r="L40" i="101"/>
  <c r="P40" i="101"/>
  <c r="M33" i="101"/>
  <c r="H7" i="101"/>
  <c r="L7" i="101"/>
  <c r="P7" i="101"/>
  <c r="H14" i="101"/>
  <c r="L14" i="101"/>
  <c r="F24" i="101"/>
  <c r="F22" i="101" s="1"/>
  <c r="J24" i="101"/>
  <c r="J22" i="101" s="1"/>
  <c r="N24" i="101"/>
  <c r="N22" i="101" s="1"/>
  <c r="N6" i="101" s="1"/>
  <c r="R24" i="101"/>
  <c r="R22" i="101" s="1"/>
  <c r="G24" i="101"/>
  <c r="G22" i="101" s="1"/>
  <c r="K24" i="101"/>
  <c r="K22" i="101" s="1"/>
  <c r="I33" i="101"/>
  <c r="T59" i="101"/>
  <c r="L59" i="103" s="1"/>
  <c r="N59" i="103" s="1"/>
  <c r="Q59" i="103" s="1"/>
  <c r="G7" i="101"/>
  <c r="K7" i="101"/>
  <c r="O7" i="101"/>
  <c r="S7" i="101"/>
  <c r="I10" i="101"/>
  <c r="G33" i="101"/>
  <c r="T20" i="101"/>
  <c r="L20" i="103" s="1"/>
  <c r="N20" i="103" s="1"/>
  <c r="Q20" i="103" s="1"/>
  <c r="E24" i="101"/>
  <c r="E22" i="101" s="1"/>
  <c r="M24" i="101"/>
  <c r="M22" i="101" s="1"/>
  <c r="P14" i="101"/>
  <c r="T16" i="101"/>
  <c r="M14" i="101"/>
  <c r="M6" i="101" s="1"/>
  <c r="Q14" i="101"/>
  <c r="S24" i="101"/>
  <c r="S22" i="101" s="1"/>
  <c r="J14" i="101"/>
  <c r="R14" i="101"/>
  <c r="G14" i="101"/>
  <c r="G10" i="101"/>
  <c r="K10" i="101"/>
  <c r="O10" i="101"/>
  <c r="S10" i="101"/>
  <c r="F10" i="101"/>
  <c r="J10" i="101"/>
  <c r="P22" i="101"/>
  <c r="I40" i="101"/>
  <c r="M40" i="101"/>
  <c r="T41" i="101"/>
  <c r="L41" i="103" s="1"/>
  <c r="N41" i="103" s="1"/>
  <c r="Q41" i="103" s="1"/>
  <c r="T42" i="101"/>
  <c r="L42" i="103" s="1"/>
  <c r="T9" i="101"/>
  <c r="L9" i="103" s="1"/>
  <c r="N9" i="103" s="1"/>
  <c r="Q9" i="103" s="1"/>
  <c r="T26" i="101"/>
  <c r="L26" i="103" s="1"/>
  <c r="N26" i="103" s="1"/>
  <c r="Q26" i="103" s="1"/>
  <c r="O33" i="101"/>
  <c r="E14" i="101"/>
  <c r="T30" i="101"/>
  <c r="G40" i="101"/>
  <c r="K40" i="101"/>
  <c r="O40" i="101"/>
  <c r="S40" i="101"/>
  <c r="Q6" i="101"/>
  <c r="Q5" i="101" s="1"/>
  <c r="J40" i="101"/>
  <c r="N40" i="101"/>
  <c r="E56" i="101"/>
  <c r="T56" i="101" s="1"/>
  <c r="L56" i="103" s="1"/>
  <c r="N14" i="100"/>
  <c r="K14" i="103" s="1"/>
  <c r="K16" i="103"/>
  <c r="O5" i="99"/>
  <c r="J23" i="103"/>
  <c r="J22" i="95"/>
  <c r="F22" i="103" s="1"/>
  <c r="P22" i="102"/>
  <c r="M22" i="103" s="1"/>
  <c r="M23" i="103"/>
  <c r="F23" i="103"/>
  <c r="I6" i="101"/>
  <c r="I5" i="101" s="1"/>
  <c r="H33" i="101"/>
  <c r="L33" i="101"/>
  <c r="P33" i="101"/>
  <c r="T28" i="101"/>
  <c r="T37" i="101"/>
  <c r="L37" i="103" s="1"/>
  <c r="T11" i="101"/>
  <c r="L11" i="103" s="1"/>
  <c r="N11" i="103" s="1"/>
  <c r="Q11" i="103" s="1"/>
  <c r="T15" i="101"/>
  <c r="T25" i="101"/>
  <c r="L25" i="103" s="1"/>
  <c r="E29" i="101"/>
  <c r="T29" i="101" s="1"/>
  <c r="L29" i="103" s="1"/>
  <c r="T34" i="101"/>
  <c r="L34" i="103" s="1"/>
  <c r="T8" i="101"/>
  <c r="L8" i="103" s="1"/>
  <c r="N8" i="103" s="1"/>
  <c r="Q8" i="103" s="1"/>
  <c r="T12" i="101"/>
  <c r="L12" i="103" s="1"/>
  <c r="T35" i="101"/>
  <c r="L35" i="103" s="1"/>
  <c r="T13" i="101"/>
  <c r="L13" i="103" s="1"/>
  <c r="E17" i="101"/>
  <c r="T23" i="101"/>
  <c r="E27" i="101"/>
  <c r="T27" i="101" s="1"/>
  <c r="L27" i="103" s="1"/>
  <c r="T36" i="101"/>
  <c r="L36" i="103" s="1"/>
  <c r="R5" i="98"/>
  <c r="N5" i="98"/>
  <c r="L6" i="98"/>
  <c r="L5" i="98" s="1"/>
  <c r="I31" i="103"/>
  <c r="U14" i="98"/>
  <c r="I14" i="103" s="1"/>
  <c r="F5" i="98"/>
  <c r="U22" i="98"/>
  <c r="I22" i="103" s="1"/>
  <c r="I5" i="98"/>
  <c r="Q6" i="98"/>
  <c r="I30" i="103"/>
  <c r="I28" i="103"/>
  <c r="M6" i="98"/>
  <c r="I23" i="103"/>
  <c r="I16" i="103"/>
  <c r="I15" i="103"/>
  <c r="P29" i="102"/>
  <c r="M29" i="103" s="1"/>
  <c r="M30" i="103"/>
  <c r="M16" i="103"/>
  <c r="K30" i="103"/>
  <c r="E31" i="103"/>
  <c r="L5" i="99"/>
  <c r="J30" i="103"/>
  <c r="F30" i="103"/>
  <c r="E30" i="103"/>
  <c r="X27" i="97"/>
  <c r="H27" i="103" s="1"/>
  <c r="T68" i="101"/>
  <c r="L68" i="103" s="1"/>
  <c r="T53" i="101"/>
  <c r="L53" i="103" s="1"/>
  <c r="E52" i="101"/>
  <c r="T31" i="101"/>
  <c r="N56" i="100"/>
  <c r="K56" i="103" s="1"/>
  <c r="H34" i="100"/>
  <c r="H33" i="100" s="1"/>
  <c r="N57" i="100"/>
  <c r="K57" i="103" s="1"/>
  <c r="Q47" i="99"/>
  <c r="J47" i="103" s="1"/>
  <c r="E40" i="99"/>
  <c r="Q34" i="99"/>
  <c r="J34" i="103" s="1"/>
  <c r="Q45" i="99"/>
  <c r="J45" i="103" s="1"/>
  <c r="Q57" i="99"/>
  <c r="J57" i="103" s="1"/>
  <c r="E56" i="99"/>
  <c r="Q56" i="99" s="1"/>
  <c r="J56" i="103" s="1"/>
  <c r="Q36" i="99"/>
  <c r="J36" i="103" s="1"/>
  <c r="Q37" i="99"/>
  <c r="J37" i="103" s="1"/>
  <c r="F42" i="99"/>
  <c r="Q42" i="99" s="1"/>
  <c r="J42" i="103" s="1"/>
  <c r="M53" i="99"/>
  <c r="Q48" i="99"/>
  <c r="J48" i="103" s="1"/>
  <c r="N48" i="103" s="1"/>
  <c r="Q48" i="103" s="1"/>
  <c r="U56" i="98"/>
  <c r="I56" i="103" s="1"/>
  <c r="U34" i="98"/>
  <c r="I34" i="103" s="1"/>
  <c r="X12" i="97"/>
  <c r="H12" i="103" s="1"/>
  <c r="G6" i="97"/>
  <c r="G5" i="97" s="1"/>
  <c r="X17" i="97"/>
  <c r="H17" i="103" s="1"/>
  <c r="X42" i="97"/>
  <c r="H42" i="103" s="1"/>
  <c r="X14" i="97"/>
  <c r="H14" i="103" s="1"/>
  <c r="K6" i="97"/>
  <c r="K5" i="97" s="1"/>
  <c r="O6" i="97"/>
  <c r="O5" i="97" s="1"/>
  <c r="S6" i="97"/>
  <c r="S5" i="97" s="1"/>
  <c r="W6" i="97"/>
  <c r="W5" i="97" s="1"/>
  <c r="E7" i="97"/>
  <c r="X13" i="97"/>
  <c r="H13" i="103" s="1"/>
  <c r="E22" i="97"/>
  <c r="H24" i="97"/>
  <c r="H22" i="97" s="1"/>
  <c r="H6" i="97" s="1"/>
  <c r="M42" i="97"/>
  <c r="F57" i="97"/>
  <c r="F56" i="97" s="1"/>
  <c r="F40" i="97" s="1"/>
  <c r="M10" i="97"/>
  <c r="F24" i="97"/>
  <c r="F22" i="97" s="1"/>
  <c r="W12" i="96"/>
  <c r="W10" i="96" s="1"/>
  <c r="W17" i="96"/>
  <c r="Y17" i="96" s="1"/>
  <c r="G17" i="103" s="1"/>
  <c r="W29" i="96"/>
  <c r="Y29" i="96" s="1"/>
  <c r="G29" i="103" s="1"/>
  <c r="E33" i="96"/>
  <c r="W14" i="96"/>
  <c r="Y14" i="96" s="1"/>
  <c r="G14" i="103" s="1"/>
  <c r="W22" i="96"/>
  <c r="Y22" i="96" s="1"/>
  <c r="G22" i="103" s="1"/>
  <c r="H40" i="95"/>
  <c r="J49" i="95"/>
  <c r="F49" i="103" s="1"/>
  <c r="H42" i="95"/>
  <c r="E42" i="95"/>
  <c r="J42" i="95" s="1"/>
  <c r="F42" i="103" s="1"/>
  <c r="E43" i="95"/>
  <c r="E46" i="95"/>
  <c r="J48" i="95"/>
  <c r="F48" i="103" s="1"/>
  <c r="E57" i="95"/>
  <c r="H7" i="95"/>
  <c r="H6" i="95" s="1"/>
  <c r="H34" i="95"/>
  <c r="H33" i="95" s="1"/>
  <c r="J33" i="95" s="1"/>
  <c r="F33" i="103" s="1"/>
  <c r="J57" i="94"/>
  <c r="E57" i="103" s="1"/>
  <c r="E56" i="94"/>
  <c r="J56" i="94" s="1"/>
  <c r="E56" i="103" s="1"/>
  <c r="J33" i="94"/>
  <c r="E33" i="103" s="1"/>
  <c r="J45" i="94"/>
  <c r="E45" i="103" s="1"/>
  <c r="G5" i="94"/>
  <c r="J7" i="94"/>
  <c r="E7" i="103" s="1"/>
  <c r="F10" i="94"/>
  <c r="F22" i="94"/>
  <c r="J22" i="94" s="1"/>
  <c r="E22" i="103" s="1"/>
  <c r="E80" i="103" s="1"/>
  <c r="J36" i="94"/>
  <c r="E36" i="103" s="1"/>
  <c r="H40" i="94"/>
  <c r="H5" i="94" s="1"/>
  <c r="J46" i="94"/>
  <c r="E46" i="103" s="1"/>
  <c r="J48" i="94"/>
  <c r="E48" i="103" s="1"/>
  <c r="J58" i="94"/>
  <c r="E58" i="103" s="1"/>
  <c r="N58" i="103" s="1"/>
  <c r="Q58" i="103" s="1"/>
  <c r="J43" i="94"/>
  <c r="E43" i="103" s="1"/>
  <c r="X30" i="97" l="1"/>
  <c r="J10" i="95"/>
  <c r="F10" i="103" s="1"/>
  <c r="X56" i="97"/>
  <c r="H56" i="103" s="1"/>
  <c r="N42" i="103"/>
  <c r="Q42" i="103" s="1"/>
  <c r="T5" i="97"/>
  <c r="N60" i="103"/>
  <c r="Q60" i="103" s="1"/>
  <c r="J6" i="95"/>
  <c r="F6" i="103" s="1"/>
  <c r="G80" i="103"/>
  <c r="H5" i="100"/>
  <c r="N25" i="103"/>
  <c r="Q25" i="103" s="1"/>
  <c r="N49" i="103"/>
  <c r="Q49" i="103" s="1"/>
  <c r="Q5" i="96"/>
  <c r="E40" i="96"/>
  <c r="Y40" i="96" s="1"/>
  <c r="N36" i="103"/>
  <c r="Q36" i="103" s="1"/>
  <c r="I5" i="100"/>
  <c r="X10" i="97"/>
  <c r="H10" i="103" s="1"/>
  <c r="N37" i="103"/>
  <c r="Q37" i="103" s="1"/>
  <c r="E5" i="102"/>
  <c r="N47" i="103"/>
  <c r="Q47" i="103" s="1"/>
  <c r="H5" i="97"/>
  <c r="G5" i="100"/>
  <c r="N5" i="100" s="1"/>
  <c r="K5" i="103" s="1"/>
  <c r="T44" i="101"/>
  <c r="L44" i="103" s="1"/>
  <c r="N44" i="103" s="1"/>
  <c r="Q44" i="103" s="1"/>
  <c r="E43" i="101"/>
  <c r="T43" i="101" s="1"/>
  <c r="L43" i="103" s="1"/>
  <c r="M52" i="97"/>
  <c r="M40" i="97" s="1"/>
  <c r="X40" i="97" s="1"/>
  <c r="H40" i="103" s="1"/>
  <c r="Q5" i="98"/>
  <c r="N6" i="100"/>
  <c r="K6" i="103" s="1"/>
  <c r="M6" i="99"/>
  <c r="K5" i="102"/>
  <c r="G5" i="98"/>
  <c r="U5" i="98" s="1"/>
  <c r="I5" i="103" s="1"/>
  <c r="J80" i="103"/>
  <c r="N13" i="103"/>
  <c r="Q13" i="103" s="1"/>
  <c r="P40" i="102"/>
  <c r="M40" i="103" s="1"/>
  <c r="M80" i="103"/>
  <c r="J7" i="95"/>
  <c r="F7" i="103" s="1"/>
  <c r="E40" i="94"/>
  <c r="E5" i="94" s="1"/>
  <c r="F6" i="97"/>
  <c r="F5" i="97" s="1"/>
  <c r="N68" i="103"/>
  <c r="Q68" i="103" s="1"/>
  <c r="I80" i="103"/>
  <c r="N35" i="103"/>
  <c r="Q35" i="103" s="1"/>
  <c r="M22" i="97"/>
  <c r="M6" i="97" s="1"/>
  <c r="M5" i="97" s="1"/>
  <c r="X23" i="97"/>
  <c r="H5" i="96"/>
  <c r="X5" i="96"/>
  <c r="E6" i="99"/>
  <c r="G40" i="103"/>
  <c r="K40" i="103"/>
  <c r="N34" i="100"/>
  <c r="K34" i="103" s="1"/>
  <c r="N33" i="100"/>
  <c r="N34" i="103"/>
  <c r="Q34" i="103" s="1"/>
  <c r="N56" i="103"/>
  <c r="Q56" i="103" s="1"/>
  <c r="K80" i="103"/>
  <c r="P6" i="102"/>
  <c r="M6" i="103" s="1"/>
  <c r="T10" i="101"/>
  <c r="L10" i="103" s="1"/>
  <c r="M5" i="101"/>
  <c r="R6" i="101"/>
  <c r="R5" i="101" s="1"/>
  <c r="L6" i="101"/>
  <c r="L5" i="101" s="1"/>
  <c r="S6" i="101"/>
  <c r="S5" i="101" s="1"/>
  <c r="T14" i="101"/>
  <c r="L14" i="103" s="1"/>
  <c r="N14" i="103" s="1"/>
  <c r="Q14" i="103" s="1"/>
  <c r="T7" i="101"/>
  <c r="L7" i="103" s="1"/>
  <c r="N7" i="103" s="1"/>
  <c r="Q7" i="103" s="1"/>
  <c r="T24" i="101"/>
  <c r="L24" i="103" s="1"/>
  <c r="N24" i="103" s="1"/>
  <c r="Q24" i="103" s="1"/>
  <c r="H6" i="101"/>
  <c r="H5" i="101" s="1"/>
  <c r="L16" i="103"/>
  <c r="N16" i="103" s="1"/>
  <c r="Q16" i="103" s="1"/>
  <c r="O6" i="101"/>
  <c r="O5" i="101" s="1"/>
  <c r="T33" i="101"/>
  <c r="L33" i="103" s="1"/>
  <c r="G6" i="101"/>
  <c r="G5" i="101" s="1"/>
  <c r="N5" i="101"/>
  <c r="K6" i="101"/>
  <c r="K5" i="101" s="1"/>
  <c r="T22" i="101"/>
  <c r="L22" i="103" s="1"/>
  <c r="P6" i="101"/>
  <c r="P5" i="101" s="1"/>
  <c r="J6" i="101"/>
  <c r="J5" i="101" s="1"/>
  <c r="L30" i="103"/>
  <c r="F6" i="101"/>
  <c r="F5" i="101" s="1"/>
  <c r="L31" i="103"/>
  <c r="N31" i="103" s="1"/>
  <c r="Q31" i="103" s="1"/>
  <c r="L28" i="103"/>
  <c r="N28" i="103" s="1"/>
  <c r="Q28" i="103" s="1"/>
  <c r="N27" i="103"/>
  <c r="Q27" i="103" s="1"/>
  <c r="T17" i="101"/>
  <c r="L17" i="103" s="1"/>
  <c r="N17" i="103" s="1"/>
  <c r="Q17" i="103" s="1"/>
  <c r="E6" i="101"/>
  <c r="L15" i="103"/>
  <c r="N15" i="103" s="1"/>
  <c r="Q15" i="103" s="1"/>
  <c r="L23" i="103"/>
  <c r="U6" i="98"/>
  <c r="I6" i="103" s="1"/>
  <c r="N29" i="103"/>
  <c r="Q29" i="103" s="1"/>
  <c r="T52" i="101"/>
  <c r="L52" i="103" s="1"/>
  <c r="E40" i="101"/>
  <c r="Q53" i="99"/>
  <c r="J53" i="103" s="1"/>
  <c r="N53" i="103" s="1"/>
  <c r="Q53" i="103" s="1"/>
  <c r="M52" i="99"/>
  <c r="X7" i="97"/>
  <c r="H7" i="103" s="1"/>
  <c r="E6" i="97"/>
  <c r="X24" i="97"/>
  <c r="H24" i="103" s="1"/>
  <c r="X57" i="97"/>
  <c r="H57" i="103" s="1"/>
  <c r="X52" i="97"/>
  <c r="H52" i="103" s="1"/>
  <c r="W6" i="96"/>
  <c r="Y12" i="96"/>
  <c r="G12" i="103" s="1"/>
  <c r="N12" i="103" s="1"/>
  <c r="Q12" i="103" s="1"/>
  <c r="Y10" i="96"/>
  <c r="G10" i="103" s="1"/>
  <c r="E5" i="96"/>
  <c r="Y33" i="96"/>
  <c r="G33" i="103" s="1"/>
  <c r="J57" i="95"/>
  <c r="F57" i="103" s="1"/>
  <c r="E56" i="95"/>
  <c r="J56" i="95" s="1"/>
  <c r="F56" i="103" s="1"/>
  <c r="J43" i="95"/>
  <c r="F43" i="103" s="1"/>
  <c r="N43" i="103" s="1"/>
  <c r="Q43" i="103" s="1"/>
  <c r="J46" i="95"/>
  <c r="F46" i="103" s="1"/>
  <c r="N46" i="103" s="1"/>
  <c r="Q46" i="103" s="1"/>
  <c r="E45" i="95"/>
  <c r="J45" i="95" s="1"/>
  <c r="F45" i="103" s="1"/>
  <c r="N45" i="103" s="1"/>
  <c r="Q45" i="103" s="1"/>
  <c r="H5" i="95"/>
  <c r="J34" i="95"/>
  <c r="F34" i="103" s="1"/>
  <c r="F80" i="103" s="1"/>
  <c r="F6" i="94"/>
  <c r="J10" i="94"/>
  <c r="E10" i="103" s="1"/>
  <c r="J40" i="94"/>
  <c r="E40" i="103" s="1"/>
  <c r="P5" i="102" l="1"/>
  <c r="M5" i="103" s="1"/>
  <c r="X22" i="97"/>
  <c r="H22" i="103" s="1"/>
  <c r="H80" i="103" s="1"/>
  <c r="Q6" i="99"/>
  <c r="J6" i="103" s="1"/>
  <c r="AA30" i="97"/>
  <c r="H30" i="103"/>
  <c r="N30" i="103" s="1"/>
  <c r="Q30" i="103" s="1"/>
  <c r="L80" i="103"/>
  <c r="N57" i="103"/>
  <c r="Q57" i="103" s="1"/>
  <c r="H23" i="103"/>
  <c r="N23" i="103" s="1"/>
  <c r="Q23" i="103" s="1"/>
  <c r="AA23" i="97"/>
  <c r="E5" i="99"/>
  <c r="K33" i="103"/>
  <c r="N33" i="103"/>
  <c r="Q33" i="103" s="1"/>
  <c r="N10" i="103"/>
  <c r="Q10" i="103" s="1"/>
  <c r="T6" i="101"/>
  <c r="L6" i="103" s="1"/>
  <c r="N22" i="103"/>
  <c r="T40" i="101"/>
  <c r="L40" i="103" s="1"/>
  <c r="E5" i="101"/>
  <c r="T5" i="101" s="1"/>
  <c r="L5" i="103" s="1"/>
  <c r="M40" i="99"/>
  <c r="Q52" i="99"/>
  <c r="J52" i="103" s="1"/>
  <c r="N52" i="103" s="1"/>
  <c r="Q52" i="103" s="1"/>
  <c r="X6" i="97"/>
  <c r="H6" i="103" s="1"/>
  <c r="E5" i="97"/>
  <c r="X5" i="97" s="1"/>
  <c r="H5" i="103" s="1"/>
  <c r="W5" i="96"/>
  <c r="Y5" i="96" s="1"/>
  <c r="G5" i="103" s="1"/>
  <c r="Y6" i="96"/>
  <c r="G6" i="103" s="1"/>
  <c r="E40" i="95"/>
  <c r="F5" i="94"/>
  <c r="J5" i="94" s="1"/>
  <c r="E5" i="103" s="1"/>
  <c r="J6" i="94"/>
  <c r="E6" i="103" s="1"/>
  <c r="Q22" i="103" l="1"/>
  <c r="N80" i="103"/>
  <c r="N6" i="103"/>
  <c r="Q6" i="103" s="1"/>
  <c r="M5" i="99"/>
  <c r="Q5" i="99" s="1"/>
  <c r="J5" i="103" s="1"/>
  <c r="Q40" i="99"/>
  <c r="J40" i="103" s="1"/>
  <c r="J40" i="95"/>
  <c r="F40" i="103" s="1"/>
  <c r="N40" i="103" s="1"/>
  <c r="Q40" i="103" s="1"/>
  <c r="E5" i="95"/>
  <c r="J5" i="95" s="1"/>
  <c r="F5" i="103" s="1"/>
  <c r="N5" i="103" l="1"/>
  <c r="Q5" i="103" s="1"/>
  <c r="I38" i="93"/>
  <c r="I31" i="93"/>
  <c r="I30" i="93"/>
  <c r="I16" i="93"/>
  <c r="I15" i="93"/>
  <c r="I19" i="93" s="1"/>
  <c r="I14" i="93"/>
  <c r="I11" i="93"/>
  <c r="I7" i="93"/>
  <c r="I4" i="93"/>
  <c r="I39" i="93" l="1"/>
  <c r="I3" i="92" l="1"/>
  <c r="I4" i="92" s="1"/>
  <c r="J14" i="91" l="1"/>
  <c r="J13" i="91"/>
  <c r="J15" i="91" s="1"/>
  <c r="J11" i="91" l="1"/>
  <c r="J10" i="91"/>
  <c r="J9" i="91"/>
  <c r="J8" i="91"/>
  <c r="J7" i="91"/>
  <c r="J6" i="91"/>
  <c r="J5" i="91"/>
  <c r="J4" i="91"/>
  <c r="J3" i="91"/>
  <c r="J166" i="90"/>
  <c r="E165" i="90"/>
  <c r="G164" i="90"/>
  <c r="G163" i="90"/>
  <c r="G162" i="90"/>
  <c r="J161" i="90"/>
  <c r="G161" i="90"/>
  <c r="J158" i="90"/>
  <c r="G158" i="90"/>
  <c r="G156" i="90"/>
  <c r="G155" i="90"/>
  <c r="J159" i="90"/>
  <c r="G154" i="90"/>
  <c r="G159" i="90" s="1"/>
  <c r="J152" i="90"/>
  <c r="G151" i="90"/>
  <c r="G150" i="90"/>
  <c r="G149" i="90"/>
  <c r="G148" i="90"/>
  <c r="J147" i="90"/>
  <c r="G147" i="90"/>
  <c r="J144" i="90"/>
  <c r="J145" i="90" s="1"/>
  <c r="G144" i="90"/>
  <c r="G143" i="90"/>
  <c r="G142" i="90"/>
  <c r="G141" i="90"/>
  <c r="G145" i="90" s="1"/>
  <c r="G139" i="90"/>
  <c r="J138" i="90"/>
  <c r="J139" i="90" s="1"/>
  <c r="G138" i="90"/>
  <c r="J135" i="90"/>
  <c r="J136" i="90" s="1"/>
  <c r="G135" i="90"/>
  <c r="G136" i="90" s="1"/>
  <c r="J133" i="90"/>
  <c r="G133" i="90"/>
  <c r="G132" i="90"/>
  <c r="J129" i="90"/>
  <c r="G129" i="90"/>
  <c r="J128" i="90"/>
  <c r="G128" i="90"/>
  <c r="J127" i="90"/>
  <c r="G127" i="90"/>
  <c r="J126" i="90"/>
  <c r="G126" i="90"/>
  <c r="J125" i="90"/>
  <c r="G125" i="90"/>
  <c r="J124" i="90"/>
  <c r="G124" i="90"/>
  <c r="J123" i="90"/>
  <c r="G123" i="90"/>
  <c r="J122" i="90"/>
  <c r="J130" i="90" s="1"/>
  <c r="G122" i="90"/>
  <c r="G121" i="90"/>
  <c r="G120" i="90"/>
  <c r="J117" i="90"/>
  <c r="J118" i="90" s="1"/>
  <c r="G117" i="90"/>
  <c r="G118" i="90" s="1"/>
  <c r="J114" i="90"/>
  <c r="G114" i="90"/>
  <c r="J113" i="90"/>
  <c r="J115" i="90" s="1"/>
  <c r="G113" i="90"/>
  <c r="G115" i="90" s="1"/>
  <c r="J111" i="90"/>
  <c r="G110" i="90"/>
  <c r="G111" i="90" s="1"/>
  <c r="J107" i="90"/>
  <c r="G107" i="90"/>
  <c r="J106" i="90"/>
  <c r="G106" i="90"/>
  <c r="J105" i="90"/>
  <c r="G105" i="90"/>
  <c r="G102" i="90"/>
  <c r="G101" i="90"/>
  <c r="G100" i="90"/>
  <c r="J99" i="90"/>
  <c r="J103" i="90" s="1"/>
  <c r="G99" i="90"/>
  <c r="G103" i="90" s="1"/>
  <c r="G96" i="90"/>
  <c r="G95" i="90"/>
  <c r="G94" i="90"/>
  <c r="G93" i="90"/>
  <c r="G92" i="90"/>
  <c r="G91" i="90"/>
  <c r="J90" i="90"/>
  <c r="J97" i="90" s="1"/>
  <c r="G90" i="90"/>
  <c r="J88" i="90"/>
  <c r="G87" i="90"/>
  <c r="G86" i="90"/>
  <c r="G85" i="90"/>
  <c r="G84" i="90"/>
  <c r="G83" i="90"/>
  <c r="G82" i="90"/>
  <c r="G81" i="90"/>
  <c r="J80" i="90"/>
  <c r="G80" i="90"/>
  <c r="J78" i="90"/>
  <c r="G77" i="90"/>
  <c r="G76" i="90"/>
  <c r="G75" i="90"/>
  <c r="G74" i="90"/>
  <c r="G73" i="90"/>
  <c r="G72" i="90"/>
  <c r="G78" i="90" s="1"/>
  <c r="G71" i="90"/>
  <c r="J68" i="90"/>
  <c r="G68" i="90"/>
  <c r="J67" i="90"/>
  <c r="G67" i="90"/>
  <c r="J66" i="90"/>
  <c r="G66" i="90"/>
  <c r="J65" i="90"/>
  <c r="J69" i="90" s="1"/>
  <c r="G65" i="90"/>
  <c r="G69" i="90" s="1"/>
  <c r="G62" i="90"/>
  <c r="G61" i="90"/>
  <c r="G60" i="90"/>
  <c r="G59" i="90"/>
  <c r="J58" i="90"/>
  <c r="J63" i="90" s="1"/>
  <c r="G58" i="90"/>
  <c r="J53" i="90"/>
  <c r="J54" i="90" s="1"/>
  <c r="G53" i="90"/>
  <c r="G52" i="90"/>
  <c r="G51" i="90"/>
  <c r="G54" i="90" s="1"/>
  <c r="G48" i="90"/>
  <c r="H48" i="90" s="1"/>
  <c r="J48" i="90" s="1"/>
  <c r="G47" i="90"/>
  <c r="H47" i="90" s="1"/>
  <c r="J47" i="90" s="1"/>
  <c r="J49" i="90" s="1"/>
  <c r="G46" i="90"/>
  <c r="G45" i="90"/>
  <c r="G44" i="90"/>
  <c r="G43" i="90"/>
  <c r="G42" i="90"/>
  <c r="E42" i="90"/>
  <c r="J39" i="90"/>
  <c r="G39" i="90"/>
  <c r="J38" i="90"/>
  <c r="G38" i="90"/>
  <c r="J37" i="90"/>
  <c r="G37" i="90"/>
  <c r="J36" i="90"/>
  <c r="G36" i="90"/>
  <c r="J35" i="90"/>
  <c r="G35" i="90"/>
  <c r="J34" i="90"/>
  <c r="G34" i="90"/>
  <c r="J32" i="90"/>
  <c r="G31" i="90"/>
  <c r="G32" i="90" s="1"/>
  <c r="J28" i="90"/>
  <c r="J29" i="90" s="1"/>
  <c r="G28" i="90"/>
  <c r="G29" i="90" s="1"/>
  <c r="J25" i="90"/>
  <c r="G25" i="90"/>
  <c r="J24" i="90"/>
  <c r="G24" i="90"/>
  <c r="J23" i="90"/>
  <c r="G23" i="90"/>
  <c r="J22" i="90"/>
  <c r="G22" i="90"/>
  <c r="J21" i="90"/>
  <c r="G21" i="90"/>
  <c r="J20" i="90"/>
  <c r="G20" i="90"/>
  <c r="J19" i="90"/>
  <c r="G19" i="90"/>
  <c r="J18" i="90"/>
  <c r="G18" i="90"/>
  <c r="J17" i="90"/>
  <c r="G17" i="90"/>
  <c r="J16" i="90"/>
  <c r="G16" i="90"/>
  <c r="J15" i="90"/>
  <c r="G15" i="90"/>
  <c r="J14" i="90"/>
  <c r="G14" i="90"/>
  <c r="J13" i="90"/>
  <c r="G13" i="90"/>
  <c r="J12" i="90"/>
  <c r="J26" i="90" s="1"/>
  <c r="G12" i="90"/>
  <c r="G26" i="90" s="1"/>
  <c r="J7" i="90"/>
  <c r="G7" i="90"/>
  <c r="J6" i="90"/>
  <c r="G6" i="90"/>
  <c r="J5" i="90"/>
  <c r="G5" i="90"/>
  <c r="J4" i="90"/>
  <c r="J8" i="90" s="1"/>
  <c r="G4" i="90"/>
  <c r="J239" i="83"/>
  <c r="J238" i="83"/>
  <c r="J237" i="83"/>
  <c r="J236" i="83"/>
  <c r="J235" i="83"/>
  <c r="J234" i="83"/>
  <c r="J233" i="83"/>
  <c r="J232" i="83"/>
  <c r="J231" i="83"/>
  <c r="J230" i="83"/>
  <c r="J229" i="83"/>
  <c r="J228" i="83"/>
  <c r="J227" i="83"/>
  <c r="J226" i="83"/>
  <c r="J225" i="83"/>
  <c r="J224" i="83"/>
  <c r="J223" i="83"/>
  <c r="J222" i="83"/>
  <c r="J221" i="83"/>
  <c r="J220" i="83"/>
  <c r="J219" i="83"/>
  <c r="J218" i="83"/>
  <c r="J217" i="83"/>
  <c r="J216" i="83"/>
  <c r="J215" i="83"/>
  <c r="J214" i="83"/>
  <c r="J213" i="83"/>
  <c r="J212" i="83"/>
  <c r="J211" i="83"/>
  <c r="J125" i="83"/>
  <c r="J124" i="83"/>
  <c r="J123" i="83"/>
  <c r="J122" i="83"/>
  <c r="J121" i="83"/>
  <c r="J120" i="83"/>
  <c r="J389" i="83"/>
  <c r="J388" i="83"/>
  <c r="J387" i="83"/>
  <c r="J386" i="83"/>
  <c r="J385" i="83"/>
  <c r="J384" i="83"/>
  <c r="J383" i="83"/>
  <c r="J382" i="83"/>
  <c r="J381" i="83"/>
  <c r="J380" i="83"/>
  <c r="J379" i="83"/>
  <c r="J378" i="83"/>
  <c r="J12" i="91" l="1"/>
  <c r="J16" i="91" s="1"/>
  <c r="G97" i="90"/>
  <c r="G152" i="90"/>
  <c r="G88" i="90"/>
  <c r="G166" i="90"/>
  <c r="G40" i="90"/>
  <c r="G63" i="90"/>
  <c r="J108" i="90"/>
  <c r="J40" i="90"/>
  <c r="J167" i="90" s="1"/>
  <c r="G49" i="90"/>
  <c r="G108" i="90"/>
  <c r="G130" i="90"/>
  <c r="J390" i="83"/>
  <c r="G8" i="90"/>
  <c r="J376" i="83"/>
  <c r="J375" i="83"/>
  <c r="J374" i="83"/>
  <c r="J373" i="83"/>
  <c r="J372" i="83"/>
  <c r="J371" i="83"/>
  <c r="J370" i="83"/>
  <c r="J369" i="83"/>
  <c r="J368" i="83"/>
  <c r="J367" i="83"/>
  <c r="J366" i="83"/>
  <c r="I365" i="83"/>
  <c r="J365" i="83" s="1"/>
  <c r="I364" i="83"/>
  <c r="J364" i="83" s="1"/>
  <c r="J363" i="83"/>
  <c r="J362" i="83"/>
  <c r="J361" i="83"/>
  <c r="J360" i="83"/>
  <c r="J359" i="83"/>
  <c r="J358" i="83"/>
  <c r="J357" i="83"/>
  <c r="J356" i="83"/>
  <c r="J355" i="83"/>
  <c r="J354" i="83"/>
  <c r="J353" i="83"/>
  <c r="J352" i="83"/>
  <c r="J351" i="83"/>
  <c r="J350" i="83"/>
  <c r="J349" i="83"/>
  <c r="J348" i="83"/>
  <c r="J347" i="83"/>
  <c r="J346" i="83"/>
  <c r="J345" i="83"/>
  <c r="J344" i="83"/>
  <c r="J343" i="83"/>
  <c r="J342" i="83"/>
  <c r="J341" i="83"/>
  <c r="J340" i="83"/>
  <c r="J339" i="83"/>
  <c r="J338" i="83"/>
  <c r="J337" i="83"/>
  <c r="J336" i="83"/>
  <c r="J335" i="83"/>
  <c r="J334" i="83"/>
  <c r="J333" i="83"/>
  <c r="J332" i="83"/>
  <c r="J331" i="83"/>
  <c r="J330" i="83"/>
  <c r="J329" i="83"/>
  <c r="J328" i="83"/>
  <c r="J327" i="83"/>
  <c r="J326" i="83"/>
  <c r="J325" i="83"/>
  <c r="J324" i="83"/>
  <c r="J323" i="83"/>
  <c r="J322" i="83"/>
  <c r="J320" i="83"/>
  <c r="J319" i="83"/>
  <c r="J318" i="83"/>
  <c r="J317" i="83"/>
  <c r="J316" i="83"/>
  <c r="J315" i="83"/>
  <c r="J314" i="83"/>
  <c r="J313" i="83"/>
  <c r="J312" i="83"/>
  <c r="J311" i="83"/>
  <c r="J310" i="83"/>
  <c r="J309" i="83"/>
  <c r="J308" i="83"/>
  <c r="J307" i="83"/>
  <c r="J306" i="83"/>
  <c r="J305" i="83"/>
  <c r="J304" i="83"/>
  <c r="J303" i="83"/>
  <c r="J302" i="83"/>
  <c r="J301" i="83"/>
  <c r="J300" i="83"/>
  <c r="J298" i="83"/>
  <c r="J297" i="83"/>
  <c r="J296" i="83"/>
  <c r="J295" i="83"/>
  <c r="J294" i="83"/>
  <c r="J293" i="83"/>
  <c r="J292" i="83"/>
  <c r="J291" i="83"/>
  <c r="J290" i="83"/>
  <c r="J289" i="83"/>
  <c r="J288" i="83"/>
  <c r="J287" i="83"/>
  <c r="J286" i="83"/>
  <c r="J285" i="83"/>
  <c r="J284" i="83"/>
  <c r="J283" i="83"/>
  <c r="J282" i="83"/>
  <c r="J281" i="83"/>
  <c r="J280" i="83"/>
  <c r="J279" i="83"/>
  <c r="J278" i="83"/>
  <c r="J277" i="83"/>
  <c r="J276" i="83"/>
  <c r="J275" i="83"/>
  <c r="J274" i="83"/>
  <c r="J273" i="83"/>
  <c r="J272" i="83"/>
  <c r="J271" i="83"/>
  <c r="J270" i="83"/>
  <c r="J269" i="83"/>
  <c r="J268" i="83"/>
  <c r="J267" i="83"/>
  <c r="J266" i="83"/>
  <c r="J265" i="83"/>
  <c r="J264" i="83"/>
  <c r="J263" i="83"/>
  <c r="J262" i="83"/>
  <c r="J261" i="83"/>
  <c r="J260" i="83"/>
  <c r="J259" i="83"/>
  <c r="J258" i="83"/>
  <c r="J257" i="83"/>
  <c r="J256" i="83"/>
  <c r="J255" i="83"/>
  <c r="J254" i="83"/>
  <c r="J253" i="83"/>
  <c r="J252" i="83"/>
  <c r="J251" i="83"/>
  <c r="J250" i="83"/>
  <c r="J249" i="83"/>
  <c r="J248" i="83"/>
  <c r="J247" i="83"/>
  <c r="J246" i="83"/>
  <c r="J245" i="83"/>
  <c r="J244" i="83"/>
  <c r="J243" i="83"/>
  <c r="J242" i="83"/>
  <c r="J241" i="83"/>
  <c r="J210" i="83"/>
  <c r="J209" i="83"/>
  <c r="J208" i="83"/>
  <c r="J207" i="83"/>
  <c r="J206" i="83"/>
  <c r="J205" i="83"/>
  <c r="J204" i="83"/>
  <c r="J203" i="83"/>
  <c r="J202" i="83"/>
  <c r="J201" i="83"/>
  <c r="J200" i="83"/>
  <c r="J199" i="83"/>
  <c r="J198" i="83"/>
  <c r="J197" i="83"/>
  <c r="J196" i="83"/>
  <c r="I195" i="83"/>
  <c r="J195" i="83" s="1"/>
  <c r="J194" i="83"/>
  <c r="J193" i="83"/>
  <c r="J192" i="83"/>
  <c r="J191" i="83"/>
  <c r="J190" i="83"/>
  <c r="J189" i="83"/>
  <c r="J188" i="83"/>
  <c r="J187" i="83"/>
  <c r="J186" i="83"/>
  <c r="J185" i="83"/>
  <c r="J184" i="83"/>
  <c r="J183" i="83"/>
  <c r="J182" i="83"/>
  <c r="J181" i="83"/>
  <c r="J180" i="83"/>
  <c r="J179" i="83"/>
  <c r="J178" i="83"/>
  <c r="J177" i="83"/>
  <c r="J176" i="83"/>
  <c r="J175" i="83"/>
  <c r="J174" i="83"/>
  <c r="J173" i="83"/>
  <c r="J172" i="83"/>
  <c r="J171" i="83"/>
  <c r="J170" i="83"/>
  <c r="J169" i="83"/>
  <c r="J168" i="83"/>
  <c r="J167" i="83"/>
  <c r="J166" i="83"/>
  <c r="J165" i="83"/>
  <c r="J164" i="83"/>
  <c r="J163" i="83"/>
  <c r="J162" i="83"/>
  <c r="J161" i="83"/>
  <c r="J160" i="83"/>
  <c r="J159" i="83"/>
  <c r="J158" i="83"/>
  <c r="J157" i="83"/>
  <c r="J156" i="83"/>
  <c r="J155" i="83"/>
  <c r="J154" i="83"/>
  <c r="J153" i="83"/>
  <c r="J152" i="83"/>
  <c r="J151" i="83"/>
  <c r="J150" i="83"/>
  <c r="J149" i="83"/>
  <c r="J148" i="83"/>
  <c r="J147" i="83"/>
  <c r="J146" i="83"/>
  <c r="J145" i="83"/>
  <c r="J144" i="83"/>
  <c r="J143" i="83"/>
  <c r="J142" i="83"/>
  <c r="J141" i="83"/>
  <c r="J140" i="83"/>
  <c r="J139" i="83"/>
  <c r="J138" i="83"/>
  <c r="J137" i="83"/>
  <c r="J136" i="83"/>
  <c r="J135" i="83"/>
  <c r="J134" i="83"/>
  <c r="J133" i="83"/>
  <c r="J132" i="83"/>
  <c r="J131" i="83"/>
  <c r="J130" i="83"/>
  <c r="J129" i="83"/>
  <c r="J128" i="83"/>
  <c r="J127" i="83"/>
  <c r="J119" i="83"/>
  <c r="J118" i="83"/>
  <c r="J117" i="83"/>
  <c r="J116" i="83"/>
  <c r="J115" i="83"/>
  <c r="J114" i="83"/>
  <c r="J113" i="83"/>
  <c r="J112" i="83"/>
  <c r="J111" i="83"/>
  <c r="J110" i="83"/>
  <c r="J109" i="83"/>
  <c r="J108" i="83"/>
  <c r="J107" i="83"/>
  <c r="J106" i="83"/>
  <c r="J105" i="83"/>
  <c r="J104" i="83"/>
  <c r="J103" i="83"/>
  <c r="J102" i="83"/>
  <c r="J101" i="83"/>
  <c r="J100" i="83"/>
  <c r="J99" i="83"/>
  <c r="J98" i="83"/>
  <c r="J97" i="83"/>
  <c r="J96" i="83"/>
  <c r="J95" i="83"/>
  <c r="J94" i="83"/>
  <c r="J93" i="83"/>
  <c r="J92" i="83"/>
  <c r="J91" i="83"/>
  <c r="J90" i="83"/>
  <c r="J89" i="83"/>
  <c r="J88" i="83"/>
  <c r="J86" i="83"/>
  <c r="J85" i="83"/>
  <c r="J84" i="83"/>
  <c r="J83" i="83"/>
  <c r="J82" i="83"/>
  <c r="J81" i="83"/>
  <c r="J80" i="83"/>
  <c r="J79" i="83"/>
  <c r="J78" i="83"/>
  <c r="J77" i="83"/>
  <c r="J76" i="83"/>
  <c r="J75" i="83"/>
  <c r="J74" i="83"/>
  <c r="J73" i="83"/>
  <c r="J72" i="83"/>
  <c r="J71" i="83"/>
  <c r="J70" i="83"/>
  <c r="J69" i="83"/>
  <c r="J68" i="83"/>
  <c r="J67" i="83"/>
  <c r="J66" i="83"/>
  <c r="J64" i="83"/>
  <c r="J63" i="83"/>
  <c r="J62" i="83"/>
  <c r="J61" i="83"/>
  <c r="J60" i="83"/>
  <c r="J59" i="83"/>
  <c r="J58" i="83"/>
  <c r="J57" i="83"/>
  <c r="J56" i="83"/>
  <c r="J55" i="83"/>
  <c r="J54" i="83"/>
  <c r="J53" i="83"/>
  <c r="J52" i="83"/>
  <c r="J51" i="83"/>
  <c r="J50" i="83"/>
  <c r="J49" i="83"/>
  <c r="J48" i="83"/>
  <c r="J47" i="83"/>
  <c r="J46" i="83"/>
  <c r="J45" i="83"/>
  <c r="J44" i="83"/>
  <c r="J43" i="83"/>
  <c r="J42" i="83"/>
  <c r="J41" i="83"/>
  <c r="J40" i="83"/>
  <c r="J39" i="83"/>
  <c r="J38" i="83"/>
  <c r="J37" i="83"/>
  <c r="J36" i="83"/>
  <c r="J35" i="83"/>
  <c r="J34" i="83"/>
  <c r="J33" i="83"/>
  <c r="J32" i="83"/>
  <c r="J31" i="83"/>
  <c r="J30" i="83"/>
  <c r="J29" i="83"/>
  <c r="J28" i="83"/>
  <c r="J27" i="83"/>
  <c r="J25" i="83"/>
  <c r="J24" i="83"/>
  <c r="J23" i="83"/>
  <c r="J22" i="83"/>
  <c r="J21" i="83"/>
  <c r="J20" i="83"/>
  <c r="J19" i="83"/>
  <c r="J18" i="83"/>
  <c r="J17" i="83"/>
  <c r="J16" i="83"/>
  <c r="J15" i="83"/>
  <c r="J14" i="83"/>
  <c r="J13" i="83"/>
  <c r="J12" i="83"/>
  <c r="J11" i="83"/>
  <c r="J10" i="83"/>
  <c r="J9" i="83"/>
  <c r="J8" i="83"/>
  <c r="J7" i="83"/>
  <c r="J6" i="83"/>
  <c r="J5" i="83"/>
  <c r="J4" i="83"/>
  <c r="J3" i="83"/>
  <c r="G167" i="90" l="1"/>
  <c r="J377" i="83"/>
  <c r="J240" i="83"/>
  <c r="J299" i="83"/>
  <c r="J321" i="83"/>
  <c r="J65" i="83"/>
  <c r="J26" i="83"/>
  <c r="J126" i="83"/>
  <c r="J87" i="83"/>
  <c r="I31" i="89"/>
  <c r="I33" i="89" s="1"/>
  <c r="J33" i="89" s="1"/>
  <c r="I30" i="89"/>
  <c r="J391" i="83" l="1"/>
  <c r="D37" i="88"/>
  <c r="D10" i="88"/>
  <c r="D26" i="88"/>
  <c r="D66" i="88"/>
  <c r="D85" i="88"/>
  <c r="D51" i="88"/>
  <c r="D96" i="88"/>
  <c r="D50" i="88"/>
  <c r="D53" i="88"/>
  <c r="D97" i="88"/>
  <c r="D84" i="88"/>
  <c r="D83" i="88"/>
  <c r="D82" i="88"/>
  <c r="D49" i="88"/>
  <c r="D94" i="88"/>
  <c r="D93" i="88"/>
  <c r="D81" i="88"/>
  <c r="D105" i="88"/>
  <c r="D48" i="88"/>
  <c r="D95" i="88"/>
  <c r="D36" i="88"/>
  <c r="D101" i="88"/>
  <c r="D80" i="88"/>
  <c r="D64" i="88"/>
  <c r="D92" i="88"/>
  <c r="D25" i="88"/>
  <c r="D65" i="88"/>
  <c r="D104" i="88"/>
  <c r="D47" i="88"/>
  <c r="D79" i="88"/>
  <c r="D78" i="88"/>
  <c r="D91" i="88"/>
  <c r="D63" i="88"/>
  <c r="D62" i="88"/>
  <c r="D100" i="88"/>
  <c r="D43" i="88"/>
  <c r="D42" i="88"/>
  <c r="D24" i="88"/>
  <c r="D23" i="88"/>
  <c r="D27" i="88" s="1"/>
  <c r="D22" i="88"/>
  <c r="D35" i="88"/>
  <c r="D9" i="88"/>
  <c r="D8" i="88"/>
  <c r="D7" i="88"/>
  <c r="D6" i="88"/>
  <c r="D34" i="88"/>
  <c r="D33" i="88"/>
  <c r="D21" i="88"/>
  <c r="D60" i="88"/>
  <c r="D77" i="88"/>
  <c r="D90" i="88"/>
  <c r="D76" i="88"/>
  <c r="D20" i="88"/>
  <c r="D75" i="88"/>
  <c r="D19" i="88"/>
  <c r="D18" i="88"/>
  <c r="D74" i="88"/>
  <c r="D73" i="88"/>
  <c r="D103" i="88"/>
  <c r="D106" i="88" s="1"/>
  <c r="D41" i="88"/>
  <c r="D59" i="88"/>
  <c r="D58" i="88"/>
  <c r="D57" i="88"/>
  <c r="D40" i="88"/>
  <c r="D52" i="88" s="1"/>
  <c r="D39" i="88"/>
  <c r="D17" i="88"/>
  <c r="D16" i="88"/>
  <c r="D30" i="88"/>
  <c r="D29" i="88"/>
  <c r="D71" i="88"/>
  <c r="D11" i="88"/>
  <c r="D89" i="88"/>
  <c r="D70" i="88"/>
  <c r="D56" i="88"/>
  <c r="D99" i="88"/>
  <c r="D102" i="88" s="1"/>
  <c r="D88" i="88"/>
  <c r="D28" i="88"/>
  <c r="D55" i="88"/>
  <c r="D38" i="88"/>
  <c r="D87" i="88"/>
  <c r="D98" i="88" s="1"/>
  <c r="D72" i="88"/>
  <c r="D14" i="88"/>
  <c r="D13" i="88"/>
  <c r="D54" i="88"/>
  <c r="D67" i="88" s="1"/>
  <c r="D69" i="88"/>
  <c r="D68" i="88"/>
  <c r="D86" i="88" s="1"/>
  <c r="D61" i="88"/>
  <c r="D46" i="88"/>
  <c r="D45" i="88"/>
  <c r="D44" i="88"/>
  <c r="D15" i="88"/>
  <c r="D32" i="88"/>
  <c r="D31" i="88"/>
  <c r="D12" i="88"/>
  <c r="D5" i="88"/>
  <c r="D4" i="88"/>
  <c r="D3" i="88"/>
  <c r="D107" i="88" l="1"/>
  <c r="F60" i="87"/>
  <c r="J59" i="87"/>
  <c r="J58" i="87"/>
  <c r="N57" i="87"/>
  <c r="M57" i="87"/>
  <c r="J57" i="87"/>
  <c r="J56" i="87"/>
  <c r="F55" i="87"/>
  <c r="F62" i="87" s="1"/>
  <c r="J62" i="87" s="1"/>
  <c r="H51" i="87"/>
  <c r="E51" i="87"/>
  <c r="J50" i="87"/>
  <c r="H50" i="87"/>
  <c r="E50" i="87"/>
  <c r="J49" i="87"/>
  <c r="H49" i="87"/>
  <c r="E49" i="87"/>
  <c r="J48" i="87"/>
  <c r="H48" i="87"/>
  <c r="E48" i="87"/>
  <c r="J47" i="87"/>
  <c r="H47" i="87"/>
  <c r="E47" i="87"/>
  <c r="J46" i="87"/>
  <c r="H46" i="87"/>
  <c r="E46" i="87"/>
  <c r="J45" i="87"/>
  <c r="H45" i="87"/>
  <c r="E45" i="87"/>
  <c r="F44" i="87"/>
  <c r="J44" i="87" s="1"/>
  <c r="J43" i="87"/>
  <c r="H43" i="87"/>
  <c r="E43" i="87"/>
  <c r="J42" i="87"/>
  <c r="H42" i="87"/>
  <c r="E42" i="87"/>
  <c r="J41" i="87"/>
  <c r="H41" i="87"/>
  <c r="E41" i="87"/>
  <c r="J40" i="87"/>
  <c r="H40" i="87"/>
  <c r="E40" i="87"/>
  <c r="J39" i="87"/>
  <c r="H39" i="87"/>
  <c r="E39" i="87"/>
  <c r="J38" i="87"/>
  <c r="H38" i="87"/>
  <c r="E38" i="87"/>
  <c r="J37" i="87"/>
  <c r="H37" i="87"/>
  <c r="E37" i="87"/>
  <c r="J36" i="87"/>
  <c r="H36" i="87"/>
  <c r="E36" i="87"/>
  <c r="J35" i="87"/>
  <c r="H35" i="87"/>
  <c r="E35" i="87"/>
  <c r="J34" i="87"/>
  <c r="H34" i="87"/>
  <c r="E34" i="87"/>
  <c r="J33" i="87"/>
  <c r="H33" i="87"/>
  <c r="E33" i="87"/>
  <c r="F32" i="87"/>
  <c r="J32" i="87" s="1"/>
  <c r="J31" i="87"/>
  <c r="H31" i="87"/>
  <c r="E31" i="87"/>
  <c r="J30" i="87"/>
  <c r="H30" i="87"/>
  <c r="E30" i="87"/>
  <c r="J29" i="87"/>
  <c r="H29" i="87"/>
  <c r="E29" i="87"/>
  <c r="J28" i="87"/>
  <c r="H28" i="87"/>
  <c r="E28" i="87"/>
  <c r="J27" i="87"/>
  <c r="H27" i="87"/>
  <c r="E27" i="87"/>
  <c r="F26" i="87"/>
  <c r="J26" i="87" s="1"/>
  <c r="J25" i="87"/>
  <c r="H25" i="87"/>
  <c r="E25" i="87"/>
  <c r="J24" i="87"/>
  <c r="H24" i="87"/>
  <c r="E24" i="87"/>
  <c r="J23" i="87"/>
  <c r="H23" i="87"/>
  <c r="E23" i="87"/>
  <c r="J22" i="87"/>
  <c r="H22" i="87"/>
  <c r="E22" i="87"/>
  <c r="J21" i="87"/>
  <c r="H21" i="87"/>
  <c r="E21" i="87"/>
  <c r="H20" i="87"/>
  <c r="E20" i="87"/>
  <c r="J19" i="87"/>
  <c r="H19" i="87"/>
  <c r="E19" i="87"/>
  <c r="J18" i="87"/>
  <c r="H18" i="87"/>
  <c r="E18" i="87"/>
  <c r="J17" i="87"/>
  <c r="H17" i="87"/>
  <c r="E17" i="87"/>
  <c r="F16" i="87"/>
  <c r="J16" i="87" s="1"/>
  <c r="J15" i="87"/>
  <c r="H15" i="87"/>
  <c r="E15" i="87"/>
  <c r="J14" i="87"/>
  <c r="H14" i="87"/>
  <c r="E14" i="87"/>
  <c r="H13" i="87"/>
  <c r="E13" i="87"/>
  <c r="J12" i="87"/>
  <c r="H12" i="87"/>
  <c r="E12" i="87"/>
  <c r="J11" i="87"/>
  <c r="H11" i="87"/>
  <c r="E11" i="87"/>
  <c r="J10" i="87"/>
  <c r="H10" i="87"/>
  <c r="E10" i="87"/>
  <c r="J9" i="87"/>
  <c r="H9" i="87"/>
  <c r="E9" i="87"/>
  <c r="J8" i="87"/>
  <c r="H8" i="87"/>
  <c r="E8" i="87"/>
  <c r="F7" i="87"/>
  <c r="J7" i="87" s="1"/>
  <c r="O64" i="87"/>
  <c r="F53" i="86"/>
  <c r="K52" i="86"/>
  <c r="K51" i="86"/>
  <c r="K50" i="86"/>
  <c r="K49" i="86"/>
  <c r="K48" i="86"/>
  <c r="K47" i="86"/>
  <c r="F46" i="86"/>
  <c r="K46" i="86" s="1"/>
  <c r="F41" i="86"/>
  <c r="K41" i="86" s="1"/>
  <c r="F40" i="86"/>
  <c r="F39" i="86"/>
  <c r="K39" i="86" s="1"/>
  <c r="F38" i="86"/>
  <c r="F37" i="86"/>
  <c r="F36" i="86"/>
  <c r="F35" i="86"/>
  <c r="F34" i="86"/>
  <c r="F33" i="86"/>
  <c r="F24" i="86" s="1"/>
  <c r="K24" i="86" s="1"/>
  <c r="F32" i="86"/>
  <c r="K32" i="86" s="1"/>
  <c r="F31" i="86"/>
  <c r="K31" i="86" s="1"/>
  <c r="F30" i="86"/>
  <c r="F29" i="86"/>
  <c r="K29" i="86" s="1"/>
  <c r="F28" i="86"/>
  <c r="F27" i="86"/>
  <c r="F26" i="86"/>
  <c r="K26" i="86" s="1"/>
  <c r="F25" i="86"/>
  <c r="F23" i="86"/>
  <c r="F22" i="86"/>
  <c r="K22" i="86" s="1"/>
  <c r="F21" i="86"/>
  <c r="F19" i="86"/>
  <c r="K19" i="86" s="1"/>
  <c r="F18" i="86"/>
  <c r="F17" i="86"/>
  <c r="F16" i="86"/>
  <c r="K16" i="86" s="1"/>
  <c r="F15" i="86"/>
  <c r="K15" i="86" s="1"/>
  <c r="F14" i="86"/>
  <c r="K14" i="86" s="1"/>
  <c r="F13" i="86"/>
  <c r="F12" i="86"/>
  <c r="F11" i="86"/>
  <c r="K11" i="86" s="1"/>
  <c r="K10" i="86"/>
  <c r="F10" i="86"/>
  <c r="F9" i="86"/>
  <c r="K9" i="86" s="1"/>
  <c r="F8" i="86"/>
  <c r="F7" i="86"/>
  <c r="F6" i="86"/>
  <c r="K6" i="86" s="1"/>
  <c r="M57" i="86"/>
  <c r="K29" i="85"/>
  <c r="F28" i="85"/>
  <c r="F21" i="85" s="1"/>
  <c r="K27" i="85"/>
  <c r="K26" i="85"/>
  <c r="K25" i="85"/>
  <c r="K24" i="85"/>
  <c r="K23" i="85"/>
  <c r="K22" i="85"/>
  <c r="F17" i="85"/>
  <c r="K17" i="85" s="1"/>
  <c r="F16" i="85"/>
  <c r="K16" i="85" s="1"/>
  <c r="F15" i="85"/>
  <c r="K15" i="85" s="1"/>
  <c r="F14" i="85"/>
  <c r="K14" i="85" s="1"/>
  <c r="F12" i="85"/>
  <c r="K12" i="85" s="1"/>
  <c r="F11" i="85"/>
  <c r="K11" i="85" s="1"/>
  <c r="F10" i="85"/>
  <c r="K10" i="85" s="1"/>
  <c r="F9" i="85"/>
  <c r="K9" i="85" s="1"/>
  <c r="F8" i="85"/>
  <c r="F7" i="85"/>
  <c r="F6" i="85" s="1"/>
  <c r="M33" i="85"/>
  <c r="L51" i="84"/>
  <c r="L50" i="84"/>
  <c r="L49" i="84"/>
  <c r="L48" i="84"/>
  <c r="F47" i="84"/>
  <c r="F46" i="84"/>
  <c r="F45" i="84"/>
  <c r="L45" i="84" s="1"/>
  <c r="N44" i="84"/>
  <c r="F44" i="84"/>
  <c r="L44" i="84" s="1"/>
  <c r="N43" i="84"/>
  <c r="F43" i="84"/>
  <c r="L43" i="84" s="1"/>
  <c r="F41" i="84"/>
  <c r="F38" i="84"/>
  <c r="L38" i="84" s="1"/>
  <c r="J37" i="84"/>
  <c r="F37" i="84"/>
  <c r="L37" i="84" s="1"/>
  <c r="F36" i="84"/>
  <c r="J35" i="84"/>
  <c r="F35" i="84"/>
  <c r="L35" i="84" s="1"/>
  <c r="J34" i="84"/>
  <c r="F34" i="84"/>
  <c r="J33" i="84"/>
  <c r="F33" i="84"/>
  <c r="L33" i="84" s="1"/>
  <c r="J32" i="84"/>
  <c r="F32" i="84"/>
  <c r="L32" i="84" s="1"/>
  <c r="J31" i="84"/>
  <c r="F31" i="84"/>
  <c r="L31" i="84" s="1"/>
  <c r="H26" i="84"/>
  <c r="J18" i="84"/>
  <c r="F18" i="84"/>
  <c r="L18" i="84" s="1"/>
  <c r="H17" i="84"/>
  <c r="H14" i="84"/>
  <c r="H13" i="84"/>
  <c r="H12" i="84"/>
  <c r="H11" i="84"/>
  <c r="H9" i="84"/>
  <c r="H7" i="84"/>
  <c r="J6" i="84"/>
  <c r="F6" i="84"/>
  <c r="L6" i="84" s="1"/>
  <c r="O55" i="84"/>
  <c r="G8" i="82"/>
  <c r="G7" i="82"/>
  <c r="G9" i="82" s="1"/>
  <c r="G5" i="82"/>
  <c r="G4" i="82"/>
  <c r="G3" i="82"/>
  <c r="F31" i="85" l="1"/>
  <c r="K31" i="85" s="1"/>
  <c r="K21" i="85"/>
  <c r="K28" i="85"/>
  <c r="J55" i="87"/>
  <c r="F5" i="84"/>
  <c r="L5" i="84" s="1"/>
  <c r="F45" i="86"/>
  <c r="F55" i="86" s="1"/>
  <c r="K55" i="86" s="1"/>
  <c r="F13" i="85"/>
  <c r="K13" i="85" s="1"/>
  <c r="F20" i="86"/>
  <c r="K20" i="86" s="1"/>
  <c r="F6" i="87"/>
  <c r="F5" i="86"/>
  <c r="K45" i="86"/>
  <c r="K6" i="85"/>
  <c r="K7" i="85"/>
  <c r="F39" i="84"/>
  <c r="L39" i="84" s="1"/>
  <c r="L41" i="84"/>
  <c r="F30" i="84"/>
  <c r="L30" i="84" s="1"/>
  <c r="G6" i="82"/>
  <c r="G10" i="82" s="1"/>
  <c r="F5" i="85" l="1"/>
  <c r="J6" i="87"/>
  <c r="F53" i="87"/>
  <c r="F43" i="86"/>
  <c r="F57" i="86" s="1"/>
  <c r="K57" i="86" s="1"/>
  <c r="K5" i="86"/>
  <c r="K43" i="86" s="1"/>
  <c r="K5" i="85"/>
  <c r="K19" i="85" s="1"/>
  <c r="F19" i="85"/>
  <c r="F33" i="85" s="1"/>
  <c r="K33" i="85" s="1"/>
  <c r="F53" i="84"/>
  <c r="F64" i="87" l="1"/>
  <c r="J64" i="87" s="1"/>
  <c r="J53" i="87"/>
  <c r="L53" i="84"/>
  <c r="F55" i="84"/>
  <c r="L55" i="84" s="1"/>
  <c r="K85" i="74"/>
  <c r="K79" i="74"/>
  <c r="H31" i="81"/>
  <c r="H25" i="81"/>
  <c r="H23" i="81"/>
  <c r="H20" i="81"/>
  <c r="H12" i="81"/>
  <c r="H8" i="81"/>
  <c r="H6" i="81"/>
  <c r="J82" i="70"/>
  <c r="J81" i="70"/>
  <c r="J117" i="70"/>
  <c r="J25" i="70"/>
  <c r="J16" i="70"/>
  <c r="J80" i="70"/>
  <c r="J15" i="70"/>
  <c r="J79" i="70"/>
  <c r="J78" i="70"/>
  <c r="J24" i="70"/>
  <c r="J116" i="70"/>
  <c r="J59" i="70"/>
  <c r="J39" i="70"/>
  <c r="J23" i="70"/>
  <c r="J98" i="70"/>
  <c r="J77" i="70"/>
  <c r="J58" i="70"/>
  <c r="J115" i="70"/>
  <c r="J57" i="70"/>
  <c r="J38" i="70"/>
  <c r="J14" i="70"/>
  <c r="J76" i="70"/>
  <c r="J56" i="70"/>
  <c r="J55" i="70"/>
  <c r="J37" i="70"/>
  <c r="J8" i="70"/>
  <c r="J114" i="70"/>
  <c r="J54" i="70"/>
  <c r="J7" i="70"/>
  <c r="J53" i="70"/>
  <c r="J75" i="70"/>
  <c r="J51" i="70"/>
  <c r="J50" i="70"/>
  <c r="J113" i="70"/>
  <c r="J112" i="70"/>
  <c r="J101" i="70"/>
  <c r="J36" i="70"/>
  <c r="J6" i="70"/>
  <c r="J111" i="70"/>
  <c r="J35" i="70"/>
  <c r="J34" i="70"/>
  <c r="J110" i="70"/>
  <c r="J5" i="70"/>
  <c r="J74" i="70"/>
  <c r="J73" i="70"/>
  <c r="J4" i="70"/>
  <c r="J52" i="70"/>
  <c r="J33" i="70"/>
  <c r="H32" i="81" l="1"/>
  <c r="L20" i="80"/>
  <c r="I20" i="80"/>
  <c r="I19" i="80"/>
  <c r="L18" i="80"/>
  <c r="I18" i="80"/>
  <c r="L17" i="80"/>
  <c r="I17" i="80"/>
  <c r="I16" i="80"/>
  <c r="L15" i="80"/>
  <c r="I15" i="80"/>
  <c r="L14" i="80"/>
  <c r="I14" i="80"/>
  <c r="L13" i="80"/>
  <c r="I13" i="80"/>
  <c r="I12" i="80"/>
  <c r="L11" i="80"/>
  <c r="I11" i="80"/>
  <c r="L10" i="80"/>
  <c r="I10" i="80"/>
  <c r="L9" i="80"/>
  <c r="I9" i="80"/>
  <c r="L8" i="80"/>
  <c r="I8" i="80"/>
  <c r="L7" i="80"/>
  <c r="I7" i="80"/>
  <c r="L6" i="80"/>
  <c r="I6" i="80"/>
  <c r="L5" i="80"/>
  <c r="I5" i="80"/>
  <c r="L21" i="80" l="1"/>
  <c r="I21" i="80"/>
  <c r="E85" i="79"/>
  <c r="G85" i="79" s="1"/>
  <c r="G84" i="79"/>
  <c r="G83" i="79"/>
  <c r="G80" i="79"/>
  <c r="G79" i="79"/>
  <c r="G78" i="79"/>
  <c r="G77" i="79"/>
  <c r="G76" i="79"/>
  <c r="G75" i="79"/>
  <c r="G72" i="79"/>
  <c r="G71" i="79"/>
  <c r="G73" i="79" s="1"/>
  <c r="G66" i="79"/>
  <c r="G67" i="79" s="1"/>
  <c r="G63" i="79"/>
  <c r="G62" i="79"/>
  <c r="G64" i="79" s="1"/>
  <c r="G59" i="79"/>
  <c r="G60" i="79" s="1"/>
  <c r="G52" i="79"/>
  <c r="G53" i="79" s="1"/>
  <c r="G49" i="79"/>
  <c r="G48" i="79"/>
  <c r="G47" i="79"/>
  <c r="G46" i="79"/>
  <c r="G45" i="79"/>
  <c r="G44" i="79"/>
  <c r="G43" i="79"/>
  <c r="G38" i="79"/>
  <c r="G37" i="79"/>
  <c r="G39" i="79" s="1"/>
  <c r="G31" i="79"/>
  <c r="G30" i="79"/>
  <c r="G32" i="79" s="1"/>
  <c r="G26" i="79"/>
  <c r="G25" i="79"/>
  <c r="G24" i="79"/>
  <c r="G23" i="79"/>
  <c r="G19" i="79"/>
  <c r="G20" i="79" s="1"/>
  <c r="G16" i="79"/>
  <c r="G17" i="79" s="1"/>
  <c r="G13" i="79"/>
  <c r="G12" i="79"/>
  <c r="G11" i="79"/>
  <c r="G10" i="79"/>
  <c r="G14" i="79" s="1"/>
  <c r="G5" i="79"/>
  <c r="G6" i="79" s="1"/>
  <c r="G27" i="79" l="1"/>
  <c r="G81" i="79"/>
  <c r="G86" i="79"/>
  <c r="G50" i="79"/>
  <c r="G87" i="79" s="1"/>
  <c r="E78" i="78"/>
  <c r="G78" i="78" s="1"/>
  <c r="G77" i="78"/>
  <c r="E76" i="78"/>
  <c r="G76" i="78" s="1"/>
  <c r="G73" i="78"/>
  <c r="G72" i="78"/>
  <c r="G71" i="78"/>
  <c r="G70" i="78"/>
  <c r="G74" i="78" s="1"/>
  <c r="G69" i="78"/>
  <c r="G66" i="78"/>
  <c r="G67" i="78" s="1"/>
  <c r="G61" i="78"/>
  <c r="G62" i="78" s="1"/>
  <c r="G58" i="78"/>
  <c r="G57" i="78"/>
  <c r="G59" i="78" s="1"/>
  <c r="G54" i="78"/>
  <c r="G55" i="78" s="1"/>
  <c r="G47" i="78"/>
  <c r="G48" i="78" s="1"/>
  <c r="G44" i="78"/>
  <c r="G43" i="78"/>
  <c r="G39" i="78"/>
  <c r="G38" i="78"/>
  <c r="G32" i="78"/>
  <c r="G31" i="78"/>
  <c r="G30" i="78"/>
  <c r="G27" i="78"/>
  <c r="G26" i="78"/>
  <c r="G25" i="78"/>
  <c r="G24" i="78"/>
  <c r="G28" i="78" s="1"/>
  <c r="G21" i="78"/>
  <c r="G20" i="78"/>
  <c r="G22" i="78" s="1"/>
  <c r="G16" i="78"/>
  <c r="G17" i="78" s="1"/>
  <c r="G12" i="78"/>
  <c r="G11" i="78"/>
  <c r="G10" i="78"/>
  <c r="G13" i="78" s="1"/>
  <c r="G6" i="78"/>
  <c r="G45" i="78" l="1"/>
  <c r="G33" i="78"/>
  <c r="G79" i="78"/>
  <c r="G80" i="78" s="1"/>
  <c r="E74" i="77" l="1"/>
  <c r="G74" i="77" s="1"/>
  <c r="G73" i="77"/>
  <c r="G72" i="77"/>
  <c r="G69" i="77"/>
  <c r="G68" i="77"/>
  <c r="G67" i="77"/>
  <c r="G66" i="77"/>
  <c r="G70" i="77" s="1"/>
  <c r="G63" i="77"/>
  <c r="G62" i="77"/>
  <c r="G64" i="77" s="1"/>
  <c r="G58" i="77"/>
  <c r="G57" i="77"/>
  <c r="G54" i="77"/>
  <c r="G53" i="77"/>
  <c r="G55" i="77" s="1"/>
  <c r="G50" i="77"/>
  <c r="G49" i="77"/>
  <c r="G51" i="77" s="1"/>
  <c r="G46" i="77"/>
  <c r="G47" i="77" s="1"/>
  <c r="G39" i="77"/>
  <c r="G40" i="77" s="1"/>
  <c r="G34" i="77"/>
  <c r="G35" i="77" s="1"/>
  <c r="G31" i="77"/>
  <c r="G32" i="77" s="1"/>
  <c r="G26" i="77"/>
  <c r="G25" i="77"/>
  <c r="G27" i="77" s="1"/>
  <c r="G22" i="77"/>
  <c r="E21" i="77"/>
  <c r="G21" i="77" s="1"/>
  <c r="G23" i="77" s="1"/>
  <c r="G18" i="77"/>
  <c r="G19" i="77" s="1"/>
  <c r="G14" i="77"/>
  <c r="G15" i="77" s="1"/>
  <c r="G10" i="77"/>
  <c r="G9" i="77"/>
  <c r="G8" i="77"/>
  <c r="G75" i="77" l="1"/>
  <c r="G11" i="77"/>
  <c r="G76" i="77"/>
  <c r="I125" i="76" l="1"/>
  <c r="K69" i="74"/>
  <c r="J584" i="76" l="1"/>
  <c r="J638" i="76"/>
  <c r="J630" i="76"/>
  <c r="J622" i="76"/>
  <c r="J592" i="76"/>
  <c r="J509" i="76"/>
  <c r="I497" i="76"/>
  <c r="J304" i="76"/>
  <c r="J183" i="76"/>
  <c r="J175" i="76"/>
  <c r="J170" i="76"/>
  <c r="J162" i="76"/>
  <c r="J138" i="76"/>
  <c r="J81" i="76"/>
  <c r="I66" i="76"/>
  <c r="J654" i="76"/>
  <c r="J615" i="76"/>
  <c r="J610" i="76"/>
  <c r="J601" i="76"/>
  <c r="J572" i="76"/>
  <c r="J560" i="76"/>
  <c r="J552" i="76"/>
  <c r="J545" i="76"/>
  <c r="J536" i="76"/>
  <c r="J524" i="76"/>
  <c r="J498" i="76"/>
  <c r="J406" i="76"/>
  <c r="J390" i="76"/>
  <c r="J383" i="76"/>
  <c r="J372" i="76"/>
  <c r="J367" i="76"/>
  <c r="J361" i="76"/>
  <c r="J355" i="76"/>
  <c r="J350" i="76"/>
  <c r="J341" i="76"/>
  <c r="J333" i="76"/>
  <c r="J327" i="76"/>
  <c r="J332" i="76" s="1"/>
  <c r="J315" i="76"/>
  <c r="J298" i="76"/>
  <c r="J291" i="76"/>
  <c r="J281" i="76"/>
  <c r="J273" i="76"/>
  <c r="J259" i="76"/>
  <c r="J254" i="76"/>
  <c r="J248" i="76"/>
  <c r="J241" i="76"/>
  <c r="J226" i="76"/>
  <c r="J215" i="76"/>
  <c r="J207" i="76"/>
  <c r="J201" i="76"/>
  <c r="J190" i="76"/>
  <c r="J154" i="76"/>
  <c r="J146" i="76"/>
  <c r="J132" i="76"/>
  <c r="J126" i="76"/>
  <c r="J109" i="76"/>
  <c r="J103" i="76"/>
  <c r="J98" i="76"/>
  <c r="J94" i="76"/>
  <c r="J75" i="76"/>
  <c r="J67" i="76"/>
  <c r="J30" i="76"/>
  <c r="J24" i="76"/>
  <c r="J16" i="76"/>
  <c r="J11" i="76"/>
  <c r="J4" i="76"/>
  <c r="I571" i="76"/>
  <c r="I544" i="76"/>
  <c r="J571" i="76" l="1"/>
  <c r="J544" i="76"/>
  <c r="J326" i="76"/>
  <c r="I662" i="76"/>
  <c r="J578" i="76"/>
  <c r="J662" i="76" s="1"/>
  <c r="J414" i="76"/>
  <c r="J497" i="76" s="1"/>
  <c r="I326" i="76"/>
  <c r="J206" i="76"/>
  <c r="I206" i="76"/>
  <c r="J66" i="76"/>
  <c r="J125" i="76"/>
  <c r="I663" i="76" l="1"/>
  <c r="J663" i="76"/>
  <c r="C26" i="75"/>
  <c r="C21" i="75"/>
  <c r="C19" i="75"/>
  <c r="C14" i="75"/>
  <c r="C11" i="75"/>
  <c r="C8" i="75"/>
  <c r="C4" i="75"/>
  <c r="C27" i="75" s="1"/>
  <c r="K88" i="74" l="1"/>
  <c r="K87" i="74"/>
  <c r="K86" i="74"/>
  <c r="K84" i="74"/>
  <c r="K83" i="74"/>
  <c r="K82" i="74"/>
  <c r="K81" i="74"/>
  <c r="K80" i="74"/>
  <c r="K78" i="74"/>
  <c r="K77" i="74"/>
  <c r="K76" i="74"/>
  <c r="K75" i="74"/>
  <c r="K74" i="74"/>
  <c r="K73" i="74"/>
  <c r="K72" i="74"/>
  <c r="K71" i="74"/>
  <c r="K70" i="74"/>
  <c r="K68" i="74"/>
  <c r="K66" i="74"/>
  <c r="K65" i="74"/>
  <c r="K64" i="74"/>
  <c r="K62" i="74"/>
  <c r="K63" i="74" s="1"/>
  <c r="K59" i="74"/>
  <c r="K58" i="74"/>
  <c r="K57" i="74"/>
  <c r="K56" i="74"/>
  <c r="K55" i="74"/>
  <c r="K54" i="74"/>
  <c r="K53" i="74"/>
  <c r="K52" i="74"/>
  <c r="K51" i="74"/>
  <c r="K50" i="74"/>
  <c r="K49" i="74"/>
  <c r="K48" i="74"/>
  <c r="K46" i="74"/>
  <c r="K45" i="74"/>
  <c r="K44" i="74"/>
  <c r="K43" i="74"/>
  <c r="K42" i="74"/>
  <c r="K41" i="74"/>
  <c r="K40" i="74"/>
  <c r="K39" i="74"/>
  <c r="K38" i="74"/>
  <c r="K37" i="74"/>
  <c r="K36" i="74"/>
  <c r="K35" i="74"/>
  <c r="K34" i="74"/>
  <c r="K33" i="74"/>
  <c r="K32" i="74"/>
  <c r="K31" i="74"/>
  <c r="K29" i="74"/>
  <c r="K28" i="74"/>
  <c r="K27" i="74"/>
  <c r="K26" i="74"/>
  <c r="K25" i="74"/>
  <c r="K24" i="74"/>
  <c r="K23" i="74"/>
  <c r="K21" i="74"/>
  <c r="K20" i="74"/>
  <c r="K19" i="74"/>
  <c r="K18" i="74"/>
  <c r="K17" i="74"/>
  <c r="K15" i="74"/>
  <c r="K14" i="74"/>
  <c r="K13" i="74"/>
  <c r="K12" i="74"/>
  <c r="K11" i="74"/>
  <c r="K8" i="74"/>
  <c r="K7" i="74"/>
  <c r="K6" i="74"/>
  <c r="K5" i="74"/>
  <c r="K4" i="74"/>
  <c r="K3" i="74"/>
  <c r="K47" i="74" l="1"/>
  <c r="K22" i="74"/>
  <c r="K89" i="74"/>
  <c r="K16" i="74"/>
  <c r="K9" i="74"/>
  <c r="K30" i="74"/>
  <c r="K67" i="74"/>
  <c r="K61" i="74"/>
  <c r="K90" i="74" l="1"/>
  <c r="K39" i="73"/>
  <c r="J39" i="73"/>
  <c r="I39" i="73"/>
  <c r="H39" i="73"/>
  <c r="G39" i="73"/>
  <c r="F39" i="73"/>
  <c r="E39" i="73"/>
  <c r="D39" i="73"/>
  <c r="H30" i="73"/>
  <c r="G30" i="73"/>
  <c r="F30" i="73"/>
  <c r="E30" i="73"/>
  <c r="D30" i="73"/>
  <c r="J29" i="73"/>
  <c r="I29" i="73"/>
  <c r="K29" i="73" s="1"/>
  <c r="I28" i="73"/>
  <c r="J24" i="73"/>
  <c r="J30" i="73" s="1"/>
  <c r="I24" i="73"/>
  <c r="G23" i="73"/>
  <c r="F23" i="73"/>
  <c r="E23" i="73"/>
  <c r="D23" i="73"/>
  <c r="J21" i="73"/>
  <c r="J23" i="73" s="1"/>
  <c r="H21" i="73"/>
  <c r="H23" i="73" s="1"/>
  <c r="H20" i="73"/>
  <c r="G20" i="73"/>
  <c r="F20" i="73"/>
  <c r="E20" i="73"/>
  <c r="D20" i="73"/>
  <c r="J19" i="73"/>
  <c r="I19" i="73"/>
  <c r="J18" i="73"/>
  <c r="I18" i="73"/>
  <c r="K18" i="73" s="1"/>
  <c r="J17" i="73"/>
  <c r="K17" i="73" s="1"/>
  <c r="I17" i="73"/>
  <c r="J16" i="73"/>
  <c r="I16" i="73"/>
  <c r="K16" i="73" s="1"/>
  <c r="J15" i="73"/>
  <c r="I15" i="73"/>
  <c r="K15" i="73" s="1"/>
  <c r="J14" i="73"/>
  <c r="I14" i="73"/>
  <c r="J13" i="73"/>
  <c r="H13" i="73"/>
  <c r="G13" i="73"/>
  <c r="F13" i="73"/>
  <c r="E13" i="73"/>
  <c r="D13" i="73"/>
  <c r="I12" i="73"/>
  <c r="K12" i="73" s="1"/>
  <c r="I11" i="73"/>
  <c r="K11" i="73" s="1"/>
  <c r="I10" i="73"/>
  <c r="I13" i="73" s="1"/>
  <c r="J9" i="73"/>
  <c r="H9" i="73"/>
  <c r="G9" i="73"/>
  <c r="F9" i="73"/>
  <c r="E9" i="73"/>
  <c r="D9" i="73"/>
  <c r="I8" i="73"/>
  <c r="K8" i="73" s="1"/>
  <c r="K9" i="73" s="1"/>
  <c r="I7" i="73"/>
  <c r="K7" i="73" s="1"/>
  <c r="I6" i="73"/>
  <c r="K6" i="73" s="1"/>
  <c r="I5" i="73"/>
  <c r="J4" i="73"/>
  <c r="H4" i="73"/>
  <c r="G4" i="73"/>
  <c r="F4" i="73"/>
  <c r="E4" i="73"/>
  <c r="D4" i="73"/>
  <c r="I3" i="73"/>
  <c r="J20" i="71"/>
  <c r="J19" i="71"/>
  <c r="J18" i="71"/>
  <c r="J17" i="71"/>
  <c r="J16" i="71"/>
  <c r="J15" i="71"/>
  <c r="J14" i="71"/>
  <c r="J13" i="71"/>
  <c r="J12" i="71"/>
  <c r="J11" i="71"/>
  <c r="J10" i="71"/>
  <c r="J9" i="71"/>
  <c r="J8" i="71"/>
  <c r="J7" i="71"/>
  <c r="J6" i="71"/>
  <c r="J5" i="71"/>
  <c r="J4" i="71"/>
  <c r="J3" i="71"/>
  <c r="J14" i="72"/>
  <c r="J8" i="72"/>
  <c r="J7" i="72"/>
  <c r="J6" i="72"/>
  <c r="J5" i="72"/>
  <c r="J4" i="72"/>
  <c r="J3" i="72"/>
  <c r="J13" i="72" s="1"/>
  <c r="J18" i="72" s="1"/>
  <c r="K21" i="73"/>
  <c r="K23" i="73" s="1"/>
  <c r="I21" i="73"/>
  <c r="I23" i="73" s="1"/>
  <c r="K10" i="73"/>
  <c r="K13" i="73" s="1"/>
  <c r="K5" i="73"/>
  <c r="J108" i="70"/>
  <c r="J125" i="70" s="1"/>
  <c r="J107" i="70"/>
  <c r="J100" i="70"/>
  <c r="J89" i="70"/>
  <c r="J88" i="70"/>
  <c r="J72" i="70"/>
  <c r="J71" i="70"/>
  <c r="J70" i="70"/>
  <c r="J69" i="70"/>
  <c r="J67" i="70"/>
  <c r="J66" i="70"/>
  <c r="J65" i="70"/>
  <c r="J45" i="70"/>
  <c r="J32" i="70"/>
  <c r="J31" i="70"/>
  <c r="J30" i="70"/>
  <c r="J21" i="70"/>
  <c r="J29" i="70" s="1"/>
  <c r="J13" i="70"/>
  <c r="J20" i="70" s="1"/>
  <c r="J3" i="70"/>
  <c r="J12" i="70" s="1"/>
  <c r="D59" i="65"/>
  <c r="C59" i="65"/>
  <c r="E58" i="65"/>
  <c r="E57" i="65"/>
  <c r="E56" i="65"/>
  <c r="E55" i="65"/>
  <c r="E54" i="65"/>
  <c r="E59" i="65" s="1"/>
  <c r="E53" i="65"/>
  <c r="D53" i="65"/>
  <c r="C53" i="65"/>
  <c r="E52" i="65"/>
  <c r="E51" i="65"/>
  <c r="E50" i="65"/>
  <c r="E49" i="65"/>
  <c r="E48" i="65"/>
  <c r="E47" i="65"/>
  <c r="E46" i="65"/>
  <c r="E45" i="65"/>
  <c r="E44" i="65"/>
  <c r="D44" i="65"/>
  <c r="C44" i="65"/>
  <c r="E43" i="65"/>
  <c r="E42" i="65"/>
  <c r="E41" i="65"/>
  <c r="D40" i="65"/>
  <c r="C40" i="65"/>
  <c r="E39" i="65"/>
  <c r="E38" i="65"/>
  <c r="E37" i="65"/>
  <c r="E40" i="65" s="1"/>
  <c r="E36" i="65"/>
  <c r="D36" i="65"/>
  <c r="C36" i="65"/>
  <c r="E35" i="65"/>
  <c r="E34" i="65"/>
  <c r="E33" i="65"/>
  <c r="E32" i="65"/>
  <c r="E31" i="65"/>
  <c r="E30" i="65"/>
  <c r="D29" i="65"/>
  <c r="C29" i="65"/>
  <c r="E28" i="65"/>
  <c r="E27" i="65"/>
  <c r="E26" i="65"/>
  <c r="E25" i="65"/>
  <c r="E24" i="65"/>
  <c r="E23" i="65"/>
  <c r="E22" i="65"/>
  <c r="E21" i="65"/>
  <c r="E20" i="65"/>
  <c r="E19" i="65"/>
  <c r="E29" i="65" s="1"/>
  <c r="D18" i="65"/>
  <c r="C18" i="65"/>
  <c r="E17" i="65"/>
  <c r="E16" i="65"/>
  <c r="E15" i="65"/>
  <c r="E14" i="65"/>
  <c r="E13" i="65"/>
  <c r="E12" i="65"/>
  <c r="E11" i="65"/>
  <c r="E10" i="65"/>
  <c r="E9" i="65"/>
  <c r="E8" i="65"/>
  <c r="D7" i="65"/>
  <c r="C7" i="65"/>
  <c r="E6" i="65"/>
  <c r="E5" i="65"/>
  <c r="D4" i="65"/>
  <c r="C4" i="65"/>
  <c r="E3" i="65"/>
  <c r="E4" i="65" s="1"/>
  <c r="AN115" i="32"/>
  <c r="AN116" i="32" s="1"/>
  <c r="AD115" i="32"/>
  <c r="AB115" i="32"/>
  <c r="AB116" i="32" s="1"/>
  <c r="AA115" i="32"/>
  <c r="Z115" i="32"/>
  <c r="Y115" i="32"/>
  <c r="W115" i="32"/>
  <c r="V115" i="32"/>
  <c r="U115" i="32"/>
  <c r="T115" i="32"/>
  <c r="O115" i="32"/>
  <c r="N115" i="32"/>
  <c r="M115" i="32"/>
  <c r="M116" i="32" s="1"/>
  <c r="L115" i="32"/>
  <c r="K115" i="32"/>
  <c r="J115" i="32"/>
  <c r="H115" i="32"/>
  <c r="G115" i="32"/>
  <c r="F115" i="32"/>
  <c r="E115" i="32"/>
  <c r="D115" i="32"/>
  <c r="AL114" i="32"/>
  <c r="AJ114" i="32"/>
  <c r="AD114" i="32"/>
  <c r="AC114" i="32"/>
  <c r="X114" i="32"/>
  <c r="R114" i="32"/>
  <c r="S114" i="32" s="1"/>
  <c r="Q114" i="32"/>
  <c r="P114" i="32"/>
  <c r="O114" i="32"/>
  <c r="N114" i="32"/>
  <c r="I114" i="32"/>
  <c r="AL113" i="32"/>
  <c r="AK113" i="32"/>
  <c r="AJ113" i="32"/>
  <c r="AI113" i="32"/>
  <c r="AH113" i="32"/>
  <c r="AD113" i="32"/>
  <c r="AC113" i="32"/>
  <c r="AG113" i="32" s="1"/>
  <c r="X113" i="32"/>
  <c r="R113" i="32"/>
  <c r="Q113" i="32"/>
  <c r="P113" i="32"/>
  <c r="P115" i="32" s="1"/>
  <c r="O113" i="32"/>
  <c r="N113" i="32"/>
  <c r="I113" i="32"/>
  <c r="AL112" i="32"/>
  <c r="AJ112" i="32"/>
  <c r="AI112" i="32"/>
  <c r="AH112" i="32"/>
  <c r="AG112" i="32"/>
  <c r="AF112" i="32"/>
  <c r="AE112" i="32"/>
  <c r="AD112" i="32"/>
  <c r="AM112" i="32" s="1"/>
  <c r="AO112" i="32" s="1"/>
  <c r="AC112" i="32"/>
  <c r="AK112" i="32" s="1"/>
  <c r="X112" i="32"/>
  <c r="R112" i="32"/>
  <c r="Q112" i="32"/>
  <c r="P112" i="32"/>
  <c r="O112" i="32"/>
  <c r="S112" i="32" s="1"/>
  <c r="N112" i="32"/>
  <c r="I112" i="32"/>
  <c r="AL111" i="32"/>
  <c r="AJ111" i="32"/>
  <c r="AH111" i="32"/>
  <c r="AD111" i="32"/>
  <c r="AC111" i="32"/>
  <c r="X111" i="32"/>
  <c r="R111" i="32"/>
  <c r="S111" i="32" s="1"/>
  <c r="Q111" i="32"/>
  <c r="P111" i="32"/>
  <c r="O111" i="32"/>
  <c r="N111" i="32"/>
  <c r="I111" i="32"/>
  <c r="AM110" i="32"/>
  <c r="AO110" i="32" s="1"/>
  <c r="AL110" i="32"/>
  <c r="AK110" i="32"/>
  <c r="AJ110" i="32"/>
  <c r="AI110" i="32"/>
  <c r="AH110" i="32"/>
  <c r="AF110" i="32"/>
  <c r="AE110" i="32"/>
  <c r="AD110" i="32"/>
  <c r="AC110" i="32"/>
  <c r="AG110" i="32" s="1"/>
  <c r="X110" i="32"/>
  <c r="S110" i="32"/>
  <c r="R110" i="32"/>
  <c r="Q110" i="32"/>
  <c r="P110" i="32"/>
  <c r="O110" i="32"/>
  <c r="N110" i="32"/>
  <c r="I110" i="32"/>
  <c r="AL109" i="32"/>
  <c r="AJ109" i="32"/>
  <c r="AI109" i="32"/>
  <c r="AH109" i="32"/>
  <c r="AG109" i="32"/>
  <c r="AF109" i="32"/>
  <c r="AE109" i="32"/>
  <c r="AD109" i="32"/>
  <c r="AC109" i="32"/>
  <c r="AK109" i="32" s="1"/>
  <c r="X109" i="32"/>
  <c r="R109" i="32"/>
  <c r="Q109" i="32"/>
  <c r="P109" i="32"/>
  <c r="O109" i="32"/>
  <c r="S109" i="32" s="1"/>
  <c r="N109" i="32"/>
  <c r="I109" i="32"/>
  <c r="AL108" i="32"/>
  <c r="AJ108" i="32"/>
  <c r="AD108" i="32"/>
  <c r="AC108" i="32"/>
  <c r="X108" i="32"/>
  <c r="R108" i="32"/>
  <c r="S108" i="32" s="1"/>
  <c r="Q108" i="32"/>
  <c r="P108" i="32"/>
  <c r="O108" i="32"/>
  <c r="N108" i="32"/>
  <c r="I108" i="32"/>
  <c r="AL107" i="32"/>
  <c r="AK107" i="32"/>
  <c r="AJ107" i="32"/>
  <c r="AI107" i="32"/>
  <c r="AH107" i="32"/>
  <c r="AF107" i="32"/>
  <c r="AE107" i="32"/>
  <c r="AD107" i="32"/>
  <c r="AC107" i="32"/>
  <c r="AG107" i="32" s="1"/>
  <c r="AM107" i="32" s="1"/>
  <c r="AO107" i="32" s="1"/>
  <c r="X107" i="32"/>
  <c r="S107" i="32"/>
  <c r="R107" i="32"/>
  <c r="Q107" i="32"/>
  <c r="P107" i="32"/>
  <c r="O107" i="32"/>
  <c r="N107" i="32"/>
  <c r="I107" i="32"/>
  <c r="AL106" i="32"/>
  <c r="AJ106" i="32"/>
  <c r="AI106" i="32"/>
  <c r="AH106" i="32"/>
  <c r="AG106" i="32"/>
  <c r="AF106" i="32"/>
  <c r="AE106" i="32"/>
  <c r="AD106" i="32"/>
  <c r="AC106" i="32"/>
  <c r="AK106" i="32" s="1"/>
  <c r="X106" i="32"/>
  <c r="R106" i="32"/>
  <c r="Q106" i="32"/>
  <c r="P106" i="32"/>
  <c r="O106" i="32"/>
  <c r="S106" i="32" s="1"/>
  <c r="N106" i="32"/>
  <c r="I106" i="32"/>
  <c r="AJ105" i="32"/>
  <c r="AD105" i="32"/>
  <c r="AC105" i="32"/>
  <c r="X105" i="32"/>
  <c r="S105" i="32"/>
  <c r="R105" i="32"/>
  <c r="Q105" i="32"/>
  <c r="P105" i="32"/>
  <c r="O105" i="32"/>
  <c r="N105" i="32"/>
  <c r="I105" i="32"/>
  <c r="AL104" i="32"/>
  <c r="AK104" i="32"/>
  <c r="AJ104" i="32"/>
  <c r="AI104" i="32"/>
  <c r="AH104" i="32"/>
  <c r="AD104" i="32"/>
  <c r="AC104" i="32"/>
  <c r="AG104" i="32" s="1"/>
  <c r="X104" i="32"/>
  <c r="S104" i="32"/>
  <c r="R104" i="32"/>
  <c r="Q104" i="32"/>
  <c r="P104" i="32"/>
  <c r="O104" i="32"/>
  <c r="N104" i="32"/>
  <c r="I104" i="32"/>
  <c r="AL103" i="32"/>
  <c r="AJ103" i="32"/>
  <c r="AI103" i="32"/>
  <c r="AH103" i="32"/>
  <c r="AG103" i="32"/>
  <c r="AF103" i="32"/>
  <c r="AE103" i="32"/>
  <c r="AD103" i="32"/>
  <c r="AC103" i="32"/>
  <c r="AK103" i="32" s="1"/>
  <c r="X103" i="32"/>
  <c r="R103" i="32"/>
  <c r="Q103" i="32"/>
  <c r="P103" i="32"/>
  <c r="O103" i="32"/>
  <c r="S103" i="32" s="1"/>
  <c r="N103" i="32"/>
  <c r="I103" i="32"/>
  <c r="AL102" i="32"/>
  <c r="AJ102" i="32"/>
  <c r="AD102" i="32"/>
  <c r="AC102" i="32"/>
  <c r="X102" i="32"/>
  <c r="R102" i="32"/>
  <c r="S102" i="32" s="1"/>
  <c r="Q102" i="32"/>
  <c r="P102" i="32"/>
  <c r="O102" i="32"/>
  <c r="N102" i="32"/>
  <c r="I102" i="32"/>
  <c r="AL101" i="32"/>
  <c r="AK101" i="32"/>
  <c r="AJ101" i="32"/>
  <c r="AI101" i="32"/>
  <c r="AH101" i="32"/>
  <c r="AD101" i="32"/>
  <c r="AC101" i="32"/>
  <c r="AG101" i="32" s="1"/>
  <c r="X101" i="32"/>
  <c r="X115" i="32" s="1"/>
  <c r="S101" i="32"/>
  <c r="R101" i="32"/>
  <c r="Q101" i="32"/>
  <c r="P101" i="32"/>
  <c r="O101" i="32"/>
  <c r="N101" i="32"/>
  <c r="I101" i="32"/>
  <c r="AN100" i="32"/>
  <c r="AJ100" i="32"/>
  <c r="AB100" i="32"/>
  <c r="AA100" i="32"/>
  <c r="Z100" i="32"/>
  <c r="Y100" i="32"/>
  <c r="W100" i="32"/>
  <c r="V100" i="32"/>
  <c r="U100" i="32"/>
  <c r="T100" i="32"/>
  <c r="M100" i="32"/>
  <c r="L100" i="32"/>
  <c r="K100" i="32"/>
  <c r="J100" i="32"/>
  <c r="H100" i="32"/>
  <c r="G100" i="32"/>
  <c r="F100" i="32"/>
  <c r="E100" i="32"/>
  <c r="D100" i="32"/>
  <c r="AK99" i="32"/>
  <c r="AJ99" i="32"/>
  <c r="AI99" i="32"/>
  <c r="AH99" i="32"/>
  <c r="AG99" i="32"/>
  <c r="AF99" i="32"/>
  <c r="AD99" i="32"/>
  <c r="AC99" i="32"/>
  <c r="AE99" i="32" s="1"/>
  <c r="X99" i="32"/>
  <c r="R99" i="32"/>
  <c r="Q99" i="32"/>
  <c r="P99" i="32"/>
  <c r="O99" i="32"/>
  <c r="S99" i="32" s="1"/>
  <c r="N99" i="32"/>
  <c r="I99" i="32"/>
  <c r="AJ98" i="32"/>
  <c r="AH98" i="32"/>
  <c r="AD98" i="32"/>
  <c r="AC98" i="32"/>
  <c r="X98" i="32"/>
  <c r="X100" i="32" s="1"/>
  <c r="R98" i="32"/>
  <c r="Q98" i="32"/>
  <c r="P98" i="32"/>
  <c r="O98" i="32"/>
  <c r="S98" i="32" s="1"/>
  <c r="N98" i="32"/>
  <c r="I98" i="32"/>
  <c r="AJ97" i="32"/>
  <c r="AD97" i="32"/>
  <c r="AC97" i="32"/>
  <c r="X97" i="32"/>
  <c r="R97" i="32"/>
  <c r="Q97" i="32"/>
  <c r="P97" i="32"/>
  <c r="S97" i="32" s="1"/>
  <c r="O97" i="32"/>
  <c r="N97" i="32"/>
  <c r="I97" i="32"/>
  <c r="AL96" i="32"/>
  <c r="AK96" i="32"/>
  <c r="AJ96" i="32"/>
  <c r="AI96" i="32"/>
  <c r="AH96" i="32"/>
  <c r="AG96" i="32"/>
  <c r="AF96" i="32"/>
  <c r="AD96" i="32"/>
  <c r="AD100" i="32" s="1"/>
  <c r="AC96" i="32"/>
  <c r="AE96" i="32" s="1"/>
  <c r="X96" i="32"/>
  <c r="R96" i="32"/>
  <c r="R100" i="32" s="1"/>
  <c r="Q96" i="32"/>
  <c r="P96" i="32"/>
  <c r="O96" i="32"/>
  <c r="N96" i="32"/>
  <c r="I96" i="32"/>
  <c r="I100" i="32" s="1"/>
  <c r="AN95" i="32"/>
  <c r="AD95" i="32"/>
  <c r="AC95" i="32"/>
  <c r="AB95" i="32"/>
  <c r="AA95" i="32"/>
  <c r="Z95" i="32"/>
  <c r="Y95" i="32"/>
  <c r="W95" i="32"/>
  <c r="V95" i="32"/>
  <c r="U95" i="32"/>
  <c r="T95" i="32"/>
  <c r="R95" i="32"/>
  <c r="Q95" i="32"/>
  <c r="M95" i="32"/>
  <c r="L95" i="32"/>
  <c r="K95" i="32"/>
  <c r="J95" i="32"/>
  <c r="H95" i="32"/>
  <c r="G95" i="32"/>
  <c r="F95" i="32"/>
  <c r="E95" i="32"/>
  <c r="D95" i="32"/>
  <c r="AL94" i="32"/>
  <c r="AK94" i="32"/>
  <c r="AJ94" i="32"/>
  <c r="AI94" i="32"/>
  <c r="AH94" i="32"/>
  <c r="AG94" i="32"/>
  <c r="AF94" i="32"/>
  <c r="AE94" i="32"/>
  <c r="AD94" i="32"/>
  <c r="AC94" i="32"/>
  <c r="X94" i="32"/>
  <c r="R94" i="32"/>
  <c r="Q94" i="32"/>
  <c r="P94" i="32"/>
  <c r="O94" i="32"/>
  <c r="S94" i="32" s="1"/>
  <c r="N94" i="32"/>
  <c r="I94" i="32"/>
  <c r="AJ93" i="32"/>
  <c r="AD93" i="32"/>
  <c r="AC93" i="32"/>
  <c r="X93" i="32"/>
  <c r="R93" i="32"/>
  <c r="S93" i="32" s="1"/>
  <c r="Q93" i="32"/>
  <c r="P93" i="32"/>
  <c r="O93" i="32"/>
  <c r="N93" i="32"/>
  <c r="I93" i="32"/>
  <c r="AL92" i="32"/>
  <c r="AK92" i="32"/>
  <c r="AJ92" i="32"/>
  <c r="AI92" i="32"/>
  <c r="AH92" i="32"/>
  <c r="AF92" i="32"/>
  <c r="AE92" i="32"/>
  <c r="AD92" i="32"/>
  <c r="AC92" i="32"/>
  <c r="AG92" i="32" s="1"/>
  <c r="X92" i="32"/>
  <c r="R92" i="32"/>
  <c r="Q92" i="32"/>
  <c r="P92" i="32"/>
  <c r="O92" i="32"/>
  <c r="S92" i="32" s="1"/>
  <c r="N92" i="32"/>
  <c r="I92" i="32"/>
  <c r="AL91" i="32"/>
  <c r="AK91" i="32"/>
  <c r="AJ91" i="32"/>
  <c r="AI91" i="32"/>
  <c r="AH91" i="32"/>
  <c r="AG91" i="32"/>
  <c r="AF91" i="32"/>
  <c r="AE91" i="32"/>
  <c r="AD91" i="32"/>
  <c r="AM91" i="32" s="1"/>
  <c r="AC91" i="32"/>
  <c r="X91" i="32"/>
  <c r="X95" i="32" s="1"/>
  <c r="R91" i="32"/>
  <c r="Q91" i="32"/>
  <c r="P91" i="32"/>
  <c r="O91" i="32"/>
  <c r="N91" i="32"/>
  <c r="I91" i="32"/>
  <c r="I95" i="32" s="1"/>
  <c r="AN90" i="32"/>
  <c r="AB90" i="32"/>
  <c r="AA90" i="32"/>
  <c r="Z90" i="32"/>
  <c r="Y90" i="32"/>
  <c r="W90" i="32"/>
  <c r="V90" i="32"/>
  <c r="U90" i="32"/>
  <c r="T90" i="32"/>
  <c r="M90" i="32"/>
  <c r="L90" i="32"/>
  <c r="K90" i="32"/>
  <c r="J90" i="32"/>
  <c r="H90" i="32"/>
  <c r="G90" i="32"/>
  <c r="F90" i="32"/>
  <c r="E90" i="32"/>
  <c r="D90" i="32"/>
  <c r="AJ89" i="32"/>
  <c r="AE89" i="32"/>
  <c r="AD89" i="32"/>
  <c r="AC89" i="32"/>
  <c r="X89" i="32"/>
  <c r="R89" i="32"/>
  <c r="Q89" i="32"/>
  <c r="P89" i="32"/>
  <c r="O89" i="32"/>
  <c r="S89" i="32" s="1"/>
  <c r="N89" i="32"/>
  <c r="I89" i="32"/>
  <c r="AL88" i="32"/>
  <c r="AK88" i="32"/>
  <c r="AJ88" i="32"/>
  <c r="AH88" i="32"/>
  <c r="AD88" i="32"/>
  <c r="AC88" i="32"/>
  <c r="X88" i="32"/>
  <c r="R88" i="32"/>
  <c r="Q88" i="32"/>
  <c r="P88" i="32"/>
  <c r="S88" i="32" s="1"/>
  <c r="O88" i="32"/>
  <c r="N88" i="32"/>
  <c r="I88" i="32"/>
  <c r="AL87" i="32"/>
  <c r="AK87" i="32"/>
  <c r="AJ87" i="32"/>
  <c r="AI87" i="32"/>
  <c r="AH87" i="32"/>
  <c r="AG87" i="32"/>
  <c r="AF87" i="32"/>
  <c r="AD87" i="32"/>
  <c r="AC87" i="32"/>
  <c r="AE87" i="32" s="1"/>
  <c r="X87" i="32"/>
  <c r="R87" i="32"/>
  <c r="Q87" i="32"/>
  <c r="P87" i="32"/>
  <c r="O87" i="32"/>
  <c r="N87" i="32"/>
  <c r="I87" i="32"/>
  <c r="AJ86" i="32"/>
  <c r="AD86" i="32"/>
  <c r="AC86" i="32"/>
  <c r="X86" i="32"/>
  <c r="R86" i="32"/>
  <c r="Q86" i="32"/>
  <c r="P86" i="32"/>
  <c r="O86" i="32"/>
  <c r="S86" i="32" s="1"/>
  <c r="N86" i="32"/>
  <c r="I86" i="32"/>
  <c r="AJ85" i="32"/>
  <c r="AD85" i="32"/>
  <c r="AC85" i="32"/>
  <c r="X85" i="32"/>
  <c r="S85" i="32"/>
  <c r="R85" i="32"/>
  <c r="Q85" i="32"/>
  <c r="P85" i="32"/>
  <c r="O85" i="32"/>
  <c r="N85" i="32"/>
  <c r="I85" i="32"/>
  <c r="AL84" i="32"/>
  <c r="AK84" i="32"/>
  <c r="AJ84" i="32"/>
  <c r="AI84" i="32"/>
  <c r="AH84" i="32"/>
  <c r="AG84" i="32"/>
  <c r="AF84" i="32"/>
  <c r="AD84" i="32"/>
  <c r="AC84" i="32"/>
  <c r="AE84" i="32" s="1"/>
  <c r="X84" i="32"/>
  <c r="R84" i="32"/>
  <c r="Q84" i="32"/>
  <c r="P84" i="32"/>
  <c r="O84" i="32"/>
  <c r="S84" i="32" s="1"/>
  <c r="N84" i="32"/>
  <c r="I84" i="32"/>
  <c r="AJ83" i="32"/>
  <c r="AH83" i="32"/>
  <c r="AD83" i="32"/>
  <c r="AC83" i="32"/>
  <c r="X83" i="32"/>
  <c r="R83" i="32"/>
  <c r="Q83" i="32"/>
  <c r="P83" i="32"/>
  <c r="O83" i="32"/>
  <c r="S83" i="32" s="1"/>
  <c r="N83" i="32"/>
  <c r="I83" i="32"/>
  <c r="AJ82" i="32"/>
  <c r="AH82" i="32"/>
  <c r="AD82" i="32"/>
  <c r="AC82" i="32"/>
  <c r="X82" i="32"/>
  <c r="R82" i="32"/>
  <c r="Q82" i="32"/>
  <c r="P82" i="32"/>
  <c r="O82" i="32"/>
  <c r="N82" i="32"/>
  <c r="I82" i="32"/>
  <c r="AL81" i="32"/>
  <c r="AK81" i="32"/>
  <c r="AJ81" i="32"/>
  <c r="AI81" i="32"/>
  <c r="AH81" i="32"/>
  <c r="AG81" i="32"/>
  <c r="AF81" i="32"/>
  <c r="AD81" i="32"/>
  <c r="AM81" i="32" s="1"/>
  <c r="AO81" i="32" s="1"/>
  <c r="AC81" i="32"/>
  <c r="AE81" i="32" s="1"/>
  <c r="X81" i="32"/>
  <c r="R81" i="32"/>
  <c r="Q81" i="32"/>
  <c r="P81" i="32"/>
  <c r="O81" i="32"/>
  <c r="S81" i="32" s="1"/>
  <c r="N81" i="32"/>
  <c r="I81" i="32"/>
  <c r="AJ80" i="32"/>
  <c r="AE80" i="32"/>
  <c r="AD80" i="32"/>
  <c r="AC80" i="32"/>
  <c r="X80" i="32"/>
  <c r="R80" i="32"/>
  <c r="Q80" i="32"/>
  <c r="P80" i="32"/>
  <c r="O80" i="32"/>
  <c r="S80" i="32" s="1"/>
  <c r="N80" i="32"/>
  <c r="I80" i="32"/>
  <c r="AL79" i="32"/>
  <c r="AK79" i="32"/>
  <c r="AJ79" i="32"/>
  <c r="AD79" i="32"/>
  <c r="AC79" i="32"/>
  <c r="X79" i="32"/>
  <c r="S79" i="32"/>
  <c r="R79" i="32"/>
  <c r="Q79" i="32"/>
  <c r="P79" i="32"/>
  <c r="O79" i="32"/>
  <c r="N79" i="32"/>
  <c r="I79" i="32"/>
  <c r="AL78" i="32"/>
  <c r="AK78" i="32"/>
  <c r="AJ78" i="32"/>
  <c r="AI78" i="32"/>
  <c r="AH78" i="32"/>
  <c r="AG78" i="32"/>
  <c r="AF78" i="32"/>
  <c r="AD78" i="32"/>
  <c r="AC78" i="32"/>
  <c r="AE78" i="32" s="1"/>
  <c r="X78" i="32"/>
  <c r="R78" i="32"/>
  <c r="Q78" i="32"/>
  <c r="P78" i="32"/>
  <c r="O78" i="32"/>
  <c r="N78" i="32"/>
  <c r="I78" i="32"/>
  <c r="AJ77" i="32"/>
  <c r="AD77" i="32"/>
  <c r="AC77" i="32"/>
  <c r="X77" i="32"/>
  <c r="R77" i="32"/>
  <c r="Q77" i="32"/>
  <c r="P77" i="32"/>
  <c r="O77" i="32"/>
  <c r="S77" i="32" s="1"/>
  <c r="N77" i="32"/>
  <c r="I77" i="32"/>
  <c r="AJ76" i="32"/>
  <c r="AD76" i="32"/>
  <c r="AC76" i="32"/>
  <c r="X76" i="32"/>
  <c r="R76" i="32"/>
  <c r="S76" i="32" s="1"/>
  <c r="Q76" i="32"/>
  <c r="P76" i="32"/>
  <c r="O76" i="32"/>
  <c r="N76" i="32"/>
  <c r="I76" i="32"/>
  <c r="AL75" i="32"/>
  <c r="AK75" i="32"/>
  <c r="AJ75" i="32"/>
  <c r="AI75" i="32"/>
  <c r="AH75" i="32"/>
  <c r="AG75" i="32"/>
  <c r="AF75" i="32"/>
  <c r="AD75" i="32"/>
  <c r="AC75" i="32"/>
  <c r="AE75" i="32" s="1"/>
  <c r="X75" i="32"/>
  <c r="R75" i="32"/>
  <c r="Q75" i="32"/>
  <c r="P75" i="32"/>
  <c r="O75" i="32"/>
  <c r="S75" i="32" s="1"/>
  <c r="N75" i="32"/>
  <c r="I75" i="32"/>
  <c r="AJ74" i="32"/>
  <c r="AG74" i="32"/>
  <c r="AE74" i="32"/>
  <c r="AD74" i="32"/>
  <c r="AC74" i="32"/>
  <c r="X74" i="32"/>
  <c r="R74" i="32"/>
  <c r="Q74" i="32"/>
  <c r="P74" i="32"/>
  <c r="O74" i="32"/>
  <c r="S74" i="32" s="1"/>
  <c r="N74" i="32"/>
  <c r="I74" i="32"/>
  <c r="AL73" i="32"/>
  <c r="AK73" i="32"/>
  <c r="AJ73" i="32"/>
  <c r="AD73" i="32"/>
  <c r="AC73" i="32"/>
  <c r="X73" i="32"/>
  <c r="R73" i="32"/>
  <c r="R90" i="32" s="1"/>
  <c r="Q73" i="32"/>
  <c r="P73" i="32"/>
  <c r="S73" i="32" s="1"/>
  <c r="O73" i="32"/>
  <c r="N73" i="32"/>
  <c r="I73" i="32"/>
  <c r="AL72" i="32"/>
  <c r="AK72" i="32"/>
  <c r="AJ72" i="32"/>
  <c r="AI72" i="32"/>
  <c r="AH72" i="32"/>
  <c r="AG72" i="32"/>
  <c r="AF72" i="32"/>
  <c r="AD72" i="32"/>
  <c r="AM72" i="32" s="1"/>
  <c r="AO72" i="32" s="1"/>
  <c r="AC72" i="32"/>
  <c r="AE72" i="32" s="1"/>
  <c r="X72" i="32"/>
  <c r="R72" i="32"/>
  <c r="Q72" i="32"/>
  <c r="P72" i="32"/>
  <c r="O72" i="32"/>
  <c r="N72" i="32"/>
  <c r="I72" i="32"/>
  <c r="AJ71" i="32"/>
  <c r="AE71" i="32"/>
  <c r="AD71" i="32"/>
  <c r="AC71" i="32"/>
  <c r="X71" i="32"/>
  <c r="X90" i="32" s="1"/>
  <c r="R71" i="32"/>
  <c r="Q71" i="32"/>
  <c r="P71" i="32"/>
  <c r="O71" i="32"/>
  <c r="S71" i="32" s="1"/>
  <c r="N71" i="32"/>
  <c r="I71" i="32"/>
  <c r="AN70" i="32"/>
  <c r="AB70" i="32"/>
  <c r="AA70" i="32"/>
  <c r="Z70" i="32"/>
  <c r="Z116" i="32" s="1"/>
  <c r="Y70" i="32"/>
  <c r="W70" i="32"/>
  <c r="V70" i="32"/>
  <c r="U70" i="32"/>
  <c r="T70" i="32"/>
  <c r="P70" i="32"/>
  <c r="M70" i="32"/>
  <c r="L70" i="32"/>
  <c r="K70" i="32"/>
  <c r="J70" i="32"/>
  <c r="H70" i="32"/>
  <c r="G70" i="32"/>
  <c r="F70" i="32"/>
  <c r="E70" i="32"/>
  <c r="D70" i="32"/>
  <c r="AL69" i="32"/>
  <c r="AJ69" i="32"/>
  <c r="AH69" i="32"/>
  <c r="AE69" i="32"/>
  <c r="AD69" i="32"/>
  <c r="AC69" i="32"/>
  <c r="X69" i="32"/>
  <c r="S69" i="32"/>
  <c r="R69" i="32"/>
  <c r="Q69" i="32"/>
  <c r="P69" i="32"/>
  <c r="O69" i="32"/>
  <c r="N69" i="32"/>
  <c r="I69" i="32"/>
  <c r="AL68" i="32"/>
  <c r="AK68" i="32"/>
  <c r="AJ68" i="32"/>
  <c r="AI68" i="32"/>
  <c r="AH68" i="32"/>
  <c r="AF68" i="32"/>
  <c r="AD68" i="32"/>
  <c r="AC68" i="32"/>
  <c r="AG68" i="32" s="1"/>
  <c r="X68" i="32"/>
  <c r="R68" i="32"/>
  <c r="Q68" i="32"/>
  <c r="P68" i="32"/>
  <c r="O68" i="32"/>
  <c r="N68" i="32"/>
  <c r="I68" i="32"/>
  <c r="AL67" i="32"/>
  <c r="AK67" i="32"/>
  <c r="AJ67" i="32"/>
  <c r="AI67" i="32"/>
  <c r="AH67" i="32"/>
  <c r="AG67" i="32"/>
  <c r="AF67" i="32"/>
  <c r="AE67" i="32"/>
  <c r="AD67" i="32"/>
  <c r="AC67" i="32"/>
  <c r="X67" i="32"/>
  <c r="R67" i="32"/>
  <c r="Q67" i="32"/>
  <c r="P67" i="32"/>
  <c r="O67" i="32"/>
  <c r="S67" i="32" s="1"/>
  <c r="N67" i="32"/>
  <c r="I67" i="32"/>
  <c r="AL66" i="32"/>
  <c r="AJ66" i="32"/>
  <c r="AD66" i="32"/>
  <c r="AC66" i="32"/>
  <c r="X66" i="32"/>
  <c r="R66" i="32"/>
  <c r="S66" i="32" s="1"/>
  <c r="Q66" i="32"/>
  <c r="P66" i="32"/>
  <c r="O66" i="32"/>
  <c r="N66" i="32"/>
  <c r="I66" i="32"/>
  <c r="AL65" i="32"/>
  <c r="AK65" i="32"/>
  <c r="AJ65" i="32"/>
  <c r="AI65" i="32"/>
  <c r="AH65" i="32"/>
  <c r="AF65" i="32"/>
  <c r="AD65" i="32"/>
  <c r="AC65" i="32"/>
  <c r="AG65" i="32" s="1"/>
  <c r="X65" i="32"/>
  <c r="R65" i="32"/>
  <c r="S65" i="32" s="1"/>
  <c r="Q65" i="32"/>
  <c r="P65" i="32"/>
  <c r="O65" i="32"/>
  <c r="N65" i="32"/>
  <c r="I65" i="32"/>
  <c r="AL64" i="32"/>
  <c r="AK64" i="32"/>
  <c r="AJ64" i="32"/>
  <c r="AI64" i="32"/>
  <c r="AH64" i="32"/>
  <c r="AG64" i="32"/>
  <c r="AF64" i="32"/>
  <c r="AE64" i="32"/>
  <c r="AD64" i="32"/>
  <c r="AC64" i="32"/>
  <c r="X64" i="32"/>
  <c r="R64" i="32"/>
  <c r="Q64" i="32"/>
  <c r="P64" i="32"/>
  <c r="O64" i="32"/>
  <c r="S64" i="32" s="1"/>
  <c r="N64" i="32"/>
  <c r="I64" i="32"/>
  <c r="AL63" i="32"/>
  <c r="AJ63" i="32"/>
  <c r="AD63" i="32"/>
  <c r="AC63" i="32"/>
  <c r="X63" i="32"/>
  <c r="R63" i="32"/>
  <c r="S63" i="32" s="1"/>
  <c r="Q63" i="32"/>
  <c r="P63" i="32"/>
  <c r="O63" i="32"/>
  <c r="N63" i="32"/>
  <c r="I63" i="32"/>
  <c r="AL62" i="32"/>
  <c r="AK62" i="32"/>
  <c r="AJ62" i="32"/>
  <c r="AI62" i="32"/>
  <c r="AH62" i="32"/>
  <c r="AF62" i="32"/>
  <c r="AD62" i="32"/>
  <c r="AC62" i="32"/>
  <c r="AG62" i="32" s="1"/>
  <c r="X62" i="32"/>
  <c r="S62" i="32"/>
  <c r="R62" i="32"/>
  <c r="Q62" i="32"/>
  <c r="P62" i="32"/>
  <c r="O62" i="32"/>
  <c r="N62" i="32"/>
  <c r="I62" i="32"/>
  <c r="AL61" i="32"/>
  <c r="AK61" i="32"/>
  <c r="AJ61" i="32"/>
  <c r="AI61" i="32"/>
  <c r="AH61" i="32"/>
  <c r="AG61" i="32"/>
  <c r="AF61" i="32"/>
  <c r="AE61" i="32"/>
  <c r="AD61" i="32"/>
  <c r="AC61" i="32"/>
  <c r="X61" i="32"/>
  <c r="R61" i="32"/>
  <c r="Q61" i="32"/>
  <c r="P61" i="32"/>
  <c r="O61" i="32"/>
  <c r="S61" i="32" s="1"/>
  <c r="N61" i="32"/>
  <c r="I61" i="32"/>
  <c r="AJ60" i="32"/>
  <c r="AH60" i="32"/>
  <c r="AD60" i="32"/>
  <c r="AC60" i="32"/>
  <c r="X60" i="32"/>
  <c r="R60" i="32"/>
  <c r="S60" i="32" s="1"/>
  <c r="Q60" i="32"/>
  <c r="P60" i="32"/>
  <c r="O60" i="32"/>
  <c r="N60" i="32"/>
  <c r="I60" i="32"/>
  <c r="AL59" i="32"/>
  <c r="AK59" i="32"/>
  <c r="AJ59" i="32"/>
  <c r="AI59" i="32"/>
  <c r="AH59" i="32"/>
  <c r="AF59" i="32"/>
  <c r="AD59" i="32"/>
  <c r="AC59" i="32"/>
  <c r="AG59" i="32" s="1"/>
  <c r="X59" i="32"/>
  <c r="R59" i="32"/>
  <c r="Q59" i="32"/>
  <c r="P59" i="32"/>
  <c r="O59" i="32"/>
  <c r="S59" i="32" s="1"/>
  <c r="N59" i="32"/>
  <c r="I59" i="32"/>
  <c r="AL58" i="32"/>
  <c r="AK58" i="32"/>
  <c r="AJ58" i="32"/>
  <c r="AI58" i="32"/>
  <c r="AH58" i="32"/>
  <c r="AG58" i="32"/>
  <c r="AF58" i="32"/>
  <c r="AE58" i="32"/>
  <c r="AD58" i="32"/>
  <c r="AC58" i="32"/>
  <c r="X58" i="32"/>
  <c r="R58" i="32"/>
  <c r="Q58" i="32"/>
  <c r="P58" i="32"/>
  <c r="O58" i="32"/>
  <c r="S58" i="32" s="1"/>
  <c r="N58" i="32"/>
  <c r="I58" i="32"/>
  <c r="AL57" i="32"/>
  <c r="AJ57" i="32"/>
  <c r="AD57" i="32"/>
  <c r="AC57" i="32"/>
  <c r="X57" i="32"/>
  <c r="S57" i="32"/>
  <c r="R57" i="32"/>
  <c r="Q57" i="32"/>
  <c r="P57" i="32"/>
  <c r="O57" i="32"/>
  <c r="N57" i="32"/>
  <c r="I57" i="32"/>
  <c r="AL56" i="32"/>
  <c r="AK56" i="32"/>
  <c r="AJ56" i="32"/>
  <c r="AI56" i="32"/>
  <c r="AH56" i="32"/>
  <c r="AF56" i="32"/>
  <c r="AD56" i="32"/>
  <c r="AC56" i="32"/>
  <c r="AG56" i="32" s="1"/>
  <c r="X56" i="32"/>
  <c r="R56" i="32"/>
  <c r="Q56" i="32"/>
  <c r="P56" i="32"/>
  <c r="O56" i="32"/>
  <c r="S56" i="32" s="1"/>
  <c r="N56" i="32"/>
  <c r="I56" i="32"/>
  <c r="AL55" i="32"/>
  <c r="AK55" i="32"/>
  <c r="AJ55" i="32"/>
  <c r="AI55" i="32"/>
  <c r="AH55" i="32"/>
  <c r="AG55" i="32"/>
  <c r="AF55" i="32"/>
  <c r="AE55" i="32"/>
  <c r="AD55" i="32"/>
  <c r="AC55" i="32"/>
  <c r="X55" i="32"/>
  <c r="R55" i="32"/>
  <c r="Q55" i="32"/>
  <c r="P55" i="32"/>
  <c r="O55" i="32"/>
  <c r="S55" i="32" s="1"/>
  <c r="N55" i="32"/>
  <c r="I55" i="32"/>
  <c r="AJ54" i="32"/>
  <c r="AD54" i="32"/>
  <c r="AC54" i="32"/>
  <c r="X54" i="32"/>
  <c r="S54" i="32"/>
  <c r="R54" i="32"/>
  <c r="Q54" i="32"/>
  <c r="P54" i="32"/>
  <c r="O54" i="32"/>
  <c r="N54" i="32"/>
  <c r="I54" i="32"/>
  <c r="AL53" i="32"/>
  <c r="AK53" i="32"/>
  <c r="AJ53" i="32"/>
  <c r="AI53" i="32"/>
  <c r="AH53" i="32"/>
  <c r="AF53" i="32"/>
  <c r="AD53" i="32"/>
  <c r="AC53" i="32"/>
  <c r="AG53" i="32" s="1"/>
  <c r="X53" i="32"/>
  <c r="R53" i="32"/>
  <c r="Q53" i="32"/>
  <c r="P53" i="32"/>
  <c r="O53" i="32"/>
  <c r="S53" i="32" s="1"/>
  <c r="N53" i="32"/>
  <c r="I53" i="32"/>
  <c r="AL52" i="32"/>
  <c r="AK52" i="32"/>
  <c r="AJ52" i="32"/>
  <c r="AI52" i="32"/>
  <c r="AH52" i="32"/>
  <c r="AG52" i="32"/>
  <c r="AF52" i="32"/>
  <c r="AE52" i="32"/>
  <c r="AD52" i="32"/>
  <c r="AD70" i="32" s="1"/>
  <c r="AC52" i="32"/>
  <c r="X52" i="32"/>
  <c r="X70" i="32" s="1"/>
  <c r="R52" i="32"/>
  <c r="Q52" i="32"/>
  <c r="P52" i="32"/>
  <c r="O52" i="32"/>
  <c r="N52" i="32"/>
  <c r="I52" i="32"/>
  <c r="AN51" i="32"/>
  <c r="AB51" i="32"/>
  <c r="AA51" i="32"/>
  <c r="Z51" i="32"/>
  <c r="Y51" i="32"/>
  <c r="W51" i="32"/>
  <c r="V51" i="32"/>
  <c r="U51" i="32"/>
  <c r="T51" i="32"/>
  <c r="R51" i="32"/>
  <c r="M51" i="32"/>
  <c r="L51" i="32"/>
  <c r="K51" i="32"/>
  <c r="J51" i="32"/>
  <c r="H51" i="32"/>
  <c r="G51" i="32"/>
  <c r="F51" i="32"/>
  <c r="E51" i="32"/>
  <c r="D51" i="32"/>
  <c r="AJ50" i="32"/>
  <c r="AD50" i="32"/>
  <c r="AC50" i="32"/>
  <c r="X50" i="32"/>
  <c r="R50" i="32"/>
  <c r="Q50" i="32"/>
  <c r="P50" i="32"/>
  <c r="O50" i="32"/>
  <c r="N50" i="32"/>
  <c r="I50" i="32"/>
  <c r="AJ49" i="32"/>
  <c r="AD49" i="32"/>
  <c r="AC49" i="32"/>
  <c r="X49" i="32"/>
  <c r="S49" i="32"/>
  <c r="R49" i="32"/>
  <c r="Q49" i="32"/>
  <c r="P49" i="32"/>
  <c r="O49" i="32"/>
  <c r="N49" i="32"/>
  <c r="I49" i="32"/>
  <c r="AL48" i="32"/>
  <c r="AK48" i="32"/>
  <c r="AJ48" i="32"/>
  <c r="AI48" i="32"/>
  <c r="AH48" i="32"/>
  <c r="AG48" i="32"/>
  <c r="AF48" i="32"/>
  <c r="AD48" i="32"/>
  <c r="AC48" i="32"/>
  <c r="AE48" i="32" s="1"/>
  <c r="X48" i="32"/>
  <c r="R48" i="32"/>
  <c r="Q48" i="32"/>
  <c r="P48" i="32"/>
  <c r="O48" i="32"/>
  <c r="N48" i="32"/>
  <c r="I48" i="32"/>
  <c r="AJ47" i="32"/>
  <c r="AH47" i="32"/>
  <c r="AD47" i="32"/>
  <c r="AC47" i="32"/>
  <c r="X47" i="32"/>
  <c r="R47" i="32"/>
  <c r="Q47" i="32"/>
  <c r="P47" i="32"/>
  <c r="O47" i="32"/>
  <c r="N47" i="32"/>
  <c r="I47" i="32"/>
  <c r="AJ46" i="32"/>
  <c r="AH46" i="32"/>
  <c r="AD46" i="32"/>
  <c r="AC46" i="32"/>
  <c r="X46" i="32"/>
  <c r="R46" i="32"/>
  <c r="Q46" i="32"/>
  <c r="P46" i="32"/>
  <c r="S46" i="32" s="1"/>
  <c r="O46" i="32"/>
  <c r="N46" i="32"/>
  <c r="I46" i="32"/>
  <c r="AL45" i="32"/>
  <c r="AK45" i="32"/>
  <c r="AJ45" i="32"/>
  <c r="AI45" i="32"/>
  <c r="AH45" i="32"/>
  <c r="AG45" i="32"/>
  <c r="AF45" i="32"/>
  <c r="AD45" i="32"/>
  <c r="AC45" i="32"/>
  <c r="AE45" i="32" s="1"/>
  <c r="X45" i="32"/>
  <c r="R45" i="32"/>
  <c r="Q45" i="32"/>
  <c r="P45" i="32"/>
  <c r="O45" i="32"/>
  <c r="S45" i="32" s="1"/>
  <c r="N45" i="32"/>
  <c r="I45" i="32"/>
  <c r="AJ44" i="32"/>
  <c r="AH44" i="32"/>
  <c r="AE44" i="32"/>
  <c r="AD44" i="32"/>
  <c r="AC44" i="32"/>
  <c r="X44" i="32"/>
  <c r="R44" i="32"/>
  <c r="Q44" i="32"/>
  <c r="P44" i="32"/>
  <c r="O44" i="32"/>
  <c r="N44" i="32"/>
  <c r="I44" i="32"/>
  <c r="AL43" i="32"/>
  <c r="AK43" i="32"/>
  <c r="AJ43" i="32"/>
  <c r="AH43" i="32"/>
  <c r="AF43" i="32"/>
  <c r="AD43" i="32"/>
  <c r="AC43" i="32"/>
  <c r="X43" i="32"/>
  <c r="S43" i="32"/>
  <c r="R43" i="32"/>
  <c r="Q43" i="32"/>
  <c r="P43" i="32"/>
  <c r="O43" i="32"/>
  <c r="N43" i="32"/>
  <c r="I43" i="32"/>
  <c r="AL42" i="32"/>
  <c r="AM42" i="32" s="1"/>
  <c r="AO42" i="32" s="1"/>
  <c r="AK42" i="32"/>
  <c r="AJ42" i="32"/>
  <c r="AI42" i="32"/>
  <c r="AH42" i="32"/>
  <c r="AG42" i="32"/>
  <c r="AF42" i="32"/>
  <c r="AD42" i="32"/>
  <c r="AC42" i="32"/>
  <c r="AE42" i="32" s="1"/>
  <c r="X42" i="32"/>
  <c r="S42" i="32"/>
  <c r="R42" i="32"/>
  <c r="Q42" i="32"/>
  <c r="P42" i="32"/>
  <c r="O42" i="32"/>
  <c r="N42" i="32"/>
  <c r="I42" i="32"/>
  <c r="AL41" i="32"/>
  <c r="AJ41" i="32"/>
  <c r="AI41" i="32"/>
  <c r="AH41" i="32"/>
  <c r="AG41" i="32"/>
  <c r="AF41" i="32"/>
  <c r="AE41" i="32"/>
  <c r="AD41" i="32"/>
  <c r="AC41" i="32"/>
  <c r="AK41" i="32" s="1"/>
  <c r="X41" i="32"/>
  <c r="R41" i="32"/>
  <c r="Q41" i="32"/>
  <c r="P41" i="32"/>
  <c r="O41" i="32"/>
  <c r="S41" i="32" s="1"/>
  <c r="N41" i="32"/>
  <c r="I41" i="32"/>
  <c r="AL40" i="32"/>
  <c r="AJ40" i="32"/>
  <c r="AD40" i="32"/>
  <c r="AC40" i="32"/>
  <c r="AC51" i="32" s="1"/>
  <c r="X40" i="32"/>
  <c r="R40" i="32"/>
  <c r="Q40" i="32"/>
  <c r="P40" i="32"/>
  <c r="O40" i="32"/>
  <c r="N40" i="32"/>
  <c r="I40" i="32"/>
  <c r="AL39" i="32"/>
  <c r="AK39" i="32"/>
  <c r="AJ39" i="32"/>
  <c r="AI39" i="32"/>
  <c r="AH39" i="32"/>
  <c r="AG39" i="32"/>
  <c r="AF39" i="32"/>
  <c r="AD39" i="32"/>
  <c r="AC39" i="32"/>
  <c r="AE39" i="32" s="1"/>
  <c r="X39" i="32"/>
  <c r="R39" i="32"/>
  <c r="Q39" i="32"/>
  <c r="P39" i="32"/>
  <c r="O39" i="32"/>
  <c r="S39" i="32" s="1"/>
  <c r="N39" i="32"/>
  <c r="I39" i="32"/>
  <c r="AL38" i="32"/>
  <c r="AJ38" i="32"/>
  <c r="AH38" i="32"/>
  <c r="AD38" i="32"/>
  <c r="AC38" i="32"/>
  <c r="AK38" i="32" s="1"/>
  <c r="X38" i="32"/>
  <c r="R38" i="32"/>
  <c r="Q38" i="32"/>
  <c r="Q51" i="32" s="1"/>
  <c r="P38" i="32"/>
  <c r="O38" i="32"/>
  <c r="N38" i="32"/>
  <c r="I38" i="32"/>
  <c r="AL37" i="32"/>
  <c r="AK37" i="32"/>
  <c r="AJ37" i="32"/>
  <c r="AH37" i="32"/>
  <c r="AG37" i="32"/>
  <c r="AF37" i="32"/>
  <c r="AE37" i="32"/>
  <c r="AD37" i="32"/>
  <c r="AC37" i="32"/>
  <c r="AI37" i="32" s="1"/>
  <c r="X37" i="32"/>
  <c r="R37" i="32"/>
  <c r="Q37" i="32"/>
  <c r="P37" i="32"/>
  <c r="S37" i="32" s="1"/>
  <c r="O37" i="32"/>
  <c r="N37" i="32"/>
  <c r="I37" i="32"/>
  <c r="I51" i="32" s="1"/>
  <c r="AJ36" i="32"/>
  <c r="AF36" i="32"/>
  <c r="AD36" i="32"/>
  <c r="AC36" i="32"/>
  <c r="AE36" i="32" s="1"/>
  <c r="X36" i="32"/>
  <c r="S36" i="32"/>
  <c r="R36" i="32"/>
  <c r="Q36" i="32"/>
  <c r="P36" i="32"/>
  <c r="O36" i="32"/>
  <c r="O51" i="32" s="1"/>
  <c r="N36" i="32"/>
  <c r="I36" i="32"/>
  <c r="AN35" i="32"/>
  <c r="AB35" i="32"/>
  <c r="AA35" i="32"/>
  <c r="Z35" i="32"/>
  <c r="Y35" i="32"/>
  <c r="Y116" i="32" s="1"/>
  <c r="W35" i="32"/>
  <c r="V35" i="32"/>
  <c r="U35" i="32"/>
  <c r="T35" i="32"/>
  <c r="M35" i="32"/>
  <c r="L35" i="32"/>
  <c r="K35" i="32"/>
  <c r="J35" i="32"/>
  <c r="H35" i="32"/>
  <c r="G35" i="32"/>
  <c r="F35" i="32"/>
  <c r="E35" i="32"/>
  <c r="D35" i="32"/>
  <c r="AL34" i="32"/>
  <c r="AK34" i="32"/>
  <c r="AJ34" i="32"/>
  <c r="AI34" i="32"/>
  <c r="AF34" i="32"/>
  <c r="AD34" i="32"/>
  <c r="AC34" i="32"/>
  <c r="AH34" i="32" s="1"/>
  <c r="X34" i="32"/>
  <c r="R34" i="32"/>
  <c r="Q34" i="32"/>
  <c r="P34" i="32"/>
  <c r="O34" i="32"/>
  <c r="N34" i="32"/>
  <c r="I34" i="32"/>
  <c r="AL33" i="32"/>
  <c r="AK33" i="32"/>
  <c r="AJ33" i="32"/>
  <c r="AI33" i="32"/>
  <c r="AH33" i="32"/>
  <c r="AG33" i="32"/>
  <c r="AF33" i="32"/>
  <c r="AE33" i="32"/>
  <c r="AM33" i="32" s="1"/>
  <c r="AO33" i="32" s="1"/>
  <c r="AD33" i="32"/>
  <c r="AC33" i="32"/>
  <c r="X33" i="32"/>
  <c r="R33" i="32"/>
  <c r="Q33" i="32"/>
  <c r="P33" i="32"/>
  <c r="O33" i="32"/>
  <c r="S33" i="32" s="1"/>
  <c r="N33" i="32"/>
  <c r="I33" i="32"/>
  <c r="AJ32" i="32"/>
  <c r="AH32" i="32"/>
  <c r="AD32" i="32"/>
  <c r="AC32" i="32"/>
  <c r="X32" i="32"/>
  <c r="S32" i="32"/>
  <c r="R32" i="32"/>
  <c r="Q32" i="32"/>
  <c r="P32" i="32"/>
  <c r="O32" i="32"/>
  <c r="N32" i="32"/>
  <c r="I32" i="32"/>
  <c r="AL31" i="32"/>
  <c r="AK31" i="32"/>
  <c r="AJ31" i="32"/>
  <c r="AI31" i="32"/>
  <c r="AH31" i="32"/>
  <c r="AF31" i="32"/>
  <c r="AD31" i="32"/>
  <c r="AC31" i="32"/>
  <c r="AG31" i="32" s="1"/>
  <c r="X31" i="32"/>
  <c r="R31" i="32"/>
  <c r="Q31" i="32"/>
  <c r="P31" i="32"/>
  <c r="O31" i="32"/>
  <c r="N31" i="32"/>
  <c r="I31" i="32"/>
  <c r="AL30" i="32"/>
  <c r="AK30" i="32"/>
  <c r="AJ30" i="32"/>
  <c r="AI30" i="32"/>
  <c r="AH30" i="32"/>
  <c r="AG30" i="32"/>
  <c r="AF30" i="32"/>
  <c r="AE30" i="32"/>
  <c r="AM30" i="32" s="1"/>
  <c r="AO30" i="32" s="1"/>
  <c r="AD30" i="32"/>
  <c r="AC30" i="32"/>
  <c r="X30" i="32"/>
  <c r="R30" i="32"/>
  <c r="Q30" i="32"/>
  <c r="P30" i="32"/>
  <c r="O30" i="32"/>
  <c r="S30" i="32" s="1"/>
  <c r="N30" i="32"/>
  <c r="I30" i="32"/>
  <c r="AJ29" i="32"/>
  <c r="AH29" i="32"/>
  <c r="AD29" i="32"/>
  <c r="AC29" i="32"/>
  <c r="X29" i="32"/>
  <c r="X35" i="32" s="1"/>
  <c r="S29" i="32"/>
  <c r="R29" i="32"/>
  <c r="Q29" i="32"/>
  <c r="P29" i="32"/>
  <c r="O29" i="32"/>
  <c r="N29" i="32"/>
  <c r="I29" i="32"/>
  <c r="AL28" i="32"/>
  <c r="AK28" i="32"/>
  <c r="AJ28" i="32"/>
  <c r="AI28" i="32"/>
  <c r="AF28" i="32"/>
  <c r="AD28" i="32"/>
  <c r="AC28" i="32"/>
  <c r="AH28" i="32" s="1"/>
  <c r="X28" i="32"/>
  <c r="R28" i="32"/>
  <c r="Q28" i="32"/>
  <c r="P28" i="32"/>
  <c r="O28" i="32"/>
  <c r="N28" i="32"/>
  <c r="I28" i="32"/>
  <c r="AL27" i="32"/>
  <c r="AK27" i="32"/>
  <c r="AJ27" i="32"/>
  <c r="AJ35" i="32" s="1"/>
  <c r="AI27" i="32"/>
  <c r="AH27" i="32"/>
  <c r="AG27" i="32"/>
  <c r="AF27" i="32"/>
  <c r="AE27" i="32"/>
  <c r="AD27" i="32"/>
  <c r="AC27" i="32"/>
  <c r="X27" i="32"/>
  <c r="R27" i="32"/>
  <c r="Q27" i="32"/>
  <c r="P27" i="32"/>
  <c r="O27" i="32"/>
  <c r="N27" i="32"/>
  <c r="I27" i="32"/>
  <c r="AJ26" i="32"/>
  <c r="AF26" i="32"/>
  <c r="AD26" i="32"/>
  <c r="AC26" i="32"/>
  <c r="X26" i="32"/>
  <c r="S26" i="32"/>
  <c r="R26" i="32"/>
  <c r="Q26" i="32"/>
  <c r="P26" i="32"/>
  <c r="O26" i="32"/>
  <c r="N26" i="32"/>
  <c r="I26" i="32"/>
  <c r="AL25" i="32"/>
  <c r="AK25" i="32"/>
  <c r="AJ25" i="32"/>
  <c r="AI25" i="32"/>
  <c r="AF25" i="32"/>
  <c r="AD25" i="32"/>
  <c r="AC25" i="32"/>
  <c r="AH25" i="32" s="1"/>
  <c r="X25" i="32"/>
  <c r="R25" i="32"/>
  <c r="Q25" i="32"/>
  <c r="P25" i="32"/>
  <c r="O25" i="32"/>
  <c r="N25" i="32"/>
  <c r="I25" i="32"/>
  <c r="AL24" i="32"/>
  <c r="AK24" i="32"/>
  <c r="AJ24" i="32"/>
  <c r="AI24" i="32"/>
  <c r="AH24" i="32"/>
  <c r="AG24" i="32"/>
  <c r="AF24" i="32"/>
  <c r="AE24" i="32"/>
  <c r="AD24" i="32"/>
  <c r="AD35" i="32" s="1"/>
  <c r="AC24" i="32"/>
  <c r="X24" i="32"/>
  <c r="R24" i="32"/>
  <c r="R35" i="32" s="1"/>
  <c r="Q24" i="32"/>
  <c r="P24" i="32"/>
  <c r="O24" i="32"/>
  <c r="N24" i="32"/>
  <c r="N35" i="32" s="1"/>
  <c r="I24" i="32"/>
  <c r="I35" i="32" s="1"/>
  <c r="AN23" i="32"/>
  <c r="AB23" i="32"/>
  <c r="AA23" i="32"/>
  <c r="Z23" i="32"/>
  <c r="Y23" i="32"/>
  <c r="W23" i="32"/>
  <c r="V23" i="32"/>
  <c r="U23" i="32"/>
  <c r="T23" i="32"/>
  <c r="P23" i="32"/>
  <c r="M23" i="32"/>
  <c r="L23" i="32"/>
  <c r="K23" i="32"/>
  <c r="J23" i="32"/>
  <c r="I23" i="32"/>
  <c r="H23" i="32"/>
  <c r="G23" i="32"/>
  <c r="F23" i="32"/>
  <c r="E23" i="32"/>
  <c r="D23" i="32"/>
  <c r="AJ22" i="32"/>
  <c r="AD22" i="32"/>
  <c r="AC22" i="32"/>
  <c r="X22" i="32"/>
  <c r="R22" i="32"/>
  <c r="Q22" i="32"/>
  <c r="P22" i="32"/>
  <c r="O22" i="32"/>
  <c r="S22" i="32" s="1"/>
  <c r="N22" i="32"/>
  <c r="I22" i="32"/>
  <c r="AL21" i="32"/>
  <c r="AK21" i="32"/>
  <c r="AJ21" i="32"/>
  <c r="AH21" i="32"/>
  <c r="AD21" i="32"/>
  <c r="AC21" i="32"/>
  <c r="AI21" i="32" s="1"/>
  <c r="X21" i="32"/>
  <c r="S21" i="32"/>
  <c r="R21" i="32"/>
  <c r="Q21" i="32"/>
  <c r="P21" i="32"/>
  <c r="O21" i="32"/>
  <c r="N21" i="32"/>
  <c r="I21" i="32"/>
  <c r="AL20" i="32"/>
  <c r="AK20" i="32"/>
  <c r="AJ20" i="32"/>
  <c r="AI20" i="32"/>
  <c r="AH20" i="32"/>
  <c r="AG20" i="32"/>
  <c r="AD20" i="32"/>
  <c r="AC20" i="32"/>
  <c r="AF20" i="32" s="1"/>
  <c r="X20" i="32"/>
  <c r="R20" i="32"/>
  <c r="Q20" i="32"/>
  <c r="P20" i="32"/>
  <c r="O20" i="32"/>
  <c r="S20" i="32" s="1"/>
  <c r="N20" i="32"/>
  <c r="I20" i="32"/>
  <c r="AJ19" i="32"/>
  <c r="AH19" i="32"/>
  <c r="AE19" i="32"/>
  <c r="AD19" i="32"/>
  <c r="AC19" i="32"/>
  <c r="X19" i="32"/>
  <c r="R19" i="32"/>
  <c r="Q19" i="32"/>
  <c r="P19" i="32"/>
  <c r="O19" i="32"/>
  <c r="S19" i="32" s="1"/>
  <c r="N19" i="32"/>
  <c r="I19" i="32"/>
  <c r="AL18" i="32"/>
  <c r="AK18" i="32"/>
  <c r="AJ18" i="32"/>
  <c r="AH18" i="32"/>
  <c r="AD18" i="32"/>
  <c r="AC18" i="32"/>
  <c r="AI18" i="32" s="1"/>
  <c r="X18" i="32"/>
  <c r="R18" i="32"/>
  <c r="Q18" i="32"/>
  <c r="Q23" i="32" s="1"/>
  <c r="P18" i="32"/>
  <c r="O18" i="32"/>
  <c r="N18" i="32"/>
  <c r="I18" i="32"/>
  <c r="AL17" i="32"/>
  <c r="AK17" i="32"/>
  <c r="AJ17" i="32"/>
  <c r="AI17" i="32"/>
  <c r="AH17" i="32"/>
  <c r="AG17" i="32"/>
  <c r="AD17" i="32"/>
  <c r="AC17" i="32"/>
  <c r="AF17" i="32" s="1"/>
  <c r="X17" i="32"/>
  <c r="R17" i="32"/>
  <c r="Q17" i="32"/>
  <c r="P17" i="32"/>
  <c r="O17" i="32"/>
  <c r="S17" i="32" s="1"/>
  <c r="N17" i="32"/>
  <c r="I17" i="32"/>
  <c r="AL16" i="32"/>
  <c r="AJ16" i="32"/>
  <c r="AJ23" i="32" s="1"/>
  <c r="AE16" i="32"/>
  <c r="AD16" i="32"/>
  <c r="AC16" i="32"/>
  <c r="X16" i="32"/>
  <c r="R16" i="32"/>
  <c r="Q16" i="32"/>
  <c r="P16" i="32"/>
  <c r="O16" i="32"/>
  <c r="S16" i="32" s="1"/>
  <c r="N16" i="32"/>
  <c r="I16" i="32"/>
  <c r="AL15" i="32"/>
  <c r="AK15" i="32"/>
  <c r="AJ15" i="32"/>
  <c r="AH15" i="32"/>
  <c r="AD15" i="32"/>
  <c r="AD23" i="32" s="1"/>
  <c r="AC15" i="32"/>
  <c r="AI15" i="32" s="1"/>
  <c r="X15" i="32"/>
  <c r="X23" i="32" s="1"/>
  <c r="R15" i="32"/>
  <c r="R23" i="32" s="1"/>
  <c r="Q15" i="32"/>
  <c r="P15" i="32"/>
  <c r="O15" i="32"/>
  <c r="N15" i="32"/>
  <c r="I15" i="32"/>
  <c r="AN14" i="32"/>
  <c r="AB14" i="32"/>
  <c r="AA14" i="32"/>
  <c r="Z14" i="32"/>
  <c r="Y14" i="32"/>
  <c r="W14" i="32"/>
  <c r="V14" i="32"/>
  <c r="U14" i="32"/>
  <c r="T14" i="32"/>
  <c r="O14" i="32"/>
  <c r="M14" i="32"/>
  <c r="L14" i="32"/>
  <c r="K14" i="32"/>
  <c r="J14" i="32"/>
  <c r="H14" i="32"/>
  <c r="G14" i="32"/>
  <c r="F14" i="32"/>
  <c r="E14" i="32"/>
  <c r="D14" i="32"/>
  <c r="AL13" i="32"/>
  <c r="AK13" i="32"/>
  <c r="AJ13" i="32"/>
  <c r="AI13" i="32"/>
  <c r="AF13" i="32"/>
  <c r="AD13" i="32"/>
  <c r="AC13" i="32"/>
  <c r="AH13" i="32" s="1"/>
  <c r="X13" i="32"/>
  <c r="R13" i="32"/>
  <c r="Q13" i="32"/>
  <c r="P13" i="32"/>
  <c r="O13" i="32"/>
  <c r="N13" i="32"/>
  <c r="I13" i="32"/>
  <c r="AL12" i="32"/>
  <c r="AK12" i="32"/>
  <c r="AJ12" i="32"/>
  <c r="AI12" i="32"/>
  <c r="AH12" i="32"/>
  <c r="AG12" i="32"/>
  <c r="AF12" i="32"/>
  <c r="AE12" i="32"/>
  <c r="AD12" i="32"/>
  <c r="AC12" i="32"/>
  <c r="X12" i="32"/>
  <c r="R12" i="32"/>
  <c r="Q12" i="32"/>
  <c r="P12" i="32"/>
  <c r="O12" i="32"/>
  <c r="S12" i="32" s="1"/>
  <c r="N12" i="32"/>
  <c r="I12" i="32"/>
  <c r="AJ11" i="32"/>
  <c r="AH11" i="32"/>
  <c r="AD11" i="32"/>
  <c r="AC11" i="32"/>
  <c r="X11" i="32"/>
  <c r="R11" i="32"/>
  <c r="Q11" i="32"/>
  <c r="P11" i="32"/>
  <c r="S11" i="32" s="1"/>
  <c r="O11" i="32"/>
  <c r="N11" i="32"/>
  <c r="I11" i="32"/>
  <c r="AL10" i="32"/>
  <c r="AK10" i="32"/>
  <c r="AJ10" i="32"/>
  <c r="AI10" i="32"/>
  <c r="AH10" i="32"/>
  <c r="AF10" i="32"/>
  <c r="AD10" i="32"/>
  <c r="AC10" i="32"/>
  <c r="AG10" i="32" s="1"/>
  <c r="X10" i="32"/>
  <c r="R10" i="32"/>
  <c r="Q10" i="32"/>
  <c r="P10" i="32"/>
  <c r="O10" i="32"/>
  <c r="N10" i="32"/>
  <c r="I10" i="32"/>
  <c r="AL9" i="32"/>
  <c r="AK9" i="32"/>
  <c r="AJ9" i="32"/>
  <c r="AI9" i="32"/>
  <c r="AH9" i="32"/>
  <c r="AG9" i="32"/>
  <c r="AF9" i="32"/>
  <c r="AE9" i="32"/>
  <c r="AD9" i="32"/>
  <c r="AC9" i="32"/>
  <c r="X9" i="32"/>
  <c r="R9" i="32"/>
  <c r="Q9" i="32"/>
  <c r="P9" i="32"/>
  <c r="O9" i="32"/>
  <c r="N9" i="32"/>
  <c r="I9" i="32"/>
  <c r="AJ8" i="32"/>
  <c r="AD8" i="32"/>
  <c r="AC8" i="32"/>
  <c r="X8" i="32"/>
  <c r="R8" i="32"/>
  <c r="Q8" i="32"/>
  <c r="P8" i="32"/>
  <c r="S8" i="32" s="1"/>
  <c r="O8" i="32"/>
  <c r="N8" i="32"/>
  <c r="I8" i="32"/>
  <c r="AL7" i="32"/>
  <c r="AK7" i="32"/>
  <c r="AJ7" i="32"/>
  <c r="AI7" i="32"/>
  <c r="AF7" i="32"/>
  <c r="AD7" i="32"/>
  <c r="AC7" i="32"/>
  <c r="AH7" i="32" s="1"/>
  <c r="X7" i="32"/>
  <c r="R7" i="32"/>
  <c r="Q7" i="32"/>
  <c r="P7" i="32"/>
  <c r="O7" i="32"/>
  <c r="N7" i="32"/>
  <c r="I7" i="32"/>
  <c r="AL6" i="32"/>
  <c r="AK6" i="32"/>
  <c r="AJ6" i="32"/>
  <c r="AI6" i="32"/>
  <c r="AH6" i="32"/>
  <c r="AG6" i="32"/>
  <c r="AF6" i="32"/>
  <c r="AE6" i="32"/>
  <c r="AD6" i="32"/>
  <c r="AC6" i="32"/>
  <c r="X6" i="32"/>
  <c r="R6" i="32"/>
  <c r="Q6" i="32"/>
  <c r="P6" i="32"/>
  <c r="O6" i="32"/>
  <c r="S6" i="32" s="1"/>
  <c r="N6" i="32"/>
  <c r="N14" i="32" s="1"/>
  <c r="I6" i="32"/>
  <c r="AJ5" i="32"/>
  <c r="AD5" i="32"/>
  <c r="AC5" i="32"/>
  <c r="X5" i="32"/>
  <c r="S5" i="32"/>
  <c r="R5" i="32"/>
  <c r="Q5" i="32"/>
  <c r="P5" i="32"/>
  <c r="O5" i="32"/>
  <c r="N5" i="32"/>
  <c r="I5" i="32"/>
  <c r="AL4" i="32"/>
  <c r="AK4" i="32"/>
  <c r="AJ4" i="32"/>
  <c r="AJ14" i="32" s="1"/>
  <c r="AI4" i="32"/>
  <c r="AF4" i="32"/>
  <c r="AD4" i="32"/>
  <c r="AD14" i="32" s="1"/>
  <c r="AC4" i="32"/>
  <c r="AH4" i="32" s="1"/>
  <c r="X4" i="32"/>
  <c r="X14" i="32" s="1"/>
  <c r="R4" i="32"/>
  <c r="R14" i="32" s="1"/>
  <c r="Q4" i="32"/>
  <c r="Q14" i="32" s="1"/>
  <c r="P4" i="32"/>
  <c r="P14" i="32" s="1"/>
  <c r="O4" i="32"/>
  <c r="N4" i="32"/>
  <c r="I4" i="32"/>
  <c r="E182" i="33"/>
  <c r="D182" i="33"/>
  <c r="G181" i="33"/>
  <c r="G180" i="33"/>
  <c r="G179" i="33"/>
  <c r="G178" i="33"/>
  <c r="G177" i="33"/>
  <c r="G176" i="33"/>
  <c r="G175" i="33"/>
  <c r="G174" i="33"/>
  <c r="E173" i="33"/>
  <c r="D173" i="33"/>
  <c r="G172" i="33"/>
  <c r="G171" i="33"/>
  <c r="G170" i="33"/>
  <c r="G169" i="33"/>
  <c r="G168" i="33"/>
  <c r="G167" i="33"/>
  <c r="G166" i="33"/>
  <c r="G165" i="33"/>
  <c r="G164" i="33"/>
  <c r="G163" i="33"/>
  <c r="G162" i="33"/>
  <c r="G161" i="33"/>
  <c r="G160" i="33"/>
  <c r="G159" i="33"/>
  <c r="G158" i="33"/>
  <c r="G157" i="33"/>
  <c r="G156" i="33"/>
  <c r="G155" i="33"/>
  <c r="G154" i="33"/>
  <c r="G153" i="33"/>
  <c r="G152" i="33"/>
  <c r="G151" i="33"/>
  <c r="G150" i="33"/>
  <c r="G149" i="33"/>
  <c r="G148" i="33"/>
  <c r="G147" i="33"/>
  <c r="G146" i="33"/>
  <c r="G145" i="33"/>
  <c r="G144" i="33"/>
  <c r="G143" i="33"/>
  <c r="E142" i="33"/>
  <c r="D142" i="33"/>
  <c r="G141" i="33"/>
  <c r="G140" i="33"/>
  <c r="G139" i="33"/>
  <c r="G138" i="33"/>
  <c r="G137" i="33"/>
  <c r="G136" i="33"/>
  <c r="G135" i="33"/>
  <c r="G134" i="33"/>
  <c r="G133" i="33"/>
  <c r="G132" i="33"/>
  <c r="G131" i="33"/>
  <c r="G130" i="33"/>
  <c r="G129" i="33"/>
  <c r="G128" i="33"/>
  <c r="G127" i="33"/>
  <c r="G126" i="33"/>
  <c r="G125" i="33"/>
  <c r="G124" i="33"/>
  <c r="G123" i="33"/>
  <c r="G122" i="33"/>
  <c r="G121" i="33"/>
  <c r="G120" i="33"/>
  <c r="G119" i="33"/>
  <c r="G118" i="33"/>
  <c r="G117" i="33"/>
  <c r="G116" i="33"/>
  <c r="G115" i="33"/>
  <c r="G114" i="33"/>
  <c r="G113" i="33"/>
  <c r="E112" i="33"/>
  <c r="D112" i="33"/>
  <c r="G111" i="33"/>
  <c r="G110" i="33"/>
  <c r="G109" i="33"/>
  <c r="G108" i="33"/>
  <c r="G107" i="33"/>
  <c r="G106" i="33"/>
  <c r="G105" i="33"/>
  <c r="G104" i="33"/>
  <c r="G103" i="33"/>
  <c r="G102" i="33"/>
  <c r="G101" i="33"/>
  <c r="G100" i="33"/>
  <c r="G99" i="33"/>
  <c r="G98" i="33"/>
  <c r="G97" i="33"/>
  <c r="G96" i="33"/>
  <c r="G95" i="33"/>
  <c r="G94" i="33"/>
  <c r="G93" i="33"/>
  <c r="G92" i="33"/>
  <c r="G91" i="33"/>
  <c r="G90" i="33"/>
  <c r="G112" i="33" s="1"/>
  <c r="G89" i="33"/>
  <c r="G88" i="33"/>
  <c r="E87" i="33"/>
  <c r="D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E73" i="33"/>
  <c r="D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E41" i="33"/>
  <c r="D41" i="33"/>
  <c r="G40" i="33"/>
  <c r="G39" i="33"/>
  <c r="G38" i="33"/>
  <c r="G37" i="33"/>
  <c r="G36" i="33"/>
  <c r="G35" i="33"/>
  <c r="G34" i="33"/>
  <c r="G41" i="33" s="1"/>
  <c r="E33" i="33"/>
  <c r="D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E17" i="33"/>
  <c r="D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3" i="33"/>
  <c r="B13" i="43"/>
  <c r="C12" i="43"/>
  <c r="C11" i="43"/>
  <c r="C10" i="43"/>
  <c r="C9" i="43"/>
  <c r="C8" i="43"/>
  <c r="C7" i="43"/>
  <c r="C6" i="43"/>
  <c r="C5" i="43"/>
  <c r="C4" i="43"/>
  <c r="C3" i="43"/>
  <c r="C13" i="43" s="1"/>
  <c r="D121" i="31"/>
  <c r="E120" i="31"/>
  <c r="E119" i="31"/>
  <c r="E118" i="31"/>
  <c r="E117" i="31"/>
  <c r="E116" i="31"/>
  <c r="E115" i="31"/>
  <c r="E114" i="31"/>
  <c r="E113" i="31"/>
  <c r="E112" i="31"/>
  <c r="E111" i="31"/>
  <c r="E121" i="31" s="1"/>
  <c r="D110" i="31"/>
  <c r="E109" i="31"/>
  <c r="E108" i="31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D94" i="31"/>
  <c r="E93" i="31"/>
  <c r="E92" i="31"/>
  <c r="E91" i="31"/>
  <c r="E90" i="31"/>
  <c r="E89" i="31"/>
  <c r="E88" i="31"/>
  <c r="E87" i="31"/>
  <c r="E94" i="31" s="1"/>
  <c r="E86" i="31"/>
  <c r="D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D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D55" i="31"/>
  <c r="E54" i="31"/>
  <c r="E53" i="31"/>
  <c r="E52" i="31"/>
  <c r="E51" i="31"/>
  <c r="E50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D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35" i="31" s="1"/>
  <c r="E15" i="31"/>
  <c r="D14" i="31"/>
  <c r="E13" i="31"/>
  <c r="E12" i="31"/>
  <c r="E11" i="31"/>
  <c r="E14" i="31" s="1"/>
  <c r="E10" i="31"/>
  <c r="E9" i="31"/>
  <c r="D8" i="31"/>
  <c r="E7" i="31"/>
  <c r="E6" i="31"/>
  <c r="E5" i="31"/>
  <c r="E4" i="31"/>
  <c r="E8" i="31" s="1"/>
  <c r="E3" i="31"/>
  <c r="J49" i="67"/>
  <c r="J47" i="67"/>
  <c r="J35" i="67"/>
  <c r="J32" i="67"/>
  <c r="J27" i="67"/>
  <c r="J13" i="67"/>
  <c r="J10" i="67"/>
  <c r="J7" i="67"/>
  <c r="J50" i="67" s="1"/>
  <c r="J4" i="67"/>
  <c r="C7" i="68"/>
  <c r="D6" i="68"/>
  <c r="C6" i="68"/>
  <c r="D4" i="68"/>
  <c r="D7" i="68" s="1"/>
  <c r="C4" i="68"/>
  <c r="L126" i="64"/>
  <c r="L125" i="64"/>
  <c r="K125" i="64"/>
  <c r="J125" i="64"/>
  <c r="H125" i="64"/>
  <c r="H126" i="64" s="1"/>
  <c r="G125" i="64"/>
  <c r="F125" i="64"/>
  <c r="P124" i="64"/>
  <c r="O124" i="64"/>
  <c r="N124" i="64"/>
  <c r="M124" i="64"/>
  <c r="I124" i="64"/>
  <c r="Q124" i="64" s="1"/>
  <c r="P123" i="64"/>
  <c r="O123" i="64"/>
  <c r="N123" i="64"/>
  <c r="M123" i="64"/>
  <c r="I123" i="64"/>
  <c r="P122" i="64"/>
  <c r="O122" i="64"/>
  <c r="N122" i="64"/>
  <c r="M122" i="64"/>
  <c r="I122" i="64"/>
  <c r="Q121" i="64"/>
  <c r="P121" i="64"/>
  <c r="O121" i="64"/>
  <c r="N121" i="64"/>
  <c r="M121" i="64"/>
  <c r="I121" i="64"/>
  <c r="P120" i="64"/>
  <c r="O120" i="64"/>
  <c r="N120" i="64"/>
  <c r="M120" i="64"/>
  <c r="I120" i="64"/>
  <c r="P119" i="64"/>
  <c r="O119" i="64"/>
  <c r="N119" i="64"/>
  <c r="M119" i="64"/>
  <c r="Q119" i="64" s="1"/>
  <c r="I119" i="64"/>
  <c r="P118" i="64"/>
  <c r="O118" i="64"/>
  <c r="N118" i="64"/>
  <c r="M118" i="64"/>
  <c r="I118" i="64"/>
  <c r="Q118" i="64" s="1"/>
  <c r="P117" i="64"/>
  <c r="O117" i="64"/>
  <c r="N117" i="64"/>
  <c r="M117" i="64"/>
  <c r="Q117" i="64" s="1"/>
  <c r="I117" i="64"/>
  <c r="P116" i="64"/>
  <c r="O116" i="64"/>
  <c r="N116" i="64"/>
  <c r="M116" i="64"/>
  <c r="I116" i="64"/>
  <c r="P115" i="64"/>
  <c r="O115" i="64"/>
  <c r="N115" i="64"/>
  <c r="M115" i="64"/>
  <c r="Q115" i="64" s="1"/>
  <c r="I115" i="64"/>
  <c r="P114" i="64"/>
  <c r="O114" i="64"/>
  <c r="N114" i="64"/>
  <c r="N125" i="64" s="1"/>
  <c r="M114" i="64"/>
  <c r="I114" i="64"/>
  <c r="Q114" i="64" s="1"/>
  <c r="L113" i="64"/>
  <c r="K113" i="64"/>
  <c r="J113" i="64"/>
  <c r="J126" i="64" s="1"/>
  <c r="H113" i="64"/>
  <c r="G113" i="64"/>
  <c r="F113" i="64"/>
  <c r="P112" i="64"/>
  <c r="O112" i="64"/>
  <c r="N112" i="64"/>
  <c r="M112" i="64"/>
  <c r="I112" i="64"/>
  <c r="Q112" i="64" s="1"/>
  <c r="P111" i="64"/>
  <c r="O111" i="64"/>
  <c r="N111" i="64"/>
  <c r="M111" i="64"/>
  <c r="I111" i="64"/>
  <c r="Q111" i="64" s="1"/>
  <c r="Q110" i="64"/>
  <c r="P110" i="64"/>
  <c r="O110" i="64"/>
  <c r="N110" i="64"/>
  <c r="M110" i="64"/>
  <c r="I110" i="64"/>
  <c r="P109" i="64"/>
  <c r="O109" i="64"/>
  <c r="N109" i="64"/>
  <c r="M109" i="64"/>
  <c r="I109" i="64"/>
  <c r="Q108" i="64"/>
  <c r="P108" i="64"/>
  <c r="O108" i="64"/>
  <c r="N108" i="64"/>
  <c r="M108" i="64"/>
  <c r="I108" i="64"/>
  <c r="P107" i="64"/>
  <c r="O107" i="64"/>
  <c r="N107" i="64"/>
  <c r="M107" i="64"/>
  <c r="I107" i="64"/>
  <c r="Q107" i="64" s="1"/>
  <c r="Q106" i="64"/>
  <c r="P106" i="64"/>
  <c r="O106" i="64"/>
  <c r="N106" i="64"/>
  <c r="M106" i="64"/>
  <c r="I106" i="64"/>
  <c r="P105" i="64"/>
  <c r="N105" i="64"/>
  <c r="M105" i="64"/>
  <c r="I105" i="64"/>
  <c r="G105" i="64"/>
  <c r="O105" i="64" s="1"/>
  <c r="Q104" i="64"/>
  <c r="P104" i="64"/>
  <c r="O104" i="64"/>
  <c r="N104" i="64"/>
  <c r="M104" i="64"/>
  <c r="I104" i="64"/>
  <c r="P103" i="64"/>
  <c r="N103" i="64"/>
  <c r="M103" i="64"/>
  <c r="Q103" i="64" s="1"/>
  <c r="I103" i="64"/>
  <c r="G103" i="64"/>
  <c r="O103" i="64" s="1"/>
  <c r="Q102" i="64"/>
  <c r="P102" i="64"/>
  <c r="O102" i="64"/>
  <c r="N102" i="64"/>
  <c r="M102" i="64"/>
  <c r="I102" i="64"/>
  <c r="P101" i="64"/>
  <c r="O101" i="64"/>
  <c r="N101" i="64"/>
  <c r="M101" i="64"/>
  <c r="I101" i="64"/>
  <c r="Q100" i="64"/>
  <c r="P100" i="64"/>
  <c r="O100" i="64"/>
  <c r="N100" i="64"/>
  <c r="M100" i="64"/>
  <c r="I100" i="64"/>
  <c r="P99" i="64"/>
  <c r="O99" i="64"/>
  <c r="N99" i="64"/>
  <c r="M99" i="64"/>
  <c r="M113" i="64" s="1"/>
  <c r="I99" i="64"/>
  <c r="P98" i="64"/>
  <c r="O98" i="64"/>
  <c r="O113" i="64" s="1"/>
  <c r="N98" i="64"/>
  <c r="N113" i="64" s="1"/>
  <c r="M98" i="64"/>
  <c r="I98" i="64"/>
  <c r="L97" i="64"/>
  <c r="K97" i="64"/>
  <c r="K126" i="64" s="1"/>
  <c r="J97" i="64"/>
  <c r="H97" i="64"/>
  <c r="G97" i="64"/>
  <c r="P96" i="64"/>
  <c r="O96" i="64"/>
  <c r="N96" i="64"/>
  <c r="M96" i="64"/>
  <c r="I96" i="64"/>
  <c r="P95" i="64"/>
  <c r="O95" i="64"/>
  <c r="N95" i="64"/>
  <c r="M95" i="64"/>
  <c r="I95" i="64"/>
  <c r="Q95" i="64" s="1"/>
  <c r="Q94" i="64"/>
  <c r="P94" i="64"/>
  <c r="O94" i="64"/>
  <c r="N94" i="64"/>
  <c r="M94" i="64"/>
  <c r="I94" i="64"/>
  <c r="P93" i="64"/>
  <c r="O93" i="64"/>
  <c r="N93" i="64"/>
  <c r="M93" i="64"/>
  <c r="I93" i="64"/>
  <c r="Q93" i="64" s="1"/>
  <c r="Q92" i="64"/>
  <c r="P92" i="64"/>
  <c r="O92" i="64"/>
  <c r="N92" i="64"/>
  <c r="M92" i="64"/>
  <c r="I92" i="64"/>
  <c r="P91" i="64"/>
  <c r="O91" i="64"/>
  <c r="N91" i="64"/>
  <c r="M91" i="64"/>
  <c r="I91" i="64"/>
  <c r="Q91" i="64" s="1"/>
  <c r="P90" i="64"/>
  <c r="O90" i="64"/>
  <c r="M90" i="64"/>
  <c r="F90" i="64"/>
  <c r="N90" i="64" s="1"/>
  <c r="P89" i="64"/>
  <c r="O89" i="64"/>
  <c r="N89" i="64"/>
  <c r="M89" i="64"/>
  <c r="Q89" i="64" s="1"/>
  <c r="I89" i="64"/>
  <c r="P88" i="64"/>
  <c r="P97" i="64" s="1"/>
  <c r="O88" i="64"/>
  <c r="O97" i="64" s="1"/>
  <c r="N88" i="64"/>
  <c r="N97" i="64" s="1"/>
  <c r="M88" i="64"/>
  <c r="M97" i="64" s="1"/>
  <c r="I88" i="64"/>
  <c r="Q88" i="64" s="1"/>
  <c r="L87" i="64"/>
  <c r="K87" i="64"/>
  <c r="J87" i="64"/>
  <c r="H87" i="64"/>
  <c r="G87" i="64"/>
  <c r="F87" i="64"/>
  <c r="P86" i="64"/>
  <c r="O86" i="64"/>
  <c r="N86" i="64"/>
  <c r="M86" i="64"/>
  <c r="Q86" i="64" s="1"/>
  <c r="I86" i="64"/>
  <c r="P85" i="64"/>
  <c r="O85" i="64"/>
  <c r="N85" i="64"/>
  <c r="M85" i="64"/>
  <c r="I85" i="64"/>
  <c r="Q85" i="64" s="1"/>
  <c r="P84" i="64"/>
  <c r="O84" i="64"/>
  <c r="N84" i="64"/>
  <c r="M84" i="64"/>
  <c r="Q84" i="64" s="1"/>
  <c r="I84" i="64"/>
  <c r="P83" i="64"/>
  <c r="O83" i="64"/>
  <c r="N83" i="64"/>
  <c r="M83" i="64"/>
  <c r="I83" i="64"/>
  <c r="Q83" i="64" s="1"/>
  <c r="P82" i="64"/>
  <c r="O82" i="64"/>
  <c r="N82" i="64"/>
  <c r="M82" i="64"/>
  <c r="Q82" i="64" s="1"/>
  <c r="I82" i="64"/>
  <c r="P81" i="64"/>
  <c r="O81" i="64"/>
  <c r="N81" i="64"/>
  <c r="M81" i="64"/>
  <c r="I81" i="64"/>
  <c r="Q81" i="64" s="1"/>
  <c r="P80" i="64"/>
  <c r="O80" i="64"/>
  <c r="N80" i="64"/>
  <c r="M80" i="64"/>
  <c r="Q80" i="64" s="1"/>
  <c r="I80" i="64"/>
  <c r="P79" i="64"/>
  <c r="O79" i="64"/>
  <c r="N79" i="64"/>
  <c r="M79" i="64"/>
  <c r="I79" i="64"/>
  <c r="Q79" i="64" s="1"/>
  <c r="P78" i="64"/>
  <c r="O78" i="64"/>
  <c r="N78" i="64"/>
  <c r="M78" i="64"/>
  <c r="Q78" i="64" s="1"/>
  <c r="I78" i="64"/>
  <c r="P77" i="64"/>
  <c r="O77" i="64"/>
  <c r="N77" i="64"/>
  <c r="M77" i="64"/>
  <c r="I77" i="64"/>
  <c r="Q77" i="64" s="1"/>
  <c r="P76" i="64"/>
  <c r="P87" i="64" s="1"/>
  <c r="O76" i="64"/>
  <c r="O87" i="64" s="1"/>
  <c r="N76" i="64"/>
  <c r="N87" i="64" s="1"/>
  <c r="M76" i="64"/>
  <c r="Q76" i="64" s="1"/>
  <c r="I76" i="64"/>
  <c r="P75" i="64"/>
  <c r="O75" i="64"/>
  <c r="N75" i="64"/>
  <c r="M75" i="64"/>
  <c r="I75" i="64"/>
  <c r="I87" i="64" s="1"/>
  <c r="L74" i="64"/>
  <c r="K74" i="64"/>
  <c r="J74" i="64"/>
  <c r="H74" i="64"/>
  <c r="G74" i="64"/>
  <c r="F74" i="64"/>
  <c r="P73" i="64"/>
  <c r="O73" i="64"/>
  <c r="N73" i="64"/>
  <c r="M73" i="64"/>
  <c r="Q73" i="64" s="1"/>
  <c r="I73" i="64"/>
  <c r="P72" i="64"/>
  <c r="O72" i="64"/>
  <c r="N72" i="64"/>
  <c r="M72" i="64"/>
  <c r="I72" i="64"/>
  <c r="Q72" i="64" s="1"/>
  <c r="P71" i="64"/>
  <c r="O71" i="64"/>
  <c r="N71" i="64"/>
  <c r="M71" i="64"/>
  <c r="Q71" i="64" s="1"/>
  <c r="I71" i="64"/>
  <c r="P70" i="64"/>
  <c r="O70" i="64"/>
  <c r="N70" i="64"/>
  <c r="M70" i="64"/>
  <c r="I70" i="64"/>
  <c r="Q70" i="64" s="1"/>
  <c r="P69" i="64"/>
  <c r="O69" i="64"/>
  <c r="N69" i="64"/>
  <c r="M69" i="64"/>
  <c r="Q69" i="64" s="1"/>
  <c r="I69" i="64"/>
  <c r="P68" i="64"/>
  <c r="O68" i="64"/>
  <c r="N68" i="64"/>
  <c r="M68" i="64"/>
  <c r="I68" i="64"/>
  <c r="Q68" i="64" s="1"/>
  <c r="P67" i="64"/>
  <c r="O67" i="64"/>
  <c r="N67" i="64"/>
  <c r="M67" i="64"/>
  <c r="Q67" i="64" s="1"/>
  <c r="I67" i="64"/>
  <c r="P66" i="64"/>
  <c r="O66" i="64"/>
  <c r="N66" i="64"/>
  <c r="M66" i="64"/>
  <c r="I66" i="64"/>
  <c r="Q66" i="64" s="1"/>
  <c r="P65" i="64"/>
  <c r="O65" i="64"/>
  <c r="N65" i="64"/>
  <c r="M65" i="64"/>
  <c r="Q65" i="64" s="1"/>
  <c r="I65" i="64"/>
  <c r="P64" i="64"/>
  <c r="O64" i="64"/>
  <c r="N64" i="64"/>
  <c r="M64" i="64"/>
  <c r="I64" i="64"/>
  <c r="Q64" i="64" s="1"/>
  <c r="P63" i="64"/>
  <c r="O63" i="64"/>
  <c r="N63" i="64"/>
  <c r="M63" i="64"/>
  <c r="Q63" i="64" s="1"/>
  <c r="I63" i="64"/>
  <c r="P62" i="64"/>
  <c r="O62" i="64"/>
  <c r="N62" i="64"/>
  <c r="M62" i="64"/>
  <c r="I62" i="64"/>
  <c r="Q62" i="64" s="1"/>
  <c r="P61" i="64"/>
  <c r="O61" i="64"/>
  <c r="N61" i="64"/>
  <c r="M61" i="64"/>
  <c r="Q61" i="64" s="1"/>
  <c r="I61" i="64"/>
  <c r="P60" i="64"/>
  <c r="O60" i="64"/>
  <c r="N60" i="64"/>
  <c r="M60" i="64"/>
  <c r="I60" i="64"/>
  <c r="Q60" i="64" s="1"/>
  <c r="P59" i="64"/>
  <c r="P74" i="64" s="1"/>
  <c r="O59" i="64"/>
  <c r="O74" i="64" s="1"/>
  <c r="N59" i="64"/>
  <c r="N74" i="64" s="1"/>
  <c r="M59" i="64"/>
  <c r="Q59" i="64" s="1"/>
  <c r="I59" i="64"/>
  <c r="P58" i="64"/>
  <c r="O58" i="64"/>
  <c r="N58" i="64"/>
  <c r="M58" i="64"/>
  <c r="I58" i="64"/>
  <c r="I74" i="64" s="1"/>
  <c r="L57" i="64"/>
  <c r="K57" i="64"/>
  <c r="J57" i="64"/>
  <c r="H57" i="64"/>
  <c r="G57" i="64"/>
  <c r="F57" i="64"/>
  <c r="P56" i="64"/>
  <c r="O56" i="64"/>
  <c r="N56" i="64"/>
  <c r="M56" i="64"/>
  <c r="I56" i="64"/>
  <c r="P55" i="64"/>
  <c r="O55" i="64"/>
  <c r="N55" i="64"/>
  <c r="M55" i="64"/>
  <c r="I55" i="64"/>
  <c r="Q55" i="64" s="1"/>
  <c r="P54" i="64"/>
  <c r="O54" i="64"/>
  <c r="N54" i="64"/>
  <c r="M54" i="64"/>
  <c r="I54" i="64"/>
  <c r="P53" i="64"/>
  <c r="O53" i="64"/>
  <c r="N53" i="64"/>
  <c r="M53" i="64"/>
  <c r="I53" i="64"/>
  <c r="Q53" i="64" s="1"/>
  <c r="P52" i="64"/>
  <c r="O52" i="64"/>
  <c r="N52" i="64"/>
  <c r="M52" i="64"/>
  <c r="I52" i="64"/>
  <c r="Q52" i="64" s="1"/>
  <c r="P51" i="64"/>
  <c r="O51" i="64"/>
  <c r="N51" i="64"/>
  <c r="M51" i="64"/>
  <c r="I51" i="64"/>
  <c r="Q51" i="64" s="1"/>
  <c r="P50" i="64"/>
  <c r="O50" i="64"/>
  <c r="N50" i="64"/>
  <c r="M50" i="64"/>
  <c r="I50" i="64"/>
  <c r="Q50" i="64" s="1"/>
  <c r="P49" i="64"/>
  <c r="O49" i="64"/>
  <c r="N49" i="64"/>
  <c r="M49" i="64"/>
  <c r="I49" i="64"/>
  <c r="Q49" i="64" s="1"/>
  <c r="P48" i="64"/>
  <c r="O48" i="64"/>
  <c r="N48" i="64"/>
  <c r="M48" i="64"/>
  <c r="I48" i="64"/>
  <c r="Q48" i="64" s="1"/>
  <c r="P47" i="64"/>
  <c r="O47" i="64"/>
  <c r="N47" i="64"/>
  <c r="M47" i="64"/>
  <c r="I47" i="64"/>
  <c r="Q47" i="64" s="1"/>
  <c r="P46" i="64"/>
  <c r="O46" i="64"/>
  <c r="N46" i="64"/>
  <c r="M46" i="64"/>
  <c r="M57" i="64" s="1"/>
  <c r="I46" i="64"/>
  <c r="P45" i="64"/>
  <c r="O45" i="64"/>
  <c r="N45" i="64"/>
  <c r="M45" i="64"/>
  <c r="I45" i="64"/>
  <c r="Q45" i="64" s="1"/>
  <c r="P44" i="64"/>
  <c r="O44" i="64"/>
  <c r="N44" i="64"/>
  <c r="M44" i="64"/>
  <c r="I44" i="64"/>
  <c r="P43" i="64"/>
  <c r="O43" i="64"/>
  <c r="N43" i="64"/>
  <c r="M43" i="64"/>
  <c r="I43" i="64"/>
  <c r="Q43" i="64" s="1"/>
  <c r="P42" i="64"/>
  <c r="O42" i="64"/>
  <c r="N42" i="64"/>
  <c r="M42" i="64"/>
  <c r="I42" i="64"/>
  <c r="P41" i="64"/>
  <c r="O41" i="64"/>
  <c r="N41" i="64"/>
  <c r="M41" i="64"/>
  <c r="I41" i="64"/>
  <c r="Q41" i="64" s="1"/>
  <c r="P40" i="64"/>
  <c r="O40" i="64"/>
  <c r="N40" i="64"/>
  <c r="M40" i="64"/>
  <c r="I40" i="64"/>
  <c r="Q40" i="64" s="1"/>
  <c r="P39" i="64"/>
  <c r="O39" i="64"/>
  <c r="N39" i="64"/>
  <c r="M39" i="64"/>
  <c r="I39" i="64"/>
  <c r="Q39" i="64" s="1"/>
  <c r="P38" i="64"/>
  <c r="P57" i="64" s="1"/>
  <c r="O38" i="64"/>
  <c r="O57" i="64" s="1"/>
  <c r="N38" i="64"/>
  <c r="N57" i="64" s="1"/>
  <c r="M38" i="64"/>
  <c r="I38" i="64"/>
  <c r="I57" i="64" s="1"/>
  <c r="L37" i="64"/>
  <c r="K37" i="64"/>
  <c r="J37" i="64"/>
  <c r="I37" i="64"/>
  <c r="H37" i="64"/>
  <c r="G37" i="64"/>
  <c r="F37" i="64"/>
  <c r="P36" i="64"/>
  <c r="O36" i="64"/>
  <c r="N36" i="64"/>
  <c r="M36" i="64"/>
  <c r="I36" i="64"/>
  <c r="Q36" i="64" s="1"/>
  <c r="P35" i="64"/>
  <c r="O35" i="64"/>
  <c r="N35" i="64"/>
  <c r="M35" i="64"/>
  <c r="I35" i="64"/>
  <c r="Q35" i="64" s="1"/>
  <c r="P34" i="64"/>
  <c r="O34" i="64"/>
  <c r="N34" i="64"/>
  <c r="M34" i="64"/>
  <c r="I34" i="64"/>
  <c r="Q34" i="64" s="1"/>
  <c r="P33" i="64"/>
  <c r="O33" i="64"/>
  <c r="N33" i="64"/>
  <c r="M33" i="64"/>
  <c r="I33" i="64"/>
  <c r="P32" i="64"/>
  <c r="O32" i="64"/>
  <c r="N32" i="64"/>
  <c r="M32" i="64"/>
  <c r="I32" i="64"/>
  <c r="Q32" i="64" s="1"/>
  <c r="P31" i="64"/>
  <c r="O31" i="64"/>
  <c r="N31" i="64"/>
  <c r="M31" i="64"/>
  <c r="I31" i="64"/>
  <c r="P30" i="64"/>
  <c r="O30" i="64"/>
  <c r="N30" i="64"/>
  <c r="M30" i="64"/>
  <c r="I30" i="64"/>
  <c r="Q30" i="64" s="1"/>
  <c r="P29" i="64"/>
  <c r="O29" i="64"/>
  <c r="N29" i="64"/>
  <c r="M29" i="64"/>
  <c r="I29" i="64"/>
  <c r="P28" i="64"/>
  <c r="O28" i="64"/>
  <c r="N28" i="64"/>
  <c r="M28" i="64"/>
  <c r="I28" i="64"/>
  <c r="Q28" i="64" s="1"/>
  <c r="P27" i="64"/>
  <c r="O27" i="64"/>
  <c r="N27" i="64"/>
  <c r="M27" i="64"/>
  <c r="I27" i="64"/>
  <c r="P26" i="64"/>
  <c r="O26" i="64"/>
  <c r="N26" i="64"/>
  <c r="M26" i="64"/>
  <c r="I26" i="64"/>
  <c r="Q26" i="64" s="1"/>
  <c r="P25" i="64"/>
  <c r="O25" i="64"/>
  <c r="N25" i="64"/>
  <c r="M25" i="64"/>
  <c r="I25" i="64"/>
  <c r="Q25" i="64" s="1"/>
  <c r="P24" i="64"/>
  <c r="O24" i="64"/>
  <c r="N24" i="64"/>
  <c r="M24" i="64"/>
  <c r="I24" i="64"/>
  <c r="Q24" i="64" s="1"/>
  <c r="P23" i="64"/>
  <c r="O23" i="64"/>
  <c r="N23" i="64"/>
  <c r="M23" i="64"/>
  <c r="I23" i="64"/>
  <c r="Q23" i="64" s="1"/>
  <c r="P22" i="64"/>
  <c r="O22" i="64"/>
  <c r="N22" i="64"/>
  <c r="M22" i="64"/>
  <c r="I22" i="64"/>
  <c r="Q22" i="64" s="1"/>
  <c r="P21" i="64"/>
  <c r="O21" i="64"/>
  <c r="N21" i="64"/>
  <c r="M21" i="64"/>
  <c r="I21" i="64"/>
  <c r="P20" i="64"/>
  <c r="O20" i="64"/>
  <c r="N20" i="64"/>
  <c r="M20" i="64"/>
  <c r="I20" i="64"/>
  <c r="Q20" i="64" s="1"/>
  <c r="P19" i="64"/>
  <c r="O19" i="64"/>
  <c r="N19" i="64"/>
  <c r="M19" i="64"/>
  <c r="I19" i="64"/>
  <c r="P18" i="64"/>
  <c r="O18" i="64"/>
  <c r="N18" i="64"/>
  <c r="M18" i="64"/>
  <c r="I18" i="64"/>
  <c r="Q18" i="64" s="1"/>
  <c r="P17" i="64"/>
  <c r="P37" i="64" s="1"/>
  <c r="O17" i="64"/>
  <c r="O37" i="64" s="1"/>
  <c r="N17" i="64"/>
  <c r="N37" i="64" s="1"/>
  <c r="M17" i="64"/>
  <c r="I17" i="64"/>
  <c r="L16" i="64"/>
  <c r="K16" i="64"/>
  <c r="J16" i="64"/>
  <c r="I16" i="64"/>
  <c r="H16" i="64"/>
  <c r="G16" i="64"/>
  <c r="F16" i="64"/>
  <c r="P15" i="64"/>
  <c r="O15" i="64"/>
  <c r="N15" i="64"/>
  <c r="M15" i="64"/>
  <c r="I15" i="64"/>
  <c r="Q15" i="64" s="1"/>
  <c r="P14" i="64"/>
  <c r="O14" i="64"/>
  <c r="N14" i="64"/>
  <c r="M14" i="64"/>
  <c r="I14" i="64"/>
  <c r="P13" i="64"/>
  <c r="O13" i="64"/>
  <c r="N13" i="64"/>
  <c r="M13" i="64"/>
  <c r="I13" i="64"/>
  <c r="Q13" i="64" s="1"/>
  <c r="P12" i="64"/>
  <c r="O12" i="64"/>
  <c r="N12" i="64"/>
  <c r="M12" i="64"/>
  <c r="I12" i="64"/>
  <c r="Q12" i="64" s="1"/>
  <c r="P11" i="64"/>
  <c r="O11" i="64"/>
  <c r="N11" i="64"/>
  <c r="M11" i="64"/>
  <c r="I11" i="64"/>
  <c r="Q11" i="64" s="1"/>
  <c r="P10" i="64"/>
  <c r="P16" i="64" s="1"/>
  <c r="O10" i="64"/>
  <c r="O16" i="64" s="1"/>
  <c r="N10" i="64"/>
  <c r="N16" i="64" s="1"/>
  <c r="M10" i="64"/>
  <c r="I10" i="64"/>
  <c r="Q10" i="64" s="1"/>
  <c r="L9" i="64"/>
  <c r="K9" i="64"/>
  <c r="J9" i="64"/>
  <c r="I9" i="64"/>
  <c r="H9" i="64"/>
  <c r="G9" i="64"/>
  <c r="F9" i="64"/>
  <c r="P8" i="64"/>
  <c r="O8" i="64"/>
  <c r="N8" i="64"/>
  <c r="M8" i="64"/>
  <c r="I8" i="64"/>
  <c r="Q8" i="64" s="1"/>
  <c r="P7" i="64"/>
  <c r="O7" i="64"/>
  <c r="N7" i="64"/>
  <c r="M7" i="64"/>
  <c r="I7" i="64"/>
  <c r="Q7" i="64" s="1"/>
  <c r="P6" i="64"/>
  <c r="O6" i="64"/>
  <c r="N6" i="64"/>
  <c r="M6" i="64"/>
  <c r="I6" i="64"/>
  <c r="Q6" i="64" s="1"/>
  <c r="P5" i="64"/>
  <c r="O5" i="64"/>
  <c r="N5" i="64"/>
  <c r="M5" i="64"/>
  <c r="I5" i="64"/>
  <c r="P4" i="64"/>
  <c r="P9" i="64" s="1"/>
  <c r="O4" i="64"/>
  <c r="O9" i="64" s="1"/>
  <c r="N4" i="64"/>
  <c r="N9" i="64" s="1"/>
  <c r="M4" i="64"/>
  <c r="M9" i="64" s="1"/>
  <c r="I4" i="64"/>
  <c r="Q4" i="64" s="1"/>
  <c r="O74" i="56"/>
  <c r="N74" i="56"/>
  <c r="M74" i="56"/>
  <c r="L74" i="56"/>
  <c r="K74" i="56"/>
  <c r="J74" i="56"/>
  <c r="I74" i="56"/>
  <c r="H74" i="56"/>
  <c r="G74" i="56"/>
  <c r="F74" i="56"/>
  <c r="E74" i="56"/>
  <c r="P72" i="56"/>
  <c r="P71" i="56"/>
  <c r="P70" i="56"/>
  <c r="P74" i="56" s="1"/>
  <c r="P69" i="56"/>
  <c r="P68" i="56"/>
  <c r="P67" i="56"/>
  <c r="P66" i="56"/>
  <c r="O65" i="56"/>
  <c r="N65" i="56"/>
  <c r="M65" i="56"/>
  <c r="L65" i="56"/>
  <c r="K65" i="56"/>
  <c r="J65" i="56"/>
  <c r="I65" i="56"/>
  <c r="H65" i="56"/>
  <c r="G65" i="56"/>
  <c r="F65" i="56"/>
  <c r="E65" i="56"/>
  <c r="P65" i="56" s="1"/>
  <c r="P64" i="56"/>
  <c r="P63" i="56"/>
  <c r="P62" i="56"/>
  <c r="P61" i="56"/>
  <c r="O60" i="56"/>
  <c r="N60" i="56"/>
  <c r="M60" i="56"/>
  <c r="L60" i="56"/>
  <c r="L47" i="56" s="1"/>
  <c r="L46" i="56" s="1"/>
  <c r="K60" i="56"/>
  <c r="J60" i="56"/>
  <c r="J12" i="56" s="1"/>
  <c r="J11" i="56" s="1"/>
  <c r="J9" i="56" s="1"/>
  <c r="I60" i="56"/>
  <c r="I12" i="56" s="1"/>
  <c r="I11" i="56" s="1"/>
  <c r="I9" i="56" s="1"/>
  <c r="H60" i="56"/>
  <c r="G60" i="56"/>
  <c r="G12" i="56" s="1"/>
  <c r="G11" i="56" s="1"/>
  <c r="G9" i="56" s="1"/>
  <c r="G5" i="56" s="1"/>
  <c r="F60" i="56"/>
  <c r="E60" i="56"/>
  <c r="P59" i="56"/>
  <c r="P58" i="56"/>
  <c r="O57" i="56"/>
  <c r="N57" i="56"/>
  <c r="M57" i="56"/>
  <c r="L57" i="56"/>
  <c r="K57" i="56"/>
  <c r="J57" i="56"/>
  <c r="I57" i="56"/>
  <c r="H57" i="56"/>
  <c r="G57" i="56"/>
  <c r="F57" i="56"/>
  <c r="E57" i="56"/>
  <c r="P57" i="56" s="1"/>
  <c r="P56" i="56"/>
  <c r="O55" i="56"/>
  <c r="N55" i="56"/>
  <c r="P55" i="56" s="1"/>
  <c r="M55" i="56"/>
  <c r="L55" i="56"/>
  <c r="K55" i="56"/>
  <c r="J55" i="56"/>
  <c r="I55" i="56"/>
  <c r="H55" i="56"/>
  <c r="G55" i="56"/>
  <c r="F55" i="56"/>
  <c r="E55" i="56"/>
  <c r="O54" i="56"/>
  <c r="N54" i="56"/>
  <c r="P54" i="56" s="1"/>
  <c r="M54" i="56"/>
  <c r="L54" i="56"/>
  <c r="K54" i="56"/>
  <c r="J54" i="56"/>
  <c r="I54" i="56"/>
  <c r="H54" i="56"/>
  <c r="G54" i="56"/>
  <c r="F54" i="56"/>
  <c r="E54" i="56"/>
  <c r="O53" i="56"/>
  <c r="N53" i="56"/>
  <c r="P53" i="56" s="1"/>
  <c r="M53" i="56"/>
  <c r="L53" i="56"/>
  <c r="K53" i="56"/>
  <c r="J53" i="56"/>
  <c r="I53" i="56"/>
  <c r="H53" i="56"/>
  <c r="G53" i="56"/>
  <c r="G37" i="56" s="1"/>
  <c r="F53" i="56"/>
  <c r="E53" i="56"/>
  <c r="P52" i="56"/>
  <c r="I52" i="56"/>
  <c r="P51" i="56"/>
  <c r="O51" i="56"/>
  <c r="N51" i="56"/>
  <c r="M51" i="56"/>
  <c r="L51" i="56"/>
  <c r="K51" i="56"/>
  <c r="J51" i="56"/>
  <c r="I51" i="56"/>
  <c r="H51" i="56"/>
  <c r="G51" i="56"/>
  <c r="F51" i="56"/>
  <c r="E51" i="56"/>
  <c r="P50" i="56"/>
  <c r="O50" i="56"/>
  <c r="N50" i="56"/>
  <c r="M50" i="56"/>
  <c r="L50" i="56"/>
  <c r="K50" i="56"/>
  <c r="J50" i="56"/>
  <c r="I50" i="56"/>
  <c r="H50" i="56"/>
  <c r="G50" i="56"/>
  <c r="F50" i="56"/>
  <c r="E50" i="56"/>
  <c r="P49" i="56"/>
  <c r="O49" i="56"/>
  <c r="N49" i="56"/>
  <c r="M49" i="56"/>
  <c r="L49" i="56"/>
  <c r="K49" i="56"/>
  <c r="J49" i="56"/>
  <c r="I49" i="56"/>
  <c r="H49" i="56"/>
  <c r="G49" i="56"/>
  <c r="F49" i="56"/>
  <c r="E49" i="56"/>
  <c r="P48" i="56"/>
  <c r="O48" i="56"/>
  <c r="N48" i="56"/>
  <c r="M48" i="56"/>
  <c r="L48" i="56"/>
  <c r="K48" i="56"/>
  <c r="J48" i="56"/>
  <c r="I48" i="56"/>
  <c r="H48" i="56"/>
  <c r="G48" i="56"/>
  <c r="F48" i="56"/>
  <c r="E48" i="56"/>
  <c r="O47" i="56"/>
  <c r="N47" i="56"/>
  <c r="I47" i="56"/>
  <c r="H47" i="56"/>
  <c r="G47" i="56"/>
  <c r="F47" i="56"/>
  <c r="E47" i="56"/>
  <c r="O46" i="56"/>
  <c r="N46" i="56"/>
  <c r="I46" i="56"/>
  <c r="H46" i="56"/>
  <c r="G46" i="56"/>
  <c r="E46" i="56"/>
  <c r="P45" i="56"/>
  <c r="O45" i="56"/>
  <c r="N45" i="56"/>
  <c r="M45" i="56"/>
  <c r="L45" i="56"/>
  <c r="K45" i="56"/>
  <c r="J45" i="56"/>
  <c r="I45" i="56"/>
  <c r="H45" i="56"/>
  <c r="G45" i="56"/>
  <c r="F45" i="56"/>
  <c r="E45" i="56"/>
  <c r="P44" i="56"/>
  <c r="O44" i="56"/>
  <c r="N44" i="56"/>
  <c r="M44" i="56"/>
  <c r="L44" i="56"/>
  <c r="K44" i="56"/>
  <c r="J44" i="56"/>
  <c r="I44" i="56"/>
  <c r="H44" i="56"/>
  <c r="G44" i="56"/>
  <c r="F44" i="56"/>
  <c r="E44" i="56"/>
  <c r="P43" i="56"/>
  <c r="O43" i="56"/>
  <c r="N43" i="56"/>
  <c r="M43" i="56"/>
  <c r="L43" i="56"/>
  <c r="K43" i="56"/>
  <c r="J43" i="56"/>
  <c r="I43" i="56"/>
  <c r="H43" i="56"/>
  <c r="G43" i="56"/>
  <c r="F43" i="56"/>
  <c r="E43" i="56"/>
  <c r="P42" i="56"/>
  <c r="O42" i="56"/>
  <c r="N42" i="56"/>
  <c r="M42" i="56"/>
  <c r="L42" i="56"/>
  <c r="K42" i="56"/>
  <c r="J42" i="56"/>
  <c r="I42" i="56"/>
  <c r="H42" i="56"/>
  <c r="G42" i="56"/>
  <c r="F42" i="56"/>
  <c r="E42" i="56"/>
  <c r="O41" i="56"/>
  <c r="N41" i="56"/>
  <c r="L41" i="56"/>
  <c r="I41" i="56"/>
  <c r="I40" i="56" s="1"/>
  <c r="I37" i="56" s="1"/>
  <c r="H41" i="56"/>
  <c r="G41" i="56"/>
  <c r="F41" i="56"/>
  <c r="E41" i="56"/>
  <c r="O40" i="56"/>
  <c r="O37" i="56" s="1"/>
  <c r="N40" i="56"/>
  <c r="N37" i="56" s="1"/>
  <c r="L40" i="56"/>
  <c r="L37" i="56" s="1"/>
  <c r="H40" i="56"/>
  <c r="G40" i="56"/>
  <c r="F40" i="56"/>
  <c r="E40" i="56"/>
  <c r="P39" i="56"/>
  <c r="P38" i="56"/>
  <c r="H37" i="56"/>
  <c r="E37" i="56"/>
  <c r="P36" i="56"/>
  <c r="O35" i="56"/>
  <c r="O32" i="56" s="1"/>
  <c r="N35" i="56"/>
  <c r="M35" i="56"/>
  <c r="L35" i="56"/>
  <c r="L32" i="56" s="1"/>
  <c r="K35" i="56"/>
  <c r="K32" i="56" s="1"/>
  <c r="J35" i="56"/>
  <c r="I35" i="56"/>
  <c r="I32" i="56" s="1"/>
  <c r="H35" i="56"/>
  <c r="G35" i="56"/>
  <c r="G32" i="56" s="1"/>
  <c r="F35" i="56"/>
  <c r="E35" i="56"/>
  <c r="P34" i="56"/>
  <c r="O33" i="56"/>
  <c r="N33" i="56"/>
  <c r="M33" i="56"/>
  <c r="M32" i="56" s="1"/>
  <c r="L33" i="56"/>
  <c r="K33" i="56"/>
  <c r="J33" i="56"/>
  <c r="I33" i="56"/>
  <c r="H33" i="56"/>
  <c r="G33" i="56"/>
  <c r="F33" i="56"/>
  <c r="E33" i="56"/>
  <c r="N32" i="56"/>
  <c r="J32" i="56"/>
  <c r="H32" i="56"/>
  <c r="F32" i="56"/>
  <c r="P31" i="56"/>
  <c r="P30" i="56"/>
  <c r="O29" i="56"/>
  <c r="N29" i="56"/>
  <c r="M29" i="56"/>
  <c r="L29" i="56"/>
  <c r="L28" i="56" s="1"/>
  <c r="K29" i="56"/>
  <c r="J29" i="56"/>
  <c r="J28" i="56" s="1"/>
  <c r="I29" i="56"/>
  <c r="H29" i="56"/>
  <c r="G29" i="56"/>
  <c r="F29" i="56"/>
  <c r="E29" i="56"/>
  <c r="P29" i="56" s="1"/>
  <c r="O28" i="56"/>
  <c r="N28" i="56"/>
  <c r="M28" i="56"/>
  <c r="K28" i="56"/>
  <c r="I28" i="56"/>
  <c r="H28" i="56"/>
  <c r="G28" i="56"/>
  <c r="F28" i="56"/>
  <c r="E28" i="56"/>
  <c r="O27" i="56"/>
  <c r="O26" i="56" s="1"/>
  <c r="N27" i="56"/>
  <c r="M27" i="56"/>
  <c r="L27" i="56"/>
  <c r="L26" i="56" s="1"/>
  <c r="K27" i="56"/>
  <c r="J27" i="56"/>
  <c r="J26" i="56" s="1"/>
  <c r="I27" i="56"/>
  <c r="H27" i="56"/>
  <c r="G27" i="56"/>
  <c r="F27" i="56"/>
  <c r="E27" i="56"/>
  <c r="N26" i="56"/>
  <c r="M26" i="56"/>
  <c r="K26" i="56"/>
  <c r="I26" i="56"/>
  <c r="H26" i="56"/>
  <c r="G26" i="56"/>
  <c r="F26" i="56"/>
  <c r="E26" i="56"/>
  <c r="O25" i="56"/>
  <c r="O23" i="56" s="1"/>
  <c r="N25" i="56"/>
  <c r="M25" i="56"/>
  <c r="L25" i="56"/>
  <c r="K25" i="56"/>
  <c r="J25" i="56"/>
  <c r="J23" i="56" s="1"/>
  <c r="I25" i="56"/>
  <c r="H25" i="56"/>
  <c r="G25" i="56"/>
  <c r="F25" i="56"/>
  <c r="E25" i="56"/>
  <c r="O24" i="56"/>
  <c r="N24" i="56"/>
  <c r="M24" i="56"/>
  <c r="L24" i="56"/>
  <c r="L23" i="56" s="1"/>
  <c r="K24" i="56"/>
  <c r="J24" i="56"/>
  <c r="I24" i="56"/>
  <c r="H24" i="56"/>
  <c r="G24" i="56"/>
  <c r="F24" i="56"/>
  <c r="E24" i="56"/>
  <c r="P24" i="56" s="1"/>
  <c r="N23" i="56"/>
  <c r="M23" i="56"/>
  <c r="K23" i="56"/>
  <c r="I23" i="56"/>
  <c r="H23" i="56"/>
  <c r="G23" i="56"/>
  <c r="F23" i="56"/>
  <c r="E23" i="56"/>
  <c r="O22" i="56"/>
  <c r="O21" i="56" s="1"/>
  <c r="N22" i="56"/>
  <c r="M22" i="56"/>
  <c r="L22" i="56"/>
  <c r="L21" i="56" s="1"/>
  <c r="K22" i="56"/>
  <c r="J22" i="56"/>
  <c r="I22" i="56"/>
  <c r="H22" i="56"/>
  <c r="G22" i="56"/>
  <c r="F22" i="56"/>
  <c r="E22" i="56"/>
  <c r="N21" i="56"/>
  <c r="M21" i="56"/>
  <c r="K21" i="56"/>
  <c r="I21" i="56"/>
  <c r="H21" i="56"/>
  <c r="G21" i="56"/>
  <c r="F21" i="56"/>
  <c r="E21" i="56"/>
  <c r="P20" i="56"/>
  <c r="O19" i="56"/>
  <c r="N19" i="56"/>
  <c r="M19" i="56"/>
  <c r="L19" i="56"/>
  <c r="K19" i="56"/>
  <c r="K16" i="56" s="1"/>
  <c r="J19" i="56"/>
  <c r="J16" i="56" s="1"/>
  <c r="I19" i="56"/>
  <c r="I16" i="56" s="1"/>
  <c r="H19" i="56"/>
  <c r="G19" i="56"/>
  <c r="G16" i="56" s="1"/>
  <c r="F19" i="56"/>
  <c r="E19" i="56"/>
  <c r="P18" i="56"/>
  <c r="P17" i="56"/>
  <c r="O16" i="56"/>
  <c r="N16" i="56"/>
  <c r="M16" i="56"/>
  <c r="L16" i="56"/>
  <c r="H16" i="56"/>
  <c r="F16" i="56"/>
  <c r="E16" i="56"/>
  <c r="O15" i="56"/>
  <c r="O13" i="56" s="1"/>
  <c r="N15" i="56"/>
  <c r="M15" i="56"/>
  <c r="M13" i="56" s="1"/>
  <c r="L15" i="56"/>
  <c r="K15" i="56"/>
  <c r="J15" i="56"/>
  <c r="I15" i="56"/>
  <c r="H15" i="56"/>
  <c r="G15" i="56"/>
  <c r="F15" i="56"/>
  <c r="F13" i="56" s="1"/>
  <c r="E15" i="56"/>
  <c r="O14" i="56"/>
  <c r="N14" i="56"/>
  <c r="M14" i="56"/>
  <c r="L14" i="56"/>
  <c r="K14" i="56"/>
  <c r="J14" i="56"/>
  <c r="I14" i="56"/>
  <c r="H14" i="56"/>
  <c r="G14" i="56"/>
  <c r="F14" i="56"/>
  <c r="E14" i="56"/>
  <c r="P14" i="56" s="1"/>
  <c r="N13" i="56"/>
  <c r="L13" i="56"/>
  <c r="K13" i="56"/>
  <c r="J13" i="56"/>
  <c r="I13" i="56"/>
  <c r="H13" i="56"/>
  <c r="G13" i="56"/>
  <c r="E13" i="56"/>
  <c r="O12" i="56"/>
  <c r="O11" i="56" s="1"/>
  <c r="O9" i="56" s="1"/>
  <c r="O5" i="56" s="1"/>
  <c r="N12" i="56"/>
  <c r="M12" i="56"/>
  <c r="L12" i="56"/>
  <c r="H12" i="56"/>
  <c r="F12" i="56"/>
  <c r="E12" i="56"/>
  <c r="N11" i="56"/>
  <c r="M11" i="56"/>
  <c r="M9" i="56" s="1"/>
  <c r="L11" i="56"/>
  <c r="H11" i="56"/>
  <c r="H9" i="56" s="1"/>
  <c r="H5" i="56" s="1"/>
  <c r="F11" i="56"/>
  <c r="F9" i="56" s="1"/>
  <c r="E11" i="56"/>
  <c r="P10" i="56"/>
  <c r="N9" i="56"/>
  <c r="N5" i="56" s="1"/>
  <c r="L9" i="56"/>
  <c r="P8" i="56"/>
  <c r="P7" i="56"/>
  <c r="O6" i="56"/>
  <c r="N6" i="56"/>
  <c r="M6" i="56"/>
  <c r="L6" i="56"/>
  <c r="K6" i="56"/>
  <c r="J6" i="56"/>
  <c r="I6" i="56"/>
  <c r="H6" i="56"/>
  <c r="G6" i="56"/>
  <c r="F6" i="56"/>
  <c r="E6" i="56"/>
  <c r="I5" i="56"/>
  <c r="I73" i="56" s="1"/>
  <c r="Q74" i="57"/>
  <c r="M74" i="57"/>
  <c r="L74" i="57"/>
  <c r="J74" i="57"/>
  <c r="H74" i="57"/>
  <c r="F74" i="57"/>
  <c r="L72" i="57"/>
  <c r="K72" i="57"/>
  <c r="T72" i="57" s="1"/>
  <c r="S71" i="57"/>
  <c r="L71" i="57"/>
  <c r="L43" i="57" s="1"/>
  <c r="K71" i="57"/>
  <c r="T71" i="57" s="1"/>
  <c r="T70" i="57"/>
  <c r="T69" i="57"/>
  <c r="T68" i="57"/>
  <c r="T67" i="57"/>
  <c r="T66" i="57"/>
  <c r="S65" i="57"/>
  <c r="R65" i="57"/>
  <c r="Q65" i="57"/>
  <c r="P65" i="57"/>
  <c r="O65" i="57"/>
  <c r="N65" i="57"/>
  <c r="M65" i="57"/>
  <c r="L65" i="57"/>
  <c r="K65" i="57"/>
  <c r="J65" i="57"/>
  <c r="I65" i="57"/>
  <c r="H65" i="57"/>
  <c r="G65" i="57"/>
  <c r="F65" i="57"/>
  <c r="E65" i="57"/>
  <c r="T64" i="57"/>
  <c r="T63" i="57"/>
  <c r="T62" i="57"/>
  <c r="T61" i="57"/>
  <c r="S60" i="57"/>
  <c r="R60" i="57"/>
  <c r="P60" i="57"/>
  <c r="P12" i="57" s="1"/>
  <c r="P11" i="57" s="1"/>
  <c r="O60" i="57"/>
  <c r="O20" i="57" s="1"/>
  <c r="N60" i="57"/>
  <c r="N47" i="57" s="1"/>
  <c r="N46" i="57" s="1"/>
  <c r="M60" i="57"/>
  <c r="L60" i="57"/>
  <c r="L47" i="57" s="1"/>
  <c r="K60" i="57"/>
  <c r="J60" i="57"/>
  <c r="J20" i="57" s="1"/>
  <c r="I60" i="57"/>
  <c r="I20" i="57" s="1"/>
  <c r="H60" i="57"/>
  <c r="G60" i="57"/>
  <c r="F60" i="57"/>
  <c r="E60" i="57"/>
  <c r="T59" i="57"/>
  <c r="T58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G57" i="57"/>
  <c r="F57" i="57"/>
  <c r="E57" i="57"/>
  <c r="T56" i="57"/>
  <c r="S55" i="57"/>
  <c r="R55" i="57"/>
  <c r="Q55" i="57"/>
  <c r="P55" i="57"/>
  <c r="O55" i="57"/>
  <c r="N55" i="57"/>
  <c r="M55" i="57"/>
  <c r="L55" i="57"/>
  <c r="K55" i="57"/>
  <c r="J55" i="57"/>
  <c r="I55" i="57"/>
  <c r="H55" i="57"/>
  <c r="G55" i="57"/>
  <c r="F55" i="57"/>
  <c r="E55" i="57"/>
  <c r="S54" i="57"/>
  <c r="S53" i="57" s="1"/>
  <c r="R54" i="57"/>
  <c r="Q54" i="57"/>
  <c r="P54" i="57"/>
  <c r="P53" i="57" s="1"/>
  <c r="O54" i="57"/>
  <c r="O53" i="57" s="1"/>
  <c r="N54" i="57"/>
  <c r="N53" i="57" s="1"/>
  <c r="M54" i="57"/>
  <c r="M53" i="57" s="1"/>
  <c r="L54" i="57"/>
  <c r="L53" i="57" s="1"/>
  <c r="K54" i="57"/>
  <c r="J54" i="57"/>
  <c r="I54" i="57"/>
  <c r="H54" i="57"/>
  <c r="G54" i="57"/>
  <c r="G53" i="57" s="1"/>
  <c r="F54" i="57"/>
  <c r="E54" i="57"/>
  <c r="R53" i="57"/>
  <c r="Q53" i="57"/>
  <c r="K53" i="57"/>
  <c r="T53" i="57" s="1"/>
  <c r="J53" i="57"/>
  <c r="I53" i="57"/>
  <c r="H53" i="57"/>
  <c r="F53" i="57"/>
  <c r="E53" i="57"/>
  <c r="T52" i="57"/>
  <c r="L52" i="57"/>
  <c r="H52" i="57"/>
  <c r="H51" i="57" s="1"/>
  <c r="S51" i="57"/>
  <c r="R51" i="57"/>
  <c r="Q51" i="57"/>
  <c r="P51" i="57"/>
  <c r="O51" i="57"/>
  <c r="N51" i="57"/>
  <c r="M51" i="57"/>
  <c r="L51" i="57"/>
  <c r="K51" i="57"/>
  <c r="J51" i="57"/>
  <c r="I51" i="57"/>
  <c r="G51" i="57"/>
  <c r="F51" i="57"/>
  <c r="E51" i="57"/>
  <c r="T51" i="57" s="1"/>
  <c r="S50" i="57"/>
  <c r="Q50" i="57"/>
  <c r="Q49" i="57" s="1"/>
  <c r="P50" i="57"/>
  <c r="P49" i="57" s="1"/>
  <c r="J50" i="57"/>
  <c r="J49" i="57" s="1"/>
  <c r="S49" i="57"/>
  <c r="K49" i="57"/>
  <c r="S48" i="57"/>
  <c r="R48" i="57"/>
  <c r="Q48" i="57"/>
  <c r="P48" i="57"/>
  <c r="O48" i="57"/>
  <c r="N48" i="57"/>
  <c r="M48" i="57"/>
  <c r="L48" i="57"/>
  <c r="K48" i="57"/>
  <c r="J48" i="57"/>
  <c r="I48" i="57"/>
  <c r="H48" i="57"/>
  <c r="G48" i="57"/>
  <c r="F48" i="57"/>
  <c r="E48" i="57"/>
  <c r="S47" i="57"/>
  <c r="R47" i="57"/>
  <c r="R46" i="57" s="1"/>
  <c r="Q47" i="57"/>
  <c r="Q46" i="57" s="1"/>
  <c r="P47" i="57"/>
  <c r="P46" i="57" s="1"/>
  <c r="O47" i="57"/>
  <c r="O46" i="57" s="1"/>
  <c r="J47" i="57"/>
  <c r="J46" i="57" s="1"/>
  <c r="H47" i="57"/>
  <c r="G47" i="57"/>
  <c r="G46" i="57" s="1"/>
  <c r="F47" i="57"/>
  <c r="F46" i="57" s="1"/>
  <c r="E47" i="57"/>
  <c r="S46" i="57"/>
  <c r="H46" i="57"/>
  <c r="S45" i="57"/>
  <c r="R45" i="57"/>
  <c r="R44" i="57" s="1"/>
  <c r="Q45" i="57"/>
  <c r="P45" i="57"/>
  <c r="O45" i="57"/>
  <c r="N45" i="57"/>
  <c r="N44" i="57" s="1"/>
  <c r="M45" i="57"/>
  <c r="M44" i="57" s="1"/>
  <c r="L45" i="57"/>
  <c r="L44" i="57" s="1"/>
  <c r="K45" i="57"/>
  <c r="K44" i="57" s="1"/>
  <c r="J45" i="57"/>
  <c r="I45" i="57"/>
  <c r="H45" i="57"/>
  <c r="G45" i="57"/>
  <c r="F45" i="57"/>
  <c r="F44" i="57" s="1"/>
  <c r="E45" i="57"/>
  <c r="S44" i="57"/>
  <c r="S37" i="57" s="1"/>
  <c r="Q44" i="57"/>
  <c r="P44" i="57"/>
  <c r="O44" i="57"/>
  <c r="J44" i="57"/>
  <c r="I44" i="57"/>
  <c r="H44" i="57"/>
  <c r="G44" i="57"/>
  <c r="E44" i="57"/>
  <c r="S43" i="57"/>
  <c r="S42" i="57" s="1"/>
  <c r="R43" i="57"/>
  <c r="Q43" i="57"/>
  <c r="P43" i="57"/>
  <c r="O43" i="57"/>
  <c r="N43" i="57"/>
  <c r="N42" i="57" s="1"/>
  <c r="M43" i="57"/>
  <c r="K43" i="57"/>
  <c r="K42" i="57" s="1"/>
  <c r="J43" i="57"/>
  <c r="J42" i="57" s="1"/>
  <c r="I43" i="57"/>
  <c r="I42" i="57" s="1"/>
  <c r="H43" i="57"/>
  <c r="H42" i="57" s="1"/>
  <c r="G43" i="57"/>
  <c r="G42" i="57" s="1"/>
  <c r="F43" i="57"/>
  <c r="E43" i="57"/>
  <c r="R42" i="57"/>
  <c r="Q42" i="57"/>
  <c r="P42" i="57"/>
  <c r="O42" i="57"/>
  <c r="M42" i="57"/>
  <c r="L42" i="57"/>
  <c r="F42" i="57"/>
  <c r="E42" i="57"/>
  <c r="S41" i="57"/>
  <c r="R41" i="57"/>
  <c r="R40" i="57" s="1"/>
  <c r="Q41" i="57"/>
  <c r="Q40" i="57" s="1"/>
  <c r="P41" i="57"/>
  <c r="P40" i="57" s="1"/>
  <c r="O41" i="57"/>
  <c r="O40" i="57" s="1"/>
  <c r="J41" i="57"/>
  <c r="J40" i="57" s="1"/>
  <c r="I41" i="57"/>
  <c r="I40" i="57" s="1"/>
  <c r="H41" i="57"/>
  <c r="G41" i="57"/>
  <c r="G40" i="57" s="1"/>
  <c r="F41" i="57"/>
  <c r="F40" i="57" s="1"/>
  <c r="E41" i="57"/>
  <c r="S40" i="57"/>
  <c r="H40" i="57"/>
  <c r="R39" i="57"/>
  <c r="P39" i="57"/>
  <c r="O39" i="57"/>
  <c r="J39" i="57"/>
  <c r="I39" i="57"/>
  <c r="H39" i="57"/>
  <c r="T38" i="57"/>
  <c r="S36" i="57"/>
  <c r="Q36" i="57"/>
  <c r="Q35" i="57" s="1"/>
  <c r="Q32" i="57" s="1"/>
  <c r="O36" i="57"/>
  <c r="O35" i="57" s="1"/>
  <c r="N36" i="57"/>
  <c r="M36" i="57"/>
  <c r="M35" i="57" s="1"/>
  <c r="L36" i="57"/>
  <c r="L35" i="57" s="1"/>
  <c r="L32" i="57" s="1"/>
  <c r="K36" i="57"/>
  <c r="K35" i="57" s="1"/>
  <c r="J36" i="57"/>
  <c r="J35" i="57" s="1"/>
  <c r="I36" i="57"/>
  <c r="H36" i="57"/>
  <c r="G36" i="57"/>
  <c r="F36" i="57"/>
  <c r="E36" i="57"/>
  <c r="S35" i="57"/>
  <c r="R35" i="57"/>
  <c r="P35" i="57"/>
  <c r="N35" i="57"/>
  <c r="I35" i="57"/>
  <c r="H35" i="57"/>
  <c r="G35" i="57"/>
  <c r="F35" i="57"/>
  <c r="E35" i="57"/>
  <c r="T35" i="57" s="1"/>
  <c r="S34" i="57"/>
  <c r="S74" i="57" s="1"/>
  <c r="R34" i="57"/>
  <c r="P34" i="57"/>
  <c r="O34" i="57"/>
  <c r="O74" i="57" s="1"/>
  <c r="N34" i="57"/>
  <c r="N74" i="57" s="1"/>
  <c r="M34" i="57"/>
  <c r="L34" i="57"/>
  <c r="K34" i="57"/>
  <c r="K74" i="57" s="1"/>
  <c r="I34" i="57"/>
  <c r="I74" i="57" s="1"/>
  <c r="H34" i="57"/>
  <c r="G34" i="57"/>
  <c r="F34" i="57"/>
  <c r="F33" i="57" s="1"/>
  <c r="F32" i="57" s="1"/>
  <c r="E34" i="57"/>
  <c r="S33" i="57"/>
  <c r="S32" i="57" s="1"/>
  <c r="Q33" i="57"/>
  <c r="O33" i="57"/>
  <c r="N33" i="57"/>
  <c r="N32" i="57" s="1"/>
  <c r="M33" i="57"/>
  <c r="L33" i="57"/>
  <c r="K33" i="57"/>
  <c r="K32" i="57" s="1"/>
  <c r="J33" i="57"/>
  <c r="J32" i="57" s="1"/>
  <c r="I33" i="57"/>
  <c r="I32" i="57" s="1"/>
  <c r="H33" i="57"/>
  <c r="H32" i="57" s="1"/>
  <c r="O32" i="57"/>
  <c r="T31" i="57"/>
  <c r="S30" i="57"/>
  <c r="S25" i="57" s="1"/>
  <c r="S23" i="57" s="1"/>
  <c r="R30" i="57"/>
  <c r="Q30" i="57"/>
  <c r="O30" i="57"/>
  <c r="N30" i="57"/>
  <c r="N50" i="57" s="1"/>
  <c r="N49" i="57" s="1"/>
  <c r="M30" i="57"/>
  <c r="M15" i="57" s="1"/>
  <c r="M13" i="57" s="1"/>
  <c r="L30" i="57"/>
  <c r="L50" i="57" s="1"/>
  <c r="L49" i="57" s="1"/>
  <c r="K30" i="57"/>
  <c r="K50" i="57" s="1"/>
  <c r="J30" i="57"/>
  <c r="I30" i="57"/>
  <c r="H30" i="57"/>
  <c r="H25" i="57" s="1"/>
  <c r="G30" i="57"/>
  <c r="F30" i="57"/>
  <c r="F29" i="57" s="1"/>
  <c r="F28" i="57" s="1"/>
  <c r="E30" i="57"/>
  <c r="S29" i="57"/>
  <c r="S28" i="57" s="1"/>
  <c r="P29" i="57"/>
  <c r="N29" i="57"/>
  <c r="N28" i="57" s="1"/>
  <c r="M29" i="57"/>
  <c r="L29" i="57"/>
  <c r="K29" i="57"/>
  <c r="I29" i="57"/>
  <c r="I28" i="57" s="1"/>
  <c r="H29" i="57"/>
  <c r="H28" i="57" s="1"/>
  <c r="G29" i="57"/>
  <c r="G28" i="57" s="1"/>
  <c r="P28" i="57"/>
  <c r="M28" i="57"/>
  <c r="L28" i="57"/>
  <c r="K28" i="57"/>
  <c r="S27" i="57"/>
  <c r="P27" i="57"/>
  <c r="P26" i="57" s="1"/>
  <c r="O27" i="57"/>
  <c r="O26" i="57" s="1"/>
  <c r="N27" i="57"/>
  <c r="M27" i="57"/>
  <c r="L27" i="57"/>
  <c r="K27" i="57"/>
  <c r="J27" i="57"/>
  <c r="J26" i="57" s="1"/>
  <c r="H27" i="57"/>
  <c r="F27" i="57"/>
  <c r="F26" i="57" s="1"/>
  <c r="S26" i="57"/>
  <c r="N26" i="57"/>
  <c r="M26" i="57"/>
  <c r="L26" i="57"/>
  <c r="K26" i="57"/>
  <c r="H26" i="57"/>
  <c r="P25" i="57"/>
  <c r="O25" i="57"/>
  <c r="N25" i="57"/>
  <c r="M25" i="57"/>
  <c r="L25" i="57"/>
  <c r="L23" i="57" s="1"/>
  <c r="K25" i="57"/>
  <c r="F25" i="57"/>
  <c r="S24" i="57"/>
  <c r="P24" i="57"/>
  <c r="P23" i="57" s="1"/>
  <c r="N24" i="57"/>
  <c r="M24" i="57"/>
  <c r="L24" i="57"/>
  <c r="K24" i="57"/>
  <c r="J24" i="57"/>
  <c r="I24" i="57"/>
  <c r="H24" i="57"/>
  <c r="F24" i="57"/>
  <c r="N23" i="57"/>
  <c r="M23" i="57"/>
  <c r="K23" i="57"/>
  <c r="H23" i="57"/>
  <c r="R22" i="57"/>
  <c r="P22" i="57"/>
  <c r="N22" i="57"/>
  <c r="M22" i="57"/>
  <c r="L22" i="57"/>
  <c r="K22" i="57"/>
  <c r="K21" i="57" s="1"/>
  <c r="F22" i="57"/>
  <c r="E22" i="57"/>
  <c r="P21" i="57"/>
  <c r="R20" i="57"/>
  <c r="H20" i="57"/>
  <c r="G20" i="57"/>
  <c r="F20" i="57"/>
  <c r="T20" i="57" s="1"/>
  <c r="E20" i="57"/>
  <c r="S19" i="57"/>
  <c r="S16" i="57" s="1"/>
  <c r="R19" i="57"/>
  <c r="Q19" i="57"/>
  <c r="Q16" i="57" s="1"/>
  <c r="N19" i="57"/>
  <c r="K19" i="57"/>
  <c r="J19" i="57"/>
  <c r="J16" i="57" s="1"/>
  <c r="H19" i="57"/>
  <c r="H16" i="57" s="1"/>
  <c r="G19" i="57"/>
  <c r="G16" i="57" s="1"/>
  <c r="F19" i="57"/>
  <c r="F16" i="57" s="1"/>
  <c r="E19" i="57"/>
  <c r="E16" i="57" s="1"/>
  <c r="T18" i="57"/>
  <c r="T17" i="57"/>
  <c r="N16" i="57"/>
  <c r="K16" i="57"/>
  <c r="S15" i="57"/>
  <c r="R15" i="57"/>
  <c r="P15" i="57"/>
  <c r="N15" i="57"/>
  <c r="L15" i="57"/>
  <c r="K15" i="57"/>
  <c r="I15" i="57"/>
  <c r="H15" i="57"/>
  <c r="F15" i="57"/>
  <c r="E15" i="57"/>
  <c r="S14" i="57"/>
  <c r="S13" i="57" s="1"/>
  <c r="P14" i="57"/>
  <c r="N14" i="57"/>
  <c r="M14" i="57"/>
  <c r="L14" i="57"/>
  <c r="K14" i="57"/>
  <c r="J14" i="57"/>
  <c r="I14" i="57"/>
  <c r="H14" i="57"/>
  <c r="F14" i="57"/>
  <c r="F13" i="57" s="1"/>
  <c r="P13" i="57"/>
  <c r="N13" i="57"/>
  <c r="L13" i="57"/>
  <c r="K13" i="57"/>
  <c r="S12" i="57"/>
  <c r="S11" i="57" s="1"/>
  <c r="S9" i="57" s="1"/>
  <c r="R12" i="57"/>
  <c r="Q12" i="57"/>
  <c r="Q11" i="57" s="1"/>
  <c r="O12" i="57"/>
  <c r="O11" i="57" s="1"/>
  <c r="N12" i="57"/>
  <c r="N11" i="57" s="1"/>
  <c r="N9" i="57" s="1"/>
  <c r="L12" i="57"/>
  <c r="I12" i="57"/>
  <c r="H12" i="57"/>
  <c r="G12" i="57"/>
  <c r="G11" i="57" s="1"/>
  <c r="G9" i="57" s="1"/>
  <c r="F12" i="57"/>
  <c r="E12" i="57"/>
  <c r="E11" i="57" s="1"/>
  <c r="R11" i="57"/>
  <c r="R9" i="57" s="1"/>
  <c r="L11" i="57"/>
  <c r="I11" i="57"/>
  <c r="H11" i="57"/>
  <c r="F11" i="57"/>
  <c r="S10" i="57"/>
  <c r="R10" i="57"/>
  <c r="Q10" i="57"/>
  <c r="Q9" i="57" s="1"/>
  <c r="P10" i="57"/>
  <c r="P9" i="57" s="1"/>
  <c r="O10" i="57"/>
  <c r="N10" i="57"/>
  <c r="M10" i="57"/>
  <c r="L10" i="57"/>
  <c r="L9" i="57" s="1"/>
  <c r="K10" i="57"/>
  <c r="J10" i="57"/>
  <c r="I10" i="57"/>
  <c r="H10" i="57"/>
  <c r="G10" i="57"/>
  <c r="F10" i="57"/>
  <c r="E10" i="57"/>
  <c r="O9" i="57"/>
  <c r="I9" i="57"/>
  <c r="H9" i="57"/>
  <c r="E9" i="57"/>
  <c r="S8" i="57"/>
  <c r="R8" i="57"/>
  <c r="Q8" i="57"/>
  <c r="P8" i="57"/>
  <c r="O8" i="57"/>
  <c r="N8" i="57"/>
  <c r="M8" i="57"/>
  <c r="L8" i="57"/>
  <c r="K8" i="57"/>
  <c r="J8" i="57"/>
  <c r="I8" i="57"/>
  <c r="I6" i="57" s="1"/>
  <c r="H8" i="57"/>
  <c r="H6" i="57" s="1"/>
  <c r="G8" i="57"/>
  <c r="G6" i="57" s="1"/>
  <c r="F8" i="57"/>
  <c r="E8" i="57"/>
  <c r="S7" i="57"/>
  <c r="R7" i="57"/>
  <c r="Q7" i="57"/>
  <c r="P7" i="57"/>
  <c r="P6" i="57" s="1"/>
  <c r="O7" i="57"/>
  <c r="N7" i="57"/>
  <c r="N6" i="57" s="1"/>
  <c r="M7" i="57"/>
  <c r="L7" i="57"/>
  <c r="K7" i="57"/>
  <c r="K6" i="57" s="1"/>
  <c r="J7" i="57"/>
  <c r="I7" i="57"/>
  <c r="H7" i="57"/>
  <c r="G7" i="57"/>
  <c r="F7" i="57"/>
  <c r="E7" i="57"/>
  <c r="S6" i="57"/>
  <c r="R6" i="57"/>
  <c r="Q6" i="57"/>
  <c r="O6" i="57"/>
  <c r="F6" i="57"/>
  <c r="E6" i="57"/>
  <c r="N72" i="58"/>
  <c r="N71" i="58"/>
  <c r="N70" i="58"/>
  <c r="N69" i="58"/>
  <c r="N68" i="58"/>
  <c r="N67" i="58"/>
  <c r="N66" i="58"/>
  <c r="M65" i="58"/>
  <c r="L65" i="58"/>
  <c r="K65" i="58"/>
  <c r="J65" i="58"/>
  <c r="I65" i="58"/>
  <c r="H65" i="58"/>
  <c r="G65" i="58"/>
  <c r="F65" i="58"/>
  <c r="E65" i="58"/>
  <c r="N64" i="58"/>
  <c r="N63" i="58"/>
  <c r="N62" i="58"/>
  <c r="N61" i="58"/>
  <c r="M60" i="58"/>
  <c r="L60" i="58"/>
  <c r="K60" i="58"/>
  <c r="K12" i="58" s="1"/>
  <c r="J60" i="58"/>
  <c r="J19" i="58" s="1"/>
  <c r="J16" i="58" s="1"/>
  <c r="I60" i="58"/>
  <c r="H60" i="58"/>
  <c r="G60" i="58"/>
  <c r="G19" i="58" s="1"/>
  <c r="F60" i="58"/>
  <c r="E60" i="58"/>
  <c r="N59" i="58"/>
  <c r="N58" i="58"/>
  <c r="M57" i="58"/>
  <c r="L57" i="58"/>
  <c r="K57" i="58"/>
  <c r="J57" i="58"/>
  <c r="I57" i="58"/>
  <c r="H57" i="58"/>
  <c r="G57" i="58"/>
  <c r="F57" i="58"/>
  <c r="E57" i="58"/>
  <c r="N56" i="58"/>
  <c r="M55" i="58"/>
  <c r="L55" i="58"/>
  <c r="K55" i="58"/>
  <c r="J55" i="58"/>
  <c r="I55" i="58"/>
  <c r="H55" i="58"/>
  <c r="G55" i="58"/>
  <c r="F55" i="58"/>
  <c r="E55" i="58"/>
  <c r="M54" i="58"/>
  <c r="L54" i="58"/>
  <c r="L53" i="58" s="1"/>
  <c r="K54" i="58"/>
  <c r="K53" i="58" s="1"/>
  <c r="J54" i="58"/>
  <c r="I54" i="58"/>
  <c r="I53" i="58" s="1"/>
  <c r="H54" i="58"/>
  <c r="H53" i="58" s="1"/>
  <c r="G54" i="58"/>
  <c r="F54" i="58"/>
  <c r="E54" i="58"/>
  <c r="M53" i="58"/>
  <c r="J53" i="58"/>
  <c r="G53" i="58"/>
  <c r="F53" i="58"/>
  <c r="E53" i="58"/>
  <c r="N53" i="58" s="1"/>
  <c r="N52" i="58"/>
  <c r="L52" i="58"/>
  <c r="L51" i="58" s="1"/>
  <c r="M51" i="58"/>
  <c r="K51" i="58"/>
  <c r="J51" i="58"/>
  <c r="I51" i="58"/>
  <c r="H51" i="58"/>
  <c r="G51" i="58"/>
  <c r="N51" i="58" s="1"/>
  <c r="F51" i="58"/>
  <c r="E51" i="58"/>
  <c r="M50" i="58"/>
  <c r="M49" i="58" s="1"/>
  <c r="L50" i="58"/>
  <c r="L49" i="58" s="1"/>
  <c r="K50" i="58"/>
  <c r="J50" i="58"/>
  <c r="I50" i="58"/>
  <c r="H50" i="58"/>
  <c r="G50" i="58"/>
  <c r="G49" i="58" s="1"/>
  <c r="F50" i="58"/>
  <c r="E50" i="58"/>
  <c r="K49" i="58"/>
  <c r="J49" i="58"/>
  <c r="I49" i="58"/>
  <c r="H49" i="58"/>
  <c r="F49" i="58"/>
  <c r="M48" i="58"/>
  <c r="L48" i="58"/>
  <c r="K48" i="58"/>
  <c r="J48" i="58"/>
  <c r="I48" i="58"/>
  <c r="H48" i="58"/>
  <c r="H46" i="58" s="1"/>
  <c r="G48" i="58"/>
  <c r="F48" i="58"/>
  <c r="E48" i="58"/>
  <c r="M47" i="58"/>
  <c r="M46" i="58" s="1"/>
  <c r="K47" i="58"/>
  <c r="K46" i="58" s="1"/>
  <c r="J47" i="58"/>
  <c r="I47" i="58"/>
  <c r="H47" i="58"/>
  <c r="G47" i="58"/>
  <c r="G46" i="58" s="1"/>
  <c r="F47" i="58"/>
  <c r="F46" i="58" s="1"/>
  <c r="I46" i="58"/>
  <c r="M45" i="58"/>
  <c r="M44" i="58" s="1"/>
  <c r="L45" i="58"/>
  <c r="L44" i="58" s="1"/>
  <c r="K45" i="58"/>
  <c r="J45" i="58"/>
  <c r="I45" i="58"/>
  <c r="I44" i="58" s="1"/>
  <c r="H45" i="58"/>
  <c r="G45" i="58"/>
  <c r="F45" i="58"/>
  <c r="F44" i="58" s="1"/>
  <c r="E45" i="58"/>
  <c r="K44" i="58"/>
  <c r="J44" i="58"/>
  <c r="H44" i="58"/>
  <c r="E44" i="58"/>
  <c r="M43" i="58"/>
  <c r="L43" i="58"/>
  <c r="K43" i="58"/>
  <c r="J43" i="58"/>
  <c r="I43" i="58"/>
  <c r="H43" i="58"/>
  <c r="G43" i="58"/>
  <c r="F43" i="58"/>
  <c r="E43" i="58"/>
  <c r="E42" i="58" s="1"/>
  <c r="M42" i="58"/>
  <c r="K42" i="58"/>
  <c r="J42" i="58"/>
  <c r="I42" i="58"/>
  <c r="H42" i="58"/>
  <c r="G42" i="58"/>
  <c r="F42" i="58"/>
  <c r="M41" i="58"/>
  <c r="M40" i="58" s="1"/>
  <c r="K41" i="58"/>
  <c r="K40" i="58" s="1"/>
  <c r="J41" i="58"/>
  <c r="J40" i="58" s="1"/>
  <c r="I41" i="58"/>
  <c r="I40" i="58" s="1"/>
  <c r="H41" i="58"/>
  <c r="H40" i="58" s="1"/>
  <c r="G41" i="58"/>
  <c r="G40" i="58" s="1"/>
  <c r="F41" i="58"/>
  <c r="F40" i="58" s="1"/>
  <c r="F37" i="58" s="1"/>
  <c r="N39" i="58"/>
  <c r="N38" i="58"/>
  <c r="I37" i="58"/>
  <c r="N36" i="58"/>
  <c r="E36" i="58"/>
  <c r="E35" i="58" s="1"/>
  <c r="N35" i="58"/>
  <c r="M35" i="58"/>
  <c r="L35" i="58"/>
  <c r="K35" i="58"/>
  <c r="J35" i="58"/>
  <c r="I35" i="58"/>
  <c r="H35" i="58"/>
  <c r="G35" i="58"/>
  <c r="F35" i="58"/>
  <c r="N34" i="58"/>
  <c r="E34" i="58"/>
  <c r="E33" i="58" s="1"/>
  <c r="E32" i="58" s="1"/>
  <c r="M33" i="58"/>
  <c r="L33" i="58"/>
  <c r="K33" i="58"/>
  <c r="K32" i="58" s="1"/>
  <c r="J33" i="58"/>
  <c r="I33" i="58"/>
  <c r="H33" i="58"/>
  <c r="H32" i="58" s="1"/>
  <c r="G33" i="58"/>
  <c r="F33" i="58"/>
  <c r="M32" i="58"/>
  <c r="L32" i="58"/>
  <c r="J32" i="58"/>
  <c r="G32" i="58"/>
  <c r="F32" i="58"/>
  <c r="N31" i="58"/>
  <c r="E30" i="58"/>
  <c r="E22" i="58" s="1"/>
  <c r="M29" i="58"/>
  <c r="M28" i="58" s="1"/>
  <c r="L29" i="58"/>
  <c r="K29" i="58"/>
  <c r="K28" i="58" s="1"/>
  <c r="J29" i="58"/>
  <c r="J28" i="58" s="1"/>
  <c r="I29" i="58"/>
  <c r="H29" i="58"/>
  <c r="G29" i="58"/>
  <c r="G28" i="58" s="1"/>
  <c r="F29" i="58"/>
  <c r="F28" i="58" s="1"/>
  <c r="E29" i="58"/>
  <c r="N29" i="58" s="1"/>
  <c r="L28" i="58"/>
  <c r="I28" i="58"/>
  <c r="H28" i="58"/>
  <c r="E28" i="58"/>
  <c r="M27" i="58"/>
  <c r="L27" i="58"/>
  <c r="L26" i="58" s="1"/>
  <c r="K27" i="58"/>
  <c r="J27" i="58"/>
  <c r="I27" i="58"/>
  <c r="H27" i="58"/>
  <c r="G27" i="58"/>
  <c r="G26" i="58" s="1"/>
  <c r="F27" i="58"/>
  <c r="F26" i="58" s="1"/>
  <c r="M26" i="58"/>
  <c r="K26" i="58"/>
  <c r="J26" i="58"/>
  <c r="I26" i="58"/>
  <c r="H26" i="58"/>
  <c r="M25" i="58"/>
  <c r="L25" i="58"/>
  <c r="K25" i="58"/>
  <c r="K23" i="58" s="1"/>
  <c r="K21" i="58" s="1"/>
  <c r="J25" i="58"/>
  <c r="I25" i="58"/>
  <c r="H25" i="58"/>
  <c r="G25" i="58"/>
  <c r="F25" i="58"/>
  <c r="E25" i="58"/>
  <c r="M24" i="58"/>
  <c r="L24" i="58"/>
  <c r="L23" i="58" s="1"/>
  <c r="K24" i="58"/>
  <c r="J24" i="58"/>
  <c r="J23" i="58" s="1"/>
  <c r="J21" i="58" s="1"/>
  <c r="I24" i="58"/>
  <c r="H24" i="58"/>
  <c r="H23" i="58" s="1"/>
  <c r="G24" i="58"/>
  <c r="G23" i="58" s="1"/>
  <c r="G21" i="58" s="1"/>
  <c r="F24" i="58"/>
  <c r="F23" i="58" s="1"/>
  <c r="F21" i="58" s="1"/>
  <c r="E24" i="58"/>
  <c r="M23" i="58"/>
  <c r="M22" i="58"/>
  <c r="L22" i="58"/>
  <c r="K22" i="58"/>
  <c r="J22" i="58"/>
  <c r="I22" i="58"/>
  <c r="H22" i="58"/>
  <c r="G22" i="58"/>
  <c r="F22" i="58"/>
  <c r="L21" i="58"/>
  <c r="K20" i="58"/>
  <c r="M19" i="58"/>
  <c r="M16" i="58" s="1"/>
  <c r="L19" i="58"/>
  <c r="K19" i="58"/>
  <c r="K16" i="58" s="1"/>
  <c r="I19" i="58"/>
  <c r="H19" i="58"/>
  <c r="F19" i="58"/>
  <c r="F16" i="58" s="1"/>
  <c r="E19" i="58"/>
  <c r="N18" i="58"/>
  <c r="N17" i="58"/>
  <c r="I16" i="58"/>
  <c r="H16" i="58"/>
  <c r="M15" i="58"/>
  <c r="L15" i="58"/>
  <c r="K15" i="58"/>
  <c r="J15" i="58"/>
  <c r="I15" i="58"/>
  <c r="H15" i="58"/>
  <c r="G15" i="58"/>
  <c r="F15" i="58"/>
  <c r="F13" i="58" s="1"/>
  <c r="M14" i="58"/>
  <c r="L14" i="58"/>
  <c r="K14" i="58"/>
  <c r="J14" i="58"/>
  <c r="I14" i="58"/>
  <c r="H14" i="58"/>
  <c r="G14" i="58"/>
  <c r="F14" i="58"/>
  <c r="E14" i="58"/>
  <c r="L13" i="58"/>
  <c r="K13" i="58"/>
  <c r="I13" i="58"/>
  <c r="H13" i="58"/>
  <c r="G13" i="58"/>
  <c r="M12" i="58"/>
  <c r="J12" i="58"/>
  <c r="J11" i="58" s="1"/>
  <c r="I12" i="58"/>
  <c r="I11" i="58" s="1"/>
  <c r="I9" i="58" s="1"/>
  <c r="H12" i="58"/>
  <c r="H11" i="58" s="1"/>
  <c r="H9" i="58" s="1"/>
  <c r="G12" i="58"/>
  <c r="G11" i="58" s="1"/>
  <c r="G9" i="58" s="1"/>
  <c r="F12" i="58"/>
  <c r="F11" i="58" s="1"/>
  <c r="F9" i="58" s="1"/>
  <c r="M11" i="58"/>
  <c r="M9" i="58" s="1"/>
  <c r="K11" i="58"/>
  <c r="N10" i="58"/>
  <c r="K9" i="63" s="1"/>
  <c r="E10" i="58"/>
  <c r="K9" i="58"/>
  <c r="K5" i="58" s="1"/>
  <c r="J9" i="58"/>
  <c r="N8" i="58"/>
  <c r="E8" i="58"/>
  <c r="N7" i="58"/>
  <c r="E7" i="58"/>
  <c r="E6" i="58" s="1"/>
  <c r="M6" i="58"/>
  <c r="L6" i="58"/>
  <c r="K6" i="58"/>
  <c r="J6" i="58"/>
  <c r="I6" i="58"/>
  <c r="H6" i="58"/>
  <c r="G6" i="58"/>
  <c r="F6" i="58"/>
  <c r="P74" i="59"/>
  <c r="O74" i="59"/>
  <c r="N74" i="59"/>
  <c r="M74" i="59"/>
  <c r="L74" i="59"/>
  <c r="K74" i="59"/>
  <c r="J74" i="59"/>
  <c r="I74" i="59"/>
  <c r="H74" i="59"/>
  <c r="G74" i="59"/>
  <c r="F74" i="59"/>
  <c r="E74" i="59"/>
  <c r="Q72" i="59"/>
  <c r="Q71" i="59"/>
  <c r="Q70" i="59"/>
  <c r="Q74" i="59" s="1"/>
  <c r="Q69" i="59"/>
  <c r="Q68" i="59"/>
  <c r="Q67" i="59"/>
  <c r="Q66" i="59"/>
  <c r="P65" i="59"/>
  <c r="O65" i="59"/>
  <c r="N65" i="59"/>
  <c r="M65" i="59"/>
  <c r="L65" i="59"/>
  <c r="K65" i="59"/>
  <c r="J65" i="59"/>
  <c r="I65" i="59"/>
  <c r="H65" i="59"/>
  <c r="G65" i="59"/>
  <c r="F65" i="59"/>
  <c r="E65" i="59"/>
  <c r="Q64" i="59"/>
  <c r="Q63" i="59"/>
  <c r="Q62" i="59"/>
  <c r="Q61" i="59"/>
  <c r="P60" i="59"/>
  <c r="P41" i="59" s="1"/>
  <c r="P40" i="59" s="1"/>
  <c r="O60" i="59"/>
  <c r="O12" i="59" s="1"/>
  <c r="O11" i="59" s="1"/>
  <c r="O9" i="59" s="1"/>
  <c r="N60" i="59"/>
  <c r="N19" i="59" s="1"/>
  <c r="N16" i="59" s="1"/>
  <c r="M60" i="59"/>
  <c r="L60" i="59"/>
  <c r="K60" i="59"/>
  <c r="J60" i="59"/>
  <c r="I60" i="59"/>
  <c r="H60" i="59"/>
  <c r="G60" i="59"/>
  <c r="F60" i="59"/>
  <c r="F47" i="59" s="1"/>
  <c r="F46" i="59" s="1"/>
  <c r="E60" i="59"/>
  <c r="E41" i="59" s="1"/>
  <c r="Q59" i="59"/>
  <c r="Q58" i="59"/>
  <c r="P57" i="59"/>
  <c r="O57" i="59"/>
  <c r="N57" i="59"/>
  <c r="M57" i="59"/>
  <c r="L57" i="59"/>
  <c r="K57" i="59"/>
  <c r="J57" i="59"/>
  <c r="I57" i="59"/>
  <c r="H57" i="59"/>
  <c r="G57" i="59"/>
  <c r="F57" i="59"/>
  <c r="E57" i="59"/>
  <c r="Q57" i="59" s="1"/>
  <c r="J56" i="63" s="1"/>
  <c r="Q56" i="59"/>
  <c r="P55" i="59"/>
  <c r="O55" i="59"/>
  <c r="N55" i="59"/>
  <c r="M55" i="59"/>
  <c r="L55" i="59"/>
  <c r="K55" i="59"/>
  <c r="J55" i="59"/>
  <c r="I55" i="59"/>
  <c r="H55" i="59"/>
  <c r="G55" i="59"/>
  <c r="F55" i="59"/>
  <c r="E55" i="59"/>
  <c r="P54" i="59"/>
  <c r="O54" i="59"/>
  <c r="N54" i="59"/>
  <c r="M54" i="59"/>
  <c r="L54" i="59"/>
  <c r="K54" i="59"/>
  <c r="J54" i="59"/>
  <c r="I54" i="59"/>
  <c r="H54" i="59"/>
  <c r="G54" i="59"/>
  <c r="F54" i="59"/>
  <c r="E54" i="59"/>
  <c r="E53" i="59" s="1"/>
  <c r="P53" i="59"/>
  <c r="O53" i="59"/>
  <c r="N53" i="59"/>
  <c r="M53" i="59"/>
  <c r="L53" i="59"/>
  <c r="K53" i="59"/>
  <c r="J53" i="59"/>
  <c r="I53" i="59"/>
  <c r="H53" i="59"/>
  <c r="G53" i="59"/>
  <c r="F53" i="59"/>
  <c r="Q52" i="59"/>
  <c r="F52" i="59"/>
  <c r="P51" i="59"/>
  <c r="O51" i="59"/>
  <c r="N51" i="59"/>
  <c r="M51" i="59"/>
  <c r="L51" i="59"/>
  <c r="K51" i="59"/>
  <c r="J51" i="59"/>
  <c r="I51" i="59"/>
  <c r="H51" i="59"/>
  <c r="G51" i="59"/>
  <c r="F51" i="59"/>
  <c r="E51" i="59"/>
  <c r="Q51" i="59" s="1"/>
  <c r="P50" i="59"/>
  <c r="P49" i="59" s="1"/>
  <c r="O50" i="59"/>
  <c r="O49" i="59" s="1"/>
  <c r="N50" i="59"/>
  <c r="M50" i="59"/>
  <c r="L50" i="59"/>
  <c r="K50" i="59"/>
  <c r="K49" i="59" s="1"/>
  <c r="J50" i="59"/>
  <c r="J49" i="59" s="1"/>
  <c r="I50" i="59"/>
  <c r="H50" i="59"/>
  <c r="H49" i="59" s="1"/>
  <c r="G50" i="59"/>
  <c r="F50" i="59"/>
  <c r="F49" i="59" s="1"/>
  <c r="E50" i="59"/>
  <c r="Q50" i="59" s="1"/>
  <c r="Q49" i="59"/>
  <c r="N49" i="59"/>
  <c r="M49" i="59"/>
  <c r="L49" i="59"/>
  <c r="I49" i="59"/>
  <c r="G49" i="59"/>
  <c r="E49" i="59"/>
  <c r="P48" i="59"/>
  <c r="O48" i="59"/>
  <c r="N48" i="59"/>
  <c r="M48" i="59"/>
  <c r="L48" i="59"/>
  <c r="K48" i="59"/>
  <c r="J48" i="59"/>
  <c r="J46" i="59" s="1"/>
  <c r="I48" i="59"/>
  <c r="H48" i="59"/>
  <c r="G48" i="59"/>
  <c r="F48" i="59"/>
  <c r="E48" i="59"/>
  <c r="E46" i="59" s="1"/>
  <c r="P47" i="59"/>
  <c r="O47" i="59"/>
  <c r="N47" i="59"/>
  <c r="N46" i="59" s="1"/>
  <c r="M47" i="59"/>
  <c r="M46" i="59" s="1"/>
  <c r="M37" i="59" s="1"/>
  <c r="L47" i="59"/>
  <c r="K47" i="59"/>
  <c r="K46" i="59" s="1"/>
  <c r="J47" i="59"/>
  <c r="I47" i="59"/>
  <c r="I46" i="59" s="1"/>
  <c r="H47" i="59"/>
  <c r="G47" i="59"/>
  <c r="E47" i="59"/>
  <c r="P46" i="59"/>
  <c r="O46" i="59"/>
  <c r="L46" i="59"/>
  <c r="H46" i="59"/>
  <c r="G46" i="59"/>
  <c r="P45" i="59"/>
  <c r="P44" i="59" s="1"/>
  <c r="O45" i="59"/>
  <c r="O44" i="59" s="1"/>
  <c r="N45" i="59"/>
  <c r="M45" i="59"/>
  <c r="M44" i="59" s="1"/>
  <c r="L45" i="59"/>
  <c r="K45" i="59"/>
  <c r="K44" i="59" s="1"/>
  <c r="J45" i="59"/>
  <c r="I45" i="59"/>
  <c r="I44" i="59" s="1"/>
  <c r="H45" i="59"/>
  <c r="H44" i="59" s="1"/>
  <c r="G45" i="59"/>
  <c r="F45" i="59"/>
  <c r="E45" i="59"/>
  <c r="E44" i="59" s="1"/>
  <c r="Q44" i="59" s="1"/>
  <c r="J43" i="63" s="1"/>
  <c r="N44" i="59"/>
  <c r="L44" i="59"/>
  <c r="J44" i="59"/>
  <c r="G44" i="59"/>
  <c r="F44" i="59"/>
  <c r="P43" i="59"/>
  <c r="O43" i="59"/>
  <c r="O42" i="59" s="1"/>
  <c r="N43" i="59"/>
  <c r="M43" i="59"/>
  <c r="M42" i="59" s="1"/>
  <c r="L43" i="59"/>
  <c r="K43" i="59"/>
  <c r="J43" i="59"/>
  <c r="J42" i="59" s="1"/>
  <c r="I43" i="59"/>
  <c r="H43" i="59"/>
  <c r="G43" i="59"/>
  <c r="G42" i="59" s="1"/>
  <c r="F43" i="59"/>
  <c r="F42" i="59" s="1"/>
  <c r="E43" i="59"/>
  <c r="P42" i="59"/>
  <c r="N42" i="59"/>
  <c r="L42" i="59"/>
  <c r="L37" i="59" s="1"/>
  <c r="K42" i="59"/>
  <c r="I42" i="59"/>
  <c r="H42" i="59"/>
  <c r="M41" i="59"/>
  <c r="L41" i="59"/>
  <c r="L40" i="59" s="1"/>
  <c r="K41" i="59"/>
  <c r="J41" i="59"/>
  <c r="I41" i="59"/>
  <c r="H41" i="59"/>
  <c r="H40" i="59" s="1"/>
  <c r="M40" i="59"/>
  <c r="K40" i="59"/>
  <c r="J40" i="59"/>
  <c r="I40" i="59"/>
  <c r="H39" i="59"/>
  <c r="G39" i="59"/>
  <c r="Q39" i="59" s="1"/>
  <c r="L38" i="59"/>
  <c r="K38" i="59"/>
  <c r="J38" i="59"/>
  <c r="I38" i="59"/>
  <c r="H38" i="59"/>
  <c r="G38" i="59"/>
  <c r="Q36" i="59"/>
  <c r="P35" i="59"/>
  <c r="O35" i="59"/>
  <c r="O32" i="59" s="1"/>
  <c r="N35" i="59"/>
  <c r="N32" i="59" s="1"/>
  <c r="M35" i="59"/>
  <c r="L35" i="59"/>
  <c r="K35" i="59"/>
  <c r="J35" i="59"/>
  <c r="J32" i="59" s="1"/>
  <c r="I35" i="59"/>
  <c r="H35" i="59"/>
  <c r="G35" i="59"/>
  <c r="F35" i="59"/>
  <c r="E35" i="59"/>
  <c r="Q34" i="59"/>
  <c r="P33" i="59"/>
  <c r="P32" i="59" s="1"/>
  <c r="O33" i="59"/>
  <c r="N33" i="59"/>
  <c r="M33" i="59"/>
  <c r="M32" i="59" s="1"/>
  <c r="L33" i="59"/>
  <c r="L32" i="59" s="1"/>
  <c r="K33" i="59"/>
  <c r="J33" i="59"/>
  <c r="I33" i="59"/>
  <c r="I32" i="59" s="1"/>
  <c r="H33" i="59"/>
  <c r="G33" i="59"/>
  <c r="G32" i="59" s="1"/>
  <c r="F33" i="59"/>
  <c r="E33" i="59"/>
  <c r="H32" i="59"/>
  <c r="F32" i="59"/>
  <c r="E32" i="59"/>
  <c r="Q31" i="59"/>
  <c r="P30" i="59"/>
  <c r="O30" i="59"/>
  <c r="N30" i="59"/>
  <c r="N29" i="59"/>
  <c r="N28" i="59" s="1"/>
  <c r="M29" i="59"/>
  <c r="L29" i="59"/>
  <c r="K29" i="59"/>
  <c r="K28" i="59" s="1"/>
  <c r="J29" i="59"/>
  <c r="I29" i="59"/>
  <c r="H29" i="59"/>
  <c r="H28" i="59" s="1"/>
  <c r="G29" i="59"/>
  <c r="G28" i="59" s="1"/>
  <c r="F29" i="59"/>
  <c r="F28" i="59" s="1"/>
  <c r="E29" i="59"/>
  <c r="M28" i="59"/>
  <c r="L28" i="59"/>
  <c r="J28" i="59"/>
  <c r="I28" i="59"/>
  <c r="E28" i="59"/>
  <c r="N27" i="59"/>
  <c r="N26" i="59" s="1"/>
  <c r="M27" i="59"/>
  <c r="M26" i="59" s="1"/>
  <c r="L27" i="59"/>
  <c r="K27" i="59"/>
  <c r="J27" i="59"/>
  <c r="I27" i="59"/>
  <c r="I26" i="59" s="1"/>
  <c r="H27" i="59"/>
  <c r="H26" i="59" s="1"/>
  <c r="G27" i="59"/>
  <c r="F27" i="59"/>
  <c r="F26" i="59" s="1"/>
  <c r="E27" i="59"/>
  <c r="L26" i="59"/>
  <c r="K26" i="59"/>
  <c r="J26" i="59"/>
  <c r="G26" i="59"/>
  <c r="E26" i="59"/>
  <c r="P25" i="59"/>
  <c r="O25" i="59"/>
  <c r="N25" i="59"/>
  <c r="M25" i="59"/>
  <c r="L25" i="59"/>
  <c r="K25" i="59"/>
  <c r="J25" i="59"/>
  <c r="I25" i="59"/>
  <c r="H25" i="59"/>
  <c r="G25" i="59"/>
  <c r="F25" i="59"/>
  <c r="E25" i="59"/>
  <c r="Q25" i="59" s="1"/>
  <c r="N24" i="59"/>
  <c r="M24" i="59"/>
  <c r="L24" i="59"/>
  <c r="L23" i="59" s="1"/>
  <c r="L21" i="59" s="1"/>
  <c r="K24" i="59"/>
  <c r="K23" i="59" s="1"/>
  <c r="J24" i="59"/>
  <c r="I24" i="59"/>
  <c r="I23" i="59" s="1"/>
  <c r="H24" i="59"/>
  <c r="G24" i="59"/>
  <c r="G23" i="59" s="1"/>
  <c r="F24" i="59"/>
  <c r="E24" i="59"/>
  <c r="N23" i="59"/>
  <c r="M23" i="59"/>
  <c r="J23" i="59"/>
  <c r="H23" i="59"/>
  <c r="F23" i="59"/>
  <c r="E23" i="59"/>
  <c r="P22" i="59"/>
  <c r="O22" i="59"/>
  <c r="N22" i="59"/>
  <c r="N21" i="59" s="1"/>
  <c r="M22" i="59"/>
  <c r="M21" i="59" s="1"/>
  <c r="L22" i="59"/>
  <c r="K22" i="59"/>
  <c r="J22" i="59"/>
  <c r="I22" i="59"/>
  <c r="H22" i="59"/>
  <c r="G22" i="59"/>
  <c r="G21" i="59" s="1"/>
  <c r="F22" i="59"/>
  <c r="F21" i="59" s="1"/>
  <c r="E22" i="59"/>
  <c r="J21" i="59"/>
  <c r="H21" i="59"/>
  <c r="H20" i="59"/>
  <c r="E20" i="59"/>
  <c r="M19" i="59"/>
  <c r="M16" i="59" s="1"/>
  <c r="L19" i="59"/>
  <c r="K19" i="59"/>
  <c r="K16" i="59" s="1"/>
  <c r="J19" i="59"/>
  <c r="J16" i="59" s="1"/>
  <c r="I19" i="59"/>
  <c r="I16" i="59" s="1"/>
  <c r="H19" i="59"/>
  <c r="H16" i="59" s="1"/>
  <c r="Q18" i="59"/>
  <c r="Q17" i="59"/>
  <c r="L16" i="59"/>
  <c r="O15" i="59"/>
  <c r="N15" i="59"/>
  <c r="M15" i="59"/>
  <c r="L15" i="59"/>
  <c r="K15" i="59"/>
  <c r="J15" i="59"/>
  <c r="I15" i="59"/>
  <c r="H15" i="59"/>
  <c r="G15" i="59"/>
  <c r="F15" i="59"/>
  <c r="E15" i="59"/>
  <c r="P14" i="59"/>
  <c r="O14" i="59"/>
  <c r="O13" i="59" s="1"/>
  <c r="N14" i="59"/>
  <c r="N13" i="59" s="1"/>
  <c r="M14" i="59"/>
  <c r="M13" i="59" s="1"/>
  <c r="L14" i="59"/>
  <c r="K14" i="59"/>
  <c r="K13" i="59" s="1"/>
  <c r="J14" i="59"/>
  <c r="I14" i="59"/>
  <c r="I13" i="59" s="1"/>
  <c r="H14" i="59"/>
  <c r="G14" i="59"/>
  <c r="G13" i="59" s="1"/>
  <c r="F14" i="59"/>
  <c r="F13" i="59" s="1"/>
  <c r="E14" i="59"/>
  <c r="Q14" i="59" s="1"/>
  <c r="J13" i="63" s="1"/>
  <c r="L13" i="59"/>
  <c r="J13" i="59"/>
  <c r="H13" i="59"/>
  <c r="P12" i="59"/>
  <c r="P11" i="59" s="1"/>
  <c r="P9" i="59" s="1"/>
  <c r="M12" i="59"/>
  <c r="M11" i="59" s="1"/>
  <c r="M9" i="59" s="1"/>
  <c r="L12" i="59"/>
  <c r="K12" i="59"/>
  <c r="K11" i="59" s="1"/>
  <c r="K9" i="59" s="1"/>
  <c r="J12" i="59"/>
  <c r="I12" i="59"/>
  <c r="I11" i="59" s="1"/>
  <c r="I9" i="59" s="1"/>
  <c r="H12" i="59"/>
  <c r="H11" i="59" s="1"/>
  <c r="H9" i="59" s="1"/>
  <c r="F12" i="59"/>
  <c r="E12" i="59"/>
  <c r="L11" i="59"/>
  <c r="J11" i="59"/>
  <c r="J9" i="59" s="1"/>
  <c r="F11" i="59"/>
  <c r="F9" i="59" s="1"/>
  <c r="E11" i="59"/>
  <c r="E9" i="59" s="1"/>
  <c r="Q10" i="59"/>
  <c r="L9" i="59"/>
  <c r="P8" i="59"/>
  <c r="O8" i="59"/>
  <c r="N8" i="59"/>
  <c r="L8" i="59"/>
  <c r="Q8" i="59" s="1"/>
  <c r="J7" i="63" s="1"/>
  <c r="Q7" i="59"/>
  <c r="J6" i="63" s="1"/>
  <c r="P7" i="59"/>
  <c r="P6" i="59" s="1"/>
  <c r="O7" i="59"/>
  <c r="O6" i="59" s="1"/>
  <c r="N7" i="59"/>
  <c r="N6" i="59" s="1"/>
  <c r="L7" i="59"/>
  <c r="M6" i="59"/>
  <c r="K6" i="59"/>
  <c r="J6" i="59"/>
  <c r="I6" i="59"/>
  <c r="H6" i="59"/>
  <c r="G6" i="59"/>
  <c r="F6" i="59"/>
  <c r="E6" i="59"/>
  <c r="X74" i="61"/>
  <c r="V74" i="61"/>
  <c r="U74" i="61"/>
  <c r="T74" i="61"/>
  <c r="S74" i="61"/>
  <c r="R74" i="61"/>
  <c r="Q74" i="61"/>
  <c r="J74" i="61"/>
  <c r="I74" i="61"/>
  <c r="G74" i="61"/>
  <c r="F74" i="61"/>
  <c r="E74" i="61"/>
  <c r="Y72" i="61"/>
  <c r="Y71" i="61"/>
  <c r="Y70" i="61"/>
  <c r="Y69" i="61"/>
  <c r="Y68" i="61"/>
  <c r="Y67" i="61"/>
  <c r="Y66" i="61"/>
  <c r="X65" i="61"/>
  <c r="W65" i="61"/>
  <c r="V65" i="61"/>
  <c r="U65" i="61"/>
  <c r="T65" i="61"/>
  <c r="S65" i="61"/>
  <c r="R65" i="61"/>
  <c r="Q65" i="61"/>
  <c r="P65" i="61"/>
  <c r="O65" i="61"/>
  <c r="N65" i="61"/>
  <c r="M65" i="61"/>
  <c r="L65" i="61"/>
  <c r="K65" i="61"/>
  <c r="J65" i="61"/>
  <c r="I65" i="61"/>
  <c r="H65" i="61"/>
  <c r="G65" i="61"/>
  <c r="F65" i="61"/>
  <c r="E65" i="61"/>
  <c r="Y64" i="61"/>
  <c r="Y63" i="61"/>
  <c r="Y62" i="61"/>
  <c r="Y61" i="61"/>
  <c r="X60" i="61"/>
  <c r="W60" i="61"/>
  <c r="W41" i="61" s="1"/>
  <c r="W40" i="61" s="1"/>
  <c r="V60" i="61"/>
  <c r="U60" i="61"/>
  <c r="U47" i="61" s="1"/>
  <c r="T60" i="61"/>
  <c r="T47" i="61" s="1"/>
  <c r="S60" i="61"/>
  <c r="S47" i="61" s="1"/>
  <c r="R60" i="61"/>
  <c r="R47" i="61" s="1"/>
  <c r="Q60" i="61"/>
  <c r="P60" i="61"/>
  <c r="O60" i="61"/>
  <c r="N60" i="61"/>
  <c r="N41" i="61" s="1"/>
  <c r="M60" i="61"/>
  <c r="L60" i="61"/>
  <c r="L47" i="61" s="1"/>
  <c r="L46" i="61" s="1"/>
  <c r="K60" i="61"/>
  <c r="K41" i="61" s="1"/>
  <c r="K40" i="61" s="1"/>
  <c r="J60" i="61"/>
  <c r="I60" i="61"/>
  <c r="I47" i="61" s="1"/>
  <c r="I46" i="61" s="1"/>
  <c r="H60" i="61"/>
  <c r="H47" i="61" s="1"/>
  <c r="G60" i="61"/>
  <c r="G47" i="61" s="1"/>
  <c r="F60" i="61"/>
  <c r="F47" i="61" s="1"/>
  <c r="E60" i="61"/>
  <c r="Y59" i="61"/>
  <c r="Y58" i="61"/>
  <c r="X57" i="61"/>
  <c r="W57" i="61"/>
  <c r="V57" i="61"/>
  <c r="U57" i="61"/>
  <c r="T57" i="61"/>
  <c r="S57" i="61"/>
  <c r="R57" i="61"/>
  <c r="Q57" i="61"/>
  <c r="P57" i="61"/>
  <c r="O57" i="61"/>
  <c r="N57" i="61"/>
  <c r="M57" i="61"/>
  <c r="L57" i="61"/>
  <c r="K57" i="61"/>
  <c r="J57" i="61"/>
  <c r="I57" i="61"/>
  <c r="H57" i="61"/>
  <c r="G57" i="61"/>
  <c r="F57" i="61"/>
  <c r="E57" i="61"/>
  <c r="Y56" i="61"/>
  <c r="X55" i="61"/>
  <c r="W55" i="61"/>
  <c r="V55" i="61"/>
  <c r="U55" i="61"/>
  <c r="T55" i="61"/>
  <c r="S55" i="61"/>
  <c r="R55" i="61"/>
  <c r="Q55" i="61"/>
  <c r="P55" i="61"/>
  <c r="O55" i="61"/>
  <c r="N55" i="61"/>
  <c r="M55" i="61"/>
  <c r="L55" i="61"/>
  <c r="K55" i="61"/>
  <c r="J55" i="61"/>
  <c r="I55" i="61"/>
  <c r="H55" i="61"/>
  <c r="G55" i="61"/>
  <c r="F55" i="61"/>
  <c r="E55" i="61"/>
  <c r="X54" i="61"/>
  <c r="W54" i="61"/>
  <c r="V54" i="61"/>
  <c r="U54" i="61"/>
  <c r="T54" i="61"/>
  <c r="T53" i="61" s="1"/>
  <c r="S54" i="61"/>
  <c r="R54" i="61"/>
  <c r="R53" i="61" s="1"/>
  <c r="Q54" i="61"/>
  <c r="Q53" i="61" s="1"/>
  <c r="P54" i="61"/>
  <c r="P53" i="61" s="1"/>
  <c r="O54" i="61"/>
  <c r="O53" i="61" s="1"/>
  <c r="N54" i="61"/>
  <c r="N53" i="61" s="1"/>
  <c r="M54" i="61"/>
  <c r="M53" i="61" s="1"/>
  <c r="L54" i="61"/>
  <c r="K54" i="61"/>
  <c r="J54" i="61"/>
  <c r="I54" i="61"/>
  <c r="H54" i="61"/>
  <c r="H53" i="61" s="1"/>
  <c r="G54" i="61"/>
  <c r="F54" i="61"/>
  <c r="F53" i="61" s="1"/>
  <c r="E54" i="61"/>
  <c r="X53" i="61"/>
  <c r="W53" i="61"/>
  <c r="V53" i="61"/>
  <c r="U53" i="61"/>
  <c r="S53" i="61"/>
  <c r="L53" i="61"/>
  <c r="K53" i="61"/>
  <c r="J53" i="61"/>
  <c r="I53" i="61"/>
  <c r="G53" i="61"/>
  <c r="I52" i="61"/>
  <c r="I51" i="61" s="1"/>
  <c r="F52" i="61"/>
  <c r="X51" i="61"/>
  <c r="W51" i="61"/>
  <c r="V51" i="61"/>
  <c r="U51" i="61"/>
  <c r="T51" i="61"/>
  <c r="S51" i="61"/>
  <c r="R51" i="61"/>
  <c r="Q51" i="61"/>
  <c r="P51" i="61"/>
  <c r="O51" i="61"/>
  <c r="N51" i="61"/>
  <c r="M51" i="61"/>
  <c r="L51" i="61"/>
  <c r="K51" i="61"/>
  <c r="J51" i="61"/>
  <c r="H51" i="61"/>
  <c r="G51" i="61"/>
  <c r="E51" i="61"/>
  <c r="X50" i="61"/>
  <c r="X49" i="61" s="1"/>
  <c r="U50" i="61"/>
  <c r="U49" i="61" s="1"/>
  <c r="T50" i="61"/>
  <c r="T49" i="61" s="1"/>
  <c r="S50" i="61"/>
  <c r="S49" i="61" s="1"/>
  <c r="R50" i="61"/>
  <c r="Q50" i="61"/>
  <c r="M50" i="61"/>
  <c r="J50" i="61"/>
  <c r="J49" i="61" s="1"/>
  <c r="I50" i="61"/>
  <c r="G50" i="61"/>
  <c r="G49" i="61" s="1"/>
  <c r="E50" i="61"/>
  <c r="R49" i="61"/>
  <c r="Q49" i="61"/>
  <c r="P49" i="61"/>
  <c r="M49" i="61"/>
  <c r="I49" i="61"/>
  <c r="E49" i="61"/>
  <c r="X48" i="61"/>
  <c r="W48" i="61"/>
  <c r="V48" i="61"/>
  <c r="U48" i="61"/>
  <c r="T48" i="61"/>
  <c r="S48" i="61"/>
  <c r="R48" i="61"/>
  <c r="Q48" i="61"/>
  <c r="P48" i="61"/>
  <c r="P46" i="61" s="1"/>
  <c r="O48" i="61"/>
  <c r="N48" i="61"/>
  <c r="M48" i="61"/>
  <c r="L48" i="61"/>
  <c r="K48" i="61"/>
  <c r="J48" i="61"/>
  <c r="I48" i="61"/>
  <c r="H48" i="61"/>
  <c r="G48" i="61"/>
  <c r="F48" i="61"/>
  <c r="E48" i="61"/>
  <c r="Y48" i="61" s="1"/>
  <c r="V47" i="61"/>
  <c r="Q47" i="61"/>
  <c r="Q46" i="61" s="1"/>
  <c r="P47" i="61"/>
  <c r="O47" i="61"/>
  <c r="O46" i="61" s="1"/>
  <c r="N47" i="61"/>
  <c r="N46" i="61" s="1"/>
  <c r="M47" i="61"/>
  <c r="M46" i="61" s="1"/>
  <c r="J47" i="61"/>
  <c r="J46" i="61" s="1"/>
  <c r="E47" i="61"/>
  <c r="V46" i="61"/>
  <c r="U46" i="61"/>
  <c r="T46" i="61"/>
  <c r="S46" i="61"/>
  <c r="H46" i="61"/>
  <c r="X45" i="61"/>
  <c r="W45" i="61"/>
  <c r="W44" i="61" s="1"/>
  <c r="V45" i="61"/>
  <c r="U45" i="61"/>
  <c r="U44" i="61" s="1"/>
  <c r="T45" i="61"/>
  <c r="T44" i="61" s="1"/>
  <c r="S45" i="61"/>
  <c r="S44" i="61" s="1"/>
  <c r="R45" i="61"/>
  <c r="R44" i="61" s="1"/>
  <c r="Q45" i="61"/>
  <c r="Q44" i="61" s="1"/>
  <c r="P45" i="61"/>
  <c r="P44" i="61" s="1"/>
  <c r="O45" i="61"/>
  <c r="N45" i="61"/>
  <c r="M45" i="61"/>
  <c r="L45" i="61"/>
  <c r="K45" i="61"/>
  <c r="K44" i="61" s="1"/>
  <c r="J45" i="61"/>
  <c r="I45" i="61"/>
  <c r="I44" i="61" s="1"/>
  <c r="H45" i="61"/>
  <c r="H44" i="61" s="1"/>
  <c r="G45" i="61"/>
  <c r="G44" i="61" s="1"/>
  <c r="F45" i="61"/>
  <c r="F44" i="61" s="1"/>
  <c r="E45" i="61"/>
  <c r="E44" i="61" s="1"/>
  <c r="X44" i="61"/>
  <c r="V44" i="61"/>
  <c r="O44" i="61"/>
  <c r="N44" i="61"/>
  <c r="M44" i="61"/>
  <c r="M37" i="61" s="1"/>
  <c r="L44" i="61"/>
  <c r="J44" i="61"/>
  <c r="X43" i="61"/>
  <c r="W43" i="61"/>
  <c r="V43" i="61"/>
  <c r="U43" i="61"/>
  <c r="T43" i="61"/>
  <c r="S43" i="61"/>
  <c r="R43" i="61"/>
  <c r="Q43" i="61"/>
  <c r="Q42" i="61" s="1"/>
  <c r="P43" i="61"/>
  <c r="O43" i="61"/>
  <c r="O42" i="61" s="1"/>
  <c r="N43" i="61"/>
  <c r="N42" i="61" s="1"/>
  <c r="M43" i="61"/>
  <c r="M42" i="61" s="1"/>
  <c r="L43" i="61"/>
  <c r="L42" i="61" s="1"/>
  <c r="K43" i="61"/>
  <c r="J43" i="61"/>
  <c r="Y43" i="61" s="1"/>
  <c r="G42" i="63" s="1"/>
  <c r="I43" i="61"/>
  <c r="H43" i="61"/>
  <c r="G43" i="61"/>
  <c r="F43" i="61"/>
  <c r="E43" i="61"/>
  <c r="E42" i="61" s="1"/>
  <c r="X42" i="61"/>
  <c r="W42" i="61"/>
  <c r="V42" i="61"/>
  <c r="U42" i="61"/>
  <c r="T42" i="61"/>
  <c r="S42" i="61"/>
  <c r="R42" i="61"/>
  <c r="P42" i="61"/>
  <c r="K42" i="61"/>
  <c r="J42" i="61"/>
  <c r="I42" i="61"/>
  <c r="H42" i="61"/>
  <c r="G42" i="61"/>
  <c r="F42" i="61"/>
  <c r="V41" i="61"/>
  <c r="U41" i="61"/>
  <c r="U40" i="61" s="1"/>
  <c r="T41" i="61"/>
  <c r="T40" i="61" s="1"/>
  <c r="R41" i="61"/>
  <c r="R40" i="61" s="1"/>
  <c r="Q41" i="61"/>
  <c r="P41" i="61"/>
  <c r="P40" i="61" s="1"/>
  <c r="P37" i="61" s="1"/>
  <c r="O41" i="61"/>
  <c r="M41" i="61"/>
  <c r="J41" i="61"/>
  <c r="I41" i="61"/>
  <c r="I40" i="61" s="1"/>
  <c r="H41" i="61"/>
  <c r="H40" i="61" s="1"/>
  <c r="F41" i="61"/>
  <c r="F40" i="61" s="1"/>
  <c r="E41" i="61"/>
  <c r="V40" i="61"/>
  <c r="Q40" i="61"/>
  <c r="Q37" i="61" s="1"/>
  <c r="O40" i="61"/>
  <c r="N40" i="61"/>
  <c r="M40" i="61"/>
  <c r="J40" i="61"/>
  <c r="E40" i="61"/>
  <c r="Y39" i="61"/>
  <c r="Y38" i="61"/>
  <c r="Y36" i="61"/>
  <c r="W36" i="61"/>
  <c r="V36" i="61"/>
  <c r="U36" i="61"/>
  <c r="P36" i="61"/>
  <c r="P35" i="61" s="1"/>
  <c r="O36" i="61"/>
  <c r="N36" i="61"/>
  <c r="L36" i="61"/>
  <c r="K36" i="61"/>
  <c r="H36" i="61"/>
  <c r="F36" i="61"/>
  <c r="F35" i="61" s="1"/>
  <c r="Y35" i="61" s="1"/>
  <c r="G34" i="63" s="1"/>
  <c r="X35" i="61"/>
  <c r="W35" i="61"/>
  <c r="V35" i="61"/>
  <c r="U35" i="61"/>
  <c r="T35" i="61"/>
  <c r="S35" i="61"/>
  <c r="R35" i="61"/>
  <c r="Q35" i="61"/>
  <c r="O35" i="61"/>
  <c r="N35" i="61"/>
  <c r="M35" i="61"/>
  <c r="L35" i="61"/>
  <c r="K35" i="61"/>
  <c r="J35" i="61"/>
  <c r="I35" i="61"/>
  <c r="H35" i="61"/>
  <c r="G35" i="61"/>
  <c r="E35" i="61"/>
  <c r="W34" i="61"/>
  <c r="P34" i="61"/>
  <c r="P74" i="61" s="1"/>
  <c r="O34" i="61"/>
  <c r="N34" i="61"/>
  <c r="M34" i="61"/>
  <c r="L34" i="61"/>
  <c r="L74" i="61" s="1"/>
  <c r="K34" i="61"/>
  <c r="H34" i="61"/>
  <c r="H74" i="61" s="1"/>
  <c r="F34" i="61"/>
  <c r="X33" i="61"/>
  <c r="V33" i="61"/>
  <c r="V32" i="61" s="1"/>
  <c r="U33" i="61"/>
  <c r="T33" i="61"/>
  <c r="T32" i="61" s="1"/>
  <c r="S33" i="61"/>
  <c r="S32" i="61" s="1"/>
  <c r="R33" i="61"/>
  <c r="R32" i="61" s="1"/>
  <c r="Q33" i="61"/>
  <c r="Q32" i="61" s="1"/>
  <c r="P33" i="61"/>
  <c r="L33" i="61"/>
  <c r="L32" i="61" s="1"/>
  <c r="J33" i="61"/>
  <c r="J32" i="61" s="1"/>
  <c r="I33" i="61"/>
  <c r="H33" i="61"/>
  <c r="H32" i="61" s="1"/>
  <c r="G33" i="61"/>
  <c r="F33" i="61"/>
  <c r="F32" i="61" s="1"/>
  <c r="E33" i="61"/>
  <c r="X32" i="61"/>
  <c r="U32" i="61"/>
  <c r="P32" i="61"/>
  <c r="I32" i="61"/>
  <c r="G32" i="61"/>
  <c r="Y31" i="61"/>
  <c r="G30" i="63" s="1"/>
  <c r="W30" i="61"/>
  <c r="V30" i="61"/>
  <c r="U30" i="61"/>
  <c r="P30" i="61"/>
  <c r="P50" i="61" s="1"/>
  <c r="O30" i="61"/>
  <c r="O50" i="61" s="1"/>
  <c r="O49" i="61" s="1"/>
  <c r="N30" i="61"/>
  <c r="M30" i="61"/>
  <c r="L30" i="61"/>
  <c r="K30" i="61"/>
  <c r="K27" i="61" s="1"/>
  <c r="K26" i="61" s="1"/>
  <c r="H30" i="61"/>
  <c r="H15" i="61" s="1"/>
  <c r="F30" i="61"/>
  <c r="X29" i="61"/>
  <c r="X28" i="61" s="1"/>
  <c r="V29" i="61"/>
  <c r="T29" i="61"/>
  <c r="S29" i="61"/>
  <c r="R29" i="61"/>
  <c r="Q29" i="61"/>
  <c r="Q28" i="61" s="1"/>
  <c r="P29" i="61"/>
  <c r="P28" i="61" s="1"/>
  <c r="O29" i="61"/>
  <c r="O28" i="61" s="1"/>
  <c r="N29" i="61"/>
  <c r="N28" i="61" s="1"/>
  <c r="M29" i="61"/>
  <c r="M28" i="61" s="1"/>
  <c r="J29" i="61"/>
  <c r="I29" i="61"/>
  <c r="G29" i="61"/>
  <c r="E29" i="61"/>
  <c r="E28" i="61" s="1"/>
  <c r="V28" i="61"/>
  <c r="T28" i="61"/>
  <c r="S28" i="61"/>
  <c r="R28" i="61"/>
  <c r="J28" i="61"/>
  <c r="I28" i="61"/>
  <c r="G28" i="61"/>
  <c r="X27" i="61"/>
  <c r="W27" i="61"/>
  <c r="W26" i="61" s="1"/>
  <c r="V27" i="61"/>
  <c r="U27" i="61"/>
  <c r="U26" i="61" s="1"/>
  <c r="T27" i="61"/>
  <c r="S27" i="61"/>
  <c r="R27" i="61"/>
  <c r="Q27" i="61"/>
  <c r="P27" i="61"/>
  <c r="P26" i="61" s="1"/>
  <c r="O27" i="61"/>
  <c r="M27" i="61"/>
  <c r="M26" i="61" s="1"/>
  <c r="J27" i="61"/>
  <c r="J26" i="61" s="1"/>
  <c r="I27" i="61"/>
  <c r="I26" i="61" s="1"/>
  <c r="G27" i="61"/>
  <c r="E27" i="61"/>
  <c r="X26" i="61"/>
  <c r="V26" i="61"/>
  <c r="T26" i="61"/>
  <c r="S26" i="61"/>
  <c r="R26" i="61"/>
  <c r="Q26" i="61"/>
  <c r="O26" i="61"/>
  <c r="G26" i="61"/>
  <c r="E26" i="61"/>
  <c r="X25" i="61"/>
  <c r="W25" i="61"/>
  <c r="V25" i="61"/>
  <c r="U25" i="61"/>
  <c r="T25" i="61"/>
  <c r="S25" i="61"/>
  <c r="R25" i="61"/>
  <c r="Q25" i="61"/>
  <c r="P25" i="61"/>
  <c r="O25" i="61"/>
  <c r="O23" i="61" s="1"/>
  <c r="N25" i="61"/>
  <c r="M25" i="61"/>
  <c r="M23" i="61" s="1"/>
  <c r="M21" i="61" s="1"/>
  <c r="J25" i="61"/>
  <c r="I25" i="61"/>
  <c r="G25" i="61"/>
  <c r="E25" i="61"/>
  <c r="X24" i="61"/>
  <c r="W24" i="61"/>
  <c r="W23" i="61" s="1"/>
  <c r="V24" i="61"/>
  <c r="V23" i="61" s="1"/>
  <c r="U24" i="61"/>
  <c r="U23" i="61" s="1"/>
  <c r="T24" i="61"/>
  <c r="T23" i="61" s="1"/>
  <c r="S24" i="61"/>
  <c r="R24" i="61"/>
  <c r="Q24" i="61"/>
  <c r="P24" i="61"/>
  <c r="O24" i="61"/>
  <c r="M24" i="61"/>
  <c r="J24" i="61"/>
  <c r="J23" i="61" s="1"/>
  <c r="I24" i="61"/>
  <c r="I23" i="61" s="1"/>
  <c r="I21" i="61" s="1"/>
  <c r="H24" i="61"/>
  <c r="G24" i="61"/>
  <c r="G23" i="61" s="1"/>
  <c r="E24" i="61"/>
  <c r="S23" i="61"/>
  <c r="S21" i="61" s="1"/>
  <c r="R23" i="61"/>
  <c r="Q23" i="61"/>
  <c r="P23" i="61"/>
  <c r="P21" i="61" s="1"/>
  <c r="E23" i="61"/>
  <c r="X22" i="61"/>
  <c r="V22" i="61"/>
  <c r="T22" i="61"/>
  <c r="S22" i="61"/>
  <c r="R22" i="61"/>
  <c r="Q22" i="61"/>
  <c r="P22" i="61"/>
  <c r="O22" i="61"/>
  <c r="N22" i="61"/>
  <c r="M22" i="61"/>
  <c r="L22" i="61"/>
  <c r="J22" i="61"/>
  <c r="J21" i="61" s="1"/>
  <c r="I22" i="61"/>
  <c r="H22" i="61"/>
  <c r="G22" i="61"/>
  <c r="G21" i="61" s="1"/>
  <c r="E22" i="61"/>
  <c r="Q21" i="61"/>
  <c r="O21" i="61"/>
  <c r="M20" i="61"/>
  <c r="L20" i="61"/>
  <c r="K20" i="61"/>
  <c r="Y20" i="61" s="1"/>
  <c r="G19" i="63" s="1"/>
  <c r="J20" i="61"/>
  <c r="J16" i="61" s="1"/>
  <c r="I20" i="61"/>
  <c r="I16" i="61" s="1"/>
  <c r="H20" i="61"/>
  <c r="G20" i="61"/>
  <c r="F20" i="61"/>
  <c r="V19" i="61"/>
  <c r="U19" i="61"/>
  <c r="U16" i="61" s="1"/>
  <c r="T19" i="61"/>
  <c r="T16" i="61" s="1"/>
  <c r="S19" i="61"/>
  <c r="R19" i="61"/>
  <c r="R16" i="61" s="1"/>
  <c r="Q19" i="61"/>
  <c r="P19" i="61"/>
  <c r="P16" i="61" s="1"/>
  <c r="O19" i="61"/>
  <c r="M19" i="61"/>
  <c r="J19" i="61"/>
  <c r="I19" i="61"/>
  <c r="H19" i="61"/>
  <c r="G19" i="61"/>
  <c r="F19" i="61"/>
  <c r="E19" i="61"/>
  <c r="Y18" i="61"/>
  <c r="G17" i="63" s="1"/>
  <c r="U18" i="61"/>
  <c r="H18" i="61"/>
  <c r="G18" i="61"/>
  <c r="Y17" i="61"/>
  <c r="V16" i="61"/>
  <c r="S16" i="61"/>
  <c r="Q16" i="61"/>
  <c r="O16" i="61"/>
  <c r="H16" i="61"/>
  <c r="G16" i="61"/>
  <c r="F16" i="61"/>
  <c r="E16" i="61"/>
  <c r="X15" i="61"/>
  <c r="X13" i="61" s="1"/>
  <c r="V15" i="61"/>
  <c r="U15" i="61"/>
  <c r="T15" i="61"/>
  <c r="S15" i="61"/>
  <c r="R15" i="61"/>
  <c r="Q15" i="61"/>
  <c r="P15" i="61"/>
  <c r="O15" i="61"/>
  <c r="N15" i="61"/>
  <c r="N13" i="61" s="1"/>
  <c r="M15" i="61"/>
  <c r="J15" i="61"/>
  <c r="J13" i="61" s="1"/>
  <c r="I15" i="61"/>
  <c r="G15" i="61"/>
  <c r="E15" i="61"/>
  <c r="X14" i="61"/>
  <c r="U14" i="61"/>
  <c r="U13" i="61" s="1"/>
  <c r="T14" i="61"/>
  <c r="S14" i="61"/>
  <c r="S13" i="61" s="1"/>
  <c r="R14" i="61"/>
  <c r="R13" i="61" s="1"/>
  <c r="Q14" i="61"/>
  <c r="Q13" i="61" s="1"/>
  <c r="P14" i="61"/>
  <c r="P13" i="61" s="1"/>
  <c r="O14" i="61"/>
  <c r="N14" i="61"/>
  <c r="M14" i="61"/>
  <c r="J14" i="61"/>
  <c r="I14" i="61"/>
  <c r="I13" i="61" s="1"/>
  <c r="G14" i="61"/>
  <c r="G13" i="61" s="1"/>
  <c r="E14" i="61"/>
  <c r="T13" i="61"/>
  <c r="O13" i="61"/>
  <c r="M13" i="61"/>
  <c r="V12" i="61"/>
  <c r="V11" i="61" s="1"/>
  <c r="U12" i="61"/>
  <c r="U11" i="61" s="1"/>
  <c r="U9" i="61" s="1"/>
  <c r="T12" i="61"/>
  <c r="T11" i="61" s="1"/>
  <c r="T9" i="61" s="1"/>
  <c r="S12" i="61"/>
  <c r="S11" i="61" s="1"/>
  <c r="R12" i="61"/>
  <c r="R11" i="61" s="1"/>
  <c r="R9" i="61" s="1"/>
  <c r="Q12" i="61"/>
  <c r="P12" i="61"/>
  <c r="O12" i="61"/>
  <c r="N12" i="61"/>
  <c r="M12" i="61"/>
  <c r="M11" i="61" s="1"/>
  <c r="J12" i="61"/>
  <c r="J11" i="61" s="1"/>
  <c r="J9" i="61" s="1"/>
  <c r="I12" i="61"/>
  <c r="I11" i="61" s="1"/>
  <c r="H12" i="61"/>
  <c r="H11" i="61" s="1"/>
  <c r="G12" i="61"/>
  <c r="G11" i="61" s="1"/>
  <c r="G9" i="61" s="1"/>
  <c r="G5" i="61" s="1"/>
  <c r="F12" i="61"/>
  <c r="F11" i="61" s="1"/>
  <c r="F9" i="61" s="1"/>
  <c r="E12" i="61"/>
  <c r="Q11" i="61"/>
  <c r="Q9" i="61" s="1"/>
  <c r="Q5" i="61" s="1"/>
  <c r="P11" i="61"/>
  <c r="O11" i="61"/>
  <c r="O9" i="61" s="1"/>
  <c r="N11" i="61"/>
  <c r="W10" i="61"/>
  <c r="V10" i="61"/>
  <c r="V9" i="61" s="1"/>
  <c r="U10" i="61"/>
  <c r="P10" i="61"/>
  <c r="P9" i="61" s="1"/>
  <c r="O10" i="61"/>
  <c r="N10" i="61"/>
  <c r="N9" i="61" s="1"/>
  <c r="M10" i="61"/>
  <c r="L10" i="61"/>
  <c r="K10" i="61"/>
  <c r="H10" i="61"/>
  <c r="F10" i="61"/>
  <c r="S9" i="61"/>
  <c r="M9" i="61"/>
  <c r="I9" i="61"/>
  <c r="I5" i="61" s="1"/>
  <c r="W8" i="61"/>
  <c r="V8" i="61"/>
  <c r="U8" i="61"/>
  <c r="P8" i="61"/>
  <c r="O8" i="61"/>
  <c r="N8" i="61"/>
  <c r="M8" i="61"/>
  <c r="L8" i="61"/>
  <c r="K8" i="61"/>
  <c r="H8" i="61"/>
  <c r="F8" i="61"/>
  <c r="Y8" i="61" s="1"/>
  <c r="G7" i="63" s="1"/>
  <c r="W7" i="61"/>
  <c r="W6" i="61" s="1"/>
  <c r="V7" i="61"/>
  <c r="U7" i="61"/>
  <c r="U6" i="61" s="1"/>
  <c r="P7" i="61"/>
  <c r="O7" i="61"/>
  <c r="N7" i="61"/>
  <c r="M7" i="61"/>
  <c r="L7" i="61"/>
  <c r="K7" i="61"/>
  <c r="K6" i="61" s="1"/>
  <c r="H7" i="61"/>
  <c r="H6" i="61" s="1"/>
  <c r="F7" i="61"/>
  <c r="X6" i="61"/>
  <c r="V6" i="61"/>
  <c r="T6" i="61"/>
  <c r="S6" i="61"/>
  <c r="R6" i="61"/>
  <c r="Q6" i="61"/>
  <c r="P6" i="61"/>
  <c r="O6" i="61"/>
  <c r="N6" i="61"/>
  <c r="M6" i="61"/>
  <c r="L6" i="61"/>
  <c r="J6" i="61"/>
  <c r="I6" i="61"/>
  <c r="G6" i="61"/>
  <c r="E6" i="61"/>
  <c r="I74" i="55"/>
  <c r="H74" i="55"/>
  <c r="G74" i="55"/>
  <c r="F74" i="55"/>
  <c r="E74" i="55"/>
  <c r="J72" i="55"/>
  <c r="J71" i="55"/>
  <c r="J70" i="55"/>
  <c r="F69" i="63" s="1"/>
  <c r="J69" i="55"/>
  <c r="J68" i="55"/>
  <c r="J67" i="55"/>
  <c r="J66" i="55"/>
  <c r="I65" i="55"/>
  <c r="H65" i="55"/>
  <c r="G65" i="55"/>
  <c r="F65" i="55"/>
  <c r="E65" i="55"/>
  <c r="J64" i="55"/>
  <c r="F63" i="63" s="1"/>
  <c r="J63" i="55"/>
  <c r="F62" i="63" s="1"/>
  <c r="J62" i="55"/>
  <c r="J61" i="55"/>
  <c r="I60" i="55"/>
  <c r="H60" i="55"/>
  <c r="G60" i="55"/>
  <c r="F60" i="55"/>
  <c r="E60" i="55"/>
  <c r="E41" i="55" s="1"/>
  <c r="J59" i="55"/>
  <c r="J58" i="55"/>
  <c r="J57" i="55"/>
  <c r="I57" i="55"/>
  <c r="H57" i="55"/>
  <c r="G57" i="55"/>
  <c r="F57" i="55"/>
  <c r="E57" i="55"/>
  <c r="J56" i="55"/>
  <c r="I55" i="55"/>
  <c r="H55" i="55"/>
  <c r="G55" i="55"/>
  <c r="F55" i="55"/>
  <c r="E55" i="55"/>
  <c r="J55" i="55" s="1"/>
  <c r="F54" i="63" s="1"/>
  <c r="I54" i="55"/>
  <c r="H54" i="55"/>
  <c r="H53" i="55" s="1"/>
  <c r="G54" i="55"/>
  <c r="F54" i="55"/>
  <c r="E54" i="55"/>
  <c r="I53" i="55"/>
  <c r="G53" i="55"/>
  <c r="F53" i="55"/>
  <c r="E53" i="55"/>
  <c r="J53" i="55" s="1"/>
  <c r="F52" i="63" s="1"/>
  <c r="J52" i="55"/>
  <c r="F51" i="63" s="1"/>
  <c r="I51" i="55"/>
  <c r="H51" i="55"/>
  <c r="G51" i="55"/>
  <c r="F51" i="55"/>
  <c r="E51" i="55"/>
  <c r="I50" i="55"/>
  <c r="H50" i="55"/>
  <c r="H49" i="55" s="1"/>
  <c r="G50" i="55"/>
  <c r="F50" i="55"/>
  <c r="F49" i="55" s="1"/>
  <c r="E50" i="55"/>
  <c r="I49" i="55"/>
  <c r="G49" i="55"/>
  <c r="I48" i="55"/>
  <c r="H48" i="55"/>
  <c r="G48" i="55"/>
  <c r="F48" i="55"/>
  <c r="E48" i="55"/>
  <c r="J48" i="55" s="1"/>
  <c r="I47" i="55"/>
  <c r="I46" i="55" s="1"/>
  <c r="G47" i="55"/>
  <c r="G46" i="55" s="1"/>
  <c r="F47" i="55"/>
  <c r="F46" i="55" s="1"/>
  <c r="E47" i="55"/>
  <c r="I45" i="55"/>
  <c r="H45" i="55"/>
  <c r="G45" i="55"/>
  <c r="G44" i="55" s="1"/>
  <c r="F45" i="55"/>
  <c r="F44" i="55" s="1"/>
  <c r="E45" i="55"/>
  <c r="I44" i="55"/>
  <c r="H44" i="55"/>
  <c r="I43" i="55"/>
  <c r="H43" i="55"/>
  <c r="G43" i="55"/>
  <c r="F43" i="55"/>
  <c r="F42" i="55" s="1"/>
  <c r="E43" i="55"/>
  <c r="I42" i="55"/>
  <c r="H42" i="55"/>
  <c r="G42" i="55"/>
  <c r="I41" i="55"/>
  <c r="G41" i="55"/>
  <c r="F41" i="55"/>
  <c r="I40" i="55"/>
  <c r="I37" i="55" s="1"/>
  <c r="G40" i="55"/>
  <c r="F40" i="55"/>
  <c r="G39" i="55"/>
  <c r="F39" i="55"/>
  <c r="H38" i="55"/>
  <c r="H39" i="55" s="1"/>
  <c r="G38" i="55"/>
  <c r="F38" i="55"/>
  <c r="E38" i="55"/>
  <c r="F36" i="55"/>
  <c r="J36" i="55" s="1"/>
  <c r="I35" i="55"/>
  <c r="H35" i="55"/>
  <c r="G35" i="55"/>
  <c r="G32" i="55" s="1"/>
  <c r="F35" i="55"/>
  <c r="F32" i="55" s="1"/>
  <c r="E35" i="55"/>
  <c r="J34" i="55"/>
  <c r="H34" i="55"/>
  <c r="I33" i="55"/>
  <c r="H33" i="55"/>
  <c r="G33" i="55"/>
  <c r="F33" i="55"/>
  <c r="E33" i="55"/>
  <c r="I32" i="55"/>
  <c r="H32" i="55"/>
  <c r="J31" i="55"/>
  <c r="J30" i="55"/>
  <c r="I29" i="55"/>
  <c r="H29" i="55"/>
  <c r="G29" i="55"/>
  <c r="G28" i="55" s="1"/>
  <c r="F29" i="55"/>
  <c r="F28" i="55" s="1"/>
  <c r="E29" i="55"/>
  <c r="I28" i="55"/>
  <c r="H28" i="55"/>
  <c r="I27" i="55"/>
  <c r="H27" i="55"/>
  <c r="G27" i="55"/>
  <c r="G26" i="55" s="1"/>
  <c r="F27" i="55"/>
  <c r="F26" i="55" s="1"/>
  <c r="E27" i="55"/>
  <c r="I26" i="55"/>
  <c r="H26" i="55"/>
  <c r="I25" i="55"/>
  <c r="H25" i="55"/>
  <c r="G25" i="55"/>
  <c r="F25" i="55"/>
  <c r="F23" i="55" s="1"/>
  <c r="F21" i="55" s="1"/>
  <c r="E25" i="55"/>
  <c r="J25" i="55" s="1"/>
  <c r="F24" i="63" s="1"/>
  <c r="I24" i="55"/>
  <c r="I23" i="55" s="1"/>
  <c r="H24" i="55"/>
  <c r="H23" i="55" s="1"/>
  <c r="G24" i="55"/>
  <c r="F24" i="55"/>
  <c r="E24" i="55"/>
  <c r="G23" i="55"/>
  <c r="G21" i="55" s="1"/>
  <c r="I22" i="55"/>
  <c r="I21" i="55" s="1"/>
  <c r="H22" i="55"/>
  <c r="H21" i="55" s="1"/>
  <c r="G22" i="55"/>
  <c r="F22" i="55"/>
  <c r="E22" i="55"/>
  <c r="J20" i="55"/>
  <c r="F19" i="63" s="1"/>
  <c r="I19" i="55"/>
  <c r="G19" i="55"/>
  <c r="F19" i="55"/>
  <c r="J18" i="55"/>
  <c r="J17" i="55"/>
  <c r="I16" i="55"/>
  <c r="G16" i="55"/>
  <c r="F16" i="55"/>
  <c r="I15" i="55"/>
  <c r="H15" i="55"/>
  <c r="G15" i="55"/>
  <c r="F15" i="55"/>
  <c r="E15" i="55"/>
  <c r="J15" i="55" s="1"/>
  <c r="F14" i="63" s="1"/>
  <c r="J14" i="55"/>
  <c r="F13" i="63" s="1"/>
  <c r="I14" i="55"/>
  <c r="I13" i="55" s="1"/>
  <c r="H14" i="55"/>
  <c r="H13" i="55" s="1"/>
  <c r="G14" i="55"/>
  <c r="G13" i="55" s="1"/>
  <c r="F14" i="55"/>
  <c r="F13" i="55" s="1"/>
  <c r="E14" i="55"/>
  <c r="E13" i="55" s="1"/>
  <c r="I12" i="55"/>
  <c r="I11" i="55" s="1"/>
  <c r="I9" i="55" s="1"/>
  <c r="I5" i="55" s="1"/>
  <c r="H12" i="55"/>
  <c r="H11" i="55" s="1"/>
  <c r="G12" i="55"/>
  <c r="G11" i="55" s="1"/>
  <c r="G9" i="55" s="1"/>
  <c r="F12" i="55"/>
  <c r="F11" i="55" s="1"/>
  <c r="F9" i="55" s="1"/>
  <c r="E12" i="55"/>
  <c r="E11" i="55" s="1"/>
  <c r="J10" i="55"/>
  <c r="F9" i="63" s="1"/>
  <c r="H9" i="55"/>
  <c r="J8" i="55"/>
  <c r="J7" i="55"/>
  <c r="I6" i="55"/>
  <c r="H6" i="55"/>
  <c r="G6" i="55"/>
  <c r="F6" i="55"/>
  <c r="E6" i="55"/>
  <c r="J74" i="54"/>
  <c r="I74" i="54"/>
  <c r="H74" i="54"/>
  <c r="G74" i="54"/>
  <c r="E74" i="54"/>
  <c r="J72" i="54"/>
  <c r="E71" i="63" s="1"/>
  <c r="N71" i="63" s="1"/>
  <c r="P71" i="63" s="1"/>
  <c r="J71" i="54"/>
  <c r="J70" i="54"/>
  <c r="J69" i="54"/>
  <c r="J68" i="54"/>
  <c r="J67" i="54"/>
  <c r="J66" i="54"/>
  <c r="I65" i="54"/>
  <c r="H65" i="54"/>
  <c r="G65" i="54"/>
  <c r="F65" i="54"/>
  <c r="E65" i="54"/>
  <c r="J64" i="54"/>
  <c r="E63" i="63" s="1"/>
  <c r="N63" i="63" s="1"/>
  <c r="P63" i="63" s="1"/>
  <c r="J63" i="54"/>
  <c r="E62" i="63" s="1"/>
  <c r="N62" i="63" s="1"/>
  <c r="P62" i="63" s="1"/>
  <c r="J62" i="54"/>
  <c r="J61" i="54"/>
  <c r="I60" i="54"/>
  <c r="I47" i="54" s="1"/>
  <c r="I46" i="54" s="1"/>
  <c r="H60" i="54"/>
  <c r="G60" i="54"/>
  <c r="G47" i="54" s="1"/>
  <c r="F60" i="54"/>
  <c r="F47" i="54" s="1"/>
  <c r="F46" i="54" s="1"/>
  <c r="E60" i="54"/>
  <c r="J59" i="54"/>
  <c r="E58" i="63" s="1"/>
  <c r="N58" i="63" s="1"/>
  <c r="P58" i="63" s="1"/>
  <c r="J58" i="54"/>
  <c r="I57" i="54"/>
  <c r="J57" i="54" s="1"/>
  <c r="E56" i="63" s="1"/>
  <c r="H57" i="54"/>
  <c r="G57" i="54"/>
  <c r="F57" i="54"/>
  <c r="E57" i="54"/>
  <c r="J56" i="54"/>
  <c r="I55" i="54"/>
  <c r="H55" i="54"/>
  <c r="G55" i="54"/>
  <c r="F55" i="54"/>
  <c r="E55" i="54"/>
  <c r="J54" i="54"/>
  <c r="E53" i="63" s="1"/>
  <c r="I54" i="54"/>
  <c r="I53" i="54" s="1"/>
  <c r="H54" i="54"/>
  <c r="G54" i="54"/>
  <c r="F54" i="54"/>
  <c r="E54" i="54"/>
  <c r="H53" i="54"/>
  <c r="G53" i="54"/>
  <c r="F53" i="54"/>
  <c r="E53" i="54"/>
  <c r="J52" i="54"/>
  <c r="E51" i="63" s="1"/>
  <c r="I51" i="54"/>
  <c r="H51" i="54"/>
  <c r="J51" i="54" s="1"/>
  <c r="E50" i="63" s="1"/>
  <c r="G51" i="54"/>
  <c r="F51" i="54"/>
  <c r="E51" i="54"/>
  <c r="I50" i="54"/>
  <c r="I49" i="54" s="1"/>
  <c r="H50" i="54"/>
  <c r="H49" i="54" s="1"/>
  <c r="G50" i="54"/>
  <c r="G49" i="54" s="1"/>
  <c r="F50" i="54"/>
  <c r="F49" i="54" s="1"/>
  <c r="E50" i="54"/>
  <c r="I48" i="54"/>
  <c r="H48" i="54"/>
  <c r="H46" i="54" s="1"/>
  <c r="G48" i="54"/>
  <c r="G46" i="54" s="1"/>
  <c r="F48" i="54"/>
  <c r="E48" i="54"/>
  <c r="J48" i="54" s="1"/>
  <c r="E47" i="63" s="1"/>
  <c r="N47" i="63" s="1"/>
  <c r="P47" i="63" s="1"/>
  <c r="H47" i="54"/>
  <c r="I45" i="54"/>
  <c r="H45" i="54"/>
  <c r="J45" i="54" s="1"/>
  <c r="G45" i="54"/>
  <c r="F45" i="54"/>
  <c r="E45" i="54"/>
  <c r="I44" i="54"/>
  <c r="H44" i="54"/>
  <c r="G44" i="54"/>
  <c r="F44" i="54"/>
  <c r="E44" i="54"/>
  <c r="I43" i="54"/>
  <c r="H43" i="54"/>
  <c r="J43" i="54" s="1"/>
  <c r="G43" i="54"/>
  <c r="F43" i="54"/>
  <c r="E43" i="54"/>
  <c r="I42" i="54"/>
  <c r="H42" i="54"/>
  <c r="G42" i="54"/>
  <c r="F42" i="54"/>
  <c r="E42" i="54"/>
  <c r="H41" i="54"/>
  <c r="F41" i="54"/>
  <c r="H40" i="54"/>
  <c r="F40" i="54"/>
  <c r="J39" i="54"/>
  <c r="E38" i="63" s="1"/>
  <c r="J38" i="54"/>
  <c r="J36" i="54"/>
  <c r="I35" i="54"/>
  <c r="H35" i="54"/>
  <c r="H32" i="54" s="1"/>
  <c r="G35" i="54"/>
  <c r="F35" i="54"/>
  <c r="E35" i="54"/>
  <c r="J34" i="54"/>
  <c r="I33" i="54"/>
  <c r="H33" i="54"/>
  <c r="G33" i="54"/>
  <c r="G32" i="54" s="1"/>
  <c r="F33" i="54"/>
  <c r="F32" i="54" s="1"/>
  <c r="E33" i="54"/>
  <c r="I32" i="54"/>
  <c r="J31" i="54"/>
  <c r="J30" i="54"/>
  <c r="I29" i="54"/>
  <c r="I28" i="54" s="1"/>
  <c r="H29" i="54"/>
  <c r="H28" i="54" s="1"/>
  <c r="G29" i="54"/>
  <c r="G28" i="54" s="1"/>
  <c r="F29" i="54"/>
  <c r="F28" i="54" s="1"/>
  <c r="E29" i="54"/>
  <c r="I27" i="54"/>
  <c r="I26" i="54" s="1"/>
  <c r="H27" i="54"/>
  <c r="H26" i="54" s="1"/>
  <c r="G27" i="54"/>
  <c r="G26" i="54" s="1"/>
  <c r="F27" i="54"/>
  <c r="F26" i="54" s="1"/>
  <c r="E27" i="54"/>
  <c r="I25" i="54"/>
  <c r="I23" i="54" s="1"/>
  <c r="I21" i="54" s="1"/>
  <c r="H25" i="54"/>
  <c r="G25" i="54"/>
  <c r="F25" i="54"/>
  <c r="F23" i="54" s="1"/>
  <c r="F21" i="54" s="1"/>
  <c r="E25" i="54"/>
  <c r="I24" i="54"/>
  <c r="H24" i="54"/>
  <c r="J24" i="54" s="1"/>
  <c r="G24" i="54"/>
  <c r="F24" i="54"/>
  <c r="E24" i="54"/>
  <c r="H23" i="54"/>
  <c r="H21" i="54" s="1"/>
  <c r="G23" i="54"/>
  <c r="G21" i="54" s="1"/>
  <c r="I22" i="54"/>
  <c r="H22" i="54"/>
  <c r="J22" i="54" s="1"/>
  <c r="G22" i="54"/>
  <c r="F22" i="54"/>
  <c r="E22" i="54"/>
  <c r="J20" i="54"/>
  <c r="I19" i="54"/>
  <c r="H19" i="54"/>
  <c r="F19" i="54"/>
  <c r="F16" i="54" s="1"/>
  <c r="J18" i="54"/>
  <c r="E17" i="63" s="1"/>
  <c r="N17" i="63" s="1"/>
  <c r="P17" i="63" s="1"/>
  <c r="J17" i="54"/>
  <c r="I16" i="54"/>
  <c r="H16" i="54"/>
  <c r="I15" i="54"/>
  <c r="H15" i="54"/>
  <c r="G15" i="54"/>
  <c r="F15" i="54"/>
  <c r="E15" i="54"/>
  <c r="I14" i="54"/>
  <c r="I13" i="54" s="1"/>
  <c r="H14" i="54"/>
  <c r="H13" i="54" s="1"/>
  <c r="G14" i="54"/>
  <c r="G13" i="54" s="1"/>
  <c r="F14" i="54"/>
  <c r="E14" i="54"/>
  <c r="F13" i="54"/>
  <c r="I12" i="54"/>
  <c r="I11" i="54" s="1"/>
  <c r="H12" i="54"/>
  <c r="H11" i="54" s="1"/>
  <c r="H9" i="54" s="1"/>
  <c r="G12" i="54"/>
  <c r="G11" i="54" s="1"/>
  <c r="G9" i="54" s="1"/>
  <c r="F12" i="54"/>
  <c r="F11" i="54"/>
  <c r="F9" i="54" s="1"/>
  <c r="J10" i="54"/>
  <c r="E9" i="63" s="1"/>
  <c r="I9" i="54"/>
  <c r="J8" i="54"/>
  <c r="J7" i="54"/>
  <c r="I6" i="54"/>
  <c r="H6" i="54"/>
  <c r="G6" i="54"/>
  <c r="F6" i="54"/>
  <c r="E6" i="54"/>
  <c r="M71" i="63"/>
  <c r="L71" i="63"/>
  <c r="K71" i="63"/>
  <c r="J71" i="63"/>
  <c r="I71" i="63"/>
  <c r="H71" i="63"/>
  <c r="G71" i="63"/>
  <c r="F71" i="63"/>
  <c r="M70" i="63"/>
  <c r="L70" i="63"/>
  <c r="K70" i="63"/>
  <c r="J70" i="63"/>
  <c r="I70" i="63"/>
  <c r="H70" i="63"/>
  <c r="G70" i="63"/>
  <c r="F70" i="63"/>
  <c r="E70" i="63"/>
  <c r="M69" i="63"/>
  <c r="L69" i="63"/>
  <c r="K69" i="63"/>
  <c r="J69" i="63"/>
  <c r="I69" i="63"/>
  <c r="H69" i="63"/>
  <c r="G69" i="63"/>
  <c r="E69" i="63"/>
  <c r="M68" i="63"/>
  <c r="L68" i="63"/>
  <c r="K68" i="63"/>
  <c r="J68" i="63"/>
  <c r="I68" i="63"/>
  <c r="H68" i="63"/>
  <c r="G68" i="63"/>
  <c r="F68" i="63"/>
  <c r="E68" i="63"/>
  <c r="N68" i="63" s="1"/>
  <c r="P68" i="63" s="1"/>
  <c r="M67" i="63"/>
  <c r="L67" i="63"/>
  <c r="K67" i="63"/>
  <c r="J67" i="63"/>
  <c r="I67" i="63"/>
  <c r="H67" i="63"/>
  <c r="G67" i="63"/>
  <c r="F67" i="63"/>
  <c r="E67" i="63"/>
  <c r="N67" i="63" s="1"/>
  <c r="P67" i="63" s="1"/>
  <c r="M66" i="63"/>
  <c r="L66" i="63"/>
  <c r="K66" i="63"/>
  <c r="J66" i="63"/>
  <c r="I66" i="63"/>
  <c r="H66" i="63"/>
  <c r="G66" i="63"/>
  <c r="F66" i="63"/>
  <c r="E66" i="63"/>
  <c r="N66" i="63" s="1"/>
  <c r="P66" i="63" s="1"/>
  <c r="N65" i="63"/>
  <c r="P65" i="63" s="1"/>
  <c r="M65" i="63"/>
  <c r="L65" i="63"/>
  <c r="K65" i="63"/>
  <c r="J65" i="63"/>
  <c r="I65" i="63"/>
  <c r="H65" i="63"/>
  <c r="G65" i="63"/>
  <c r="F65" i="63"/>
  <c r="E65" i="63"/>
  <c r="M64" i="63"/>
  <c r="I64" i="63"/>
  <c r="H64" i="63"/>
  <c r="M63" i="63"/>
  <c r="L63" i="63"/>
  <c r="K63" i="63"/>
  <c r="J63" i="63"/>
  <c r="I63" i="63"/>
  <c r="H63" i="63"/>
  <c r="G63" i="63"/>
  <c r="M62" i="63"/>
  <c r="L62" i="63"/>
  <c r="K62" i="63"/>
  <c r="J62" i="63"/>
  <c r="I62" i="63"/>
  <c r="H62" i="63"/>
  <c r="G62" i="63"/>
  <c r="M61" i="63"/>
  <c r="L61" i="63"/>
  <c r="K61" i="63"/>
  <c r="J61" i="63"/>
  <c r="I61" i="63"/>
  <c r="H61" i="63"/>
  <c r="G61" i="63"/>
  <c r="F61" i="63"/>
  <c r="E61" i="63"/>
  <c r="M60" i="63"/>
  <c r="L60" i="63"/>
  <c r="K60" i="63"/>
  <c r="J60" i="63"/>
  <c r="I60" i="63"/>
  <c r="H60" i="63"/>
  <c r="G60" i="63"/>
  <c r="F60" i="63"/>
  <c r="N60" i="63" s="1"/>
  <c r="P60" i="63" s="1"/>
  <c r="E60" i="63"/>
  <c r="I59" i="63"/>
  <c r="H59" i="63"/>
  <c r="M58" i="63"/>
  <c r="L58" i="63"/>
  <c r="K58" i="63"/>
  <c r="J58" i="63"/>
  <c r="I58" i="63"/>
  <c r="H58" i="63"/>
  <c r="G58" i="63"/>
  <c r="F58" i="63"/>
  <c r="M57" i="63"/>
  <c r="L57" i="63"/>
  <c r="K57" i="63"/>
  <c r="J57" i="63"/>
  <c r="I57" i="63"/>
  <c r="H57" i="63"/>
  <c r="G57" i="63"/>
  <c r="F57" i="63"/>
  <c r="E57" i="63"/>
  <c r="N57" i="63" s="1"/>
  <c r="P57" i="63" s="1"/>
  <c r="M56" i="63"/>
  <c r="I56" i="63"/>
  <c r="H56" i="63"/>
  <c r="F56" i="63"/>
  <c r="N55" i="63"/>
  <c r="P55" i="63" s="1"/>
  <c r="M55" i="63"/>
  <c r="L55" i="63"/>
  <c r="K55" i="63"/>
  <c r="J55" i="63"/>
  <c r="I55" i="63"/>
  <c r="H55" i="63"/>
  <c r="G55" i="63"/>
  <c r="F55" i="63"/>
  <c r="E55" i="63"/>
  <c r="M54" i="63"/>
  <c r="I54" i="63"/>
  <c r="H54" i="63"/>
  <c r="M53" i="63"/>
  <c r="I53" i="63"/>
  <c r="H53" i="63"/>
  <c r="M52" i="63"/>
  <c r="L52" i="63"/>
  <c r="K52" i="63"/>
  <c r="I52" i="63"/>
  <c r="H52" i="63"/>
  <c r="M51" i="63"/>
  <c r="L51" i="63"/>
  <c r="K51" i="63"/>
  <c r="J51" i="63"/>
  <c r="I51" i="63"/>
  <c r="H51" i="63"/>
  <c r="M50" i="63"/>
  <c r="L50" i="63"/>
  <c r="K50" i="63"/>
  <c r="J50" i="63"/>
  <c r="I50" i="63"/>
  <c r="H50" i="63"/>
  <c r="M49" i="63"/>
  <c r="J49" i="63"/>
  <c r="I49" i="63"/>
  <c r="H49" i="63"/>
  <c r="M48" i="63"/>
  <c r="J48" i="63"/>
  <c r="I48" i="63"/>
  <c r="H48" i="63"/>
  <c r="M47" i="63"/>
  <c r="I47" i="63"/>
  <c r="H47" i="63"/>
  <c r="G47" i="63"/>
  <c r="F47" i="63"/>
  <c r="I46" i="63"/>
  <c r="H46" i="63"/>
  <c r="I45" i="63"/>
  <c r="H45" i="63"/>
  <c r="M44" i="63"/>
  <c r="I44" i="63"/>
  <c r="H44" i="63"/>
  <c r="E44" i="63"/>
  <c r="M43" i="63"/>
  <c r="I43" i="63"/>
  <c r="H43" i="63"/>
  <c r="M42" i="63"/>
  <c r="I42" i="63"/>
  <c r="H42" i="63"/>
  <c r="E42" i="63"/>
  <c r="M41" i="63"/>
  <c r="I41" i="63"/>
  <c r="H41" i="63"/>
  <c r="I40" i="63"/>
  <c r="H40" i="63"/>
  <c r="I39" i="63"/>
  <c r="H39" i="63"/>
  <c r="M38" i="63"/>
  <c r="K38" i="63"/>
  <c r="J38" i="63"/>
  <c r="I38" i="63"/>
  <c r="H38" i="63"/>
  <c r="G38" i="63"/>
  <c r="M37" i="63"/>
  <c r="L37" i="63"/>
  <c r="K37" i="63"/>
  <c r="I37" i="63"/>
  <c r="H37" i="63"/>
  <c r="G37" i="63"/>
  <c r="E37" i="63"/>
  <c r="I36" i="63"/>
  <c r="H36" i="63"/>
  <c r="M35" i="63"/>
  <c r="K35" i="63"/>
  <c r="J35" i="63"/>
  <c r="I35" i="63"/>
  <c r="H35" i="63"/>
  <c r="G35" i="63"/>
  <c r="F35" i="63"/>
  <c r="E35" i="63"/>
  <c r="L34" i="63"/>
  <c r="K34" i="63"/>
  <c r="I34" i="63"/>
  <c r="H34" i="63"/>
  <c r="M33" i="63"/>
  <c r="K33" i="63"/>
  <c r="J33" i="63"/>
  <c r="I33" i="63"/>
  <c r="H33" i="63"/>
  <c r="F33" i="63"/>
  <c r="E33" i="63"/>
  <c r="I32" i="63"/>
  <c r="H32" i="63"/>
  <c r="I31" i="63"/>
  <c r="H31" i="63"/>
  <c r="N30" i="63"/>
  <c r="P30" i="63" s="1"/>
  <c r="M30" i="63"/>
  <c r="L30" i="63"/>
  <c r="K30" i="63"/>
  <c r="J30" i="63"/>
  <c r="I30" i="63"/>
  <c r="H30" i="63"/>
  <c r="F30" i="63"/>
  <c r="E30" i="63"/>
  <c r="M29" i="63"/>
  <c r="I29" i="63"/>
  <c r="H29" i="63"/>
  <c r="F29" i="63"/>
  <c r="E29" i="63"/>
  <c r="M28" i="63"/>
  <c r="K28" i="63"/>
  <c r="I28" i="63"/>
  <c r="H28" i="63"/>
  <c r="I27" i="63"/>
  <c r="H27" i="63"/>
  <c r="I26" i="63"/>
  <c r="H26" i="63"/>
  <c r="I25" i="63"/>
  <c r="H25" i="63"/>
  <c r="J24" i="63"/>
  <c r="I24" i="63"/>
  <c r="H24" i="63"/>
  <c r="M23" i="63"/>
  <c r="I23" i="63"/>
  <c r="H23" i="63"/>
  <c r="E23" i="63"/>
  <c r="I22" i="63"/>
  <c r="H22" i="63"/>
  <c r="I21" i="63"/>
  <c r="H21" i="63"/>
  <c r="E21" i="63"/>
  <c r="I20" i="63"/>
  <c r="H20" i="63"/>
  <c r="M19" i="63"/>
  <c r="L19" i="63"/>
  <c r="I19" i="63"/>
  <c r="H19" i="63"/>
  <c r="E19" i="63"/>
  <c r="I18" i="63"/>
  <c r="H18" i="63"/>
  <c r="M17" i="63"/>
  <c r="L17" i="63"/>
  <c r="K17" i="63"/>
  <c r="J17" i="63"/>
  <c r="I17" i="63"/>
  <c r="H17" i="63"/>
  <c r="F17" i="63"/>
  <c r="M16" i="63"/>
  <c r="L16" i="63"/>
  <c r="K16" i="63"/>
  <c r="J16" i="63"/>
  <c r="I16" i="63"/>
  <c r="H16" i="63"/>
  <c r="G16" i="63"/>
  <c r="F16" i="63"/>
  <c r="E16" i="63"/>
  <c r="N16" i="63" s="1"/>
  <c r="P16" i="63" s="1"/>
  <c r="I15" i="63"/>
  <c r="H15" i="63"/>
  <c r="I14" i="63"/>
  <c r="H14" i="63"/>
  <c r="M13" i="63"/>
  <c r="I13" i="63"/>
  <c r="H13" i="63"/>
  <c r="I12" i="63"/>
  <c r="H12" i="63"/>
  <c r="I11" i="63"/>
  <c r="H11" i="63"/>
  <c r="I10" i="63"/>
  <c r="H10" i="63"/>
  <c r="M9" i="63"/>
  <c r="J9" i="63"/>
  <c r="I9" i="63"/>
  <c r="H9" i="63"/>
  <c r="I8" i="63"/>
  <c r="H8" i="63"/>
  <c r="M7" i="63"/>
  <c r="K7" i="63"/>
  <c r="I7" i="63"/>
  <c r="H7" i="63"/>
  <c r="F7" i="63"/>
  <c r="E7" i="63"/>
  <c r="N7" i="63" s="1"/>
  <c r="P7" i="63" s="1"/>
  <c r="M6" i="63"/>
  <c r="K6" i="63"/>
  <c r="I6" i="63"/>
  <c r="H6" i="63"/>
  <c r="F6" i="63"/>
  <c r="E6" i="63"/>
  <c r="I5" i="63"/>
  <c r="H5" i="63"/>
  <c r="I4" i="63"/>
  <c r="H4" i="63"/>
  <c r="I3" i="63"/>
  <c r="H3" i="63"/>
  <c r="N19" i="63" l="1"/>
  <c r="P19" i="63" s="1"/>
  <c r="N42" i="63"/>
  <c r="P42" i="63" s="1"/>
  <c r="I73" i="61"/>
  <c r="G73" i="61"/>
  <c r="I73" i="55"/>
  <c r="I4" i="55"/>
  <c r="J43" i="55"/>
  <c r="F42" i="63" s="1"/>
  <c r="E42" i="55"/>
  <c r="J42" i="55" s="1"/>
  <c r="F41" i="63" s="1"/>
  <c r="E13" i="59"/>
  <c r="Q38" i="59"/>
  <c r="J37" i="63" s="1"/>
  <c r="I37" i="59"/>
  <c r="Q6" i="59"/>
  <c r="J5" i="63" s="1"/>
  <c r="J65" i="54"/>
  <c r="E64" i="63" s="1"/>
  <c r="J6" i="55"/>
  <c r="F5" i="63" s="1"/>
  <c r="J11" i="55"/>
  <c r="F10" i="63" s="1"/>
  <c r="E9" i="55"/>
  <c r="J9" i="55" s="1"/>
  <c r="F8" i="63" s="1"/>
  <c r="J50" i="55"/>
  <c r="F49" i="63" s="1"/>
  <c r="E49" i="55"/>
  <c r="J49" i="55" s="1"/>
  <c r="F48" i="63" s="1"/>
  <c r="E21" i="61"/>
  <c r="E28" i="54"/>
  <c r="J28" i="54" s="1"/>
  <c r="E27" i="63" s="1"/>
  <c r="J29" i="54"/>
  <c r="E28" i="63" s="1"/>
  <c r="N38" i="63"/>
  <c r="P38" i="63" s="1"/>
  <c r="J55" i="54"/>
  <c r="E54" i="63" s="1"/>
  <c r="F5" i="55"/>
  <c r="J22" i="55"/>
  <c r="F21" i="63" s="1"/>
  <c r="J47" i="55"/>
  <c r="F46" i="63" s="1"/>
  <c r="E46" i="55"/>
  <c r="J46" i="55" s="1"/>
  <c r="F45" i="63" s="1"/>
  <c r="J74" i="55"/>
  <c r="H5" i="59"/>
  <c r="Q22" i="59"/>
  <c r="J21" i="63" s="1"/>
  <c r="E21" i="59"/>
  <c r="L42" i="58"/>
  <c r="N43" i="58"/>
  <c r="K42" i="63" s="1"/>
  <c r="G5" i="55"/>
  <c r="E23" i="55"/>
  <c r="E32" i="55"/>
  <c r="J32" i="55" s="1"/>
  <c r="F31" i="63" s="1"/>
  <c r="J33" i="55"/>
  <c r="F32" i="63" s="1"/>
  <c r="F6" i="61"/>
  <c r="Y7" i="61"/>
  <c r="G6" i="63" s="1"/>
  <c r="N6" i="63" s="1"/>
  <c r="P6" i="63" s="1"/>
  <c r="N35" i="63"/>
  <c r="P35" i="63" s="1"/>
  <c r="J25" i="54"/>
  <c r="E24" i="63" s="1"/>
  <c r="F37" i="54"/>
  <c r="J53" i="54"/>
  <c r="E52" i="63" s="1"/>
  <c r="N52" i="63" s="1"/>
  <c r="P52" i="63" s="1"/>
  <c r="J60" i="54"/>
  <c r="E59" i="63" s="1"/>
  <c r="E12" i="54"/>
  <c r="E47" i="54"/>
  <c r="E41" i="54"/>
  <c r="E19" i="54"/>
  <c r="E28" i="55"/>
  <c r="J28" i="55" s="1"/>
  <c r="F27" i="63" s="1"/>
  <c r="J29" i="55"/>
  <c r="F28" i="63" s="1"/>
  <c r="J5" i="61"/>
  <c r="E53" i="61"/>
  <c r="Y53" i="61" s="1"/>
  <c r="G52" i="63" s="1"/>
  <c r="Y54" i="61"/>
  <c r="G53" i="63" s="1"/>
  <c r="J14" i="54"/>
  <c r="E13" i="63" s="1"/>
  <c r="E49" i="54"/>
  <c r="J49" i="54" s="1"/>
  <c r="E48" i="63" s="1"/>
  <c r="J50" i="54"/>
  <c r="E49" i="63" s="1"/>
  <c r="S5" i="61"/>
  <c r="F5" i="54"/>
  <c r="J15" i="54"/>
  <c r="E14" i="63" s="1"/>
  <c r="E23" i="54"/>
  <c r="H37" i="54"/>
  <c r="J12" i="55"/>
  <c r="F11" i="63" s="1"/>
  <c r="E37" i="55"/>
  <c r="E39" i="55"/>
  <c r="J39" i="55" s="1"/>
  <c r="F38" i="63" s="1"/>
  <c r="J38" i="55"/>
  <c r="F37" i="63" s="1"/>
  <c r="F50" i="61"/>
  <c r="F29" i="61"/>
  <c r="F25" i="61"/>
  <c r="F15" i="61"/>
  <c r="Y15" i="61" s="1"/>
  <c r="G14" i="63" s="1"/>
  <c r="F27" i="61"/>
  <c r="F14" i="61"/>
  <c r="Y30" i="61"/>
  <c r="G29" i="63" s="1"/>
  <c r="N29" i="63" s="1"/>
  <c r="P29" i="63" s="1"/>
  <c r="F24" i="61"/>
  <c r="F22" i="61"/>
  <c r="O37" i="61"/>
  <c r="N37" i="63"/>
  <c r="P37" i="63" s="1"/>
  <c r="N70" i="63"/>
  <c r="P70" i="63" s="1"/>
  <c r="J13" i="55"/>
  <c r="F12" i="63" s="1"/>
  <c r="F37" i="55"/>
  <c r="O5" i="61"/>
  <c r="O73" i="56"/>
  <c r="O4" i="56"/>
  <c r="J6" i="54"/>
  <c r="E5" i="63" s="1"/>
  <c r="N61" i="63"/>
  <c r="P61" i="63" s="1"/>
  <c r="H5" i="54"/>
  <c r="J44" i="54"/>
  <c r="E43" i="63" s="1"/>
  <c r="E26" i="55"/>
  <c r="J26" i="55" s="1"/>
  <c r="F25" i="63" s="1"/>
  <c r="J27" i="55"/>
  <c r="F26" i="63" s="1"/>
  <c r="G37" i="55"/>
  <c r="J45" i="55"/>
  <c r="F44" i="63" s="1"/>
  <c r="E44" i="55"/>
  <c r="J44" i="55" s="1"/>
  <c r="F43" i="63" s="1"/>
  <c r="J65" i="55"/>
  <c r="F64" i="63" s="1"/>
  <c r="P5" i="61"/>
  <c r="Y10" i="61"/>
  <c r="G9" i="63" s="1"/>
  <c r="N9" i="63" s="1"/>
  <c r="P9" i="63" s="1"/>
  <c r="E13" i="61"/>
  <c r="K22" i="61"/>
  <c r="K15" i="61"/>
  <c r="K50" i="61"/>
  <c r="K49" i="61" s="1"/>
  <c r="K14" i="61"/>
  <c r="K13" i="61" s="1"/>
  <c r="K29" i="61"/>
  <c r="K28" i="61" s="1"/>
  <c r="K25" i="61"/>
  <c r="O74" i="61"/>
  <c r="O33" i="61"/>
  <c r="O32" i="61" s="1"/>
  <c r="Q24" i="59"/>
  <c r="J23" i="63" s="1"/>
  <c r="Q33" i="59"/>
  <c r="J32" i="63" s="1"/>
  <c r="F5" i="58"/>
  <c r="F4" i="58" s="1"/>
  <c r="N19" i="58"/>
  <c r="K18" i="63" s="1"/>
  <c r="E16" i="58"/>
  <c r="N22" i="58"/>
  <c r="K21" i="63" s="1"/>
  <c r="I5" i="54"/>
  <c r="E26" i="54"/>
  <c r="J26" i="54" s="1"/>
  <c r="E25" i="63" s="1"/>
  <c r="J27" i="54"/>
  <c r="E26" i="63" s="1"/>
  <c r="H5" i="55"/>
  <c r="L27" i="61"/>
  <c r="L26" i="61" s="1"/>
  <c r="L50" i="61"/>
  <c r="L49" i="61" s="1"/>
  <c r="L14" i="61"/>
  <c r="L24" i="61"/>
  <c r="L15" i="61"/>
  <c r="L29" i="61"/>
  <c r="L28" i="61" s="1"/>
  <c r="L25" i="61"/>
  <c r="N69" i="63"/>
  <c r="P69" i="63" s="1"/>
  <c r="E13" i="54"/>
  <c r="J13" i="54" s="1"/>
  <c r="E12" i="63" s="1"/>
  <c r="J35" i="54"/>
  <c r="E34" i="63" s="1"/>
  <c r="N34" i="63" s="1"/>
  <c r="P34" i="63" s="1"/>
  <c r="J42" i="54"/>
  <c r="E41" i="63" s="1"/>
  <c r="N41" i="63" s="1"/>
  <c r="P41" i="63" s="1"/>
  <c r="J35" i="55"/>
  <c r="F34" i="63" s="1"/>
  <c r="Q73" i="61"/>
  <c r="Q4" i="61"/>
  <c r="V21" i="61"/>
  <c r="W33" i="61"/>
  <c r="W32" i="61" s="1"/>
  <c r="W74" i="61"/>
  <c r="N44" i="63"/>
  <c r="P44" i="63" s="1"/>
  <c r="E32" i="54"/>
  <c r="J32" i="54" s="1"/>
  <c r="E31" i="63" s="1"/>
  <c r="J33" i="54"/>
  <c r="E32" i="63" s="1"/>
  <c r="J24" i="55"/>
  <c r="F23" i="63" s="1"/>
  <c r="E40" i="55"/>
  <c r="M16" i="61"/>
  <c r="M5" i="61" s="1"/>
  <c r="X21" i="61"/>
  <c r="K24" i="61"/>
  <c r="K23" i="61" s="1"/>
  <c r="Y33" i="61"/>
  <c r="G32" i="63" s="1"/>
  <c r="E32" i="61"/>
  <c r="Y32" i="61" s="1"/>
  <c r="G31" i="63" s="1"/>
  <c r="Y44" i="61"/>
  <c r="G43" i="63" s="1"/>
  <c r="H37" i="59"/>
  <c r="W22" i="61"/>
  <c r="W21" i="61" s="1"/>
  <c r="W15" i="61"/>
  <c r="M33" i="61"/>
  <c r="M32" i="61" s="1"/>
  <c r="M74" i="61"/>
  <c r="J37" i="61"/>
  <c r="H37" i="61"/>
  <c r="L6" i="59"/>
  <c r="L5" i="59" s="1"/>
  <c r="P29" i="59"/>
  <c r="P28" i="59" s="1"/>
  <c r="P27" i="59"/>
  <c r="P26" i="59" s="1"/>
  <c r="P15" i="59"/>
  <c r="P13" i="59" s="1"/>
  <c r="G41" i="59"/>
  <c r="G40" i="59" s="1"/>
  <c r="G37" i="59" s="1"/>
  <c r="G20" i="59"/>
  <c r="G19" i="59"/>
  <c r="G16" i="59" s="1"/>
  <c r="G12" i="59"/>
  <c r="G11" i="59" s="1"/>
  <c r="G9" i="59" s="1"/>
  <c r="G5" i="59" s="1"/>
  <c r="N14" i="58"/>
  <c r="K13" i="63" s="1"/>
  <c r="J13" i="58"/>
  <c r="E40" i="57"/>
  <c r="T21" i="61"/>
  <c r="T5" i="61" s="1"/>
  <c r="N33" i="61"/>
  <c r="N32" i="61" s="1"/>
  <c r="N74" i="61"/>
  <c r="I37" i="61"/>
  <c r="I4" i="61" s="1"/>
  <c r="Y45" i="61"/>
  <c r="G44" i="63" s="1"/>
  <c r="Y55" i="61"/>
  <c r="G54" i="63" s="1"/>
  <c r="N33" i="58"/>
  <c r="K32" i="63" s="1"/>
  <c r="G44" i="58"/>
  <c r="N44" i="58" s="1"/>
  <c r="K43" i="63" s="1"/>
  <c r="N45" i="58"/>
  <c r="K44" i="63" s="1"/>
  <c r="N60" i="58"/>
  <c r="K59" i="63" s="1"/>
  <c r="E47" i="58"/>
  <c r="E12" i="58"/>
  <c r="G25" i="57"/>
  <c r="G22" i="57"/>
  <c r="G21" i="57" s="1"/>
  <c r="G15" i="57"/>
  <c r="T15" i="57" s="1"/>
  <c r="L14" i="63" s="1"/>
  <c r="G24" i="57"/>
  <c r="G23" i="57" s="1"/>
  <c r="G50" i="57"/>
  <c r="G49" i="57" s="1"/>
  <c r="G37" i="57" s="1"/>
  <c r="G27" i="57"/>
  <c r="G26" i="57" s="1"/>
  <c r="G14" i="57"/>
  <c r="G13" i="57" s="1"/>
  <c r="G5" i="57" s="1"/>
  <c r="T30" i="57"/>
  <c r="L29" i="63" s="1"/>
  <c r="P6" i="56"/>
  <c r="M5" i="63" s="1"/>
  <c r="F5" i="56"/>
  <c r="F51" i="61"/>
  <c r="Y51" i="61" s="1"/>
  <c r="G50" i="63" s="1"/>
  <c r="Y52" i="61"/>
  <c r="G51" i="63" s="1"/>
  <c r="N51" i="63" s="1"/>
  <c r="P51" i="63" s="1"/>
  <c r="K37" i="61"/>
  <c r="W37" i="61"/>
  <c r="K32" i="59"/>
  <c r="Q32" i="59" s="1"/>
  <c r="J31" i="63" s="1"/>
  <c r="Q45" i="59"/>
  <c r="J44" i="63" s="1"/>
  <c r="N5" i="57"/>
  <c r="I23" i="57"/>
  <c r="J54" i="55"/>
  <c r="F53" i="63" s="1"/>
  <c r="N53" i="63" s="1"/>
  <c r="P53" i="63" s="1"/>
  <c r="H29" i="61"/>
  <c r="H28" i="61" s="1"/>
  <c r="H25" i="61"/>
  <c r="H23" i="61" s="1"/>
  <c r="H21" i="61" s="1"/>
  <c r="H14" i="61"/>
  <c r="H13" i="61" s="1"/>
  <c r="Y42" i="61"/>
  <c r="G41" i="63" s="1"/>
  <c r="L41" i="61"/>
  <c r="L40" i="61" s="1"/>
  <c r="L37" i="61" s="1"/>
  <c r="L19" i="61"/>
  <c r="L16" i="61" s="1"/>
  <c r="X41" i="61"/>
  <c r="X40" i="61" s="1"/>
  <c r="X37" i="61" s="1"/>
  <c r="X19" i="61"/>
  <c r="X16" i="61" s="1"/>
  <c r="G74" i="57"/>
  <c r="G33" i="57"/>
  <c r="G32" i="57" s="1"/>
  <c r="M12" i="57"/>
  <c r="M11" i="57" s="1"/>
  <c r="M47" i="57"/>
  <c r="M46" i="57" s="1"/>
  <c r="M41" i="57"/>
  <c r="M40" i="57" s="1"/>
  <c r="M19" i="57"/>
  <c r="M16" i="57" s="1"/>
  <c r="K12" i="61"/>
  <c r="K11" i="61" s="1"/>
  <c r="K9" i="61" s="1"/>
  <c r="W12" i="61"/>
  <c r="W11" i="61" s="1"/>
  <c r="W9" i="61" s="1"/>
  <c r="W5" i="61" s="1"/>
  <c r="W14" i="61"/>
  <c r="W13" i="61" s="1"/>
  <c r="X23" i="61"/>
  <c r="W50" i="61"/>
  <c r="W49" i="61" s="1"/>
  <c r="J37" i="59"/>
  <c r="Q43" i="59"/>
  <c r="J42" i="63" s="1"/>
  <c r="Q55" i="59"/>
  <c r="J54" i="63" s="1"/>
  <c r="J5" i="58"/>
  <c r="E49" i="58"/>
  <c r="N49" i="58" s="1"/>
  <c r="K48" i="63" s="1"/>
  <c r="N50" i="58"/>
  <c r="K49" i="63" s="1"/>
  <c r="J60" i="55"/>
  <c r="F59" i="63" s="1"/>
  <c r="E11" i="61"/>
  <c r="L12" i="61"/>
  <c r="L11" i="61" s="1"/>
  <c r="L9" i="61" s="1"/>
  <c r="X12" i="61"/>
  <c r="X11" i="61" s="1"/>
  <c r="X9" i="61" s="1"/>
  <c r="W19" i="61"/>
  <c r="W16" i="61" s="1"/>
  <c r="N27" i="61"/>
  <c r="N26" i="61" s="1"/>
  <c r="N50" i="61"/>
  <c r="N49" i="61" s="1"/>
  <c r="N37" i="61" s="1"/>
  <c r="W47" i="61"/>
  <c r="W46" i="61" s="1"/>
  <c r="H50" i="61"/>
  <c r="H49" i="61" s="1"/>
  <c r="K37" i="59"/>
  <c r="N12" i="59"/>
  <c r="N11" i="59" s="1"/>
  <c r="N9" i="59" s="1"/>
  <c r="N5" i="59" s="1"/>
  <c r="N41" i="59"/>
  <c r="N40" i="59" s="1"/>
  <c r="N37" i="59" s="1"/>
  <c r="E41" i="58"/>
  <c r="P37" i="57"/>
  <c r="G73" i="56"/>
  <c r="G4" i="56"/>
  <c r="G19" i="54"/>
  <c r="G16" i="54" s="1"/>
  <c r="G5" i="54" s="1"/>
  <c r="E19" i="55"/>
  <c r="H9" i="61"/>
  <c r="N24" i="61"/>
  <c r="N23" i="61" s="1"/>
  <c r="N21" i="61" s="1"/>
  <c r="Y34" i="61"/>
  <c r="S41" i="61"/>
  <c r="S40" i="61" s="1"/>
  <c r="S37" i="61" s="1"/>
  <c r="X47" i="61"/>
  <c r="X46" i="61" s="1"/>
  <c r="Q47" i="59"/>
  <c r="J46" i="63" s="1"/>
  <c r="Q46" i="59"/>
  <c r="J45" i="63" s="1"/>
  <c r="Q48" i="59"/>
  <c r="J47" i="63" s="1"/>
  <c r="N28" i="58"/>
  <c r="K27" i="63" s="1"/>
  <c r="I32" i="58"/>
  <c r="N32" i="58" s="1"/>
  <c r="K31" i="63" s="1"/>
  <c r="L47" i="58"/>
  <c r="L46" i="58" s="1"/>
  <c r="L41" i="58"/>
  <c r="L40" i="58" s="1"/>
  <c r="L37" i="58" s="1"/>
  <c r="L20" i="58"/>
  <c r="L16" i="58" s="1"/>
  <c r="L5" i="58" s="1"/>
  <c r="L4" i="58" s="1"/>
  <c r="L12" i="58"/>
  <c r="L11" i="58" s="1"/>
  <c r="L9" i="58" s="1"/>
  <c r="G41" i="54"/>
  <c r="G40" i="54" s="1"/>
  <c r="G37" i="54" s="1"/>
  <c r="K19" i="61"/>
  <c r="K16" i="61" s="1"/>
  <c r="Y16" i="61" s="1"/>
  <c r="G15" i="63" s="1"/>
  <c r="T37" i="61"/>
  <c r="G46" i="61"/>
  <c r="E46" i="61"/>
  <c r="F46" i="61"/>
  <c r="R46" i="61"/>
  <c r="R37" i="61" s="1"/>
  <c r="Y65" i="61"/>
  <c r="G64" i="63" s="1"/>
  <c r="J5" i="59"/>
  <c r="I21" i="59"/>
  <c r="I5" i="59" s="1"/>
  <c r="P37" i="59"/>
  <c r="M21" i="58"/>
  <c r="N25" i="58"/>
  <c r="K24" i="63" s="1"/>
  <c r="G37" i="58"/>
  <c r="N54" i="58"/>
  <c r="K53" i="63" s="1"/>
  <c r="M32" i="57"/>
  <c r="J51" i="55"/>
  <c r="F50" i="63" s="1"/>
  <c r="N50" i="63" s="1"/>
  <c r="P50" i="63" s="1"/>
  <c r="H47" i="55"/>
  <c r="H46" i="55" s="1"/>
  <c r="H41" i="55"/>
  <c r="H40" i="55" s="1"/>
  <c r="H37" i="55" s="1"/>
  <c r="U29" i="61"/>
  <c r="U28" i="61" s="1"/>
  <c r="U22" i="61"/>
  <c r="U21" i="61" s="1"/>
  <c r="U5" i="61" s="1"/>
  <c r="K33" i="61"/>
  <c r="K32" i="61" s="1"/>
  <c r="K74" i="61"/>
  <c r="U37" i="61"/>
  <c r="Q35" i="59"/>
  <c r="J34" i="63" s="1"/>
  <c r="E40" i="59"/>
  <c r="N6" i="58"/>
  <c r="K5" i="63" s="1"/>
  <c r="H37" i="58"/>
  <c r="N42" i="58"/>
  <c r="K41" i="63" s="1"/>
  <c r="J21" i="56"/>
  <c r="P21" i="56" s="1"/>
  <c r="M20" i="63" s="1"/>
  <c r="I41" i="54"/>
  <c r="I40" i="54" s="1"/>
  <c r="I37" i="54" s="1"/>
  <c r="H19" i="55"/>
  <c r="H16" i="55" s="1"/>
  <c r="R21" i="61"/>
  <c r="R5" i="61" s="1"/>
  <c r="H27" i="61"/>
  <c r="H26" i="61" s="1"/>
  <c r="W29" i="61"/>
  <c r="W28" i="61" s="1"/>
  <c r="V14" i="61"/>
  <c r="V13" i="61" s="1"/>
  <c r="V5" i="61" s="1"/>
  <c r="V50" i="61"/>
  <c r="V49" i="61" s="1"/>
  <c r="V37" i="61" s="1"/>
  <c r="G41" i="61"/>
  <c r="G40" i="61" s="1"/>
  <c r="K47" i="61"/>
  <c r="K46" i="61" s="1"/>
  <c r="Y57" i="61"/>
  <c r="G56" i="63" s="1"/>
  <c r="N56" i="63" s="1"/>
  <c r="P56" i="63" s="1"/>
  <c r="M5" i="59"/>
  <c r="K21" i="59"/>
  <c r="K5" i="59" s="1"/>
  <c r="P24" i="59"/>
  <c r="P23" i="59" s="1"/>
  <c r="P21" i="59" s="1"/>
  <c r="P5" i="59" s="1"/>
  <c r="O29" i="59"/>
  <c r="O28" i="59" s="1"/>
  <c r="Q28" i="59" s="1"/>
  <c r="J27" i="63" s="1"/>
  <c r="O27" i="59"/>
  <c r="O26" i="59" s="1"/>
  <c r="Q26" i="59" s="1"/>
  <c r="J25" i="63" s="1"/>
  <c r="O24" i="59"/>
  <c r="O23" i="59" s="1"/>
  <c r="O21" i="59" s="1"/>
  <c r="Q30" i="59"/>
  <c r="J29" i="63" s="1"/>
  <c r="F41" i="59"/>
  <c r="F40" i="59" s="1"/>
  <c r="F37" i="59" s="1"/>
  <c r="F20" i="59"/>
  <c r="Q20" i="59" s="1"/>
  <c r="J19" i="63" s="1"/>
  <c r="F19" i="59"/>
  <c r="F16" i="59" s="1"/>
  <c r="F5" i="59" s="1"/>
  <c r="T8" i="57"/>
  <c r="L7" i="63" s="1"/>
  <c r="N48" i="58"/>
  <c r="K47" i="63" s="1"/>
  <c r="L6" i="57"/>
  <c r="T10" i="57"/>
  <c r="L9" i="63" s="1"/>
  <c r="O14" i="57"/>
  <c r="O29" i="57"/>
  <c r="O28" i="57" s="1"/>
  <c r="P74" i="57"/>
  <c r="P33" i="57"/>
  <c r="P32" i="57" s="1"/>
  <c r="Q37" i="57"/>
  <c r="T45" i="57"/>
  <c r="L44" i="63" s="1"/>
  <c r="H73" i="56"/>
  <c r="H4" i="56"/>
  <c r="P13" i="56"/>
  <c r="M12" i="63" s="1"/>
  <c r="P28" i="56"/>
  <c r="M27" i="63" s="1"/>
  <c r="Q44" i="64"/>
  <c r="Q56" i="64"/>
  <c r="N24" i="58"/>
  <c r="K23" i="63" s="1"/>
  <c r="M6" i="57"/>
  <c r="F9" i="57"/>
  <c r="J23" i="57"/>
  <c r="Q14" i="57"/>
  <c r="Q29" i="57"/>
  <c r="Q28" i="57" s="1"/>
  <c r="R33" i="57"/>
  <c r="R32" i="57" s="1"/>
  <c r="R74" i="57"/>
  <c r="P27" i="56"/>
  <c r="M26" i="63" s="1"/>
  <c r="G126" i="64"/>
  <c r="Q60" i="59"/>
  <c r="J59" i="63" s="1"/>
  <c r="M13" i="58"/>
  <c r="H13" i="57"/>
  <c r="E14" i="57"/>
  <c r="E29" i="57"/>
  <c r="R29" i="57"/>
  <c r="R28" i="57" s="1"/>
  <c r="R50" i="57"/>
  <c r="R49" i="57" s="1"/>
  <c r="R37" i="57" s="1"/>
  <c r="R27" i="57"/>
  <c r="R26" i="57" s="1"/>
  <c r="R24" i="57"/>
  <c r="E74" i="57"/>
  <c r="E33" i="57"/>
  <c r="T34" i="57"/>
  <c r="T39" i="57"/>
  <c r="L38" i="63" s="1"/>
  <c r="T43" i="57"/>
  <c r="L42" i="63" s="1"/>
  <c r="M5" i="56"/>
  <c r="P26" i="56"/>
  <c r="M25" i="63" s="1"/>
  <c r="Q14" i="64"/>
  <c r="Q42" i="64"/>
  <c r="Q54" i="64"/>
  <c r="M74" i="64"/>
  <c r="I13" i="57"/>
  <c r="T42" i="57"/>
  <c r="L41" i="63" s="1"/>
  <c r="T44" i="57"/>
  <c r="L43" i="63" s="1"/>
  <c r="T54" i="57"/>
  <c r="L53" i="63" s="1"/>
  <c r="P25" i="56"/>
  <c r="M24" i="63" s="1"/>
  <c r="Q5" i="64"/>
  <c r="Q21" i="64"/>
  <c r="Q33" i="64"/>
  <c r="M125" i="64"/>
  <c r="Q123" i="64"/>
  <c r="E72" i="31"/>
  <c r="Y60" i="61"/>
  <c r="G59" i="63" s="1"/>
  <c r="O19" i="59"/>
  <c r="O16" i="59" s="1"/>
  <c r="O5" i="59" s="1"/>
  <c r="E23" i="58"/>
  <c r="N23" i="58" s="1"/>
  <c r="K22" i="63" s="1"/>
  <c r="I23" i="58"/>
  <c r="I21" i="58" s="1"/>
  <c r="I5" i="58" s="1"/>
  <c r="I4" i="58" s="1"/>
  <c r="K37" i="58"/>
  <c r="K4" i="58" s="1"/>
  <c r="N57" i="58"/>
  <c r="K56" i="63" s="1"/>
  <c r="N65" i="58"/>
  <c r="K64" i="63" s="1"/>
  <c r="T7" i="57"/>
  <c r="L6" i="63" s="1"/>
  <c r="J9" i="57"/>
  <c r="L21" i="57"/>
  <c r="E27" i="57"/>
  <c r="Q27" i="57"/>
  <c r="Q26" i="57" s="1"/>
  <c r="T36" i="57"/>
  <c r="L35" i="63" s="1"/>
  <c r="F37" i="57"/>
  <c r="T60" i="57"/>
  <c r="L59" i="63" s="1"/>
  <c r="P19" i="56"/>
  <c r="M18" i="63" s="1"/>
  <c r="P23" i="56"/>
  <c r="M22" i="63" s="1"/>
  <c r="P35" i="56"/>
  <c r="M34" i="63" s="1"/>
  <c r="Q19" i="64"/>
  <c r="Q31" i="64"/>
  <c r="P113" i="64"/>
  <c r="P19" i="59"/>
  <c r="P16" i="59" s="1"/>
  <c r="O41" i="59"/>
  <c r="O40" i="59" s="1"/>
  <c r="O37" i="59" s="1"/>
  <c r="M37" i="58"/>
  <c r="G16" i="58"/>
  <c r="G5" i="58" s="1"/>
  <c r="G4" i="58" s="1"/>
  <c r="K9" i="57"/>
  <c r="K5" i="57" s="1"/>
  <c r="M21" i="57"/>
  <c r="O24" i="57"/>
  <c r="O23" i="57" s="1"/>
  <c r="Q25" i="57"/>
  <c r="I25" i="57"/>
  <c r="I22" i="57"/>
  <c r="I21" i="57" s="1"/>
  <c r="I50" i="57"/>
  <c r="I49" i="57" s="1"/>
  <c r="E50" i="57"/>
  <c r="L5" i="56"/>
  <c r="P22" i="56"/>
  <c r="M21" i="63" s="1"/>
  <c r="P33" i="56"/>
  <c r="M32" i="63" s="1"/>
  <c r="F37" i="56"/>
  <c r="F46" i="56"/>
  <c r="J5" i="56"/>
  <c r="Q16" i="64"/>
  <c r="N126" i="64"/>
  <c r="E19" i="59"/>
  <c r="Q65" i="59"/>
  <c r="J64" i="63" s="1"/>
  <c r="G20" i="58"/>
  <c r="J46" i="58"/>
  <c r="J37" i="58" s="1"/>
  <c r="N55" i="58"/>
  <c r="K54" i="63" s="1"/>
  <c r="P19" i="57"/>
  <c r="P16" i="57" s="1"/>
  <c r="P5" i="57" s="1"/>
  <c r="N21" i="57"/>
  <c r="R25" i="57"/>
  <c r="J25" i="57"/>
  <c r="J22" i="57"/>
  <c r="J21" i="57" s="1"/>
  <c r="J15" i="57"/>
  <c r="J13" i="57" s="1"/>
  <c r="J29" i="57"/>
  <c r="J28" i="57" s="1"/>
  <c r="N73" i="56"/>
  <c r="N4" i="56"/>
  <c r="K47" i="56"/>
  <c r="K46" i="56" s="1"/>
  <c r="K41" i="56"/>
  <c r="K40" i="56" s="1"/>
  <c r="K37" i="56" s="1"/>
  <c r="P60" i="56"/>
  <c r="M59" i="63" s="1"/>
  <c r="K12" i="56"/>
  <c r="K11" i="56" s="1"/>
  <c r="K9" i="56" s="1"/>
  <c r="K5" i="56" s="1"/>
  <c r="M16" i="64"/>
  <c r="Q17" i="64"/>
  <c r="Q29" i="64"/>
  <c r="G17" i="33"/>
  <c r="G183" i="33" s="1"/>
  <c r="Q53" i="59"/>
  <c r="J52" i="63" s="1"/>
  <c r="Q54" i="59"/>
  <c r="J53" i="63" s="1"/>
  <c r="E27" i="58"/>
  <c r="E15" i="58"/>
  <c r="N15" i="58" s="1"/>
  <c r="K14" i="63" s="1"/>
  <c r="M9" i="57"/>
  <c r="O15" i="57"/>
  <c r="O22" i="57"/>
  <c r="O21" i="57" s="1"/>
  <c r="E24" i="57"/>
  <c r="Q24" i="57"/>
  <c r="T48" i="57"/>
  <c r="L47" i="63" s="1"/>
  <c r="M37" i="64"/>
  <c r="P125" i="64"/>
  <c r="N19" i="61"/>
  <c r="N16" i="61" s="1"/>
  <c r="N5" i="61" s="1"/>
  <c r="E42" i="59"/>
  <c r="Q42" i="59" s="1"/>
  <c r="J41" i="63" s="1"/>
  <c r="N30" i="58"/>
  <c r="K29" i="63" s="1"/>
  <c r="R16" i="57"/>
  <c r="F23" i="57"/>
  <c r="F21" i="57" s="1"/>
  <c r="I27" i="57"/>
  <c r="I26" i="57" s="1"/>
  <c r="J37" i="57"/>
  <c r="O50" i="57"/>
  <c r="O49" i="57" s="1"/>
  <c r="T55" i="57"/>
  <c r="L54" i="63" s="1"/>
  <c r="K12" i="57"/>
  <c r="K11" i="57" s="1"/>
  <c r="K47" i="57"/>
  <c r="K46" i="57" s="1"/>
  <c r="K41" i="57"/>
  <c r="K40" i="57" s="1"/>
  <c r="K37" i="57" s="1"/>
  <c r="P16" i="56"/>
  <c r="M15" i="63" s="1"/>
  <c r="M47" i="56"/>
  <c r="M46" i="56" s="1"/>
  <c r="M41" i="56"/>
  <c r="M40" i="56" s="1"/>
  <c r="M37" i="56" s="1"/>
  <c r="Q27" i="64"/>
  <c r="M87" i="64"/>
  <c r="H21" i="58"/>
  <c r="H5" i="58" s="1"/>
  <c r="H4" i="58" s="1"/>
  <c r="J6" i="57"/>
  <c r="R14" i="57"/>
  <c r="R13" i="57" s="1"/>
  <c r="Q15" i="57"/>
  <c r="Q22" i="57"/>
  <c r="E25" i="57"/>
  <c r="T25" i="57" s="1"/>
  <c r="L24" i="63" s="1"/>
  <c r="O37" i="57"/>
  <c r="E46" i="57"/>
  <c r="T46" i="57" s="1"/>
  <c r="L45" i="63" s="1"/>
  <c r="T47" i="57"/>
  <c r="L46" i="63" s="1"/>
  <c r="T57" i="57"/>
  <c r="L56" i="63" s="1"/>
  <c r="L46" i="57"/>
  <c r="T65" i="57"/>
  <c r="L64" i="63" s="1"/>
  <c r="I4" i="56"/>
  <c r="P11" i="56"/>
  <c r="M10" i="63" s="1"/>
  <c r="P15" i="56"/>
  <c r="M14" i="63" s="1"/>
  <c r="Q9" i="64"/>
  <c r="Q46" i="64"/>
  <c r="Q58" i="64"/>
  <c r="Q74" i="64" s="1"/>
  <c r="Q75" i="64"/>
  <c r="Q87" i="64" s="1"/>
  <c r="I113" i="64"/>
  <c r="F126" i="64"/>
  <c r="D122" i="31"/>
  <c r="G73" i="33"/>
  <c r="AL19" i="32"/>
  <c r="AK19" i="32"/>
  <c r="AI19" i="32"/>
  <c r="AG19" i="32"/>
  <c r="AF19" i="32"/>
  <c r="AM19" i="32" s="1"/>
  <c r="AO19" i="32" s="1"/>
  <c r="AM43" i="32"/>
  <c r="AO43" i="32" s="1"/>
  <c r="R70" i="32"/>
  <c r="F97" i="64"/>
  <c r="G142" i="33"/>
  <c r="AL8" i="32"/>
  <c r="AK8" i="32"/>
  <c r="AI8" i="32"/>
  <c r="AH8" i="32"/>
  <c r="AG8" i="32"/>
  <c r="AE8" i="32"/>
  <c r="AL11" i="32"/>
  <c r="AK11" i="32"/>
  <c r="AI11" i="32"/>
  <c r="AG11" i="32"/>
  <c r="AE11" i="32"/>
  <c r="S15" i="32"/>
  <c r="S23" i="32" s="1"/>
  <c r="S27" i="32"/>
  <c r="AL5" i="32"/>
  <c r="AL14" i="32" s="1"/>
  <c r="AK5" i="32"/>
  <c r="AK14" i="32" s="1"/>
  <c r="AI5" i="32"/>
  <c r="AI14" i="32" s="1"/>
  <c r="AH5" i="32"/>
  <c r="AG5" i="32"/>
  <c r="AE5" i="32"/>
  <c r="S78" i="32"/>
  <c r="O90" i="32"/>
  <c r="F50" i="57"/>
  <c r="F49" i="57" s="1"/>
  <c r="Q109" i="64"/>
  <c r="O125" i="64"/>
  <c r="O126" i="64" s="1"/>
  <c r="I125" i="64"/>
  <c r="I14" i="32"/>
  <c r="AF8" i="32"/>
  <c r="S10" i="32"/>
  <c r="AF11" i="32"/>
  <c r="S24" i="32"/>
  <c r="AL29" i="32"/>
  <c r="AK29" i="32"/>
  <c r="AI29" i="32"/>
  <c r="AG29" i="32"/>
  <c r="AE29" i="32"/>
  <c r="AM29" i="32" s="1"/>
  <c r="AO29" i="32" s="1"/>
  <c r="AL32" i="32"/>
  <c r="AK32" i="32"/>
  <c r="AI32" i="32"/>
  <c r="AG32" i="32"/>
  <c r="AE32" i="32"/>
  <c r="AM37" i="32"/>
  <c r="AO37" i="32" s="1"/>
  <c r="K116" i="32"/>
  <c r="D183" i="33"/>
  <c r="AF5" i="32"/>
  <c r="AF14" i="32" s="1"/>
  <c r="S7" i="32"/>
  <c r="AM9" i="32"/>
  <c r="AO9" i="32" s="1"/>
  <c r="S13" i="32"/>
  <c r="P35" i="32"/>
  <c r="AD51" i="32"/>
  <c r="I19" i="57"/>
  <c r="H50" i="57"/>
  <c r="H49" i="57" s="1"/>
  <c r="H37" i="57" s="1"/>
  <c r="E9" i="56"/>
  <c r="Q98" i="64"/>
  <c r="Q101" i="64"/>
  <c r="E183" i="33"/>
  <c r="G182" i="33"/>
  <c r="S4" i="32"/>
  <c r="AM6" i="32"/>
  <c r="AO6" i="32" s="1"/>
  <c r="AM12" i="32"/>
  <c r="AO12" i="32" s="1"/>
  <c r="AK16" i="32"/>
  <c r="AI16" i="32"/>
  <c r="AI23" i="32" s="1"/>
  <c r="AG16" i="32"/>
  <c r="AM16" i="32" s="1"/>
  <c r="AO16" i="32" s="1"/>
  <c r="AF16" i="32"/>
  <c r="Q35" i="32"/>
  <c r="AL26" i="32"/>
  <c r="AL35" i="32" s="1"/>
  <c r="AK26" i="32"/>
  <c r="AK35" i="32" s="1"/>
  <c r="AI26" i="32"/>
  <c r="AH26" i="32"/>
  <c r="AH35" i="32" s="1"/>
  <c r="AG26" i="32"/>
  <c r="AE26" i="32"/>
  <c r="AF29" i="32"/>
  <c r="S31" i="32"/>
  <c r="AF32" i="32"/>
  <c r="S34" i="32"/>
  <c r="AI46" i="32"/>
  <c r="AG46" i="32"/>
  <c r="AE46" i="32"/>
  <c r="AM46" i="32" s="1"/>
  <c r="AO46" i="32" s="1"/>
  <c r="AL46" i="32"/>
  <c r="AK46" i="32"/>
  <c r="AF46" i="32"/>
  <c r="I47" i="57"/>
  <c r="I46" i="57" s="1"/>
  <c r="I37" i="57" s="1"/>
  <c r="Q38" i="64"/>
  <c r="Q99" i="64"/>
  <c r="Q105" i="64"/>
  <c r="AL22" i="32"/>
  <c r="AK22" i="32"/>
  <c r="AK23" i="32" s="1"/>
  <c r="AI22" i="32"/>
  <c r="AM22" i="32" s="1"/>
  <c r="AO22" i="32" s="1"/>
  <c r="AG22" i="32"/>
  <c r="AF22" i="32"/>
  <c r="S28" i="32"/>
  <c r="W116" i="32"/>
  <c r="S40" i="32"/>
  <c r="L116" i="32"/>
  <c r="G33" i="33"/>
  <c r="G87" i="33"/>
  <c r="J12" i="57"/>
  <c r="J11" i="57" s="1"/>
  <c r="T11" i="57" s="1"/>
  <c r="L10" i="63" s="1"/>
  <c r="L19" i="57"/>
  <c r="L16" i="57" s="1"/>
  <c r="S22" i="57"/>
  <c r="S21" i="57" s="1"/>
  <c r="S5" i="57" s="1"/>
  <c r="J41" i="56"/>
  <c r="J47" i="56"/>
  <c r="J46" i="56" s="1"/>
  <c r="I90" i="64"/>
  <c r="Q96" i="64"/>
  <c r="Q122" i="64"/>
  <c r="N23" i="32"/>
  <c r="AL23" i="32"/>
  <c r="AH16" i="32"/>
  <c r="AH23" i="32" s="1"/>
  <c r="S18" i="32"/>
  <c r="AE22" i="32"/>
  <c r="AC23" i="32"/>
  <c r="O35" i="32"/>
  <c r="S25" i="32"/>
  <c r="AM27" i="32"/>
  <c r="AO27" i="32" s="1"/>
  <c r="AM39" i="32"/>
  <c r="AO39" i="32" s="1"/>
  <c r="AI49" i="32"/>
  <c r="AH49" i="32"/>
  <c r="AG49" i="32"/>
  <c r="AE49" i="32"/>
  <c r="AM49" i="32" s="1"/>
  <c r="AO49" i="32" s="1"/>
  <c r="AL49" i="32"/>
  <c r="AK49" i="32"/>
  <c r="AF49" i="32"/>
  <c r="N70" i="32"/>
  <c r="D116" i="32"/>
  <c r="H22" i="57"/>
  <c r="H21" i="57" s="1"/>
  <c r="H5" i="57" s="1"/>
  <c r="L41" i="57"/>
  <c r="L40" i="57" s="1"/>
  <c r="Q120" i="64"/>
  <c r="E55" i="31"/>
  <c r="G173" i="33"/>
  <c r="S9" i="32"/>
  <c r="O23" i="32"/>
  <c r="AH22" i="32"/>
  <c r="S68" i="32"/>
  <c r="P116" i="32"/>
  <c r="M50" i="57"/>
  <c r="M49" i="57" s="1"/>
  <c r="E110" i="31"/>
  <c r="E122" i="31" s="1"/>
  <c r="AM24" i="32"/>
  <c r="Q90" i="32"/>
  <c r="AM92" i="32"/>
  <c r="AO92" i="32" s="1"/>
  <c r="O19" i="57"/>
  <c r="O16" i="57" s="1"/>
  <c r="N41" i="57"/>
  <c r="N40" i="57" s="1"/>
  <c r="N37" i="57" s="1"/>
  <c r="E32" i="56"/>
  <c r="P32" i="56" s="1"/>
  <c r="M31" i="63" s="1"/>
  <c r="Q116" i="64"/>
  <c r="Q125" i="64" s="1"/>
  <c r="E85" i="31"/>
  <c r="AF35" i="32"/>
  <c r="X51" i="32"/>
  <c r="X116" i="32" s="1"/>
  <c r="AK54" i="32"/>
  <c r="AK70" i="32" s="1"/>
  <c r="AI54" i="32"/>
  <c r="AG54" i="32"/>
  <c r="AG70" i="32" s="1"/>
  <c r="AF54" i="32"/>
  <c r="AC70" i="32"/>
  <c r="AL54" i="32"/>
  <c r="AH54" i="32"/>
  <c r="AE54" i="32"/>
  <c r="AM54" i="32" s="1"/>
  <c r="AO54" i="32" s="1"/>
  <c r="S82" i="32"/>
  <c r="S47" i="32"/>
  <c r="S50" i="32"/>
  <c r="P51" i="32"/>
  <c r="AM67" i="32"/>
  <c r="AO67" i="32" s="1"/>
  <c r="AM75" i="32"/>
  <c r="AO75" i="32" s="1"/>
  <c r="AL80" i="32"/>
  <c r="AK80" i="32"/>
  <c r="AI80" i="32"/>
  <c r="AH80" i="32"/>
  <c r="AF80" i="32"/>
  <c r="AM80" i="32" s="1"/>
  <c r="AO80" i="32" s="1"/>
  <c r="S87" i="32"/>
  <c r="AL89" i="32"/>
  <c r="AK89" i="32"/>
  <c r="AI89" i="32"/>
  <c r="AH89" i="32"/>
  <c r="AF89" i="32"/>
  <c r="AM89" i="32" s="1"/>
  <c r="AO89" i="32" s="1"/>
  <c r="P95" i="32"/>
  <c r="Q115" i="32"/>
  <c r="D60" i="65"/>
  <c r="AK44" i="32"/>
  <c r="AI44" i="32"/>
  <c r="S48" i="32"/>
  <c r="AL71" i="32"/>
  <c r="AK71" i="32"/>
  <c r="AI71" i="32"/>
  <c r="AM71" i="32" s="1"/>
  <c r="AH71" i="32"/>
  <c r="AF71" i="32"/>
  <c r="AG80" i="32"/>
  <c r="AI85" i="32"/>
  <c r="AH85" i="32"/>
  <c r="AG85" i="32"/>
  <c r="AF85" i="32"/>
  <c r="AE85" i="32"/>
  <c r="AG89" i="32"/>
  <c r="AC90" i="32"/>
  <c r="S113" i="32"/>
  <c r="S115" i="32" s="1"/>
  <c r="K3" i="73"/>
  <c r="I4" i="73"/>
  <c r="AM52" i="32"/>
  <c r="AK57" i="32"/>
  <c r="AI57" i="32"/>
  <c r="AG57" i="32"/>
  <c r="AF57" i="32"/>
  <c r="AF70" i="32" s="1"/>
  <c r="O70" i="32"/>
  <c r="AI76" i="32"/>
  <c r="AH76" i="32"/>
  <c r="AG76" i="32"/>
  <c r="AF76" i="32"/>
  <c r="AE76" i="32"/>
  <c r="AL86" i="32"/>
  <c r="AK86" i="32"/>
  <c r="AI86" i="32"/>
  <c r="AH86" i="32"/>
  <c r="AF86" i="32"/>
  <c r="P90" i="32"/>
  <c r="AD90" i="32"/>
  <c r="AD116" i="32" s="1"/>
  <c r="AK93" i="32"/>
  <c r="AK95" i="32" s="1"/>
  <c r="AI93" i="32"/>
  <c r="AI95" i="32" s="1"/>
  <c r="AH93" i="32"/>
  <c r="AH95" i="32" s="1"/>
  <c r="AG93" i="32"/>
  <c r="AF93" i="32"/>
  <c r="AF95" i="32" s="1"/>
  <c r="R115" i="32"/>
  <c r="D40" i="73"/>
  <c r="AI40" i="32"/>
  <c r="AG40" i="32"/>
  <c r="AL47" i="32"/>
  <c r="AK47" i="32"/>
  <c r="AI47" i="32"/>
  <c r="AL50" i="32"/>
  <c r="AK50" i="32"/>
  <c r="AI50" i="32"/>
  <c r="Q70" i="32"/>
  <c r="AL77" i="32"/>
  <c r="AK77" i="32"/>
  <c r="AI77" i="32"/>
  <c r="AH77" i="32"/>
  <c r="AF77" i="32"/>
  <c r="AM77" i="32" s="1"/>
  <c r="AO77" i="32" s="1"/>
  <c r="AM86" i="32"/>
  <c r="AO86" i="32" s="1"/>
  <c r="AO91" i="32"/>
  <c r="E116" i="32"/>
  <c r="T116" i="32"/>
  <c r="E7" i="65"/>
  <c r="E60" i="65" s="1"/>
  <c r="I30" i="73"/>
  <c r="K24" i="73"/>
  <c r="K30" i="73" s="1"/>
  <c r="AE15" i="32"/>
  <c r="AE18" i="32"/>
  <c r="AE21" i="32"/>
  <c r="AM21" i="32" s="1"/>
  <c r="AO21" i="32" s="1"/>
  <c r="AC35" i="32"/>
  <c r="AG36" i="32"/>
  <c r="AE38" i="32"/>
  <c r="AE51" i="32" s="1"/>
  <c r="AF44" i="32"/>
  <c r="AM44" i="32" s="1"/>
  <c r="AO44" i="32" s="1"/>
  <c r="AM55" i="32"/>
  <c r="AO55" i="32" s="1"/>
  <c r="AE57" i="32"/>
  <c r="AM57" i="32" s="1"/>
  <c r="AO57" i="32" s="1"/>
  <c r="AK60" i="32"/>
  <c r="AI60" i="32"/>
  <c r="AI70" i="32" s="1"/>
  <c r="AG60" i="32"/>
  <c r="AF60" i="32"/>
  <c r="AG71" i="32"/>
  <c r="AI82" i="32"/>
  <c r="AG82" i="32"/>
  <c r="AF82" i="32"/>
  <c r="AE82" i="32"/>
  <c r="AK85" i="32"/>
  <c r="AE86" i="32"/>
  <c r="AM87" i="32"/>
  <c r="AO87" i="32" s="1"/>
  <c r="AE93" i="32"/>
  <c r="F116" i="32"/>
  <c r="U116" i="32"/>
  <c r="E18" i="65"/>
  <c r="F40" i="73"/>
  <c r="J20" i="73"/>
  <c r="J40" i="73" s="1"/>
  <c r="AC14" i="32"/>
  <c r="AF15" i="32"/>
  <c r="AF18" i="32"/>
  <c r="AF21" i="32"/>
  <c r="AH36" i="32"/>
  <c r="AF38" i="32"/>
  <c r="AF51" i="32" s="1"/>
  <c r="AE40" i="32"/>
  <c r="AG44" i="32"/>
  <c r="AE47" i="32"/>
  <c r="AE50" i="32"/>
  <c r="AM50" i="32" s="1"/>
  <c r="AO50" i="32" s="1"/>
  <c r="AH57" i="32"/>
  <c r="AH70" i="32" s="1"/>
  <c r="AJ90" i="32"/>
  <c r="AK76" i="32"/>
  <c r="AE77" i="32"/>
  <c r="AM78" i="32"/>
  <c r="AO78" i="32" s="1"/>
  <c r="AL85" i="32"/>
  <c r="AG86" i="32"/>
  <c r="AM94" i="32"/>
  <c r="AO94" i="32" s="1"/>
  <c r="AI100" i="32"/>
  <c r="AI97" i="32"/>
  <c r="AH97" i="32"/>
  <c r="AH100" i="32" s="1"/>
  <c r="AG97" i="32"/>
  <c r="AG100" i="32" s="1"/>
  <c r="AF97" i="32"/>
  <c r="AF100" i="32" s="1"/>
  <c r="AE97" i="32"/>
  <c r="AE100" i="32" s="1"/>
  <c r="AK105" i="32"/>
  <c r="AI105" i="32"/>
  <c r="AH105" i="32"/>
  <c r="AG105" i="32"/>
  <c r="AG115" i="32" s="1"/>
  <c r="AF105" i="32"/>
  <c r="G116" i="32"/>
  <c r="V116" i="32"/>
  <c r="AE4" i="32"/>
  <c r="AE7" i="32"/>
  <c r="AM7" i="32" s="1"/>
  <c r="AO7" i="32" s="1"/>
  <c r="AE10" i="32"/>
  <c r="AM10" i="32" s="1"/>
  <c r="AO10" i="32" s="1"/>
  <c r="AE13" i="32"/>
  <c r="AG15" i="32"/>
  <c r="AG18" i="32"/>
  <c r="AG21" i="32"/>
  <c r="AE25" i="32"/>
  <c r="AE35" i="32" s="1"/>
  <c r="AE28" i="32"/>
  <c r="AM28" i="32" s="1"/>
  <c r="AO28" i="32" s="1"/>
  <c r="AE31" i="32"/>
  <c r="AM31" i="32" s="1"/>
  <c r="AO31" i="32" s="1"/>
  <c r="AE34" i="32"/>
  <c r="AM34" i="32" s="1"/>
  <c r="AO34" i="32" s="1"/>
  <c r="N51" i="32"/>
  <c r="AI36" i="32"/>
  <c r="AG38" i="32"/>
  <c r="AF40" i="32"/>
  <c r="AM45" i="32"/>
  <c r="AO45" i="32" s="1"/>
  <c r="AF47" i="32"/>
  <c r="AF50" i="32"/>
  <c r="I70" i="32"/>
  <c r="AM58" i="32"/>
  <c r="AO58" i="32" s="1"/>
  <c r="AE60" i="32"/>
  <c r="AM60" i="32" s="1"/>
  <c r="AO60" i="32" s="1"/>
  <c r="AK63" i="32"/>
  <c r="AI63" i="32"/>
  <c r="AH63" i="32"/>
  <c r="AG63" i="32"/>
  <c r="AF63" i="32"/>
  <c r="I90" i="32"/>
  <c r="AL76" i="32"/>
  <c r="AG77" i="32"/>
  <c r="AL83" i="32"/>
  <c r="AK83" i="32"/>
  <c r="AI83" i="32"/>
  <c r="AF83" i="32"/>
  <c r="AG95" i="32"/>
  <c r="AL93" i="32"/>
  <c r="AL95" i="32" s="1"/>
  <c r="N100" i="32"/>
  <c r="AL98" i="32"/>
  <c r="AK98" i="32"/>
  <c r="AI98" i="32"/>
  <c r="AF98" i="32"/>
  <c r="I115" i="32"/>
  <c r="I116" i="32" s="1"/>
  <c r="AJ115" i="32"/>
  <c r="AK102" i="32"/>
  <c r="AI102" i="32"/>
  <c r="AI115" i="32" s="1"/>
  <c r="AH102" i="32"/>
  <c r="AH115" i="32" s="1"/>
  <c r="AG102" i="32"/>
  <c r="AF102" i="32"/>
  <c r="AC115" i="32"/>
  <c r="AK108" i="32"/>
  <c r="AI108" i="32"/>
  <c r="AH108" i="32"/>
  <c r="AG108" i="32"/>
  <c r="AF108" i="32"/>
  <c r="H116" i="32"/>
  <c r="AJ51" i="32"/>
  <c r="AH40" i="32"/>
  <c r="AG47" i="32"/>
  <c r="AM47" i="32" s="1"/>
  <c r="AO47" i="32" s="1"/>
  <c r="AM48" i="32"/>
  <c r="AO48" i="32" s="1"/>
  <c r="AG50" i="32"/>
  <c r="AK66" i="32"/>
  <c r="AI66" i="32"/>
  <c r="AH66" i="32"/>
  <c r="AG66" i="32"/>
  <c r="AF66" i="32"/>
  <c r="N90" i="32"/>
  <c r="AI73" i="32"/>
  <c r="AH73" i="32"/>
  <c r="AG73" i="32"/>
  <c r="AF73" i="32"/>
  <c r="AE73" i="32"/>
  <c r="AE90" i="32" s="1"/>
  <c r="O100" i="32"/>
  <c r="O116" i="32" s="1"/>
  <c r="S96" i="32"/>
  <c r="S100" i="32" s="1"/>
  <c r="AE105" i="32"/>
  <c r="AK111" i="32"/>
  <c r="AI111" i="32"/>
  <c r="AG111" i="32"/>
  <c r="AF111" i="32"/>
  <c r="AK114" i="32"/>
  <c r="AI114" i="32"/>
  <c r="AH114" i="32"/>
  <c r="AG114" i="32"/>
  <c r="AF114" i="32"/>
  <c r="J116" i="32"/>
  <c r="AG4" i="32"/>
  <c r="AG7" i="32"/>
  <c r="AG13" i="32"/>
  <c r="AE17" i="32"/>
  <c r="AM17" i="32" s="1"/>
  <c r="AO17" i="32" s="1"/>
  <c r="AE20" i="32"/>
  <c r="AM20" i="32" s="1"/>
  <c r="AO20" i="32" s="1"/>
  <c r="AG25" i="32"/>
  <c r="AG35" i="32" s="1"/>
  <c r="AG28" i="32"/>
  <c r="AG34" i="32"/>
  <c r="AK36" i="32"/>
  <c r="AI38" i="32"/>
  <c r="S44" i="32"/>
  <c r="AL44" i="32"/>
  <c r="AH50" i="32"/>
  <c r="S52" i="32"/>
  <c r="S70" i="32" s="1"/>
  <c r="AJ70" i="32"/>
  <c r="AM61" i="32"/>
  <c r="AO61" i="32" s="1"/>
  <c r="AE63" i="32"/>
  <c r="AM63" i="32" s="1"/>
  <c r="AO63" i="32" s="1"/>
  <c r="AK69" i="32"/>
  <c r="AI69" i="32"/>
  <c r="AG69" i="32"/>
  <c r="AF69" i="32"/>
  <c r="AM69" i="32" s="1"/>
  <c r="AO69" i="32" s="1"/>
  <c r="S90" i="32"/>
  <c r="AL74" i="32"/>
  <c r="AK74" i="32"/>
  <c r="AI74" i="32"/>
  <c r="AH74" i="32"/>
  <c r="AF74" i="32"/>
  <c r="AK82" i="32"/>
  <c r="AE83" i="32"/>
  <c r="AM83" i="32" s="1"/>
  <c r="AO83" i="32" s="1"/>
  <c r="AI88" i="32"/>
  <c r="AG88" i="32"/>
  <c r="AF88" i="32"/>
  <c r="AE88" i="32"/>
  <c r="N95" i="32"/>
  <c r="N116" i="32" s="1"/>
  <c r="P100" i="32"/>
  <c r="AK97" i="32"/>
  <c r="AK100" i="32" s="1"/>
  <c r="AE98" i="32"/>
  <c r="AM98" i="32" s="1"/>
  <c r="AO98" i="32" s="1"/>
  <c r="AE102" i="32"/>
  <c r="AM106" i="32"/>
  <c r="AO106" i="32" s="1"/>
  <c r="AE108" i="32"/>
  <c r="AM108" i="32" s="1"/>
  <c r="AO108" i="32" s="1"/>
  <c r="AL36" i="32"/>
  <c r="S38" i="32"/>
  <c r="S51" i="32" s="1"/>
  <c r="AK40" i="32"/>
  <c r="AM41" i="32"/>
  <c r="AO41" i="32" s="1"/>
  <c r="AI43" i="32"/>
  <c r="AG43" i="32"/>
  <c r="AE43" i="32"/>
  <c r="AL60" i="32"/>
  <c r="AM64" i="32"/>
  <c r="AO64" i="32" s="1"/>
  <c r="AE66" i="32"/>
  <c r="AM66" i="32" s="1"/>
  <c r="AO66" i="32" s="1"/>
  <c r="S72" i="32"/>
  <c r="AM74" i="32"/>
  <c r="AO74" i="32" s="1"/>
  <c r="AI79" i="32"/>
  <c r="AH79" i="32"/>
  <c r="AG79" i="32"/>
  <c r="AF79" i="32"/>
  <c r="AE79" i="32"/>
  <c r="AL82" i="32"/>
  <c r="AG83" i="32"/>
  <c r="AM84" i="32"/>
  <c r="AO84" i="32" s="1"/>
  <c r="O95" i="32"/>
  <c r="S91" i="32"/>
  <c r="S95" i="32" s="1"/>
  <c r="AJ95" i="32"/>
  <c r="Q100" i="32"/>
  <c r="AL97" i="32"/>
  <c r="AL100" i="32" s="1"/>
  <c r="AG98" i="32"/>
  <c r="AM103" i="32"/>
  <c r="AO103" i="32" s="1"/>
  <c r="AL105" i="32"/>
  <c r="AL115" i="32" s="1"/>
  <c r="AM109" i="32"/>
  <c r="AO109" i="32" s="1"/>
  <c r="AE111" i="32"/>
  <c r="AE114" i="32"/>
  <c r="AM114" i="32" s="1"/>
  <c r="AO114" i="32" s="1"/>
  <c r="AA116" i="32"/>
  <c r="C60" i="65"/>
  <c r="E40" i="73"/>
  <c r="I20" i="73"/>
  <c r="K19" i="73"/>
  <c r="AL99" i="32"/>
  <c r="AM99" i="32" s="1"/>
  <c r="AO99" i="32" s="1"/>
  <c r="G40" i="73"/>
  <c r="K14" i="73"/>
  <c r="K20" i="73" s="1"/>
  <c r="AM96" i="32"/>
  <c r="H40" i="73"/>
  <c r="AE53" i="32"/>
  <c r="AM53" i="32" s="1"/>
  <c r="AO53" i="32" s="1"/>
  <c r="AE56" i="32"/>
  <c r="AE70" i="32" s="1"/>
  <c r="AE59" i="32"/>
  <c r="AM59" i="32" s="1"/>
  <c r="AO59" i="32" s="1"/>
  <c r="AE62" i="32"/>
  <c r="AM62" i="32" s="1"/>
  <c r="AO62" i="32" s="1"/>
  <c r="AE65" i="32"/>
  <c r="AM65" i="32" s="1"/>
  <c r="AO65" i="32" s="1"/>
  <c r="AE68" i="32"/>
  <c r="AM68" i="32" s="1"/>
  <c r="AO68" i="32" s="1"/>
  <c r="AE101" i="32"/>
  <c r="AE104" i="32"/>
  <c r="AM104" i="32" s="1"/>
  <c r="AO104" i="32" s="1"/>
  <c r="AE113" i="32"/>
  <c r="I9" i="73"/>
  <c r="I40" i="73" s="1"/>
  <c r="AC100" i="32"/>
  <c r="AF101" i="32"/>
  <c r="AF104" i="32"/>
  <c r="AF113" i="32"/>
  <c r="J22" i="71"/>
  <c r="J27" i="71" s="1"/>
  <c r="J90" i="70"/>
  <c r="J44" i="70"/>
  <c r="J68" i="70"/>
  <c r="S73" i="57" l="1"/>
  <c r="S4" i="57"/>
  <c r="G4" i="59"/>
  <c r="G73" i="59"/>
  <c r="N73" i="61"/>
  <c r="N4" i="61"/>
  <c r="N73" i="59"/>
  <c r="N4" i="59"/>
  <c r="G73" i="57"/>
  <c r="G4" i="57"/>
  <c r="F4" i="59"/>
  <c r="F73" i="59"/>
  <c r="AO71" i="32"/>
  <c r="O73" i="59"/>
  <c r="O4" i="59"/>
  <c r="S116" i="32"/>
  <c r="V73" i="61"/>
  <c r="V4" i="61"/>
  <c r="H5" i="61"/>
  <c r="R5" i="57"/>
  <c r="P73" i="57"/>
  <c r="P4" i="57"/>
  <c r="I73" i="59"/>
  <c r="I4" i="59"/>
  <c r="R73" i="61"/>
  <c r="R4" i="61"/>
  <c r="U73" i="61"/>
  <c r="U4" i="61"/>
  <c r="G73" i="54"/>
  <c r="G4" i="54"/>
  <c r="T73" i="61"/>
  <c r="T4" i="61"/>
  <c r="M73" i="61"/>
  <c r="M4" i="61"/>
  <c r="P4" i="59"/>
  <c r="P73" i="59"/>
  <c r="L5" i="61"/>
  <c r="W73" i="61"/>
  <c r="W4" i="61"/>
  <c r="H73" i="57"/>
  <c r="H4" i="57"/>
  <c r="K73" i="59"/>
  <c r="K4" i="59"/>
  <c r="N21" i="63"/>
  <c r="P21" i="63" s="1"/>
  <c r="AE115" i="32"/>
  <c r="AM101" i="32"/>
  <c r="AL51" i="32"/>
  <c r="AG90" i="32"/>
  <c r="AG116" i="32" s="1"/>
  <c r="AG51" i="32"/>
  <c r="AM36" i="32"/>
  <c r="AM95" i="32"/>
  <c r="AH90" i="32"/>
  <c r="AI35" i="32"/>
  <c r="K4" i="56"/>
  <c r="K73" i="56"/>
  <c r="T74" i="57"/>
  <c r="L33" i="63"/>
  <c r="M5" i="58"/>
  <c r="M4" i="58" s="1"/>
  <c r="Y74" i="61"/>
  <c r="G33" i="63"/>
  <c r="N33" i="63" s="1"/>
  <c r="E13" i="58"/>
  <c r="N13" i="58" s="1"/>
  <c r="K12" i="63" s="1"/>
  <c r="Q9" i="59"/>
  <c r="J8" i="63" s="1"/>
  <c r="T41" i="57"/>
  <c r="L40" i="63" s="1"/>
  <c r="N32" i="63"/>
  <c r="P32" i="63" s="1"/>
  <c r="Y22" i="61"/>
  <c r="G21" i="63" s="1"/>
  <c r="J37" i="55"/>
  <c r="F36" i="63" s="1"/>
  <c r="N48" i="63"/>
  <c r="P48" i="63" s="1"/>
  <c r="J47" i="54"/>
  <c r="E46" i="63" s="1"/>
  <c r="N46" i="63" s="1"/>
  <c r="P46" i="63" s="1"/>
  <c r="E46" i="54"/>
  <c r="J46" i="54" s="1"/>
  <c r="E45" i="63" s="1"/>
  <c r="AO24" i="32"/>
  <c r="E32" i="57"/>
  <c r="T32" i="57" s="1"/>
  <c r="L31" i="63" s="1"/>
  <c r="T33" i="57"/>
  <c r="L32" i="63" s="1"/>
  <c r="E37" i="59"/>
  <c r="Q37" i="59" s="1"/>
  <c r="J36" i="63" s="1"/>
  <c r="Q40" i="59"/>
  <c r="J39" i="63" s="1"/>
  <c r="Y11" i="61"/>
  <c r="G10" i="63" s="1"/>
  <c r="E9" i="61"/>
  <c r="N4" i="57"/>
  <c r="N73" i="57"/>
  <c r="E37" i="57"/>
  <c r="T40" i="57"/>
  <c r="L39" i="63" s="1"/>
  <c r="N31" i="63"/>
  <c r="P31" i="63" s="1"/>
  <c r="H73" i="55"/>
  <c r="H4" i="55"/>
  <c r="Y24" i="61"/>
  <c r="G23" i="63" s="1"/>
  <c r="N23" i="63" s="1"/>
  <c r="P23" i="63" s="1"/>
  <c r="F23" i="61"/>
  <c r="N13" i="63"/>
  <c r="P13" i="63" s="1"/>
  <c r="J12" i="54"/>
  <c r="E11" i="63" s="1"/>
  <c r="E11" i="54"/>
  <c r="J23" i="55"/>
  <c r="F22" i="63" s="1"/>
  <c r="E21" i="55"/>
  <c r="J21" i="55" s="1"/>
  <c r="F20" i="63" s="1"/>
  <c r="AM40" i="32"/>
  <c r="AO40" i="32" s="1"/>
  <c r="AK90" i="32"/>
  <c r="L4" i="56"/>
  <c r="L73" i="56"/>
  <c r="O13" i="57"/>
  <c r="O5" i="57" s="1"/>
  <c r="Q41" i="59"/>
  <c r="J40" i="63" s="1"/>
  <c r="N26" i="63"/>
  <c r="P26" i="63" s="1"/>
  <c r="P73" i="61"/>
  <c r="P4" i="61"/>
  <c r="N59" i="63"/>
  <c r="P59" i="63" s="1"/>
  <c r="G73" i="55"/>
  <c r="G4" i="55"/>
  <c r="AM102" i="32"/>
  <c r="AO102" i="32" s="1"/>
  <c r="AK115" i="32"/>
  <c r="AK116" i="32" s="1"/>
  <c r="AM93" i="32"/>
  <c r="AO93" i="32" s="1"/>
  <c r="AE95" i="32"/>
  <c r="Q113" i="64"/>
  <c r="AM8" i="32"/>
  <c r="AO8" i="32" s="1"/>
  <c r="E49" i="57"/>
  <c r="T49" i="57" s="1"/>
  <c r="L48" i="63" s="1"/>
  <c r="T50" i="57"/>
  <c r="L49" i="63" s="1"/>
  <c r="E26" i="57"/>
  <c r="T26" i="57" s="1"/>
  <c r="L25" i="63" s="1"/>
  <c r="T27" i="57"/>
  <c r="L26" i="63" s="1"/>
  <c r="R23" i="57"/>
  <c r="R21" i="57" s="1"/>
  <c r="E21" i="58"/>
  <c r="N21" i="58" s="1"/>
  <c r="K20" i="63" s="1"/>
  <c r="Y46" i="61"/>
  <c r="G45" i="63" s="1"/>
  <c r="E16" i="55"/>
  <c r="J16" i="55" s="1"/>
  <c r="F15" i="63" s="1"/>
  <c r="J19" i="55"/>
  <c r="F18" i="63" s="1"/>
  <c r="Q29" i="59"/>
  <c r="J28" i="63" s="1"/>
  <c r="F13" i="61"/>
  <c r="Y13" i="61" s="1"/>
  <c r="G12" i="63" s="1"/>
  <c r="N12" i="63" s="1"/>
  <c r="P12" i="63" s="1"/>
  <c r="J23" i="54"/>
  <c r="E22" i="63" s="1"/>
  <c r="E21" i="54"/>
  <c r="J21" i="54" s="1"/>
  <c r="E20" i="63" s="1"/>
  <c r="F73" i="55"/>
  <c r="F4" i="55"/>
  <c r="Q15" i="59"/>
  <c r="J14" i="63" s="1"/>
  <c r="AM25" i="32"/>
  <c r="AO25" i="32" s="1"/>
  <c r="AM18" i="32"/>
  <c r="AO18" i="32" s="1"/>
  <c r="AL90" i="32"/>
  <c r="AL116" i="32" s="1"/>
  <c r="AJ116" i="32"/>
  <c r="AH51" i="32"/>
  <c r="AH116" i="32" s="1"/>
  <c r="AE23" i="32"/>
  <c r="L37" i="57"/>
  <c r="E5" i="56"/>
  <c r="P9" i="56"/>
  <c r="M8" i="63" s="1"/>
  <c r="E26" i="58"/>
  <c r="N26" i="58" s="1"/>
  <c r="K25" i="63" s="1"/>
  <c r="N27" i="58"/>
  <c r="K26" i="63" s="1"/>
  <c r="N20" i="58"/>
  <c r="K19" i="63" s="1"/>
  <c r="L5" i="57"/>
  <c r="P47" i="56"/>
  <c r="M46" i="63" s="1"/>
  <c r="M37" i="57"/>
  <c r="L73" i="59"/>
  <c r="L4" i="59"/>
  <c r="Y47" i="61"/>
  <c r="G46" i="63" s="1"/>
  <c r="I73" i="54"/>
  <c r="I4" i="54"/>
  <c r="O73" i="61"/>
  <c r="O4" i="61"/>
  <c r="Y27" i="61"/>
  <c r="G26" i="63" s="1"/>
  <c r="F26" i="61"/>
  <c r="Y26" i="61" s="1"/>
  <c r="G25" i="63" s="1"/>
  <c r="N25" i="63" s="1"/>
  <c r="P25" i="63" s="1"/>
  <c r="N14" i="63"/>
  <c r="P14" i="63" s="1"/>
  <c r="N54" i="63"/>
  <c r="P54" i="63" s="1"/>
  <c r="Q13" i="59"/>
  <c r="J12" i="63" s="1"/>
  <c r="M126" i="64"/>
  <c r="M73" i="59"/>
  <c r="M4" i="59"/>
  <c r="J4" i="58"/>
  <c r="E37" i="61"/>
  <c r="F73" i="54"/>
  <c r="F4" i="54"/>
  <c r="Q23" i="59"/>
  <c r="J22" i="63" s="1"/>
  <c r="Q12" i="59"/>
  <c r="J11" i="63" s="1"/>
  <c r="AI90" i="32"/>
  <c r="AI116" i="32" s="1"/>
  <c r="AG23" i="32"/>
  <c r="AM38" i="32"/>
  <c r="AO38" i="32" s="1"/>
  <c r="AL70" i="32"/>
  <c r="I16" i="57"/>
  <c r="T16" i="57" s="1"/>
  <c r="L15" i="63" s="1"/>
  <c r="T19" i="57"/>
  <c r="L18" i="63" s="1"/>
  <c r="S35" i="32"/>
  <c r="Q19" i="59"/>
  <c r="J18" i="63" s="1"/>
  <c r="E16" i="59"/>
  <c r="Y41" i="61"/>
  <c r="G40" i="63" s="1"/>
  <c r="Y12" i="61"/>
  <c r="G11" i="63" s="1"/>
  <c r="Y25" i="61"/>
  <c r="G24" i="63" s="1"/>
  <c r="N24" i="63" s="1"/>
  <c r="P24" i="63" s="1"/>
  <c r="J73" i="61"/>
  <c r="J4" i="61"/>
  <c r="Q21" i="59"/>
  <c r="J20" i="63" s="1"/>
  <c r="AM105" i="32"/>
  <c r="AO105" i="32" s="1"/>
  <c r="I97" i="64"/>
  <c r="I126" i="64" s="1"/>
  <c r="Q90" i="64"/>
  <c r="Q97" i="64" s="1"/>
  <c r="Q126" i="64" s="1"/>
  <c r="AF115" i="32"/>
  <c r="AM13" i="32"/>
  <c r="AO13" i="32" s="1"/>
  <c r="AF23" i="32"/>
  <c r="AM82" i="32"/>
  <c r="AO82" i="32" s="1"/>
  <c r="J40" i="56"/>
  <c r="P41" i="56"/>
  <c r="M40" i="63" s="1"/>
  <c r="Q57" i="64"/>
  <c r="P126" i="64"/>
  <c r="E28" i="57"/>
  <c r="T28" i="57" s="1"/>
  <c r="L27" i="63" s="1"/>
  <c r="T29" i="57"/>
  <c r="L28" i="63" s="1"/>
  <c r="F28" i="61"/>
  <c r="Y28" i="61" s="1"/>
  <c r="G27" i="63" s="1"/>
  <c r="N27" i="63" s="1"/>
  <c r="P27" i="63" s="1"/>
  <c r="Y29" i="61"/>
  <c r="G28" i="63" s="1"/>
  <c r="N28" i="63" s="1"/>
  <c r="P28" i="63" s="1"/>
  <c r="Y19" i="61"/>
  <c r="G18" i="63" s="1"/>
  <c r="AM85" i="32"/>
  <c r="AO85" i="32" s="1"/>
  <c r="AM56" i="32"/>
  <c r="AO56" i="32" s="1"/>
  <c r="AM111" i="32"/>
  <c r="AO111" i="32" s="1"/>
  <c r="AG14" i="32"/>
  <c r="AO96" i="32"/>
  <c r="AM79" i="32"/>
  <c r="AO79" i="32" s="1"/>
  <c r="AM97" i="32"/>
  <c r="AO97" i="32" s="1"/>
  <c r="R116" i="32"/>
  <c r="AM32" i="32"/>
  <c r="AO32" i="32" s="1"/>
  <c r="AM5" i="32"/>
  <c r="AO5" i="32" s="1"/>
  <c r="E13" i="57"/>
  <c r="T14" i="57"/>
  <c r="L13" i="63" s="1"/>
  <c r="Q13" i="57"/>
  <c r="G37" i="61"/>
  <c r="G4" i="61" s="1"/>
  <c r="Q27" i="59"/>
  <c r="J26" i="63" s="1"/>
  <c r="N12" i="58"/>
  <c r="K11" i="63" s="1"/>
  <c r="E11" i="58"/>
  <c r="N16" i="58"/>
  <c r="K15" i="63" s="1"/>
  <c r="Y50" i="61"/>
  <c r="G49" i="63" s="1"/>
  <c r="F49" i="61"/>
  <c r="Y49" i="61" s="1"/>
  <c r="G48" i="63" s="1"/>
  <c r="H73" i="59"/>
  <c r="H4" i="59"/>
  <c r="K4" i="73"/>
  <c r="K40" i="73"/>
  <c r="Q116" i="32"/>
  <c r="F73" i="56"/>
  <c r="F4" i="56"/>
  <c r="N47" i="58"/>
  <c r="K46" i="63" s="1"/>
  <c r="E46" i="58"/>
  <c r="N46" i="58" s="1"/>
  <c r="K45" i="63" s="1"/>
  <c r="J40" i="55"/>
  <c r="F39" i="63" s="1"/>
  <c r="L23" i="61"/>
  <c r="L21" i="61" s="1"/>
  <c r="K21" i="61"/>
  <c r="K5" i="61" s="1"/>
  <c r="N43" i="63"/>
  <c r="P43" i="63" s="1"/>
  <c r="S73" i="61"/>
  <c r="S4" i="61"/>
  <c r="AO52" i="32"/>
  <c r="AM70" i="32"/>
  <c r="AM26" i="32"/>
  <c r="AO26" i="32" s="1"/>
  <c r="J5" i="57"/>
  <c r="T6" i="57"/>
  <c r="L5" i="63" s="1"/>
  <c r="J73" i="56"/>
  <c r="M4" i="56"/>
  <c r="M73" i="56"/>
  <c r="T22" i="57"/>
  <c r="L21" i="63" s="1"/>
  <c r="AM113" i="32"/>
  <c r="AO113" i="32" s="1"/>
  <c r="AM88" i="32"/>
  <c r="AO88" i="32" s="1"/>
  <c r="AK51" i="32"/>
  <c r="AC116" i="32"/>
  <c r="AI51" i="32"/>
  <c r="AM4" i="32"/>
  <c r="AE14" i="32"/>
  <c r="AM76" i="32"/>
  <c r="AO76" i="32" s="1"/>
  <c r="AM15" i="32"/>
  <c r="AH14" i="32"/>
  <c r="AM11" i="32"/>
  <c r="AO11" i="32" s="1"/>
  <c r="Q23" i="57"/>
  <c r="Q21" i="57" s="1"/>
  <c r="Q37" i="64"/>
  <c r="P46" i="56"/>
  <c r="M45" i="63" s="1"/>
  <c r="P12" i="56"/>
  <c r="M11" i="63" s="1"/>
  <c r="F5" i="57"/>
  <c r="T9" i="57"/>
  <c r="L8" i="63" s="1"/>
  <c r="Q11" i="59"/>
  <c r="J10" i="63" s="1"/>
  <c r="J41" i="55"/>
  <c r="F40" i="63" s="1"/>
  <c r="L13" i="61"/>
  <c r="H73" i="54"/>
  <c r="H4" i="54"/>
  <c r="J19" i="54"/>
  <c r="E18" i="63" s="1"/>
  <c r="E16" i="54"/>
  <c r="J16" i="54" s="1"/>
  <c r="E15" i="63" s="1"/>
  <c r="Y6" i="61"/>
  <c r="G5" i="63" s="1"/>
  <c r="N5" i="63" s="1"/>
  <c r="P5" i="63" s="1"/>
  <c r="N64" i="63"/>
  <c r="P64" i="63" s="1"/>
  <c r="AM73" i="32"/>
  <c r="AO73" i="32" s="1"/>
  <c r="AO95" i="32"/>
  <c r="AF90" i="32"/>
  <c r="S14" i="32"/>
  <c r="E23" i="57"/>
  <c r="T24" i="57"/>
  <c r="L23" i="63" s="1"/>
  <c r="K73" i="57"/>
  <c r="K4" i="57"/>
  <c r="T12" i="57"/>
  <c r="L11" i="63" s="1"/>
  <c r="M5" i="57"/>
  <c r="J73" i="59"/>
  <c r="J4" i="59"/>
  <c r="Y40" i="61"/>
  <c r="G39" i="63" s="1"/>
  <c r="N41" i="58"/>
  <c r="K40" i="63" s="1"/>
  <c r="E40" i="58"/>
  <c r="X5" i="61"/>
  <c r="Y14" i="61"/>
  <c r="G13" i="63" s="1"/>
  <c r="N49" i="63"/>
  <c r="P49" i="63" s="1"/>
  <c r="J41" i="54"/>
  <c r="E40" i="63" s="1"/>
  <c r="E40" i="54"/>
  <c r="J126" i="70"/>
  <c r="K73" i="61" l="1"/>
  <c r="K4" i="61"/>
  <c r="AO35" i="32"/>
  <c r="AM51" i="32"/>
  <c r="AO36" i="32"/>
  <c r="AO51" i="32" s="1"/>
  <c r="H73" i="61"/>
  <c r="H4" i="61"/>
  <c r="L4" i="57"/>
  <c r="L73" i="57"/>
  <c r="T37" i="57"/>
  <c r="L36" i="63" s="1"/>
  <c r="N45" i="63"/>
  <c r="P45" i="63" s="1"/>
  <c r="N73" i="63"/>
  <c r="P33" i="63"/>
  <c r="T13" i="57"/>
  <c r="L12" i="63" s="1"/>
  <c r="Q16" i="59"/>
  <c r="J15" i="63" s="1"/>
  <c r="E5" i="59"/>
  <c r="AO70" i="32"/>
  <c r="M73" i="57"/>
  <c r="M4" i="57"/>
  <c r="E5" i="61"/>
  <c r="Y9" i="61"/>
  <c r="G8" i="63" s="1"/>
  <c r="L73" i="61"/>
  <c r="L4" i="61"/>
  <c r="N40" i="63"/>
  <c r="P40" i="63" s="1"/>
  <c r="N18" i="63"/>
  <c r="P18" i="63" s="1"/>
  <c r="N11" i="63"/>
  <c r="P11" i="63" s="1"/>
  <c r="AE116" i="32"/>
  <c r="I5" i="57"/>
  <c r="F73" i="57"/>
  <c r="F4" i="57"/>
  <c r="AF116" i="32"/>
  <c r="AM35" i="32"/>
  <c r="N15" i="63"/>
  <c r="P15" i="63" s="1"/>
  <c r="J11" i="54"/>
  <c r="E10" i="63" s="1"/>
  <c r="N10" i="63" s="1"/>
  <c r="P10" i="63" s="1"/>
  <c r="E9" i="54"/>
  <c r="Y23" i="61"/>
  <c r="G22" i="63" s="1"/>
  <c r="F21" i="61"/>
  <c r="N22" i="63"/>
  <c r="P22" i="63" s="1"/>
  <c r="AM23" i="32"/>
  <c r="AO15" i="32"/>
  <c r="AO23" i="32" s="1"/>
  <c r="X73" i="61"/>
  <c r="X4" i="61"/>
  <c r="F37" i="61"/>
  <c r="Y37" i="61" s="1"/>
  <c r="G36" i="63" s="1"/>
  <c r="AM90" i="32"/>
  <c r="Q5" i="57"/>
  <c r="AO101" i="32"/>
  <c r="AO115" i="32" s="1"/>
  <c r="AO116" i="32" s="1"/>
  <c r="AM115" i="32"/>
  <c r="AM116" i="32" s="1"/>
  <c r="N11" i="58"/>
  <c r="K10" i="63" s="1"/>
  <c r="E9" i="58"/>
  <c r="AO100" i="32"/>
  <c r="O73" i="57"/>
  <c r="O4" i="57"/>
  <c r="AO90" i="32"/>
  <c r="R73" i="57"/>
  <c r="R4" i="57"/>
  <c r="J37" i="56"/>
  <c r="P40" i="56"/>
  <c r="M39" i="63" s="1"/>
  <c r="E5" i="55"/>
  <c r="J40" i="54"/>
  <c r="E39" i="63" s="1"/>
  <c r="N39" i="63" s="1"/>
  <c r="P39" i="63" s="1"/>
  <c r="E37" i="54"/>
  <c r="J37" i="54" s="1"/>
  <c r="E36" i="63" s="1"/>
  <c r="E73" i="56"/>
  <c r="E4" i="56"/>
  <c r="P5" i="56"/>
  <c r="T23" i="57"/>
  <c r="L22" i="63" s="1"/>
  <c r="E21" i="57"/>
  <c r="T21" i="57" s="1"/>
  <c r="L20" i="63" s="1"/>
  <c r="N40" i="58"/>
  <c r="K39" i="63" s="1"/>
  <c r="E37" i="58"/>
  <c r="N37" i="58" s="1"/>
  <c r="K36" i="63" s="1"/>
  <c r="AM14" i="32"/>
  <c r="AO4" i="32"/>
  <c r="AO14" i="32" s="1"/>
  <c r="J73" i="57"/>
  <c r="J4" i="57"/>
  <c r="AM100" i="32"/>
  <c r="P37" i="56" l="1"/>
  <c r="M36" i="63" s="1"/>
  <c r="J4" i="56"/>
  <c r="I73" i="57"/>
  <c r="I4" i="57"/>
  <c r="E73" i="55"/>
  <c r="E4" i="55"/>
  <c r="J4" i="55" s="1"/>
  <c r="F3" i="63" s="1"/>
  <c r="J5" i="55"/>
  <c r="E73" i="61"/>
  <c r="E4" i="61"/>
  <c r="P73" i="56"/>
  <c r="M4" i="63"/>
  <c r="Q5" i="59"/>
  <c r="E4" i="59"/>
  <c r="Q4" i="59" s="1"/>
  <c r="J3" i="63" s="1"/>
  <c r="E73" i="59"/>
  <c r="Q4" i="57"/>
  <c r="Q73" i="57"/>
  <c r="N9" i="58"/>
  <c r="K8" i="63" s="1"/>
  <c r="E5" i="58"/>
  <c r="F5" i="61"/>
  <c r="Y21" i="61"/>
  <c r="G20" i="63" s="1"/>
  <c r="N20" i="63" s="1"/>
  <c r="P20" i="63" s="1"/>
  <c r="E5" i="57"/>
  <c r="P4" i="56"/>
  <c r="M3" i="63" s="1"/>
  <c r="N36" i="63"/>
  <c r="P36" i="63" s="1"/>
  <c r="J9" i="54"/>
  <c r="E8" i="63" s="1"/>
  <c r="N8" i="63" s="1"/>
  <c r="P8" i="63" s="1"/>
  <c r="E5" i="54"/>
  <c r="F73" i="61" l="1"/>
  <c r="F4" i="61"/>
  <c r="Y4" i="61"/>
  <c r="G3" i="63" s="1"/>
  <c r="N5" i="58"/>
  <c r="K4" i="63" s="1"/>
  <c r="E4" i="58"/>
  <c r="N4" i="58" s="1"/>
  <c r="K3" i="63" s="1"/>
  <c r="J73" i="55"/>
  <c r="F4" i="63"/>
  <c r="E73" i="57"/>
  <c r="E4" i="57"/>
  <c r="T4" i="57" s="1"/>
  <c r="L3" i="63" s="1"/>
  <c r="T5" i="57"/>
  <c r="Y5" i="61"/>
  <c r="J5" i="54"/>
  <c r="E4" i="54"/>
  <c r="J4" i="54" s="1"/>
  <c r="E3" i="63" s="1"/>
  <c r="E73" i="54"/>
  <c r="Q73" i="59"/>
  <c r="J4" i="63"/>
  <c r="J73" i="54" l="1"/>
  <c r="E4" i="63"/>
  <c r="Y73" i="61"/>
  <c r="G4" i="63"/>
  <c r="T73" i="57"/>
  <c r="L4" i="63"/>
  <c r="N3" i="63"/>
  <c r="P3" i="63" s="1"/>
  <c r="N4" i="63" l="1"/>
  <c r="N72" i="63" l="1"/>
  <c r="P4" i="63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 shape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 shape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 shape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 shape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M32" authorId="0" shapeId="0">
      <text>
        <r>
          <rPr>
            <b/>
            <sz val="9"/>
            <rFont val="宋体"/>
            <family val="3"/>
            <charset val="134"/>
          </rPr>
          <t>Administrator:去年根据16嘉奖*1500+3记功*5000计算</t>
        </r>
      </text>
    </comment>
    <comment ref="U53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本年公积金总额/0.07*0.02</t>
        </r>
      </text>
    </comment>
  </commentList>
</comments>
</file>

<file path=xl/sharedStrings.xml><?xml version="1.0" encoding="utf-8"?>
<sst xmlns="http://schemas.openxmlformats.org/spreadsheetml/2006/main" count="18144" uniqueCount="4045">
  <si>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</si>
  <si>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</si>
  <si>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</si>
  <si>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</si>
  <si>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</si>
  <si>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</si>
  <si>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</si>
  <si>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</si>
  <si>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</si>
  <si>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</si>
  <si>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</si>
  <si>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</si>
  <si>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</si>
  <si>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</si>
  <si>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</si>
  <si>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</si>
  <si>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</si>
  <si>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</si>
  <si>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</si>
  <si>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</si>
  <si>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</si>
  <si>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</si>
  <si>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</si>
  <si>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</si>
  <si>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</si>
  <si>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</si>
  <si>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</si>
  <si>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</si>
  <si>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</si>
  <si>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</si>
  <si>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</si>
  <si>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</si>
  <si>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</si>
  <si>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</si>
  <si>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</si>
  <si>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</si>
  <si>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</si>
  <si>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</si>
  <si>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</si>
  <si>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</si>
  <si>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</si>
  <si>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</si>
  <si>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</si>
  <si>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</si>
  <si>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</si>
  <si>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</si>
  <si>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</si>
  <si>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</si>
  <si>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</si>
  <si>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</si>
  <si>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</si>
  <si>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</si>
  <si>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</si>
  <si>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</si>
  <si>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</si>
  <si>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</si>
  <si>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</si>
  <si>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</si>
  <si>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</si>
  <si>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</si>
  <si>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</si>
  <si>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</si>
  <si>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</si>
  <si>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</si>
  <si>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</si>
  <si>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</si>
  <si>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</si>
  <si>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</si>
  <si>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</si>
  <si>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</si>
  <si>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</si>
  <si>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</si>
  <si>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</si>
  <si>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</si>
  <si>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</si>
  <si>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</si>
  <si>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</si>
  <si>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</si>
  <si>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</si>
  <si>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</si>
  <si>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</si>
  <si>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</si>
  <si>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</si>
  <si>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</si>
  <si>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</si>
  <si>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</si>
  <si>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</si>
  <si>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</si>
  <si>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</si>
  <si>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</si>
  <si>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</si>
  <si>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</si>
  <si>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</si>
  <si>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</si>
  <si>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</si>
  <si>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</si>
  <si>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</si>
  <si>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</si>
  <si>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</si>
  <si>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</si>
  <si>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</si>
  <si>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</si>
  <si>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</si>
  <si>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</si>
  <si>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</si>
  <si>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</si>
  <si>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</si>
  <si>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</si>
  <si>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</si>
  <si>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</si>
  <si>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</si>
  <si>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</si>
  <si>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</si>
  <si>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</si>
  <si>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</si>
  <si>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</si>
  <si>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</si>
  <si>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</si>
  <si>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</si>
  <si>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</si>
  <si>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</si>
  <si>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</si>
  <si>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</si>
  <si>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</si>
  <si>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</si>
  <si>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</si>
  <si>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</si>
  <si>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</si>
  <si>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</si>
  <si>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</si>
  <si>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</si>
  <si>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</si>
  <si>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</si>
  <si>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</si>
  <si>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</si>
  <si>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</si>
  <si>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</si>
  <si>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</si>
  <si>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</si>
  <si>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</si>
  <si>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</si>
  <si>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</si>
  <si>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</si>
  <si>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</si>
  <si>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</si>
  <si>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</si>
  <si>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</si>
  <si>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</si>
  <si>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</si>
  <si>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</si>
  <si>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</si>
  <si>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</si>
  <si>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</si>
  <si>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</si>
  <si>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</si>
  <si>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</si>
  <si>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</si>
  <si>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</si>
  <si>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</si>
  <si>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</si>
  <si>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</si>
  <si>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</si>
  <si>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</si>
  <si>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</si>
  <si>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</si>
  <si>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</si>
  <si>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</si>
  <si>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</si>
  <si>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</si>
  <si>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</si>
  <si>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</si>
  <si>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</si>
  <si>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</si>
  <si>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</si>
  <si>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</si>
  <si>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</si>
  <si>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</si>
  <si>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</si>
  <si>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</si>
  <si>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</si>
  <si>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</si>
  <si>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</si>
  <si>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</si>
  <si>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</si>
  <si>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</si>
  <si>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</si>
  <si>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</si>
  <si>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</si>
  <si>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</si>
  <si>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</si>
  <si>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</si>
  <si>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</si>
  <si>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</si>
  <si>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</si>
  <si>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</si>
  <si>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</si>
  <si>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</si>
  <si>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</si>
  <si>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</si>
  <si>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</si>
  <si>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</si>
  <si>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</si>
  <si>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</si>
  <si>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</si>
  <si>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</si>
  <si>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</si>
  <si>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</si>
  <si>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</si>
  <si>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</si>
  <si>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</si>
  <si>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</si>
  <si>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</si>
  <si>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</si>
  <si>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</si>
  <si>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</si>
  <si>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</si>
  <si>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</si>
  <si>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</si>
  <si>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</si>
  <si>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</si>
  <si>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</si>
  <si>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</si>
  <si>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</si>
  <si>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</si>
  <si>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</si>
  <si>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</si>
  <si>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</si>
  <si>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</si>
  <si>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</si>
  <si>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</si>
  <si>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</si>
  <si>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</si>
  <si>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</si>
  <si>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</si>
  <si>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</si>
  <si>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</si>
  <si>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</si>
  <si>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</si>
  <si>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</si>
  <si>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</si>
  <si>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</si>
  <si>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</si>
  <si>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</si>
  <si>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</si>
  <si>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</si>
  <si>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</si>
  <si>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</si>
  <si>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</si>
  <si>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</si>
  <si>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</si>
  <si>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</si>
  <si>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</si>
  <si>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</si>
  <si>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</si>
  <si>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</si>
  <si>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</si>
  <si>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</si>
  <si>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</si>
  <si>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</si>
  <si>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</si>
  <si>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</si>
  <si>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</si>
  <si>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</si>
  <si>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</si>
  <si>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</si>
  <si>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</si>
  <si>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</si>
  <si>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</si>
  <si>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</si>
  <si>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</si>
  <si>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</si>
  <si>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</si>
  <si>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</si>
  <si>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</si>
  <si>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</si>
  <si>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</si>
  <si>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</si>
  <si>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</si>
  <si>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</si>
  <si>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</si>
  <si>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</si>
  <si>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</si>
  <si>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</si>
  <si>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</si>
  <si>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</si>
  <si>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</si>
  <si>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</si>
  <si>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</si>
  <si>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</si>
  <si>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</si>
  <si>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</si>
  <si>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</si>
  <si>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</si>
  <si>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</si>
  <si>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</si>
  <si>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</si>
  <si>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</si>
  <si>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</si>
  <si>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</si>
  <si>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</si>
  <si>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</si>
  <si>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</si>
  <si>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</si>
  <si>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</si>
  <si>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</si>
  <si>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</si>
  <si>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</si>
  <si>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</si>
  <si>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</si>
  <si>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</si>
  <si>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</si>
  <si>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</si>
  <si>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</si>
  <si>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</si>
  <si>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</si>
  <si>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</si>
  <si>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</si>
  <si>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</si>
  <si>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</si>
  <si>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</si>
  <si>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</si>
  <si>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</si>
  <si>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</si>
  <si>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</si>
  <si>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</si>
  <si>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</si>
  <si>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</si>
  <si>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</si>
  <si>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</si>
  <si>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</si>
  <si>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</si>
  <si>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</si>
  <si>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</si>
  <si>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</si>
  <si>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</si>
  <si>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</si>
  <si>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</si>
  <si>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</si>
  <si>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</si>
  <si>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</si>
  <si>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</si>
  <si>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</si>
  <si>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</si>
  <si>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</si>
  <si>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</si>
  <si>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</si>
  <si>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</si>
  <si>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</si>
  <si>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</si>
  <si>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</si>
  <si>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</si>
  <si>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</si>
  <si>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</si>
  <si>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</si>
  <si>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</si>
  <si>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</si>
  <si>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</si>
  <si>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</si>
  <si>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</si>
  <si>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</si>
  <si>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</si>
  <si>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</si>
  <si>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</si>
  <si>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</si>
  <si>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</si>
  <si>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</si>
  <si>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</si>
  <si>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</si>
  <si>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</si>
  <si>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</si>
  <si>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</si>
  <si>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</si>
  <si>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</si>
  <si>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</si>
  <si>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</si>
  <si>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</si>
  <si>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</si>
  <si>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</si>
  <si>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</si>
  <si>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</si>
  <si>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</si>
  <si>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</si>
  <si>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</si>
  <si>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</si>
  <si>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</si>
  <si>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</si>
  <si>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</si>
  <si>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</si>
  <si>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</si>
  <si>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</si>
  <si>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</si>
  <si>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</si>
  <si>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</si>
  <si>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</si>
  <si>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</si>
  <si>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</si>
  <si>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</si>
  <si>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</si>
  <si>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</si>
  <si>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</si>
  <si>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</si>
  <si>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</si>
  <si>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</si>
  <si>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</si>
  <si>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</si>
  <si>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</si>
  <si>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</si>
  <si>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</si>
  <si>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</si>
  <si>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</si>
  <si>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</si>
  <si>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</si>
  <si>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</si>
  <si>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</si>
  <si>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</si>
  <si>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</si>
  <si>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</si>
  <si>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</si>
  <si>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</si>
  <si>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</si>
  <si>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</si>
  <si>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</si>
  <si>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</si>
  <si>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</si>
  <si>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</si>
  <si>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</si>
  <si>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</si>
  <si>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</si>
  <si>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</si>
  <si>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</si>
  <si>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</si>
  <si>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</si>
  <si>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</si>
  <si>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</si>
  <si>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</si>
  <si>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</si>
  <si>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</si>
  <si>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</si>
  <si>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</si>
  <si>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</si>
  <si>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</si>
  <si>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</si>
  <si>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</si>
  <si>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</si>
  <si>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</si>
  <si>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</si>
  <si>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</si>
  <si>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</si>
  <si>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</si>
  <si>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</si>
  <si>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</si>
  <si>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</si>
  <si>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</si>
  <si>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</si>
  <si>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</si>
  <si>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</si>
  <si>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</si>
  <si>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</si>
  <si>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</si>
  <si>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</si>
  <si>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</si>
  <si>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</si>
  <si>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</si>
  <si>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</si>
  <si>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</si>
  <si>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</si>
  <si>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</si>
  <si>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</si>
  <si>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</si>
  <si>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</si>
  <si>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</si>
  <si>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</si>
  <si>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</si>
  <si>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</si>
  <si>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</si>
  <si>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</si>
  <si>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</si>
  <si>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</si>
  <si>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</si>
  <si>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</si>
  <si>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</si>
  <si>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</si>
  <si>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</si>
  <si>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</si>
  <si>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</si>
  <si>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</si>
  <si>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</si>
  <si>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</si>
  <si>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</si>
  <si>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</si>
  <si>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</si>
  <si>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</si>
  <si>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</si>
  <si>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</si>
  <si>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</si>
  <si>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</si>
  <si>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</si>
  <si>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</si>
  <si>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</si>
  <si>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</si>
  <si>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</si>
  <si>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</si>
  <si>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</si>
  <si>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</si>
  <si>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</si>
  <si>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</si>
  <si>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</si>
  <si>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</si>
  <si>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</si>
  <si>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</si>
  <si>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</si>
  <si>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</si>
  <si>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</si>
  <si>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</si>
  <si>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</si>
  <si>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</si>
  <si>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</si>
  <si>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</si>
  <si>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</si>
  <si>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</si>
  <si>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</si>
  <si>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</si>
  <si>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</si>
  <si>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</si>
  <si>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</si>
  <si>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</si>
  <si>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</si>
  <si>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</si>
  <si>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</si>
  <si>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</si>
  <si>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</si>
  <si>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</si>
  <si>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</si>
  <si>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</si>
  <si>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</si>
  <si>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</si>
  <si>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</si>
  <si>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</si>
  <si>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</si>
  <si>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</si>
  <si>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</si>
  <si>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</si>
  <si>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</si>
  <si>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</si>
  <si>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</si>
  <si>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</si>
  <si>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</si>
  <si>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</si>
  <si>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</si>
  <si>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</si>
  <si>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</si>
  <si>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</si>
  <si>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</si>
  <si>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</si>
  <si>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</si>
  <si>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</si>
  <si>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</si>
  <si>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</si>
  <si>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</si>
  <si>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</si>
  <si>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</si>
  <si>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</si>
  <si>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</si>
  <si>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</si>
  <si>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</si>
  <si>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</si>
  <si>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</si>
  <si>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</si>
  <si>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</si>
  <si>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</si>
  <si>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</si>
  <si>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</si>
  <si>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</si>
  <si>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</si>
  <si>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</si>
  <si>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</si>
  <si>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</si>
  <si>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</si>
  <si>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</si>
  <si>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</si>
  <si>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</si>
  <si>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</si>
  <si>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</si>
  <si>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</si>
  <si>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</si>
  <si>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</si>
  <si>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</si>
  <si>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</si>
  <si>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</si>
  <si>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</si>
  <si>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</si>
  <si>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</si>
  <si>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</si>
  <si>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</si>
  <si>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</si>
  <si>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</si>
  <si>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</si>
  <si>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</si>
  <si>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</si>
  <si>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</si>
  <si>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</si>
  <si>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</si>
  <si>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</si>
  <si>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</si>
  <si>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</si>
  <si>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</si>
  <si>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</si>
  <si>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</si>
  <si>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</si>
  <si>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</si>
  <si>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</si>
  <si>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</si>
  <si>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</si>
  <si>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</si>
  <si>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</si>
  <si>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</si>
  <si>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</si>
  <si>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</si>
  <si>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</si>
  <si>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</si>
  <si>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</si>
  <si>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</si>
  <si>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</si>
  <si>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</si>
  <si>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</si>
  <si>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</si>
  <si>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</si>
  <si>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</si>
  <si>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</si>
  <si>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</si>
  <si>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</si>
  <si>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</si>
  <si>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</si>
  <si>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</si>
  <si>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</si>
  <si>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</si>
  <si>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</si>
  <si>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</si>
  <si>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</si>
  <si>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</si>
  <si>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</si>
  <si>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</si>
  <si>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</si>
  <si>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</si>
  <si>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</si>
  <si>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</si>
  <si>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</si>
  <si>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</si>
  <si>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</si>
  <si>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</si>
  <si>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</si>
  <si>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</si>
  <si>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</si>
  <si>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</si>
  <si>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</si>
  <si>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</si>
  <si>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</si>
  <si>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</si>
  <si>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</si>
  <si>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</si>
  <si>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</si>
  <si>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</si>
  <si>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</si>
  <si>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</si>
  <si>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</si>
  <si>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</si>
  <si>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</si>
  <si>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</si>
  <si>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</si>
  <si>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</si>
  <si>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</si>
  <si>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</si>
  <si>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</si>
  <si>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</si>
  <si>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</si>
  <si>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</si>
  <si>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</si>
  <si>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</si>
  <si>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</si>
  <si>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</si>
  <si>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</si>
  <si>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</si>
  <si>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</si>
  <si>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</si>
  <si>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</si>
  <si>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</si>
  <si>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</si>
  <si>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</si>
  <si>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</si>
  <si>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</si>
  <si>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</si>
  <si>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</si>
  <si>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</si>
  <si>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</si>
  <si>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</si>
  <si>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</si>
  <si>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</si>
  <si>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</si>
  <si>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</si>
  <si>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</si>
  <si>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</si>
  <si>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</si>
  <si>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</si>
  <si>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</si>
  <si>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</si>
  <si>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</si>
  <si>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</si>
  <si>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</si>
  <si>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</si>
  <si>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</si>
  <si>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</si>
  <si>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</si>
  <si>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</si>
  <si>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</si>
  <si>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</si>
  <si>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</si>
  <si>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</si>
  <si>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</si>
  <si>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</si>
  <si>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</si>
  <si>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</si>
  <si>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</si>
  <si>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</si>
  <si>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</si>
  <si>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</si>
  <si>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</si>
  <si>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</si>
  <si>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</si>
  <si>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</si>
  <si>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</si>
  <si>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</si>
  <si>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</si>
  <si>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</si>
  <si>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</si>
  <si>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</si>
  <si>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</si>
  <si>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</si>
  <si>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</si>
  <si>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</si>
  <si>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</si>
  <si>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</si>
  <si>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</si>
  <si>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</si>
  <si>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</si>
  <si>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</si>
  <si>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</si>
  <si>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</si>
  <si>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</si>
  <si>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</si>
  <si>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</si>
  <si>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</si>
  <si>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</si>
  <si>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</si>
  <si>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</si>
  <si>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</si>
  <si>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</si>
  <si>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</si>
  <si>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</si>
  <si>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</si>
  <si>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</si>
  <si>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</si>
  <si>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</si>
  <si>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</si>
  <si>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</si>
  <si>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</si>
  <si>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</si>
  <si>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</si>
  <si>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</si>
  <si>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</si>
  <si>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</si>
  <si>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</si>
  <si>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</si>
  <si>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</si>
  <si>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</si>
  <si>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</si>
  <si>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</si>
  <si>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</si>
  <si>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</si>
  <si>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</si>
  <si>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</si>
  <si>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</si>
  <si>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</si>
  <si>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</si>
  <si>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</si>
  <si>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</si>
  <si>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</si>
  <si>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</si>
  <si>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</si>
  <si>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</si>
  <si>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</si>
  <si>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</si>
  <si>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</si>
  <si>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</si>
  <si>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</si>
  <si>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</si>
  <si>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</si>
  <si>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</si>
  <si>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</si>
  <si>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</si>
  <si>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</si>
  <si>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</si>
  <si>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</si>
  <si>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</si>
  <si>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</si>
  <si>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</si>
  <si>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</si>
  <si>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</si>
  <si>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</si>
  <si>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</si>
  <si>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</si>
  <si>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</si>
  <si>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</si>
  <si>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</si>
  <si>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</si>
  <si>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</si>
  <si>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</si>
  <si>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</si>
  <si>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</si>
  <si>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</si>
  <si>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</si>
  <si>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</si>
  <si>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</si>
  <si>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</si>
  <si>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</si>
  <si>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</si>
  <si>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</si>
  <si>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</si>
  <si>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</si>
  <si>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</si>
  <si>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</si>
  <si>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</si>
  <si>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</si>
  <si>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</si>
  <si>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</si>
  <si>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</si>
  <si>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</si>
  <si>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</si>
  <si>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</si>
  <si>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</si>
  <si>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</si>
  <si>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</si>
  <si>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</si>
  <si>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</si>
  <si>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</si>
  <si>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</si>
  <si>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</si>
  <si>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</si>
  <si>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</si>
  <si>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</si>
  <si>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</si>
  <si>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</si>
  <si>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</si>
  <si>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</si>
  <si>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</si>
  <si>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</si>
  <si>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</si>
  <si>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</si>
  <si>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</si>
  <si>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</si>
  <si>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</si>
  <si>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</si>
  <si>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</si>
  <si>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</si>
  <si>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</si>
  <si>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</si>
  <si>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</si>
  <si>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</si>
  <si>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</si>
  <si>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</si>
  <si>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</si>
  <si>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</si>
  <si>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</si>
  <si>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</si>
  <si>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</si>
  <si>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</si>
  <si>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</si>
  <si>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</si>
  <si>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</si>
  <si>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</si>
  <si>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</si>
  <si>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</si>
  <si>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</si>
  <si>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</si>
  <si>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</si>
  <si>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</si>
  <si>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</si>
  <si>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</si>
  <si>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</si>
  <si>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</si>
  <si>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</si>
  <si>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</si>
  <si>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</si>
  <si>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</si>
  <si>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</si>
  <si>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</si>
  <si>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</si>
  <si>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</si>
  <si>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</si>
  <si>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</si>
  <si>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</si>
  <si>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</si>
  <si>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</si>
  <si>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</si>
  <si>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</si>
  <si>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</si>
  <si>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</si>
  <si>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</si>
  <si>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</si>
  <si>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</si>
  <si>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</si>
  <si>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</si>
  <si>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</si>
  <si>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</si>
  <si>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</si>
  <si>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</si>
  <si>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</si>
  <si>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</si>
  <si>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</si>
  <si>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</si>
  <si>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</si>
  <si>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</si>
  <si>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</si>
  <si>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</si>
  <si>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</si>
  <si>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</si>
  <si>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</si>
  <si>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</si>
  <si>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</si>
  <si>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</si>
  <si>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</si>
  <si>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</si>
  <si>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</si>
  <si>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</si>
  <si>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</si>
  <si>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</si>
  <si>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</si>
  <si>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</si>
  <si>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</si>
  <si>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</si>
  <si>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</si>
  <si>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</si>
  <si>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</si>
  <si>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</si>
  <si>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</si>
  <si>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</si>
  <si>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</si>
  <si>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</si>
  <si>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</si>
  <si>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</si>
  <si>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</si>
  <si>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</si>
  <si>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</si>
  <si>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</si>
  <si>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</si>
  <si>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</si>
  <si>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</si>
  <si>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</si>
  <si>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</si>
  <si>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</si>
  <si>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</si>
  <si>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</si>
  <si>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</si>
  <si>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</si>
  <si>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</si>
  <si>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</si>
  <si>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</si>
  <si>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</si>
  <si>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</si>
  <si>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</si>
  <si>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</si>
  <si>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</si>
  <si>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</si>
  <si>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</si>
  <si>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</si>
  <si>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</si>
  <si>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</si>
  <si>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</si>
  <si>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</si>
  <si>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</si>
  <si>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</si>
  <si>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</si>
  <si>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</si>
  <si>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</si>
  <si>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</si>
  <si>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</si>
  <si>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</si>
  <si>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</si>
  <si>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</si>
  <si>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</si>
  <si>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</si>
  <si>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</si>
  <si>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</si>
  <si>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</si>
  <si>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</si>
  <si>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</si>
  <si>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</si>
  <si>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</si>
  <si>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</si>
  <si>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</si>
  <si>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</si>
  <si>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</si>
  <si>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</si>
  <si>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</si>
  <si>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</si>
  <si>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</si>
  <si>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</si>
  <si>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</si>
  <si>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</si>
  <si>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</si>
  <si>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</si>
  <si>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</si>
  <si>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</si>
  <si>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</si>
  <si>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</si>
  <si>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</si>
  <si>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</si>
  <si>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</si>
  <si>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</si>
  <si>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</si>
  <si>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</si>
  <si>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</si>
  <si>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</si>
  <si>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</si>
  <si>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</si>
  <si>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</si>
  <si>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</si>
  <si>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</si>
  <si>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</si>
  <si>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</si>
  <si>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</si>
  <si>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</si>
  <si>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</si>
  <si>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</si>
  <si>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</si>
  <si>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</si>
  <si>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</si>
  <si>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</si>
  <si>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</si>
  <si>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</si>
  <si>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</si>
  <si>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</si>
  <si>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</si>
  <si>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</si>
  <si>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</si>
  <si>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</si>
  <si>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</si>
  <si>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</si>
  <si>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</si>
  <si>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</si>
  <si>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</si>
  <si>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</si>
  <si>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</si>
  <si>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</si>
  <si>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</si>
  <si>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</si>
  <si>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</si>
  <si>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</si>
  <si>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</si>
  <si>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</si>
  <si>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</si>
  <si>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</si>
  <si>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</si>
  <si>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</si>
  <si>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</si>
  <si>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</si>
  <si>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</si>
  <si>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</si>
  <si>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</si>
  <si>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</si>
  <si>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</si>
  <si>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</si>
  <si>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</si>
  <si>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</si>
  <si>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</si>
  <si>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</si>
  <si>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</si>
  <si>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</si>
  <si>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</si>
  <si>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</si>
  <si>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</si>
  <si>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</si>
  <si>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</si>
  <si>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</si>
  <si>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</si>
  <si>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</si>
  <si>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</si>
  <si>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</si>
  <si>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</si>
  <si>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</si>
  <si>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</si>
  <si>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</si>
  <si>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</si>
  <si>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</si>
  <si>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</si>
  <si>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</si>
  <si>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</si>
  <si>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</si>
  <si>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</si>
  <si>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</si>
  <si>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</si>
  <si>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</si>
  <si>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</si>
  <si>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</si>
  <si>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</si>
  <si>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</si>
  <si>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</si>
  <si>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</si>
  <si>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</si>
  <si>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</si>
  <si>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</si>
  <si>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</si>
  <si>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</si>
  <si>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</si>
  <si>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</si>
  <si>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</si>
  <si>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</si>
  <si>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</si>
  <si>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</si>
  <si>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</si>
  <si>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</si>
  <si>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</si>
  <si>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</si>
  <si>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</si>
  <si>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</si>
  <si>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</si>
  <si>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</si>
  <si>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</si>
  <si>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</si>
  <si>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</si>
  <si>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</si>
  <si>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</si>
  <si>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</si>
  <si>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</si>
  <si>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</si>
  <si>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</si>
  <si>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</si>
  <si>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</si>
  <si>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</si>
  <si>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</si>
  <si>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</si>
  <si>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</si>
  <si>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</si>
  <si>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</si>
  <si>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</si>
  <si>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</si>
  <si>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</si>
  <si>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</si>
  <si>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</si>
  <si>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</si>
  <si>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</si>
  <si>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</si>
  <si>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</si>
  <si>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</si>
  <si>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</si>
  <si>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</si>
  <si>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</si>
  <si>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</si>
  <si>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</si>
  <si>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</si>
  <si>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</si>
  <si>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</si>
  <si>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</si>
  <si>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</si>
  <si>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</si>
  <si>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</si>
  <si>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</si>
  <si>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</si>
  <si>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</si>
  <si>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</si>
  <si>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</si>
  <si>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</si>
  <si>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</si>
  <si>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</si>
  <si>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</si>
  <si>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</si>
  <si>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</si>
  <si>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</si>
  <si>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</si>
  <si>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</si>
  <si>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</si>
  <si>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</si>
  <si>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</si>
  <si>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</si>
  <si>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</si>
  <si>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</si>
  <si>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</si>
  <si>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</si>
  <si>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</si>
  <si>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</si>
  <si>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</si>
  <si>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</si>
  <si>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</si>
  <si>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</si>
  <si>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</si>
  <si>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</si>
  <si>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</si>
  <si>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</si>
  <si>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</si>
  <si>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</si>
  <si>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</si>
  <si>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</si>
  <si>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</si>
  <si>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</si>
  <si>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</si>
  <si>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</si>
  <si>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</si>
  <si>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</si>
  <si>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</si>
  <si>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</si>
  <si>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</si>
  <si>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</si>
  <si>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</si>
  <si>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</si>
  <si>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</si>
  <si>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</si>
  <si>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</si>
  <si>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</si>
  <si>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</si>
  <si>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</si>
  <si>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</si>
  <si>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</si>
  <si>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</si>
  <si>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</si>
  <si>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</si>
  <si>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</si>
  <si>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</si>
  <si>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</si>
  <si>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</si>
  <si>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</si>
  <si>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</si>
  <si>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</si>
  <si>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</si>
  <si>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</si>
  <si>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</si>
  <si>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</si>
  <si>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</si>
  <si>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</si>
  <si>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</si>
  <si>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</si>
  <si>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</si>
  <si>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</si>
  <si>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</si>
  <si>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</si>
  <si>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</si>
  <si>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</si>
  <si>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</si>
  <si>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</si>
  <si>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</si>
  <si>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</si>
  <si>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</si>
  <si>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</si>
  <si>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</si>
  <si>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</si>
  <si>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</si>
  <si>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</si>
  <si>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</si>
  <si>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</si>
  <si>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</si>
  <si>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</si>
  <si>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</si>
  <si>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</si>
  <si>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</si>
  <si>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</si>
  <si>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</si>
  <si>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</si>
  <si>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</si>
  <si>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</si>
  <si>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</si>
  <si>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</si>
  <si>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</si>
  <si>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</si>
  <si>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</si>
  <si>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</si>
  <si>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</si>
  <si>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</si>
  <si>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</si>
  <si>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</si>
  <si>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</si>
  <si>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</si>
  <si>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</si>
  <si>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</si>
  <si>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</si>
  <si>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</si>
  <si>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</si>
  <si>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</si>
  <si>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</si>
  <si>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</si>
  <si>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</si>
  <si>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</si>
  <si>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</si>
  <si>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</si>
  <si>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</si>
  <si>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</si>
  <si>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</si>
  <si>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</si>
  <si>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</si>
  <si>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</si>
  <si>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</si>
  <si>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</si>
  <si>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</si>
  <si>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</si>
  <si>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</si>
  <si>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</si>
  <si>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</si>
  <si>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</si>
  <si>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</si>
  <si>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</si>
  <si>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</si>
  <si>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</si>
  <si>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</si>
  <si>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</si>
  <si>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</si>
  <si>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</si>
  <si>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</si>
  <si>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</si>
  <si>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</si>
  <si>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</si>
  <si>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</si>
  <si>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</si>
  <si>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</si>
  <si>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</si>
  <si>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</si>
  <si>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</si>
  <si>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</si>
  <si>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</si>
  <si>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</si>
  <si>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</si>
  <si>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</si>
  <si>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</si>
  <si>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</si>
  <si>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</si>
  <si>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</si>
  <si>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</si>
  <si>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</si>
  <si>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</si>
  <si>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</si>
  <si>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</si>
  <si>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</si>
  <si>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</si>
  <si>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</si>
  <si>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</si>
  <si>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</si>
  <si>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</si>
  <si>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</si>
  <si>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</si>
  <si>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</si>
  <si>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</si>
  <si>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</si>
  <si>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</si>
  <si>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</si>
  <si>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</si>
  <si>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</si>
  <si>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</si>
  <si>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</si>
  <si>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</si>
  <si>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</si>
  <si>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</si>
  <si>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</si>
  <si>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</si>
  <si>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</si>
  <si>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</si>
  <si>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</si>
  <si>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</si>
  <si>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</si>
  <si>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</si>
  <si>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</si>
  <si>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</si>
  <si>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</si>
  <si>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</si>
  <si>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</si>
  <si>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</si>
  <si>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</si>
  <si>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</si>
  <si>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</si>
  <si>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</si>
  <si>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</si>
  <si>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</si>
  <si>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</si>
  <si>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</si>
  <si>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</si>
  <si>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</si>
  <si>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</si>
  <si>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</si>
  <si>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</si>
  <si>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</si>
  <si>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</si>
  <si>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</si>
  <si>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</si>
  <si>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</si>
  <si>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</si>
  <si>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</si>
  <si>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</si>
  <si>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</si>
  <si>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</si>
  <si>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</si>
  <si>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</si>
  <si>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</si>
  <si>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</si>
  <si>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</si>
  <si>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</si>
  <si>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</si>
  <si>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</si>
  <si>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</si>
  <si>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</si>
  <si>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</si>
  <si>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</si>
  <si>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</si>
  <si>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</si>
  <si>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</si>
  <si>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</si>
  <si>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</si>
  <si>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</si>
  <si>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</si>
  <si>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</si>
  <si>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</si>
  <si>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</si>
  <si>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</si>
  <si>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</si>
  <si>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</si>
  <si>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</si>
  <si>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</si>
  <si>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</si>
  <si>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</si>
  <si>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</si>
  <si>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</si>
  <si>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</si>
  <si>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</si>
  <si>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</si>
  <si>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</si>
  <si>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</si>
  <si>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</si>
  <si>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</si>
  <si>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</si>
  <si>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</si>
  <si>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</si>
  <si>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</si>
  <si>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</si>
  <si>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</si>
  <si>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</si>
  <si>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</si>
  <si>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</si>
  <si>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</si>
  <si>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</si>
  <si>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</si>
  <si>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</si>
  <si>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</si>
  <si>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</si>
  <si>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</si>
  <si>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</si>
  <si>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</si>
  <si>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</si>
  <si>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</si>
  <si>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</si>
  <si>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</si>
  <si>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</si>
  <si>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</si>
  <si>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</si>
  <si>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</si>
  <si>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</si>
  <si>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</si>
  <si>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</si>
  <si>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</si>
  <si>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</si>
  <si>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</si>
  <si>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</si>
  <si>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</si>
  <si>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</si>
  <si>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</si>
  <si>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</si>
  <si>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</si>
  <si>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</si>
  <si>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</si>
  <si>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</si>
  <si>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</si>
  <si>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</si>
  <si>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</si>
  <si>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</si>
  <si>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</si>
  <si>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</si>
  <si>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</si>
  <si>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</si>
  <si>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</si>
  <si>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</si>
  <si>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</si>
  <si>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</si>
  <si>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</si>
  <si>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</si>
  <si>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</si>
  <si>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</si>
  <si>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</si>
  <si>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</si>
  <si>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</si>
  <si>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</si>
  <si>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</si>
  <si>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</si>
  <si>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</si>
  <si>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</si>
  <si>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</si>
  <si>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</si>
  <si>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</si>
  <si>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</si>
  <si>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</si>
  <si>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</si>
  <si>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</si>
  <si>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</si>
  <si>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</si>
  <si>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</si>
  <si>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</si>
  <si>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</si>
  <si>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</si>
  <si>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</si>
  <si>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</si>
  <si>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</si>
  <si>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</si>
  <si>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</si>
  <si>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</si>
  <si>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</si>
  <si>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</si>
  <si>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</si>
  <si>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</si>
  <si>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</si>
  <si>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</si>
  <si>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</si>
  <si>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</si>
  <si>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</si>
  <si>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</si>
  <si>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</si>
  <si>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</si>
  <si>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</si>
  <si>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</si>
  <si>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</si>
  <si>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</si>
  <si>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</si>
  <si>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</si>
  <si>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</si>
  <si>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</si>
  <si>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</si>
  <si>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</si>
  <si>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</si>
  <si>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</si>
  <si>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</si>
  <si>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</si>
  <si>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</si>
  <si>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</si>
  <si>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</si>
  <si>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</si>
  <si>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</si>
  <si>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</si>
  <si>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</si>
  <si>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</si>
  <si>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</si>
  <si>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</si>
  <si>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</si>
  <si>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</si>
  <si>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</si>
  <si>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</si>
  <si>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</si>
  <si>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</si>
  <si>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</si>
  <si>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</si>
  <si>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</si>
  <si>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</si>
  <si>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</si>
  <si>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</si>
  <si>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</si>
  <si>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</si>
  <si>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</si>
  <si>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</si>
  <si>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</si>
  <si>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</si>
  <si>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</si>
  <si>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</si>
  <si>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</si>
  <si>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</si>
  <si>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</si>
  <si>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</si>
  <si>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</si>
  <si>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</si>
  <si>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</si>
  <si>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</si>
  <si>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</si>
  <si>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</si>
  <si>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</si>
  <si>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</si>
  <si>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</si>
  <si>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</si>
  <si>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</si>
  <si>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</si>
  <si>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</si>
  <si>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</si>
  <si>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</si>
  <si>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</si>
  <si>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</si>
  <si>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</si>
  <si>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</si>
  <si>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</si>
  <si>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</si>
  <si>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</si>
  <si>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</si>
  <si>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</si>
  <si>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</si>
  <si>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</si>
  <si>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</si>
  <si>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</si>
  <si>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</si>
  <si>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</si>
  <si>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</si>
  <si>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</si>
  <si>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</si>
  <si>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</si>
  <si>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</si>
  <si>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</si>
  <si>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</si>
  <si>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</si>
  <si>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</si>
  <si>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</si>
  <si>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</si>
  <si>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</si>
  <si>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</si>
  <si>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</si>
  <si>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</si>
  <si>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</si>
  <si>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</si>
  <si>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</si>
  <si>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</si>
  <si>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</si>
  <si>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</si>
  <si>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</si>
  <si>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</si>
  <si>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</si>
  <si>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</si>
  <si>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</si>
  <si>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</si>
  <si>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</si>
  <si>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</si>
  <si>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</si>
  <si>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</si>
  <si>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</si>
  <si>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</si>
  <si>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</si>
  <si>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</si>
  <si>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</si>
  <si>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</si>
  <si>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</si>
  <si>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</si>
  <si>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</si>
  <si>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</si>
  <si>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</si>
  <si>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</si>
  <si>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</si>
  <si>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</si>
  <si>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</si>
  <si>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</si>
  <si>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</si>
  <si>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</si>
  <si>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</si>
  <si>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</si>
  <si>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</si>
  <si>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</si>
  <si>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</si>
  <si>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</si>
  <si>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</si>
  <si>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</si>
  <si>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</si>
  <si>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</si>
  <si>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</si>
  <si>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</si>
  <si>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</si>
  <si>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</si>
  <si>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</si>
  <si>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</si>
  <si>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</si>
  <si>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</si>
  <si>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</si>
  <si>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</si>
  <si>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</si>
  <si>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</si>
  <si>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</si>
  <si>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</si>
  <si>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</si>
  <si>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</si>
  <si>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</si>
  <si>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</si>
  <si>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</si>
  <si>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</si>
  <si>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</si>
  <si>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</si>
  <si>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</si>
  <si>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</si>
  <si>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</si>
  <si>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</si>
  <si>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</si>
  <si>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</si>
  <si>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</si>
  <si>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</si>
  <si>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</si>
  <si>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</si>
  <si>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</si>
  <si>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</si>
  <si>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</si>
  <si>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</si>
  <si>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</si>
  <si>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</si>
  <si>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</si>
  <si>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</si>
  <si>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</si>
  <si>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</si>
  <si>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</si>
  <si>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</si>
  <si>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</si>
  <si>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</si>
  <si>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</si>
  <si>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</si>
  <si>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</si>
  <si>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</si>
  <si>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</si>
  <si>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</si>
  <si>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</si>
  <si>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</si>
  <si>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</si>
  <si>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</si>
  <si>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</si>
  <si>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</si>
  <si>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</si>
  <si>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</si>
  <si>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</si>
  <si>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</si>
  <si>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</si>
  <si>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</si>
  <si>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</si>
  <si>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</si>
  <si>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</si>
  <si>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</si>
  <si>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</si>
  <si>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</si>
  <si>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</si>
  <si>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</si>
  <si>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</si>
  <si>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</si>
  <si>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</si>
  <si>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</si>
  <si>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</si>
  <si>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</si>
  <si>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</si>
  <si>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</si>
  <si>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</si>
  <si>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</si>
  <si>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</si>
  <si>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</si>
  <si>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</si>
  <si>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</si>
  <si>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</si>
  <si>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</si>
  <si>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</si>
  <si>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</si>
  <si>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</si>
  <si>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</si>
  <si>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</si>
  <si>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</si>
  <si>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</si>
  <si>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</si>
  <si>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</si>
  <si>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</si>
  <si>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</si>
  <si>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</si>
  <si>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</si>
  <si>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</si>
  <si>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</si>
  <si>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</si>
  <si>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</si>
  <si>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</si>
  <si>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</si>
  <si>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</si>
  <si>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</si>
  <si>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</si>
  <si>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</si>
  <si>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</si>
  <si>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</si>
  <si>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</si>
  <si>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</si>
  <si>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</si>
  <si>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</si>
  <si>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</si>
  <si>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</si>
  <si>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</si>
  <si>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</si>
  <si>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</si>
  <si>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</si>
  <si>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</si>
  <si>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</si>
  <si>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</si>
  <si>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</si>
  <si>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</si>
  <si>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</si>
  <si>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</si>
  <si>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</si>
  <si>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</si>
  <si>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</si>
  <si>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</si>
  <si>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</si>
  <si>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</si>
  <si>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</si>
  <si>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</si>
  <si>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</si>
  <si>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</si>
  <si>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</si>
  <si>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</si>
  <si>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</si>
  <si>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</si>
  <si>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</si>
  <si>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</si>
  <si>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</si>
  <si>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</si>
  <si>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</si>
  <si>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</si>
  <si>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</si>
  <si>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</si>
  <si>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</si>
  <si>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</si>
  <si>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</si>
  <si>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</si>
  <si>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</si>
  <si>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</si>
  <si>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</si>
  <si>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</si>
  <si>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</si>
  <si>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</si>
  <si>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</si>
  <si>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</si>
  <si>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</si>
  <si>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</si>
  <si>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</si>
  <si>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</si>
  <si>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</si>
  <si>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</si>
  <si>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</si>
  <si>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</si>
  <si>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</si>
  <si>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</si>
  <si>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</si>
  <si>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</si>
  <si>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</si>
  <si>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</si>
  <si>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</si>
  <si>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</si>
  <si>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</si>
  <si>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</si>
  <si>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</si>
  <si>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</si>
  <si>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</si>
  <si>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</si>
  <si>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</si>
  <si>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</si>
  <si>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</si>
  <si>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</si>
  <si>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</si>
  <si>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</si>
  <si>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</si>
  <si>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</si>
  <si>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</si>
  <si>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</si>
  <si>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</si>
  <si>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</si>
  <si>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</si>
  <si>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</si>
  <si>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</si>
  <si>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</si>
  <si>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</si>
  <si>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</si>
  <si>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</si>
  <si>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</si>
  <si>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</si>
  <si>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</si>
  <si>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</si>
  <si>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</si>
  <si>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</si>
  <si>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</si>
  <si>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</si>
  <si>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</si>
  <si>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</si>
  <si>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</si>
  <si>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</si>
  <si>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</si>
  <si>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</si>
  <si>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</si>
  <si>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</si>
  <si>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</si>
  <si>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</si>
  <si>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</si>
  <si>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</si>
  <si>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</si>
  <si>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</si>
  <si>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</si>
  <si>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</si>
  <si>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</si>
  <si>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</si>
  <si>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</si>
  <si>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</si>
  <si>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</si>
  <si>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</si>
  <si>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</si>
  <si>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</si>
  <si>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</si>
  <si>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</si>
  <si>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</si>
  <si>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</si>
  <si>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</si>
  <si>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</si>
  <si>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</si>
  <si>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</si>
  <si>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</si>
  <si>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</si>
  <si>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</si>
  <si>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</si>
  <si>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</si>
  <si>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</si>
  <si>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</si>
  <si>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</si>
  <si>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</si>
  <si>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</si>
  <si>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</si>
  <si>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</si>
  <si>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</si>
  <si>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</si>
  <si>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</si>
  <si>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</si>
  <si>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</si>
  <si>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</si>
  <si>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</si>
  <si>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</si>
  <si>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</si>
  <si>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</si>
  <si>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</si>
  <si>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</si>
  <si>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</si>
  <si>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</si>
  <si>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</si>
  <si>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</si>
  <si>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</si>
  <si>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</si>
  <si>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</si>
  <si>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</si>
  <si>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</si>
  <si>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</si>
  <si>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</si>
  <si>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</si>
  <si>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</si>
  <si>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</si>
  <si>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</si>
  <si>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</si>
  <si>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</si>
  <si>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</si>
  <si>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</si>
  <si>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</si>
  <si>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</si>
  <si>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</si>
  <si>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</si>
  <si>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</si>
  <si>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</si>
  <si>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</si>
  <si>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</si>
  <si>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</si>
  <si>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</si>
  <si>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</si>
  <si>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</si>
  <si>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</si>
  <si>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</si>
  <si>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</si>
  <si>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</si>
  <si>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</si>
  <si>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</si>
  <si>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</si>
  <si>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</si>
  <si>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</si>
  <si>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</si>
  <si>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</si>
  <si>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</si>
  <si>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</si>
  <si>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</si>
  <si>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</si>
  <si>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</si>
  <si>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</si>
  <si>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</si>
  <si>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</si>
  <si>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</si>
  <si>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</si>
  <si>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</si>
  <si>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</si>
  <si>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</si>
  <si>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</si>
  <si>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</si>
  <si>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</si>
  <si>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</si>
  <si>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</si>
  <si>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</si>
  <si>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</si>
  <si>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</si>
  <si>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</si>
  <si>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</si>
  <si>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</si>
  <si>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</si>
  <si>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</si>
  <si>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</si>
  <si>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</si>
  <si>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</si>
  <si>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</si>
  <si>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</si>
  <si>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</si>
  <si>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</si>
  <si>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</si>
  <si>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</si>
  <si>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</si>
  <si>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</si>
  <si>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</si>
  <si>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</si>
  <si>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</si>
  <si>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</si>
  <si>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</si>
  <si>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</si>
  <si>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</si>
  <si>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</si>
  <si>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</si>
  <si>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</si>
  <si>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</si>
  <si>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</si>
  <si>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</si>
  <si>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</si>
  <si>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</si>
  <si>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</si>
  <si>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</si>
  <si>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</si>
  <si>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</si>
  <si>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</si>
  <si>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</si>
  <si>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</si>
  <si>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</si>
  <si>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</si>
  <si>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</si>
  <si>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</si>
  <si>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</si>
  <si>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</si>
  <si>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</si>
  <si>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</si>
  <si>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</si>
  <si>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</si>
  <si>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</si>
  <si>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</si>
  <si>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</si>
  <si>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</si>
  <si>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</si>
  <si>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</si>
  <si>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</si>
  <si>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</si>
  <si>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</si>
  <si>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</si>
  <si>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</si>
  <si>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</si>
  <si>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</si>
  <si>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</si>
  <si>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</si>
  <si>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</si>
  <si>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</si>
  <si>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</si>
  <si>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</si>
  <si>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</si>
  <si>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</si>
  <si>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</si>
  <si>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</si>
  <si>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</si>
  <si>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</si>
  <si>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</si>
  <si>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</si>
  <si>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</si>
  <si>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</si>
  <si>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</si>
  <si>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</si>
  <si>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</si>
  <si>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</si>
  <si>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</si>
  <si>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</si>
  <si>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</si>
  <si>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</si>
  <si>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</si>
  <si>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</si>
  <si>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</si>
  <si>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</si>
  <si>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</si>
  <si>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</si>
  <si>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</si>
  <si>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</si>
  <si>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</si>
  <si>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</si>
  <si>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</si>
  <si>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</si>
  <si>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</si>
  <si>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</si>
  <si>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</si>
  <si>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</si>
  <si>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</si>
  <si>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</si>
  <si>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</si>
  <si>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</si>
  <si>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</si>
  <si>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</si>
  <si>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</si>
  <si>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</si>
  <si>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</si>
  <si>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</si>
  <si>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</si>
  <si>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</si>
  <si>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</si>
  <si>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</si>
  <si>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</si>
  <si>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</si>
  <si>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</si>
  <si>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</si>
  <si>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</si>
  <si>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</si>
  <si>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</si>
  <si>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</si>
  <si>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</si>
  <si>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</si>
  <si>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</si>
  <si>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</si>
  <si>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</si>
  <si>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</si>
  <si>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</si>
  <si>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</si>
  <si>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</si>
  <si>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</si>
  <si>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</si>
  <si>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</si>
  <si>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</si>
  <si>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</si>
  <si>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</si>
  <si>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</si>
  <si>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</si>
  <si>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</si>
  <si>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</si>
  <si>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</si>
  <si>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</si>
  <si>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</si>
  <si>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</si>
  <si>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</si>
  <si>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</si>
  <si>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</si>
  <si>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</si>
  <si>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</si>
  <si>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</si>
  <si>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</si>
  <si>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</si>
  <si>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</si>
  <si>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</si>
  <si>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</si>
  <si>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</si>
  <si>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</si>
  <si>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</si>
  <si>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</si>
  <si>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</si>
  <si>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</si>
  <si>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</si>
  <si>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</si>
  <si>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</si>
  <si>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</si>
  <si>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</si>
  <si>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</si>
  <si>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</si>
  <si>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</si>
  <si>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</si>
  <si>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</si>
  <si>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</si>
  <si>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</si>
  <si>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</si>
  <si>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</si>
  <si>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</si>
  <si>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</si>
  <si>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</si>
  <si>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</si>
  <si>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</si>
  <si>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</si>
  <si>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</si>
  <si>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</si>
  <si>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</si>
  <si>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</si>
  <si>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</si>
  <si>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</si>
  <si>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</si>
  <si>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</si>
  <si>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</si>
  <si>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</si>
  <si>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</si>
  <si>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</si>
  <si>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</si>
  <si>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</si>
  <si>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</si>
  <si>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</si>
  <si>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</si>
  <si>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</si>
  <si>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</si>
  <si>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</si>
  <si>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</si>
  <si>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</si>
  <si>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</si>
  <si>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</si>
  <si>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</si>
  <si>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</si>
  <si>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</si>
  <si>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</si>
  <si>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</si>
  <si>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</si>
  <si>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</si>
  <si>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</si>
  <si>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</si>
  <si>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</si>
  <si>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</si>
  <si>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</si>
  <si>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</si>
  <si>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</si>
  <si>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</si>
  <si>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</si>
  <si>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</si>
  <si>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</si>
  <si>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</si>
  <si>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</si>
  <si>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</si>
  <si>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</si>
  <si>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</si>
  <si>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</si>
  <si>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</si>
  <si>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</si>
  <si>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</si>
  <si>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</si>
  <si>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</si>
  <si>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</si>
  <si>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</si>
  <si>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</si>
  <si>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</si>
  <si>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</si>
  <si>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</si>
  <si>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</si>
  <si>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</si>
  <si>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</si>
  <si>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</si>
  <si>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</si>
  <si>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</si>
  <si>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</si>
  <si>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</si>
  <si>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</si>
  <si>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</si>
  <si>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</si>
  <si>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</si>
  <si>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</si>
  <si>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</si>
  <si>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</si>
  <si>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</si>
  <si>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</si>
  <si>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</si>
  <si>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</si>
  <si>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</si>
  <si>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</si>
  <si>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</si>
  <si>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</si>
  <si>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</si>
  <si>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</si>
  <si>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</si>
  <si>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</si>
  <si>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</si>
  <si>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</si>
  <si>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</si>
  <si>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</si>
  <si>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</si>
  <si>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</si>
  <si>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</si>
  <si>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</si>
  <si>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</si>
  <si>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</si>
  <si>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</si>
  <si>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</si>
  <si>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</si>
  <si>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</si>
  <si>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</si>
  <si>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</si>
  <si>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</si>
  <si>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</si>
  <si>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</si>
  <si>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</si>
  <si>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</si>
  <si>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</si>
  <si>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</si>
  <si>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</si>
  <si>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</si>
  <si>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</si>
  <si>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</si>
  <si>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</si>
  <si>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</si>
  <si>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</si>
  <si>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</si>
  <si>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</si>
  <si>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</si>
  <si>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</si>
  <si>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</si>
  <si>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</si>
  <si>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</si>
  <si>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</si>
  <si>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</si>
  <si>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</si>
  <si>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</si>
  <si>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</si>
  <si>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</si>
  <si>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</si>
  <si>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</si>
  <si>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</si>
  <si>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</si>
  <si>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</si>
  <si>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</si>
  <si>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</si>
  <si>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</si>
  <si>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</si>
  <si>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</si>
  <si>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</si>
  <si>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</si>
  <si>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</si>
  <si>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</si>
  <si>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</si>
  <si>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</si>
  <si>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</si>
  <si>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</si>
  <si>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</si>
  <si>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</si>
  <si>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</si>
  <si>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</si>
  <si>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</si>
  <si>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</si>
  <si>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</si>
  <si>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</si>
  <si>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</si>
  <si>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</si>
  <si>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</si>
  <si>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</si>
  <si>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</si>
  <si>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</si>
  <si>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</si>
  <si>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</si>
  <si>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</si>
  <si>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</si>
  <si>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</si>
  <si>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</si>
  <si>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</si>
  <si>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</si>
  <si>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</si>
  <si>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</si>
  <si>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</si>
  <si>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</si>
  <si>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</si>
  <si>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</si>
  <si>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</si>
  <si>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</si>
  <si>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</si>
  <si>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</si>
  <si>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</si>
  <si>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</si>
  <si>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</si>
  <si>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</si>
  <si>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</si>
  <si>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</si>
  <si>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</si>
  <si>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</si>
  <si>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</si>
  <si>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</si>
  <si>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</si>
  <si>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</si>
  <si>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</si>
  <si>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</si>
  <si>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</si>
  <si>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</si>
  <si>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</si>
  <si>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</si>
  <si>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</si>
  <si>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</si>
  <si>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</si>
  <si>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</si>
  <si>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</si>
  <si>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</si>
  <si>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</si>
  <si>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</si>
  <si>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</si>
  <si>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</si>
  <si>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</si>
  <si>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</si>
  <si>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</si>
  <si>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</si>
  <si>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</si>
  <si>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</si>
  <si>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</si>
  <si>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</si>
  <si>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</si>
  <si>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</si>
  <si>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</si>
  <si>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</si>
  <si>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</si>
  <si>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</si>
  <si>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</si>
  <si>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</si>
  <si>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</si>
  <si>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</si>
  <si>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</si>
  <si>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</si>
  <si>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</si>
  <si>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</si>
  <si>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</si>
  <si>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</si>
  <si>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</si>
  <si>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</si>
  <si>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</si>
  <si>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</si>
  <si>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</si>
  <si>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</si>
  <si>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</si>
  <si>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</si>
  <si>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</si>
  <si>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</si>
  <si>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</si>
  <si>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</si>
  <si>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</si>
  <si>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</si>
  <si>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</si>
  <si>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</si>
  <si>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</si>
  <si>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</si>
  <si>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</si>
  <si>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</si>
  <si>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</si>
  <si>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</si>
  <si>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</si>
  <si>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</si>
  <si>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</si>
  <si>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</si>
  <si>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</si>
  <si>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</si>
  <si>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</si>
  <si>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</si>
  <si>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</si>
  <si>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</si>
  <si>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</si>
  <si>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</si>
  <si>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</si>
  <si>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</si>
  <si>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</si>
  <si>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</si>
  <si>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</si>
  <si>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</si>
  <si>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</si>
  <si>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</si>
  <si>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</si>
  <si>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</si>
  <si>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</si>
  <si>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</si>
  <si>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</si>
  <si>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</si>
  <si>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</si>
  <si>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</si>
  <si>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</si>
  <si>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</si>
  <si>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</si>
  <si>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</si>
  <si>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</si>
  <si>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</si>
  <si>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</si>
  <si>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</si>
  <si>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</si>
  <si>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</si>
  <si>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</si>
  <si>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</si>
  <si>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</si>
  <si>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</si>
  <si>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</si>
  <si>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</si>
  <si>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</si>
  <si>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</si>
  <si>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</si>
  <si>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</si>
  <si>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</si>
  <si>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</si>
  <si>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</si>
  <si>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</si>
  <si>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</si>
  <si>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</si>
  <si>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</si>
  <si>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</si>
  <si>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</si>
  <si>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</si>
  <si>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</si>
  <si>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</si>
  <si>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</si>
  <si>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</si>
  <si>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</si>
  <si>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</si>
  <si>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</si>
  <si>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</si>
  <si>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</si>
  <si>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</si>
  <si>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</si>
  <si>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</si>
  <si>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</si>
  <si>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</si>
  <si>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</si>
  <si>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</si>
  <si>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</si>
  <si>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</si>
  <si>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</si>
  <si>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</si>
  <si>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</si>
  <si>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</si>
  <si>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</si>
  <si>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</si>
  <si>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</si>
  <si>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</si>
  <si>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</si>
  <si>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</si>
  <si>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</si>
  <si>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</si>
  <si>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</si>
  <si>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</si>
  <si>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</si>
  <si>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</si>
  <si>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</si>
  <si>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</si>
  <si>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</si>
  <si>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</si>
  <si>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</si>
  <si>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</si>
  <si>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</si>
  <si>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</si>
  <si>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</si>
  <si>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</si>
  <si>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</si>
  <si>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</si>
  <si>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</si>
  <si>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</si>
  <si>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</si>
  <si>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</si>
  <si>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</si>
  <si>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</si>
  <si>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</si>
  <si>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</si>
  <si>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</si>
  <si>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</si>
  <si>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</si>
  <si>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</si>
  <si>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</si>
  <si>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</si>
  <si>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</si>
  <si>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</si>
  <si>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</si>
  <si>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</si>
  <si>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</si>
  <si>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</si>
  <si>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</si>
  <si>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</si>
  <si>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</si>
  <si>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</si>
  <si>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</si>
  <si>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</si>
  <si>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</si>
  <si>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</si>
  <si>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</si>
  <si>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</si>
  <si>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</si>
  <si>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</si>
  <si>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</si>
  <si>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</si>
  <si>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</si>
  <si>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</si>
  <si>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</si>
  <si>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</si>
  <si>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</si>
  <si>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</si>
  <si>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</si>
  <si>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</si>
  <si>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</si>
  <si>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</si>
  <si>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</si>
  <si>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</si>
  <si>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</si>
  <si>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</si>
  <si>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</si>
  <si>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</si>
  <si>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</si>
  <si>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</si>
  <si>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</si>
  <si>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</si>
  <si>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</si>
  <si>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</si>
  <si>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</si>
  <si>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</si>
  <si>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</si>
  <si>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</si>
  <si>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</si>
  <si>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</si>
  <si>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</si>
  <si>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</si>
  <si>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</si>
  <si>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</si>
  <si>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</si>
  <si>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</si>
  <si>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</si>
  <si>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</si>
  <si>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</si>
  <si>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</si>
  <si>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</si>
  <si>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</si>
  <si>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</si>
  <si>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</si>
  <si>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</si>
  <si>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</si>
  <si>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</si>
  <si>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</si>
  <si>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</si>
  <si>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</si>
  <si>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</si>
  <si>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</si>
  <si>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</si>
  <si>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</si>
  <si>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</si>
  <si>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</si>
  <si>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</si>
  <si>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</si>
  <si>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</si>
  <si>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</si>
  <si>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</si>
  <si>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</si>
  <si>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</si>
  <si>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</si>
  <si>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</si>
  <si>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</si>
  <si>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</si>
  <si>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</si>
  <si>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</si>
  <si>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</si>
  <si>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</si>
  <si>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</si>
  <si>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</si>
  <si>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</si>
  <si>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</si>
  <si>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</si>
  <si>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</si>
  <si>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</si>
  <si>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</si>
  <si>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</si>
  <si>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</si>
  <si>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</si>
  <si>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</si>
  <si>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</si>
  <si>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</si>
  <si>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</si>
  <si>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</si>
  <si>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</si>
  <si>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</si>
  <si>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</si>
  <si>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</si>
  <si>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</si>
  <si>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</si>
  <si>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</si>
  <si>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</si>
  <si>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</si>
  <si>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</si>
  <si>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</si>
  <si>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</si>
  <si>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</si>
  <si>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</si>
  <si>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</si>
  <si>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</si>
  <si>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</si>
  <si>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</si>
  <si>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</si>
  <si>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</si>
  <si>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</si>
  <si>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</si>
  <si>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</si>
  <si>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</si>
  <si>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</si>
  <si>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</si>
  <si>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</si>
  <si>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</si>
  <si>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</si>
  <si>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</si>
  <si>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</si>
  <si>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</si>
  <si>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</si>
  <si>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</si>
  <si>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</si>
  <si>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</si>
  <si>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</si>
  <si>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</si>
  <si>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</si>
  <si>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</si>
  <si>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</si>
  <si>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</si>
  <si>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</si>
  <si>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</si>
  <si>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</si>
  <si>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</si>
  <si>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</si>
  <si>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</si>
  <si>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</si>
  <si>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</si>
  <si>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</si>
  <si>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</si>
  <si>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</si>
  <si>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</si>
  <si>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</si>
  <si>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</si>
  <si>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</si>
  <si>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</si>
  <si>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</si>
  <si>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</si>
  <si>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</si>
  <si>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</si>
  <si>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</si>
  <si>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</si>
  <si>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</si>
  <si>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</si>
  <si>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</si>
  <si>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</si>
  <si>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</si>
  <si>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</si>
  <si>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</si>
  <si>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</si>
  <si>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</si>
  <si>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</si>
  <si>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</si>
  <si>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</si>
  <si>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</si>
  <si>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</si>
  <si>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</si>
  <si>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</si>
  <si>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</si>
  <si>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</si>
  <si>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</si>
  <si>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</si>
  <si>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</si>
  <si>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</si>
  <si>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</si>
  <si>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</si>
  <si>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</si>
  <si>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</si>
  <si>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</si>
  <si>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</si>
  <si>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</si>
  <si>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</si>
  <si>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</si>
  <si>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</si>
  <si>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</si>
  <si>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</si>
  <si>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</si>
  <si>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</si>
  <si>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</si>
  <si>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</si>
  <si>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</si>
  <si>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</si>
  <si>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</si>
  <si>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</si>
  <si>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</si>
  <si>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</si>
  <si>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</si>
  <si>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</si>
  <si>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</si>
  <si>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</si>
  <si>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</si>
  <si>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</si>
  <si>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</si>
  <si>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</si>
  <si>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</si>
  <si>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</si>
  <si>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</si>
  <si>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</si>
  <si>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</si>
  <si>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</si>
  <si>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</si>
  <si>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</si>
  <si>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</si>
  <si>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</si>
  <si>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</si>
  <si>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</si>
  <si>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</si>
  <si>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</si>
  <si>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</si>
  <si>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</si>
  <si>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</si>
  <si>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</si>
  <si>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</si>
  <si>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</si>
  <si>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</si>
  <si>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</si>
  <si>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</si>
  <si>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</si>
  <si>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</si>
  <si>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</si>
  <si>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</si>
  <si>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</si>
  <si>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</si>
  <si>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</si>
  <si>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</si>
  <si>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</si>
  <si>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</si>
  <si>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</si>
  <si>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</si>
  <si>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</si>
  <si>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</si>
  <si>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</si>
  <si>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</si>
  <si>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</si>
  <si>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</si>
  <si>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</si>
  <si>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</si>
  <si>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</si>
  <si>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</si>
  <si>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</si>
  <si>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</si>
  <si>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</si>
  <si>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</si>
  <si>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</si>
  <si>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</si>
  <si>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</si>
  <si>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</si>
  <si>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</si>
  <si>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</si>
  <si>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</si>
  <si>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</si>
  <si>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</si>
  <si>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</si>
  <si>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</si>
  <si>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</si>
  <si>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</si>
  <si>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</si>
  <si>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</si>
  <si>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</si>
  <si>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</si>
  <si>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</si>
  <si>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</si>
  <si>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</si>
  <si>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</si>
  <si>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</si>
  <si>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</si>
  <si>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</si>
  <si>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</si>
  <si>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</si>
  <si>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</si>
  <si>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</si>
  <si>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</si>
  <si>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</si>
  <si>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</si>
  <si>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</si>
  <si>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</si>
  <si>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</si>
  <si>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</si>
  <si>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</si>
  <si>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</si>
  <si>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</si>
  <si>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</si>
  <si>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</si>
  <si>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</si>
  <si>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</si>
  <si>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</si>
  <si>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</si>
  <si>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</si>
  <si>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</si>
  <si>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</si>
  <si>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</si>
  <si>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</si>
  <si>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</si>
  <si>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</si>
  <si>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</si>
  <si>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</si>
  <si>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</si>
  <si>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</si>
  <si>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</si>
  <si>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</si>
  <si>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</si>
  <si>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</si>
  <si>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</si>
  <si>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</si>
  <si>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</si>
  <si>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</si>
  <si>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</si>
  <si>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</si>
  <si>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</si>
  <si>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</si>
  <si>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</si>
  <si>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</si>
  <si>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</si>
  <si>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</si>
  <si>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</si>
  <si>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</si>
  <si>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</si>
  <si>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</si>
  <si>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</si>
  <si>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</si>
  <si>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</si>
  <si>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</si>
  <si>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</si>
  <si>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</si>
  <si>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</si>
  <si>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</si>
  <si>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</si>
  <si>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</si>
  <si>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</si>
  <si>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</si>
  <si>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</si>
  <si>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</si>
  <si>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</si>
  <si>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</si>
  <si>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</si>
  <si>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</si>
  <si>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</si>
  <si>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</si>
  <si>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</si>
  <si>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</si>
  <si>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</si>
  <si>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</si>
  <si>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</si>
  <si>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</si>
  <si>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</si>
  <si>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</si>
  <si>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</si>
  <si>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</si>
  <si>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</si>
  <si>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</si>
  <si>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</si>
  <si>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</si>
  <si>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</si>
  <si>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</si>
  <si>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</si>
  <si>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</si>
  <si>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</si>
  <si>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</si>
  <si>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</si>
  <si>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</si>
  <si>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</si>
  <si>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</si>
  <si>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</si>
  <si>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</si>
  <si>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</si>
  <si>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</si>
  <si>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</si>
  <si>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</si>
  <si>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</si>
  <si>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</si>
  <si>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</si>
  <si>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</si>
  <si>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</si>
  <si>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</si>
  <si>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</si>
  <si>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</si>
  <si>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</si>
  <si>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</si>
  <si>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</si>
  <si>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</si>
  <si>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</si>
  <si>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</si>
  <si>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</si>
  <si>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</si>
  <si>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</si>
  <si>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</si>
  <si>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</si>
  <si>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</si>
  <si>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</si>
  <si>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</si>
  <si>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</si>
  <si>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吸顶空调3P</t>
  </si>
  <si>
    <t>吸顶空调5P</t>
  </si>
  <si>
    <t>性质</t>
  </si>
  <si>
    <t>民办</t>
  </si>
  <si>
    <t>公办</t>
  </si>
  <si>
    <t>委托管理费</t>
  </si>
  <si>
    <t>华漕镇教委</t>
    <phoneticPr fontId="1" type="noConversion"/>
  </si>
  <si>
    <t>上海市闵行区华漕镇季乐路幼儿园（季乐园、芳乐园）委托管理费</t>
    <phoneticPr fontId="1" type="noConversion"/>
  </si>
  <si>
    <t>2025年镇管单位学前教育教学项目预算表（学前科补充）</t>
    <phoneticPr fontId="1" type="noConversion"/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</si>
  <si>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</si>
  <si>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</si>
  <si>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</si>
  <si>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</si>
  <si>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</si>
  <si>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一贯制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</si>
  <si>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</si>
  <si>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</si>
  <si>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</si>
  <si>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</si>
  <si>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青少年足球人才培养（区级）</t>
  </si>
  <si>
    <t>上海市德育实训基地</t>
  </si>
  <si>
    <t>教师培训</t>
  </si>
  <si>
    <t>学校体育工作</t>
  </si>
  <si>
    <t>校园足球精英基地校建设</t>
  </si>
  <si>
    <t>上海市文来中学初中部</t>
  </si>
  <si>
    <t>上海市文来中学高中部</t>
  </si>
  <si>
    <t>高中</t>
  </si>
  <si>
    <t>艺术“一条龙”龙头学校</t>
  </si>
  <si>
    <t>项目布局建设、艺术团建设等</t>
  </si>
  <si>
    <t>体育“一条龙”龙头学校</t>
  </si>
  <si>
    <t>青少年足球人才培养（市区级）</t>
    <phoneticPr fontId="45" type="noConversion"/>
  </si>
  <si>
    <t>单位：元</t>
    <phoneticPr fontId="1" type="noConversion"/>
  </si>
  <si>
    <t>　　　　1、工伤保险费(0.2%-1.9%)</t>
  </si>
  <si>
    <t>　　其他支出对个人和家庭补助</t>
  </si>
  <si>
    <t>　　　　1、其他</t>
  </si>
  <si>
    <t>除罗阳小学3人及七宝二中1人的退休共享费外，其他学校填0</t>
  </si>
  <si>
    <t>机关局有编制的车辆数*32000元/25000元/年标准内填列（分园及分校预算在其他交通费中编制）</t>
  </si>
  <si>
    <t>　　(八)其他商品和服务支出</t>
  </si>
  <si>
    <t>　　　　1、离退休公用支出</t>
  </si>
  <si>
    <t>　　　　2、子女幼托费</t>
  </si>
  <si>
    <t>　　(九)其他交通费用</t>
  </si>
  <si>
    <t>填写2025年秋季在编教职工人数</t>
  </si>
  <si>
    <t>70</t>
  </si>
  <si>
    <t>71</t>
  </si>
  <si>
    <t>2025年基本支出调整预算表（莘庄镇）</t>
    <phoneticPr fontId="1" type="noConversion"/>
  </si>
  <si>
    <t>2025年基本支出调整预算表（吴泾镇）</t>
    <phoneticPr fontId="1" type="noConversion"/>
  </si>
  <si>
    <t>景东小学</t>
    <phoneticPr fontId="1" type="noConversion"/>
  </si>
  <si>
    <t>塘湾中心幼</t>
    <phoneticPr fontId="1" type="noConversion"/>
  </si>
  <si>
    <t>交大附属吴泾幼</t>
    <phoneticPr fontId="1" type="noConversion"/>
  </si>
  <si>
    <t>华师大附属永德幼</t>
    <phoneticPr fontId="1" type="noConversion"/>
  </si>
  <si>
    <t>吴泾社区校</t>
    <phoneticPr fontId="1" type="noConversion"/>
  </si>
  <si>
    <t>七宝二中</t>
  </si>
  <si>
    <t>七宝实验中学</t>
  </si>
  <si>
    <t>七宝三中</t>
  </si>
  <si>
    <t>明强小学</t>
  </si>
  <si>
    <t>黎明小学</t>
  </si>
  <si>
    <t>七宝实小</t>
  </si>
  <si>
    <t>航华二小</t>
  </si>
  <si>
    <t>明强二小</t>
  </si>
  <si>
    <t>中心幼</t>
  </si>
  <si>
    <t>星辰</t>
  </si>
  <si>
    <t>春欣</t>
  </si>
  <si>
    <t>七实幼</t>
  </si>
  <si>
    <t>航华二幼</t>
  </si>
  <si>
    <t>七宝社区</t>
  </si>
  <si>
    <t>皇都</t>
  </si>
  <si>
    <t>文来</t>
  </si>
  <si>
    <t>明强幼</t>
  </si>
  <si>
    <t>七宝幼</t>
  </si>
  <si>
    <t>宝盛</t>
  </si>
  <si>
    <t>世外浦江</t>
  </si>
  <si>
    <t>浦航实中</t>
  </si>
  <si>
    <t>浦汇小学</t>
    <phoneticPr fontId="2" type="noConversion"/>
  </si>
  <si>
    <t>福山实验</t>
    <phoneticPr fontId="2" type="noConversion"/>
  </si>
  <si>
    <t>浦江二幼</t>
  </si>
  <si>
    <t>浦江三幼</t>
  </si>
  <si>
    <t>宝邸幼儿园</t>
    <phoneticPr fontId="2" type="noConversion"/>
  </si>
  <si>
    <t>闸航路幼儿园</t>
    <phoneticPr fontId="2" type="noConversion"/>
  </si>
  <si>
    <t>瑞和城幼儿园</t>
    <phoneticPr fontId="2" type="noConversion"/>
  </si>
  <si>
    <t>浦瑞幼儿园</t>
    <phoneticPr fontId="2" type="noConversion"/>
  </si>
  <si>
    <t>浦航幼儿园</t>
  </si>
  <si>
    <t>浦莲幼儿园</t>
    <phoneticPr fontId="2" type="noConversion"/>
  </si>
  <si>
    <t>填写2025年秋季学期学生人数，以招办人数为准</t>
  </si>
  <si>
    <t>2025年基本支出调整预算表（七宝镇）</t>
    <phoneticPr fontId="1" type="noConversion"/>
  </si>
  <si>
    <t>2025年基本支出调整预算表（浦江镇）</t>
    <phoneticPr fontId="1" type="noConversion"/>
  </si>
  <si>
    <t>梅陇实验</t>
    <phoneticPr fontId="2" type="noConversion"/>
  </si>
  <si>
    <t>罗阳中学</t>
    <phoneticPr fontId="2" type="noConversion"/>
  </si>
  <si>
    <t>金都实验中学</t>
    <phoneticPr fontId="2" type="noConversion"/>
  </si>
  <si>
    <t>晶城中学</t>
    <phoneticPr fontId="2" type="noConversion"/>
  </si>
  <si>
    <t>三实验小学</t>
    <phoneticPr fontId="2" type="noConversion"/>
  </si>
  <si>
    <t>蔷薇小学</t>
    <phoneticPr fontId="2" type="noConversion"/>
  </si>
  <si>
    <t>春申景城幼</t>
    <phoneticPr fontId="2" type="noConversion"/>
  </si>
  <si>
    <t>河畔幼儿园</t>
    <phoneticPr fontId="2" type="noConversion"/>
  </si>
  <si>
    <t>晶华坊幼</t>
    <phoneticPr fontId="2" type="noConversion"/>
  </si>
  <si>
    <t>梅锦幼儿园</t>
    <phoneticPr fontId="2" type="noConversion"/>
  </si>
  <si>
    <t>永联幼儿园</t>
    <phoneticPr fontId="2" type="noConversion"/>
  </si>
  <si>
    <t>梅陇社校</t>
    <phoneticPr fontId="2" type="noConversion"/>
  </si>
  <si>
    <t>2025年基本支出调整预算表（华漕镇）</t>
    <phoneticPr fontId="2" type="noConversion"/>
  </si>
  <si>
    <t>注：2025.9颛桥镇幼儿园莘闵分园关闭，房屋和绿化面积按半年算</t>
  </si>
  <si>
    <t>2025年基本支出调整预算表（颛桥镇）</t>
    <phoneticPr fontId="1" type="noConversion"/>
  </si>
  <si>
    <t>龙柏一小</t>
  </si>
  <si>
    <t>华师虹幼</t>
  </si>
  <si>
    <t>成人</t>
    <phoneticPr fontId="1" type="noConversion"/>
  </si>
  <si>
    <t xml:space="preserve">        1、医疗保险费9%</t>
  </si>
  <si>
    <t xml:space="preserve">        2、其他医疗保险费4%</t>
  </si>
  <si>
    <t xml:space="preserve">       (1)其他保险2%(统筹)：住院、大病补助</t>
  </si>
  <si>
    <t xml:space="preserve">       (2)其他保险2%(单位)：购买职工保险</t>
  </si>
  <si>
    <t xml:space="preserve">    公积金7%</t>
  </si>
  <si>
    <t>2025年基本支出调整预算表（镇级汇总）</t>
    <phoneticPr fontId="1" type="noConversion"/>
  </si>
  <si>
    <t>单位：元</t>
    <phoneticPr fontId="1" type="noConversion"/>
  </si>
  <si>
    <t>年初数</t>
    <phoneticPr fontId="1" type="noConversion"/>
  </si>
  <si>
    <t>五次分配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</si>
  <si>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</si>
  <si>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</si>
  <si>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</si>
  <si>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初中</t>
    <phoneticPr fontId="1" type="noConversion"/>
  </si>
  <si>
    <t>小学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</si>
  <si>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</si>
  <si>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</si>
  <si>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</si>
  <si>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新产证</t>
    <phoneticPr fontId="2" type="noConversion"/>
  </si>
  <si>
    <t>浦江二中</t>
    <phoneticPr fontId="2" type="noConversion"/>
  </si>
  <si>
    <t>浦江三中</t>
    <phoneticPr fontId="2" type="noConversion"/>
  </si>
  <si>
    <t>上师附中学实验</t>
    <phoneticPr fontId="2" type="noConversion"/>
  </si>
  <si>
    <t>浦江二小</t>
    <phoneticPr fontId="2" type="noConversion"/>
  </si>
  <si>
    <t>浦江三小</t>
    <phoneticPr fontId="2" type="noConversion"/>
  </si>
  <si>
    <t>上戏附校</t>
    <phoneticPr fontId="2" type="noConversion"/>
  </si>
  <si>
    <t>小学</t>
    <phoneticPr fontId="1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</si>
  <si>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</si>
  <si>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</si>
  <si>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　　　　2、失业保险0.5%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</si>
  <si>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</si>
  <si>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</si>
  <si>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</si>
  <si>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</si>
  <si>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</si>
  <si>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</si>
  <si>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</si>
  <si>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</si>
  <si>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其他工资福利</t>
    <phoneticPr fontId="2" type="noConversion"/>
  </si>
  <si>
    <t xml:space="preserve">    退休费</t>
    <phoneticPr fontId="2" type="noConversion"/>
  </si>
  <si>
    <t xml:space="preserve">        1、退休人员生活补贴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</si>
  <si>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</si>
  <si>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</si>
  <si>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</si>
  <si>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</si>
  <si>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</si>
  <si>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</si>
  <si>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</si>
  <si>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</si>
  <si>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</si>
  <si>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</si>
  <si>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</si>
  <si>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</si>
  <si>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</si>
  <si>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</si>
  <si>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2025年基本支出调整预算表（梅陇镇）</t>
    <phoneticPr fontId="2" type="noConversion"/>
  </si>
  <si>
    <t>罗阳小学</t>
    <phoneticPr fontId="2" type="noConversion"/>
  </si>
  <si>
    <t>梅陇中心幼</t>
    <phoneticPr fontId="2" type="noConversion"/>
  </si>
  <si>
    <t>曹行中心幼</t>
    <phoneticPr fontId="2" type="noConversion"/>
  </si>
  <si>
    <t>金都幼儿园</t>
    <phoneticPr fontId="2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</si>
  <si>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</si>
  <si>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</si>
  <si>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根据社保口径按实编制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</si>
  <si>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</si>
  <si>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</si>
  <si>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</si>
  <si>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</si>
  <si>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</si>
  <si>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</si>
  <si>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</si>
  <si>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>根据相关口径按实编制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</si>
  <si>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</si>
  <si>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</si>
  <si>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</si>
  <si>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</si>
  <si>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</si>
  <si>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</si>
  <si>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</si>
  <si>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</si>
  <si>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</si>
  <si>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</si>
  <si>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</si>
  <si>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教职工人数*400元标准内按实填列</t>
    <phoneticPr fontId="2" type="noConversion"/>
  </si>
  <si>
    <t>房屋面积*15元标准内按实填列</t>
    <phoneticPr fontId="2" type="noConversion"/>
  </si>
  <si>
    <t>绿化面积*8元标准内按实填列</t>
    <phoneticPr fontId="2" type="noConversion"/>
  </si>
  <si>
    <t>教职工人数*4320元</t>
    <phoneticPr fontId="2" type="noConversion"/>
  </si>
  <si>
    <t>离退休人数*4320元</t>
    <phoneticPr fontId="2" type="noConversion"/>
  </si>
  <si>
    <t>根据工会口径按实编制</t>
    <phoneticPr fontId="2" type="noConversion"/>
  </si>
  <si>
    <t>机关局有编制的车辆数*32000元/25000元/年标准内填列（分园及分校预算在其他交通费中编制）</t>
    <phoneticPr fontId="2" type="noConversion"/>
  </si>
  <si>
    <t>离退休人数*400元/年标准内按实填列</t>
    <phoneticPr fontId="2" type="noConversion"/>
  </si>
  <si>
    <t>按人事口径实填列</t>
    <phoneticPr fontId="2" type="noConversion"/>
  </si>
  <si>
    <t xml:space="preserve">
机关局无编制车辆的学校按32000元编制预算
机关局有编制的车辆，每分校增加10000元，每个分园增加5000元标准内填列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</si>
  <si>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</si>
  <si>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</si>
  <si>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2025年基本支出调整预算表（马桥镇）</t>
    <phoneticPr fontId="2" type="noConversion"/>
  </si>
  <si>
    <t>上海市马桥强恕学校</t>
    <phoneticPr fontId="2" type="noConversion"/>
  </si>
  <si>
    <t>上海交通大学附属闵行马桥实验学校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</si>
  <si>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</si>
  <si>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</si>
  <si>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</si>
  <si>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</si>
  <si>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</si>
  <si>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</si>
  <si>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闵行区马桥中心幼儿园</t>
    <phoneticPr fontId="2" type="noConversion"/>
  </si>
  <si>
    <t>上海市闵行区马桥元祥幼儿园</t>
    <phoneticPr fontId="2" type="noConversion"/>
  </si>
  <si>
    <t>上海市闵行区马桥富杰幼儿园</t>
    <phoneticPr fontId="2" type="noConversion"/>
  </si>
  <si>
    <t>马桥社区学校</t>
    <phoneticPr fontId="2" type="noConversion"/>
  </si>
  <si>
    <t>初中</t>
    <phoneticPr fontId="1" type="noConversion"/>
  </si>
  <si>
    <t>根据社保口径按实编制</t>
    <phoneticPr fontId="2" type="noConversion"/>
  </si>
  <si>
    <t>根据人保科数字编制</t>
    <phoneticPr fontId="2" type="noConversion"/>
  </si>
  <si>
    <t>根据相关口径按实编制</t>
    <phoneticPr fontId="2" type="noConversion"/>
  </si>
  <si>
    <t>根据人事口径按实编制</t>
    <phoneticPr fontId="2" type="noConversion"/>
  </si>
  <si>
    <t>年初预算为0</t>
    <phoneticPr fontId="2" type="noConversion"/>
  </si>
  <si>
    <t>房屋面积更正</t>
    <phoneticPr fontId="2" type="noConversion"/>
  </si>
  <si>
    <t>2025年基本支出调整预算表（虹桥镇）</t>
    <phoneticPr fontId="2" type="noConversion"/>
  </si>
  <si>
    <t>华师虹桥学校</t>
    <phoneticPr fontId="1" type="noConversion"/>
  </si>
  <si>
    <t>根据退休人员情况按实编制</t>
    <phoneticPr fontId="2" type="noConversion"/>
  </si>
  <si>
    <t>今年有新大楼，面积有变</t>
    <phoneticPr fontId="2" type="noConversion"/>
  </si>
  <si>
    <t>园部</t>
    <phoneticPr fontId="1" type="noConversion"/>
  </si>
  <si>
    <t>奖金</t>
    <phoneticPr fontId="1" type="noConversion"/>
  </si>
  <si>
    <t>社保公积金</t>
    <phoneticPr fontId="1" type="noConversion"/>
  </si>
  <si>
    <t>合计</t>
    <phoneticPr fontId="1" type="noConversion"/>
  </si>
  <si>
    <t>工资薪金福利</t>
    <phoneticPr fontId="1" type="noConversion"/>
  </si>
  <si>
    <t>其他（离职）</t>
    <phoneticPr fontId="1" type="noConversion"/>
  </si>
  <si>
    <t>闵行区浦航实验中学</t>
    <phoneticPr fontId="1" type="noConversion"/>
  </si>
  <si>
    <t>2025年镇管单位补充公用经费预算表(调整预算）</t>
    <phoneticPr fontId="1" type="noConversion"/>
  </si>
  <si>
    <t>管理费
（2025年全年）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</si>
  <si>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</si>
  <si>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</si>
  <si>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现有辅助用工人数（2025年人保科提供）</t>
    <phoneticPr fontId="1" type="noConversion"/>
  </si>
  <si>
    <t>已安排资金</t>
    <phoneticPr fontId="1" type="noConversion"/>
  </si>
  <si>
    <t>课后延时
26年清算</t>
    <phoneticPr fontId="1" type="noConversion"/>
  </si>
  <si>
    <t>2025年残疾人就业保障预算调整表</t>
    <phoneticPr fontId="1" type="noConversion"/>
  </si>
  <si>
    <t>学段</t>
    <phoneticPr fontId="1" type="noConversion"/>
  </si>
  <si>
    <t>实际需求</t>
    <phoneticPr fontId="1" type="noConversion"/>
  </si>
  <si>
    <t>需调整预算</t>
    <phoneticPr fontId="1" type="noConversion"/>
  </si>
  <si>
    <t>上海市闵行区梅陇镇社区学校</t>
    <phoneticPr fontId="2" type="noConversion"/>
  </si>
  <si>
    <t>上海市闵行区马桥中心幼儿园</t>
    <phoneticPr fontId="2" type="noConversion"/>
  </si>
  <si>
    <t>上海市闵行区华漕学校</t>
    <phoneticPr fontId="1" type="noConversion"/>
  </si>
  <si>
    <t>上海市闵行区诸翟学校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</si>
  <si>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</si>
  <si>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</si>
  <si>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</si>
  <si>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</si>
  <si>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</si>
  <si>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</si>
  <si>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</si>
  <si>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</si>
  <si>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</si>
  <si>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上海市闵行区颛桥镇第二幼儿园</t>
    <phoneticPr fontId="2" type="noConversion"/>
  </si>
  <si>
    <t>上海市闵行区颛桥镇田园都市幼儿园</t>
    <phoneticPr fontId="2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</si>
  <si>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</si>
  <si>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</si>
  <si>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</si>
  <si>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</si>
  <si>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</si>
  <si>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已安排预算</t>
    <phoneticPr fontId="1" type="noConversion"/>
  </si>
  <si>
    <t>实际需求</t>
    <phoneticPr fontId="1" type="noConversion"/>
  </si>
  <si>
    <t>闵行区浦江闸航路幼儿园</t>
    <phoneticPr fontId="1" type="noConversion"/>
  </si>
  <si>
    <t>吴泾</t>
    <phoneticPr fontId="1" type="noConversion"/>
  </si>
  <si>
    <t>小学</t>
    <phoneticPr fontId="1" type="noConversion"/>
  </si>
  <si>
    <t>五次分配</t>
    <phoneticPr fontId="1" type="noConversion"/>
  </si>
  <si>
    <t>2025年镇级抚恤金调整预算表</t>
    <phoneticPr fontId="1" type="noConversion"/>
  </si>
  <si>
    <t>小计</t>
    <phoneticPr fontId="1" type="noConversion"/>
  </si>
  <si>
    <t>年初人数</t>
    <phoneticPr fontId="1" type="noConversion"/>
  </si>
  <si>
    <t>年初金额（3元/人）</t>
    <phoneticPr fontId="1" type="noConversion"/>
  </si>
  <si>
    <t>年末人数</t>
    <phoneticPr fontId="1" type="noConversion"/>
  </si>
  <si>
    <t>年末金额</t>
    <phoneticPr fontId="1" type="noConversion"/>
  </si>
  <si>
    <t>金额：元</t>
    <phoneticPr fontId="1" type="noConversion"/>
  </si>
  <si>
    <t>2025年金额（调整预算：按中位数测算，学校实际执行按人事部门规定标准执行，严禁超标准发放）</t>
    <phoneticPr fontId="1" type="noConversion"/>
  </si>
  <si>
    <t>合计</t>
    <phoneticPr fontId="1" type="noConversion"/>
  </si>
  <si>
    <t>2025年社区教育调整预算表</t>
    <phoneticPr fontId="1" type="noConversion"/>
  </si>
  <si>
    <t>单位：元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</si>
  <si>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</si>
  <si>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</si>
  <si>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2025年镇级单位维修尾款清算</t>
    <phoneticPr fontId="45" type="noConversion"/>
  </si>
  <si>
    <t>单位：元</t>
    <phoneticPr fontId="45" type="noConversion"/>
  </si>
  <si>
    <t>总投资
（财政批复金额）</t>
    <phoneticPr fontId="45" type="noConversion"/>
  </si>
  <si>
    <t>建安费
（财政批复金额）</t>
    <phoneticPr fontId="45" type="noConversion"/>
  </si>
  <si>
    <t>工程合同价</t>
    <phoneticPr fontId="45" type="noConversion"/>
  </si>
  <si>
    <t>工程合同价/审定价</t>
    <phoneticPr fontId="45" type="noConversion"/>
  </si>
  <si>
    <t>合计金额</t>
    <phoneticPr fontId="45" type="noConversion"/>
  </si>
  <si>
    <t>2025年华漕中心幼儿园暑期修缮</t>
  </si>
  <si>
    <t>审价未出，以合同价计算</t>
  </si>
  <si>
    <t>25年校舍维修</t>
  </si>
  <si>
    <t>华漕镇金色幼儿园（北沈园）</t>
  </si>
  <si>
    <t>2025年金色幼儿园（北沈园）暑期修缮项目</t>
  </si>
  <si>
    <t>上海闵行区华博小学（华漕校区）</t>
  </si>
  <si>
    <t>2025年华博小学暑期修缮项目</t>
  </si>
  <si>
    <t>2025年上虹中学暑期校舍维修项项目</t>
  </si>
  <si>
    <t>2025年闵行区龙柏第一小学暑期校舍维修项项目</t>
  </si>
  <si>
    <t>华东师范大学 附属闵行虹桥学校</t>
  </si>
  <si>
    <t>2025年华东师范大学附属闵行虹桥学校暑期校舍维修项项目</t>
  </si>
  <si>
    <t>2025年上海闵行区华虹小学暑期校舍维修项项目</t>
  </si>
  <si>
    <t>2025年闵行区虹桥中心小学暑期校舍维修项目</t>
  </si>
  <si>
    <t>闵行区虹桥中心幼儿园古北分园</t>
  </si>
  <si>
    <t>2025年闵行区虹桥中心幼儿园古北分园学校暑期校舍维修项目</t>
  </si>
  <si>
    <t>2025年龙柏二幼暑期校舍维修项目</t>
  </si>
  <si>
    <t>2025年虹鹿幼儿园井亭园暑期校舍维修项目</t>
  </si>
  <si>
    <t>2025年闵行区龙柏第一幼儿园（雨林分园）校舍维修工程</t>
  </si>
  <si>
    <t>华理梅陇实验学校（罗秀校区）</t>
  </si>
  <si>
    <t>2025年闵行区华理梅陇实验学校（罗秀校区）校舍维修</t>
  </si>
  <si>
    <t>华理梅陇实验学校（藤花校区）</t>
  </si>
  <si>
    <t>2025年闵行区华理梅陇实验学校（藤花校区）校舍维修</t>
  </si>
  <si>
    <t>2025年上海中医药大学附属闵行晶城中学校舍维修</t>
  </si>
  <si>
    <t>上海中医药大学附属蔷薇小学（晶城校区）</t>
  </si>
  <si>
    <t>2025年上海中医药大学附属蔷薇小学（晶城校区）校舍维修</t>
  </si>
  <si>
    <t>上海市闵行区春申景城幼儿园春城分园</t>
  </si>
  <si>
    <t>春申景城幼儿园春城分园校舍维修</t>
  </si>
  <si>
    <t>上海中医药大学附属蔷薇小学（蔷薇校区）</t>
  </si>
  <si>
    <t>蔷薇小学（蔷薇校区）校舍维修</t>
  </si>
  <si>
    <t>曹行中心幼儿园春申分园校舍维修</t>
  </si>
  <si>
    <t>闵行区第三实验小学（闵行区曹行小学）</t>
  </si>
  <si>
    <t>闵行区第三实验小学校舍维修</t>
  </si>
  <si>
    <t>罗阳小学校舍维修</t>
  </si>
  <si>
    <t>罗阳河畔幼儿园校舍维修</t>
  </si>
  <si>
    <t>晶华坊幼儿园校舍维修</t>
  </si>
  <si>
    <t>晶城中学</t>
  </si>
  <si>
    <t>教育统筹项目-屋顶应急校舍维修项目经费</t>
  </si>
  <si>
    <t>航华二幼（总园）</t>
  </si>
  <si>
    <t>2025年航华第二幼儿园（总园）校舍维修工程</t>
  </si>
  <si>
    <t>航华二幼（分园）</t>
  </si>
  <si>
    <t>2025年航华第二幼儿园（分园）校舍维修工程</t>
  </si>
  <si>
    <t>2025年航华中学校舍维修工程</t>
  </si>
  <si>
    <t>七宝明强小学（西校区）</t>
  </si>
  <si>
    <t>2025年七宝明强小学（西校区）场地维修工程</t>
  </si>
  <si>
    <t>七宝实验小学校</t>
  </si>
  <si>
    <t>2025年七宝实验小学校舍维修工程</t>
  </si>
  <si>
    <t>七宝实验中学校</t>
  </si>
  <si>
    <t>2025年七宝实验中学校舍维修工程</t>
  </si>
  <si>
    <t>七宝中心幼儿园（万泰园）</t>
  </si>
  <si>
    <t>2025年七宝中心幼儿园（万泰园）校舍维修工程</t>
  </si>
  <si>
    <t>2025年七宝幼儿园校舍维修工程</t>
  </si>
  <si>
    <t>明强小学（东校区）</t>
  </si>
  <si>
    <t>2025年七宝镇明强小学（东校区）场地维修工程</t>
  </si>
  <si>
    <t>2025年航华第二小学校舍维修工程</t>
  </si>
  <si>
    <t>2025年七宝实验小学（大上海校区）场地维修工程</t>
  </si>
  <si>
    <t>中谊路361号电气改造工程</t>
  </si>
  <si>
    <t>星辰幼儿园</t>
  </si>
  <si>
    <t>星辰幼儿园电气改造工程</t>
  </si>
  <si>
    <t>启英宝盛幼儿园茂盛分园</t>
  </si>
  <si>
    <t>2025年启英宝盛幼儿园茂盛分园校舍维修项目</t>
  </si>
  <si>
    <t>2025年上海市闵行区实验幼儿园群英分园校舍维修项目</t>
  </si>
  <si>
    <t>康城幼儿园(新梅分园)</t>
  </si>
  <si>
    <t>康城幼儿园(新梅分园)2025年暑期校舍维修项目</t>
  </si>
  <si>
    <t>2025年北桥中学专项维修工程</t>
  </si>
  <si>
    <t>2025年君莲幼儿园专项维修工程</t>
  </si>
  <si>
    <t>2025年田园二外小专项维修工程</t>
  </si>
  <si>
    <t>2025年颛桥中心小学专项维修工程</t>
  </si>
  <si>
    <t>2025年颛桥镇第一幼儿园(银桥分园)专项维修工程</t>
  </si>
  <si>
    <t>2025年颛桥镇幼儿园(繁盛分园)专项维修工程</t>
  </si>
  <si>
    <t>2025年颛桥镇幼儿园专项维修工程</t>
  </si>
  <si>
    <t>2025年颛桥中学专项维修工程</t>
  </si>
  <si>
    <t>2025年上师闵幼(翔泰分园)专项维修工程</t>
  </si>
  <si>
    <t>2025年田园外国语中学专项维修工程</t>
  </si>
  <si>
    <t>2025年君莲学校专项维修工程</t>
  </si>
  <si>
    <t>校舍修缮（台风应急项目）</t>
  </si>
  <si>
    <t>2025年马桥镇学校暑期校舍修缮工程</t>
  </si>
  <si>
    <t>上海闵行区
民办马桥小学</t>
  </si>
  <si>
    <t>上海市马桥
强恕学校</t>
  </si>
  <si>
    <t>2025年吴泾镇镇管学校校舍维修项目</t>
  </si>
  <si>
    <t>上海闵行区民办塘湾小学</t>
  </si>
  <si>
    <t>2025年塘湾小学校舍维修项目</t>
  </si>
  <si>
    <t>2025年塘湾小学电扩容项目</t>
  </si>
  <si>
    <t>浦江镇上戏附校校舍修缮工程</t>
  </si>
  <si>
    <t>浦江镇浦江三中、浦汇小学校舍修缮工程</t>
  </si>
  <si>
    <t>浦江镇浦航幼儿园等4所幼儿园8个园舍修缮工程</t>
  </si>
  <si>
    <t>上海市闵行区浦航幼儿园中城分园</t>
  </si>
  <si>
    <t>上海市闵行区浦江瑞和城幼儿园鲁康分园</t>
  </si>
  <si>
    <t>已下达
预算金额</t>
    <phoneticPr fontId="45" type="noConversion"/>
  </si>
  <si>
    <t>本次
清算金额</t>
    <phoneticPr fontId="45" type="noConversion"/>
  </si>
  <si>
    <t>华漕镇小计</t>
    <phoneticPr fontId="45" type="noConversion"/>
  </si>
  <si>
    <t>虹桥镇小计</t>
    <phoneticPr fontId="45" type="noConversion"/>
  </si>
  <si>
    <t>梅陇镇小计</t>
    <phoneticPr fontId="45" type="noConversion"/>
  </si>
  <si>
    <t>七宝镇小计</t>
    <phoneticPr fontId="45" type="noConversion"/>
  </si>
  <si>
    <t>莘庄镇小计</t>
    <phoneticPr fontId="45" type="noConversion"/>
  </si>
  <si>
    <t>颛桥镇小计</t>
    <phoneticPr fontId="45" type="noConversion"/>
  </si>
  <si>
    <t>马桥镇小计</t>
    <phoneticPr fontId="45" type="noConversion"/>
  </si>
  <si>
    <t>吴泾镇小计</t>
    <phoneticPr fontId="45" type="noConversion"/>
  </si>
  <si>
    <t>浦江镇小计</t>
    <phoneticPr fontId="45" type="noConversion"/>
  </si>
  <si>
    <t>镇级总计</t>
    <phoneticPr fontId="45" type="noConversion"/>
  </si>
  <si>
    <t>社区学校：49*22400</t>
    <phoneticPr fontId="1" type="noConversion"/>
  </si>
  <si>
    <t>社区学校：51670</t>
    <phoneticPr fontId="1" type="noConversion"/>
  </si>
  <si>
    <t>公/民办</t>
    <phoneticPr fontId="1" type="noConversion"/>
  </si>
  <si>
    <t>承担区域培训工作</t>
  </si>
  <si>
    <t>承担区域培训产生的相关费用</t>
  </si>
  <si>
    <t>方便</t>
    <phoneticPr fontId="1" type="noConversion"/>
  </si>
  <si>
    <t>2025年镇级单位调整预算表（普教二科第二批）</t>
    <phoneticPr fontId="1" type="noConversion"/>
  </si>
  <si>
    <t>小计</t>
    <phoneticPr fontId="1" type="noConversion"/>
  </si>
  <si>
    <t>应安排尾款</t>
    <phoneticPr fontId="1" type="noConversion"/>
  </si>
  <si>
    <t>小计</t>
    <phoneticPr fontId="1" type="noConversion"/>
  </si>
  <si>
    <t>五次分配</t>
    <phoneticPr fontId="1" type="noConversion"/>
  </si>
  <si>
    <t>2025年镇级学校储备教师预算（调整预算）</t>
    <phoneticPr fontId="1" type="noConversion"/>
  </si>
  <si>
    <t>序号</t>
    <phoneticPr fontId="1" type="noConversion"/>
  </si>
  <si>
    <t>姓名</t>
    <phoneticPr fontId="1" type="noConversion"/>
  </si>
  <si>
    <t>学段</t>
    <phoneticPr fontId="1" type="noConversion"/>
  </si>
  <si>
    <t>单位名</t>
    <phoneticPr fontId="1" type="noConversion"/>
  </si>
  <si>
    <t>所在镇</t>
    <phoneticPr fontId="1" type="noConversion"/>
  </si>
  <si>
    <t>身份证号</t>
    <phoneticPr fontId="1" type="noConversion"/>
  </si>
  <si>
    <t>储备状态</t>
    <phoneticPr fontId="1" type="noConversion"/>
  </si>
  <si>
    <t>预算金额</t>
    <phoneticPr fontId="1" type="noConversion"/>
  </si>
  <si>
    <t xml:space="preserve">一次分配
</t>
    <phoneticPr fontId="1" type="noConversion"/>
  </si>
  <si>
    <t>尾款小计</t>
    <phoneticPr fontId="1" type="noConversion"/>
  </si>
  <si>
    <t>其中：统筹承担
（统筹第五次分配）</t>
    <phoneticPr fontId="1" type="noConversion"/>
  </si>
  <si>
    <t>其中：二次分配</t>
    <phoneticPr fontId="1" type="noConversion"/>
  </si>
  <si>
    <t>陈吴若雁</t>
    <phoneticPr fontId="1" type="noConversion"/>
  </si>
  <si>
    <t>310228199802182020</t>
  </si>
  <si>
    <t>原储备教师</t>
    <phoneticPr fontId="1" type="noConversion"/>
  </si>
  <si>
    <t>姚俊杰</t>
    <phoneticPr fontId="1" type="noConversion"/>
  </si>
  <si>
    <t>310112199905043916</t>
  </si>
  <si>
    <t>2025年新入职</t>
    <phoneticPr fontId="1" type="noConversion"/>
  </si>
  <si>
    <t>乔雯婷</t>
    <phoneticPr fontId="1" type="noConversion"/>
  </si>
  <si>
    <t>310112199811133320</t>
  </si>
  <si>
    <t>江昊诚</t>
    <phoneticPr fontId="1" type="noConversion"/>
  </si>
  <si>
    <t>31010420001228403X</t>
  </si>
  <si>
    <t>丁欣怡</t>
    <phoneticPr fontId="1" type="noConversion"/>
  </si>
  <si>
    <t>31022620021226052X</t>
  </si>
  <si>
    <t>吴逸轩</t>
    <phoneticPr fontId="1" type="noConversion"/>
  </si>
  <si>
    <t>31011220030529782X</t>
  </si>
  <si>
    <t>曹罡</t>
  </si>
  <si>
    <t>310228199805280013</t>
  </si>
  <si>
    <t>朱奕捷</t>
  </si>
  <si>
    <t>310226200011050032</t>
  </si>
  <si>
    <t>余青</t>
  </si>
  <si>
    <t>142631199611060020</t>
  </si>
  <si>
    <t>程天宁</t>
  </si>
  <si>
    <t>310119200307120424</t>
  </si>
  <si>
    <t>宋贝宁</t>
  </si>
  <si>
    <t>310120200308150022</t>
  </si>
  <si>
    <t>王思婷</t>
  </si>
  <si>
    <t>310118200206164026</t>
  </si>
  <si>
    <t>凌宇欣</t>
  </si>
  <si>
    <t>310112200209112725</t>
  </si>
  <si>
    <t>乔逸群</t>
  </si>
  <si>
    <t>310112200211180022</t>
  </si>
  <si>
    <t>陆重言</t>
  </si>
  <si>
    <t>36250220011118021X</t>
  </si>
  <si>
    <t>吴依佳</t>
  </si>
  <si>
    <t>310112200208067221</t>
  </si>
  <si>
    <t>冯逸龙</t>
  </si>
  <si>
    <t>310107200003172510</t>
  </si>
  <si>
    <t>干露泽</t>
  </si>
  <si>
    <t>310112200002080025</t>
  </si>
  <si>
    <t>沈龙宇</t>
  </si>
  <si>
    <t>330421200008110105</t>
  </si>
  <si>
    <t>崔婷婷</t>
  </si>
  <si>
    <t>330781200012305928</t>
  </si>
  <si>
    <t>唐宇翱</t>
  </si>
  <si>
    <t>31022620021006391X</t>
  </si>
  <si>
    <t>陈翠翠</t>
  </si>
  <si>
    <t>411525199905044220</t>
  </si>
  <si>
    <t>陈至惟</t>
  </si>
  <si>
    <t>310108199907050525</t>
  </si>
  <si>
    <t>陈子涵</t>
  </si>
  <si>
    <t>321321199808112422</t>
  </si>
  <si>
    <t>朱心宜</t>
  </si>
  <si>
    <t>310117200304092824</t>
  </si>
  <si>
    <t>尹卓</t>
  </si>
  <si>
    <t>310105200110093217</t>
  </si>
  <si>
    <t>刘琪</t>
  </si>
  <si>
    <t>230182199802175843</t>
  </si>
  <si>
    <t>徐静</t>
  </si>
  <si>
    <t>340311199702240821</t>
  </si>
  <si>
    <t>倪佳俊</t>
  </si>
  <si>
    <t>310230200111225156</t>
  </si>
  <si>
    <t>杨馨月</t>
  </si>
  <si>
    <t>310112200301112445</t>
  </si>
  <si>
    <t>周焱</t>
  </si>
  <si>
    <t>421123199409014820</t>
  </si>
  <si>
    <t>洪秋逸</t>
  </si>
  <si>
    <t>310112200010263323</t>
  </si>
  <si>
    <t>王凤</t>
  </si>
  <si>
    <t>511623199808138002</t>
  </si>
  <si>
    <t>俞婷婷</t>
  </si>
  <si>
    <t>433127199905066223</t>
  </si>
  <si>
    <t>徐嘉怡</t>
  </si>
  <si>
    <t>310120200304171627</t>
  </si>
  <si>
    <t>於静茹</t>
  </si>
  <si>
    <t>341203199911111220</t>
  </si>
  <si>
    <t>孙源悦</t>
  </si>
  <si>
    <t>23102419980730006X</t>
  </si>
  <si>
    <t>庄昳文</t>
  </si>
  <si>
    <t>310226200110110029</t>
  </si>
  <si>
    <t>2025年上半年储备</t>
    <phoneticPr fontId="1" type="noConversion"/>
  </si>
  <si>
    <t>倪杨清</t>
    <phoneticPr fontId="1" type="noConversion"/>
  </si>
  <si>
    <t>310226200006062629</t>
  </si>
  <si>
    <t>钱蓉</t>
    <phoneticPr fontId="1" type="noConversion"/>
  </si>
  <si>
    <t>310103200010294027</t>
  </si>
  <si>
    <t>徐欣怡</t>
    <phoneticPr fontId="1" type="noConversion"/>
  </si>
  <si>
    <t>310226200205103526</t>
  </si>
  <si>
    <t>张昕</t>
    <phoneticPr fontId="1" type="noConversion"/>
  </si>
  <si>
    <t>340825200101192909</t>
  </si>
  <si>
    <t>钱乐颖</t>
    <phoneticPr fontId="1" type="noConversion"/>
  </si>
  <si>
    <t>310112200006065228</t>
  </si>
  <si>
    <t>朱欣婷</t>
    <phoneticPr fontId="1" type="noConversion"/>
  </si>
  <si>
    <t>310116200301010022</t>
  </si>
  <si>
    <t>蒋褚芸</t>
  </si>
  <si>
    <t>310112200012075625</t>
  </si>
  <si>
    <t>王佳玲</t>
  </si>
  <si>
    <t>310112200206053045</t>
  </si>
  <si>
    <t>赵中一</t>
  </si>
  <si>
    <t>310112200101143917</t>
  </si>
  <si>
    <t>黄宇雯</t>
  </si>
  <si>
    <t>310230200112063128</t>
  </si>
  <si>
    <t>周欣怡</t>
    <phoneticPr fontId="1" type="noConversion"/>
  </si>
  <si>
    <t>310227199601111625</t>
  </si>
  <si>
    <t>丁鹏麟</t>
    <phoneticPr fontId="1" type="noConversion"/>
  </si>
  <si>
    <t>310112200009065629</t>
  </si>
  <si>
    <t>孔唯</t>
    <phoneticPr fontId="1" type="noConversion"/>
  </si>
  <si>
    <t>31011220010816522X</t>
  </si>
  <si>
    <t>黄思语</t>
  </si>
  <si>
    <t>310116200109161023</t>
  </si>
  <si>
    <t>潘云昊</t>
  </si>
  <si>
    <t>341881200201041536</t>
  </si>
  <si>
    <t>孙颖</t>
  </si>
  <si>
    <t>340621199610204048</t>
  </si>
  <si>
    <t>周家祺</t>
  </si>
  <si>
    <t>330483199909106035</t>
  </si>
  <si>
    <t>梁彧远</t>
  </si>
  <si>
    <t>31022620020604031X</t>
  </si>
  <si>
    <t>李博文</t>
  </si>
  <si>
    <t>330501200210196256</t>
  </si>
  <si>
    <t>马诗音</t>
  </si>
  <si>
    <t>341203200001143421</t>
  </si>
  <si>
    <t>刘朱航</t>
  </si>
  <si>
    <t>310226199907120333</t>
  </si>
  <si>
    <t>胡萍萍</t>
  </si>
  <si>
    <t>340824199512030048</t>
  </si>
  <si>
    <t>李琳</t>
  </si>
  <si>
    <t>310112199611257521</t>
  </si>
  <si>
    <t>夏佳妮</t>
    <phoneticPr fontId="1" type="noConversion"/>
  </si>
  <si>
    <t>37072420010714002X</t>
  </si>
  <si>
    <t>陆颖倩</t>
    <phoneticPr fontId="1" type="noConversion"/>
  </si>
  <si>
    <t>310230199909254161</t>
  </si>
  <si>
    <t>宋子祎</t>
    <phoneticPr fontId="1" type="noConversion"/>
  </si>
  <si>
    <t>31011219991219566X</t>
  </si>
  <si>
    <t>徐瀛</t>
    <phoneticPr fontId="1" type="noConversion"/>
  </si>
  <si>
    <t>310104200208010049</t>
  </si>
  <si>
    <t>张昱</t>
  </si>
  <si>
    <t>310227199905284824</t>
  </si>
  <si>
    <t>俞婷</t>
  </si>
  <si>
    <t>310227199608121623</t>
  </si>
  <si>
    <t>肖湘漪</t>
  </si>
  <si>
    <t>310117200005080620</t>
  </si>
  <si>
    <t>顾逸成</t>
  </si>
  <si>
    <t>310106200103280838</t>
  </si>
  <si>
    <t>朱立</t>
  </si>
  <si>
    <t>310104199607296835</t>
  </si>
  <si>
    <t>马颖菲</t>
  </si>
  <si>
    <t>310115200010282988</t>
  </si>
  <si>
    <t>童音</t>
  </si>
  <si>
    <t>342623200101173044</t>
  </si>
  <si>
    <t>杨张婳</t>
  </si>
  <si>
    <t>310112200105236926</t>
  </si>
  <si>
    <t>杨磊</t>
  </si>
  <si>
    <t>330421199910090828</t>
  </si>
  <si>
    <t>杨婧</t>
  </si>
  <si>
    <t>632802199506200525</t>
  </si>
  <si>
    <t>杨康有</t>
  </si>
  <si>
    <t>31022619990116161X</t>
  </si>
  <si>
    <t>李子恒</t>
  </si>
  <si>
    <t>341282199507015515</t>
  </si>
  <si>
    <t>马嘉怡</t>
  </si>
  <si>
    <t>370681199512092224</t>
  </si>
  <si>
    <t>曹贺然</t>
  </si>
  <si>
    <t>230124199709080715</t>
  </si>
  <si>
    <t>潘陈慧</t>
  </si>
  <si>
    <t>310112200306121869</t>
  </si>
  <si>
    <t>陈一豪</t>
  </si>
  <si>
    <t>31011219950719521X</t>
  </si>
  <si>
    <t>钟毓</t>
  </si>
  <si>
    <t>310119200112163811</t>
  </si>
  <si>
    <t>张益莜</t>
  </si>
  <si>
    <t>310104200203284841</t>
  </si>
  <si>
    <t>黄雅菊</t>
  </si>
  <si>
    <t>350525200008246226</t>
  </si>
  <si>
    <t>方艳</t>
  </si>
  <si>
    <t>422823199803220648</t>
  </si>
  <si>
    <t>杨得意</t>
  </si>
  <si>
    <t>310105200112101620</t>
  </si>
  <si>
    <t>梁艳飞</t>
  </si>
  <si>
    <t>410882199802278545</t>
  </si>
  <si>
    <t>刘倩</t>
  </si>
  <si>
    <t>321323199805042521</t>
  </si>
  <si>
    <t>倪鸿悦</t>
  </si>
  <si>
    <t>31010120021022272X</t>
  </si>
  <si>
    <t>刘骏维</t>
  </si>
  <si>
    <t>310112200210221830</t>
  </si>
  <si>
    <t>金正贤</t>
  </si>
  <si>
    <t>310229200111010811</t>
  </si>
  <si>
    <t>郭梦雅</t>
  </si>
  <si>
    <t>341222199802116822</t>
  </si>
  <si>
    <t>江汝汶</t>
  </si>
  <si>
    <t>321281200204047451</t>
  </si>
  <si>
    <t>陈璎琦</t>
  </si>
  <si>
    <t>310120200305174926</t>
  </si>
  <si>
    <t>魏楚澜</t>
  </si>
  <si>
    <t>230107200108070422</t>
  </si>
  <si>
    <t>潘奕晗</t>
  </si>
  <si>
    <t>32120220000610152X</t>
  </si>
  <si>
    <t>姜军</t>
  </si>
  <si>
    <t>342422199507284550</t>
  </si>
  <si>
    <t>王可</t>
  </si>
  <si>
    <t>430225200111090024</t>
  </si>
  <si>
    <t>何昕橦</t>
  </si>
  <si>
    <t>310101200212294225</t>
  </si>
  <si>
    <t>杨涛</t>
  </si>
  <si>
    <t>622725199805080612</t>
  </si>
  <si>
    <t>揭美俊</t>
  </si>
  <si>
    <t>362322199906300026</t>
  </si>
  <si>
    <t>李艺铭</t>
  </si>
  <si>
    <t>330322199810251226</t>
  </si>
  <si>
    <t>刘晓妍</t>
  </si>
  <si>
    <t>410522199910230028</t>
  </si>
  <si>
    <t>王思冲</t>
  </si>
  <si>
    <t>310103200103245013</t>
  </si>
  <si>
    <t>潘忆珏</t>
  </si>
  <si>
    <t>310109200103041529</t>
  </si>
  <si>
    <t>陈李杰</t>
  </si>
  <si>
    <t>310103199810126018</t>
  </si>
  <si>
    <t>晋慧慧</t>
  </si>
  <si>
    <t>412726199508230861</t>
  </si>
  <si>
    <t>李梁昕</t>
    <phoneticPr fontId="1" type="noConversion"/>
  </si>
  <si>
    <t>310226199906070020</t>
  </si>
  <si>
    <t>沈臻</t>
    <phoneticPr fontId="1" type="noConversion"/>
  </si>
  <si>
    <t>310226200301210313</t>
  </si>
  <si>
    <t>杨沁依</t>
    <phoneticPr fontId="1" type="noConversion"/>
  </si>
  <si>
    <t>310112200305203029</t>
  </si>
  <si>
    <t>吴慧琛</t>
    <phoneticPr fontId="1" type="noConversion"/>
  </si>
  <si>
    <t>31010219941213442X</t>
  </si>
  <si>
    <t>凌怡</t>
    <phoneticPr fontId="1" type="noConversion"/>
  </si>
  <si>
    <t>310112199607192745</t>
  </si>
  <si>
    <t>郑园园</t>
    <phoneticPr fontId="1" type="noConversion"/>
  </si>
  <si>
    <t>411081199605080864</t>
  </si>
  <si>
    <t>韦佳</t>
    <phoneticPr fontId="1" type="noConversion"/>
  </si>
  <si>
    <t>342522200010245426</t>
  </si>
  <si>
    <t>方言</t>
    <phoneticPr fontId="1" type="noConversion"/>
  </si>
  <si>
    <t>310226200208290048</t>
  </si>
  <si>
    <t>盛宵芸</t>
    <phoneticPr fontId="1" type="noConversion"/>
  </si>
  <si>
    <t>310112200210252127</t>
  </si>
  <si>
    <t>姜珊</t>
    <phoneticPr fontId="1" type="noConversion"/>
  </si>
  <si>
    <t>433127200106235823</t>
  </si>
  <si>
    <t>朱翊翔</t>
    <phoneticPr fontId="1" type="noConversion"/>
  </si>
  <si>
    <t>32108420030330321X</t>
  </si>
  <si>
    <t>束辰灵</t>
    <phoneticPr fontId="1" type="noConversion"/>
  </si>
  <si>
    <t>310115200012272724</t>
  </si>
  <si>
    <t>施佳仪</t>
    <phoneticPr fontId="1" type="noConversion"/>
  </si>
  <si>
    <t>330227200206175265</t>
  </si>
  <si>
    <t>季宋意</t>
    <phoneticPr fontId="1" type="noConversion"/>
  </si>
  <si>
    <t>310230200110113523</t>
  </si>
  <si>
    <t>江一凡</t>
    <phoneticPr fontId="1" type="noConversion"/>
  </si>
  <si>
    <t>342422199810190848</t>
  </si>
  <si>
    <t>张樱蓝</t>
    <phoneticPr fontId="1" type="noConversion"/>
  </si>
  <si>
    <t>310112200209103626</t>
  </si>
  <si>
    <t>宋吉萍</t>
    <phoneticPr fontId="1" type="noConversion"/>
  </si>
  <si>
    <t>310112200101043043</t>
  </si>
  <si>
    <t>徐佳青</t>
    <phoneticPr fontId="1" type="noConversion"/>
  </si>
  <si>
    <t>310112199606024926</t>
  </si>
  <si>
    <t>钱雨欣</t>
    <phoneticPr fontId="1" type="noConversion"/>
  </si>
  <si>
    <t>310116200011100425</t>
  </si>
  <si>
    <t>谢唐叶</t>
    <phoneticPr fontId="1" type="noConversion"/>
  </si>
  <si>
    <t>310226200201040062</t>
  </si>
  <si>
    <t>姚佳妮</t>
    <phoneticPr fontId="1" type="noConversion"/>
  </si>
  <si>
    <t>310116200003056428</t>
  </si>
  <si>
    <t>朱诗怡</t>
    <phoneticPr fontId="1" type="noConversion"/>
  </si>
  <si>
    <t>310225200001090026</t>
  </si>
  <si>
    <t>周思奕</t>
    <phoneticPr fontId="1" type="noConversion"/>
  </si>
  <si>
    <t>310116200307220020</t>
  </si>
  <si>
    <t>蔡玚</t>
    <phoneticPr fontId="1" type="noConversion"/>
  </si>
  <si>
    <t>310225200211126621</t>
  </si>
  <si>
    <t>金珈骐</t>
    <phoneticPr fontId="1" type="noConversion"/>
  </si>
  <si>
    <t>31011720020209022X</t>
  </si>
  <si>
    <t>王钰灵</t>
    <phoneticPr fontId="1" type="noConversion"/>
  </si>
  <si>
    <t>32068120030709522X</t>
  </si>
  <si>
    <t>邱澜尔</t>
    <phoneticPr fontId="1" type="noConversion"/>
  </si>
  <si>
    <t>310112200308214348</t>
  </si>
  <si>
    <t>金雯倩</t>
    <phoneticPr fontId="1" type="noConversion"/>
  </si>
  <si>
    <t>310112199704164922</t>
  </si>
  <si>
    <t>陆思源</t>
    <phoneticPr fontId="1" type="noConversion"/>
  </si>
  <si>
    <t>310104200210273622</t>
  </si>
  <si>
    <t>翁苗苗</t>
    <phoneticPr fontId="1" type="noConversion"/>
  </si>
  <si>
    <t>310226200107231129</t>
  </si>
  <si>
    <t>施嘉</t>
    <phoneticPr fontId="1" type="noConversion"/>
  </si>
  <si>
    <t>320684200110254927</t>
  </si>
  <si>
    <t>汤炜兰</t>
    <phoneticPr fontId="1" type="noConversion"/>
  </si>
  <si>
    <t>310115199801113843</t>
  </si>
  <si>
    <t>郁佳雯</t>
    <phoneticPr fontId="1" type="noConversion"/>
  </si>
  <si>
    <t>310112200201034320</t>
  </si>
  <si>
    <t>谢雯君</t>
    <phoneticPr fontId="1" type="noConversion"/>
  </si>
  <si>
    <t>310225199410213220</t>
  </si>
  <si>
    <t>胡昕</t>
    <phoneticPr fontId="1" type="noConversion"/>
  </si>
  <si>
    <t>341021200307179760</t>
  </si>
  <si>
    <t>陈春燕</t>
    <phoneticPr fontId="1" type="noConversion"/>
  </si>
  <si>
    <t>310112199703174328</t>
  </si>
  <si>
    <t>朱清怡</t>
    <phoneticPr fontId="1" type="noConversion"/>
  </si>
  <si>
    <t>310112199610255647</t>
  </si>
  <si>
    <t>徐昕</t>
    <phoneticPr fontId="1" type="noConversion"/>
  </si>
  <si>
    <t>310112200304104627</t>
  </si>
  <si>
    <t>姜思琪</t>
    <phoneticPr fontId="1" type="noConversion"/>
  </si>
  <si>
    <t>652923200208130027</t>
  </si>
  <si>
    <t>姜志会</t>
    <phoneticPr fontId="1" type="noConversion"/>
  </si>
  <si>
    <t>371427199503272823</t>
  </si>
  <si>
    <t>沈致远</t>
    <phoneticPr fontId="1" type="noConversion"/>
  </si>
  <si>
    <t>310115200209233817</t>
  </si>
  <si>
    <t>吴琰</t>
    <phoneticPr fontId="1" type="noConversion"/>
  </si>
  <si>
    <t>310110200308301545</t>
  </si>
  <si>
    <t>朱顺依</t>
    <phoneticPr fontId="1" type="noConversion"/>
  </si>
  <si>
    <t>310229199901113027</t>
  </si>
  <si>
    <t>凌秀清</t>
    <phoneticPr fontId="1" type="noConversion"/>
  </si>
  <si>
    <t>310112199801023320</t>
  </si>
  <si>
    <t>钱安婷</t>
    <phoneticPr fontId="1" type="noConversion"/>
  </si>
  <si>
    <t>310112200104124623</t>
  </si>
  <si>
    <t>黎乐妍</t>
    <phoneticPr fontId="1" type="noConversion"/>
  </si>
  <si>
    <t>310116200104252225</t>
  </si>
  <si>
    <t>徐瑾心</t>
    <phoneticPr fontId="1" type="noConversion"/>
  </si>
  <si>
    <t>310117200307044027</t>
  </si>
  <si>
    <t>奚蕾</t>
    <phoneticPr fontId="1" type="noConversion"/>
  </si>
  <si>
    <t>310112200201134620</t>
  </si>
  <si>
    <t>施赟</t>
    <phoneticPr fontId="1" type="noConversion"/>
  </si>
  <si>
    <t>310112200010283025</t>
  </si>
  <si>
    <t>庄佳芸</t>
    <phoneticPr fontId="1" type="noConversion"/>
  </si>
  <si>
    <t>310120200212115724</t>
  </si>
  <si>
    <t>倪盈颖</t>
    <phoneticPr fontId="1" type="noConversion"/>
  </si>
  <si>
    <t>310112200107194926</t>
  </si>
  <si>
    <t>胡悦</t>
    <phoneticPr fontId="1" type="noConversion"/>
  </si>
  <si>
    <t>310226199604100562</t>
  </si>
  <si>
    <t>赵汪宸</t>
    <phoneticPr fontId="1" type="noConversion"/>
  </si>
  <si>
    <t>310225200208066621</t>
  </si>
  <si>
    <t>孙泽溪</t>
    <phoneticPr fontId="1" type="noConversion"/>
  </si>
  <si>
    <t>610404200003100523</t>
  </si>
  <si>
    <t>乔嘉怡</t>
  </si>
  <si>
    <t>310112200104183324</t>
  </si>
  <si>
    <t>蒲崇静</t>
  </si>
  <si>
    <t>510502199603015721</t>
  </si>
  <si>
    <t>常笑</t>
  </si>
  <si>
    <t>310116200012060621</t>
  </si>
  <si>
    <t>苏文怡</t>
  </si>
  <si>
    <t>310104200011102820</t>
  </si>
  <si>
    <t>俞悦</t>
  </si>
  <si>
    <t>370481200109183868</t>
  </si>
  <si>
    <t>杨忠于</t>
  </si>
  <si>
    <t>654122200203025027</t>
  </si>
  <si>
    <t>葛俊杰</t>
  </si>
  <si>
    <t>310112199909215236</t>
  </si>
  <si>
    <t>奚梦萱</t>
  </si>
  <si>
    <t>310112200307042126</t>
  </si>
  <si>
    <t>殷沈斌</t>
  </si>
  <si>
    <t>310226199905052015</t>
  </si>
  <si>
    <t>金千雨</t>
  </si>
  <si>
    <t>310226200010040721</t>
  </si>
  <si>
    <t>金晔辰</t>
  </si>
  <si>
    <t>310112199609104913</t>
  </si>
  <si>
    <t>杨雯雯</t>
  </si>
  <si>
    <t>340827200202251026</t>
  </si>
  <si>
    <t>陈赵轩</t>
  </si>
  <si>
    <t>310226200111180512</t>
  </si>
  <si>
    <t>周琳</t>
  </si>
  <si>
    <t>342901199809296640</t>
  </si>
  <si>
    <t>诸嘉雯</t>
  </si>
  <si>
    <t>342426200207061065</t>
  </si>
  <si>
    <t>法赛亚</t>
  </si>
  <si>
    <t>410183199905089526</t>
  </si>
  <si>
    <t>王者</t>
  </si>
  <si>
    <t>31011219960212521X</t>
  </si>
  <si>
    <t>马彦嘉</t>
  </si>
  <si>
    <t>310110199812162737</t>
  </si>
  <si>
    <t>屠冰冰</t>
  </si>
  <si>
    <t>341021200201302986</t>
  </si>
  <si>
    <t>胡佳怡</t>
  </si>
  <si>
    <t>310112200001304621</t>
  </si>
  <si>
    <t>沈懿涵</t>
  </si>
  <si>
    <t>310119200108022426</t>
  </si>
  <si>
    <t>陈浩杰</t>
  </si>
  <si>
    <t>310119200112285018</t>
  </si>
  <si>
    <t>陈子怡</t>
  </si>
  <si>
    <t>310226200208010085</t>
  </si>
  <si>
    <t>吴昕熠</t>
  </si>
  <si>
    <t>310119200210134811</t>
  </si>
  <si>
    <t>金诗绮</t>
  </si>
  <si>
    <t>310112199912094623</t>
  </si>
  <si>
    <t>沈陈瑶</t>
  </si>
  <si>
    <t>310112200109144922</t>
  </si>
  <si>
    <t>费媛</t>
  </si>
  <si>
    <t>310112199702064928</t>
  </si>
  <si>
    <t>曹艳</t>
  </si>
  <si>
    <t>412825200101071023</t>
  </si>
  <si>
    <t>张丹凤</t>
  </si>
  <si>
    <t>341021200112049747</t>
  </si>
  <si>
    <t>顾毓芬</t>
  </si>
  <si>
    <t>310112200203264920</t>
  </si>
  <si>
    <t>诸雯静</t>
  </si>
  <si>
    <t>310112200110094926</t>
  </si>
  <si>
    <t>陈思媛</t>
  </si>
  <si>
    <t>310119200303310626</t>
  </si>
  <si>
    <t>范思慧</t>
  </si>
  <si>
    <t>31011920021127324X</t>
  </si>
  <si>
    <t>徐婉婷</t>
  </si>
  <si>
    <t>320324200207090620</t>
  </si>
  <si>
    <t>吴柯强</t>
  </si>
  <si>
    <t>332525200207310014</t>
  </si>
  <si>
    <t>王悦雯</t>
  </si>
  <si>
    <t>310112200202193622</t>
  </si>
  <si>
    <t>陈孜昊</t>
  </si>
  <si>
    <t>310115200107122737</t>
  </si>
  <si>
    <t>丁承新</t>
  </si>
  <si>
    <t>360721200108074019</t>
  </si>
  <si>
    <t>何思佳</t>
  </si>
  <si>
    <t>410901199307115527</t>
  </si>
  <si>
    <t>李玲</t>
  </si>
  <si>
    <t>340881198902151446</t>
  </si>
  <si>
    <t>王艳文</t>
  </si>
  <si>
    <t>342622199508161000</t>
  </si>
  <si>
    <t>张旭辰</t>
  </si>
  <si>
    <t>31011620001125001X</t>
  </si>
  <si>
    <t>何天翔</t>
  </si>
  <si>
    <t>310106200010222815</t>
  </si>
  <si>
    <t>周冕</t>
  </si>
  <si>
    <t>232700199704060022</t>
  </si>
  <si>
    <t>窦馨宜</t>
  </si>
  <si>
    <t>412825200201121040</t>
  </si>
  <si>
    <t>周茉</t>
  </si>
  <si>
    <t>310226200106233229</t>
  </si>
  <si>
    <t>顾艳梅</t>
  </si>
  <si>
    <t>321281199901225369</t>
  </si>
  <si>
    <t>殷子薇</t>
  </si>
  <si>
    <t>31022619990714006X</t>
  </si>
  <si>
    <t>韩子薇</t>
  </si>
  <si>
    <t>532901200110230067</t>
  </si>
  <si>
    <t>梅美雪儿</t>
  </si>
  <si>
    <t>510811200112260421</t>
  </si>
  <si>
    <t>张依阳</t>
  </si>
  <si>
    <t>310119200203230426</t>
  </si>
  <si>
    <t>顾宋羽</t>
  </si>
  <si>
    <t>310226200301110048</t>
  </si>
  <si>
    <t>潘俊逸</t>
  </si>
  <si>
    <t>310226200006290517</t>
  </si>
  <si>
    <t>沈韵文</t>
  </si>
  <si>
    <t>31011520011210404X</t>
  </si>
  <si>
    <t>彭子规</t>
  </si>
  <si>
    <t>340803200101292311</t>
  </si>
  <si>
    <t>黄佳妮</t>
  </si>
  <si>
    <t>310119200307246625</t>
  </si>
  <si>
    <t>342601199909233325</t>
  </si>
  <si>
    <t>李金玉</t>
  </si>
  <si>
    <t>652901199606074821</t>
  </si>
  <si>
    <t>郭甜甜</t>
  </si>
  <si>
    <t>41032719980605562X</t>
  </si>
  <si>
    <t>孙依婷</t>
  </si>
  <si>
    <t>310112200206064625</t>
  </si>
  <si>
    <t>方景盛</t>
  </si>
  <si>
    <t>310226199611040326</t>
  </si>
  <si>
    <t>钱君尧</t>
  </si>
  <si>
    <t>310112200205214927</t>
  </si>
  <si>
    <t>朱星怡</t>
  </si>
  <si>
    <t>310226200101132621</t>
  </si>
  <si>
    <t>徐丽英</t>
  </si>
  <si>
    <t>360726199710268664</t>
  </si>
  <si>
    <t>李以诚</t>
  </si>
  <si>
    <t>31011220030422491X</t>
  </si>
  <si>
    <t>王芳菲</t>
  </si>
  <si>
    <t>411381199908036728</t>
  </si>
  <si>
    <t>2025年上半年储备</t>
  </si>
  <si>
    <t>侯霖霜</t>
  </si>
  <si>
    <t>340603199710140229</t>
  </si>
  <si>
    <t>姚璐</t>
  </si>
  <si>
    <t>310105199412125020</t>
  </si>
  <si>
    <t>俞紫玥</t>
  </si>
  <si>
    <t>310112200204024320</t>
  </si>
  <si>
    <t>孙蒻雨</t>
  </si>
  <si>
    <t>310225199308101222</t>
  </si>
  <si>
    <t>魏雯怡</t>
    <phoneticPr fontId="1" type="noConversion"/>
  </si>
  <si>
    <t>310112199712070029</t>
  </si>
  <si>
    <t>吴嘉仪</t>
    <phoneticPr fontId="1" type="noConversion"/>
  </si>
  <si>
    <t>310112200109052729</t>
  </si>
  <si>
    <t>吴依依</t>
    <phoneticPr fontId="1" type="noConversion"/>
  </si>
  <si>
    <t>310112199507265222</t>
  </si>
  <si>
    <t>郭嘉怡</t>
    <phoneticPr fontId="1" type="noConversion"/>
  </si>
  <si>
    <t>310226200207310529</t>
  </si>
  <si>
    <t>陆怡帆</t>
  </si>
  <si>
    <t>310114200009184823</t>
  </si>
  <si>
    <t>王嘉伟</t>
  </si>
  <si>
    <t>上海市闵行区第三实验小学</t>
    <phoneticPr fontId="1" type="noConversion"/>
  </si>
  <si>
    <t>342426199910143438</t>
  </si>
  <si>
    <t>江镒蓥</t>
  </si>
  <si>
    <t>310112200302120324</t>
  </si>
  <si>
    <t>王从晴</t>
  </si>
  <si>
    <t>341227199810168026</t>
  </si>
  <si>
    <t>齐张蓉</t>
  </si>
  <si>
    <t>410901200009292029</t>
  </si>
  <si>
    <t>冯丽雯</t>
  </si>
  <si>
    <t>412722199711041569</t>
  </si>
  <si>
    <t>李李木子</t>
  </si>
  <si>
    <t>34070219950822003X</t>
  </si>
  <si>
    <t>郭姝含</t>
  </si>
  <si>
    <t>370203199912084521</t>
  </si>
  <si>
    <t>田晓晴</t>
  </si>
  <si>
    <t>370403199608304922</t>
  </si>
  <si>
    <t>林娇</t>
  </si>
  <si>
    <t>310112200107090326</t>
  </si>
  <si>
    <t>欧娇娇</t>
  </si>
  <si>
    <t>411524199708287227</t>
  </si>
  <si>
    <t>杨天林</t>
  </si>
  <si>
    <t>410702199602101545</t>
  </si>
  <si>
    <t>李欣烨</t>
  </si>
  <si>
    <t>610402199908046500</t>
  </si>
  <si>
    <t>段毅</t>
  </si>
  <si>
    <t>430525200101058529</t>
  </si>
  <si>
    <t>陈玲怡</t>
  </si>
  <si>
    <t>310112200206131824</t>
  </si>
  <si>
    <t>俞家祺</t>
  </si>
  <si>
    <t>31010419990930401X</t>
  </si>
  <si>
    <t>房夏良</t>
    <phoneticPr fontId="1" type="noConversion"/>
  </si>
  <si>
    <t>310112200109185636</t>
  </si>
  <si>
    <t>刘星宇</t>
    <phoneticPr fontId="1" type="noConversion"/>
  </si>
  <si>
    <t>340123200210195286</t>
  </si>
  <si>
    <t>尹嘉芸</t>
    <phoneticPr fontId="1" type="noConversion"/>
  </si>
  <si>
    <t>31022619951127132X</t>
  </si>
  <si>
    <t>顾静雯</t>
    <phoneticPr fontId="1" type="noConversion"/>
  </si>
  <si>
    <t>320928200211090621</t>
  </si>
  <si>
    <t>姚以诺</t>
    <phoneticPr fontId="1" type="noConversion"/>
  </si>
  <si>
    <t>31011720021017022X</t>
  </si>
  <si>
    <t>谢鑫怡</t>
    <phoneticPr fontId="1" type="noConversion"/>
  </si>
  <si>
    <t>310112200302253629</t>
  </si>
  <si>
    <t>屠蓓蕙</t>
  </si>
  <si>
    <t>310112200104273629</t>
  </si>
  <si>
    <t>蔡珺怡</t>
  </si>
  <si>
    <t>310112199802135623</t>
  </si>
  <si>
    <t>李歆曈</t>
  </si>
  <si>
    <t>360102200112160727</t>
  </si>
  <si>
    <t>陆纯</t>
  </si>
  <si>
    <t>31011219981021302X</t>
  </si>
  <si>
    <t>康祎瑾</t>
  </si>
  <si>
    <t>532532200006140021</t>
  </si>
  <si>
    <t>金思远</t>
  </si>
  <si>
    <t>310112200203263637</t>
  </si>
  <si>
    <t>张斯维</t>
  </si>
  <si>
    <t>310112200112282410</t>
  </si>
  <si>
    <t>徐子昀</t>
  </si>
  <si>
    <t>31011220000405332X</t>
  </si>
  <si>
    <t>朱安妮</t>
  </si>
  <si>
    <t>310113199911065528</t>
  </si>
  <si>
    <t>顾成越</t>
  </si>
  <si>
    <t>310116200211150814</t>
  </si>
  <si>
    <t>谢腾</t>
  </si>
  <si>
    <t>37040520000226256X</t>
  </si>
  <si>
    <t>庞帆</t>
  </si>
  <si>
    <t>310112200205124323</t>
  </si>
  <si>
    <t>王莉</t>
  </si>
  <si>
    <t>342423199502076783</t>
  </si>
  <si>
    <t>林志康</t>
  </si>
  <si>
    <t>310112200209152436</t>
  </si>
  <si>
    <t>赵旻玮</t>
  </si>
  <si>
    <t>310112200111123637</t>
  </si>
  <si>
    <t>顾婷韡</t>
  </si>
  <si>
    <t>310112200202135625</t>
  </si>
  <si>
    <t>阮星檑</t>
  </si>
  <si>
    <t>310226199912275719</t>
  </si>
  <si>
    <t>杨济源</t>
  </si>
  <si>
    <t>412702200211082735</t>
  </si>
  <si>
    <t>潘希菡</t>
  </si>
  <si>
    <t>31011219980408564X</t>
  </si>
  <si>
    <t>曹诞</t>
  </si>
  <si>
    <t>51130420001225354X</t>
  </si>
  <si>
    <t>朱翊辰</t>
    <phoneticPr fontId="1" type="noConversion"/>
  </si>
  <si>
    <t>310229200101041040</t>
  </si>
  <si>
    <t>范籽怡</t>
    <phoneticPr fontId="1" type="noConversion"/>
  </si>
  <si>
    <t>310117200108190240</t>
  </si>
  <si>
    <t>唐佳琳</t>
    <phoneticPr fontId="1" type="noConversion"/>
  </si>
  <si>
    <t>310112199712141528</t>
  </si>
  <si>
    <t>陈羽</t>
    <phoneticPr fontId="1" type="noConversion"/>
  </si>
  <si>
    <t>310112199511010628</t>
  </si>
  <si>
    <t>顾嘉雯</t>
    <phoneticPr fontId="1" type="noConversion"/>
  </si>
  <si>
    <t>310117199709044024</t>
  </si>
  <si>
    <t>沈朗婕</t>
    <phoneticPr fontId="1" type="noConversion"/>
  </si>
  <si>
    <t>310112200111060920</t>
  </si>
  <si>
    <t>沈怡婷</t>
    <phoneticPr fontId="1" type="noConversion"/>
  </si>
  <si>
    <t>31011220020709122X</t>
  </si>
  <si>
    <t>沈天悦</t>
    <phoneticPr fontId="1" type="noConversion"/>
  </si>
  <si>
    <t>310112199604100921</t>
  </si>
  <si>
    <t>耿冰清</t>
  </si>
  <si>
    <t>31023019960501146X</t>
  </si>
  <si>
    <t>董天豪</t>
  </si>
  <si>
    <t>310230200201184159</t>
  </si>
  <si>
    <t>项宇翱</t>
  </si>
  <si>
    <t>310115200007212217</t>
  </si>
  <si>
    <t>张心怡</t>
  </si>
  <si>
    <t>31011219940115062X</t>
  </si>
  <si>
    <t>章澜</t>
  </si>
  <si>
    <t>429006199803230623</t>
  </si>
  <si>
    <t>沈伊宁</t>
  </si>
  <si>
    <t>310112200206230929</t>
  </si>
  <si>
    <t>王心悦</t>
  </si>
  <si>
    <t>310112200202220627</t>
  </si>
  <si>
    <t>张继文</t>
  </si>
  <si>
    <t>342622199604021593</t>
  </si>
  <si>
    <t>赵欣云</t>
  </si>
  <si>
    <t>310112199705271228</t>
  </si>
  <si>
    <t>陈蕴毅</t>
  </si>
  <si>
    <t>310110200207055146</t>
  </si>
  <si>
    <t>傅启霖</t>
  </si>
  <si>
    <t>31010419991203601X</t>
  </si>
  <si>
    <t>陈芷尔</t>
  </si>
  <si>
    <t>310226200107283244</t>
  </si>
  <si>
    <t>罗余菁</t>
  </si>
  <si>
    <t>330682200006174424</t>
  </si>
  <si>
    <t>俞幸尧</t>
  </si>
  <si>
    <t>310230200201141466</t>
  </si>
  <si>
    <t>秦雨诗</t>
  </si>
  <si>
    <t>310112199801010925</t>
  </si>
  <si>
    <t>周小庄</t>
  </si>
  <si>
    <t>310115200111032726</t>
  </si>
  <si>
    <t>赵悦悦</t>
  </si>
  <si>
    <t>340321199804074361</t>
  </si>
  <si>
    <t>李宝逸</t>
    <phoneticPr fontId="1" type="noConversion"/>
  </si>
  <si>
    <t>31011219991115302X</t>
  </si>
  <si>
    <t>洪若芸</t>
    <phoneticPr fontId="1" type="noConversion"/>
  </si>
  <si>
    <t>310112200209133921</t>
  </si>
  <si>
    <t>陈毓臻</t>
    <phoneticPr fontId="1" type="noConversion"/>
  </si>
  <si>
    <t>310112200110172429</t>
  </si>
  <si>
    <t>丁沅</t>
    <phoneticPr fontId="1" type="noConversion"/>
  </si>
  <si>
    <t>310112200009091827</t>
  </si>
  <si>
    <t>黄笑笑</t>
    <phoneticPr fontId="1" type="noConversion"/>
  </si>
  <si>
    <t>320923200212051825</t>
  </si>
  <si>
    <t>张宇航</t>
  </si>
  <si>
    <t>31011219980923363X</t>
  </si>
  <si>
    <t>尹赛瑞</t>
  </si>
  <si>
    <t>421126200001080028</t>
  </si>
  <si>
    <t>刘凯璇</t>
  </si>
  <si>
    <t>142201199811060746</t>
  </si>
  <si>
    <t>何俊捷</t>
  </si>
  <si>
    <t>310105200104181210</t>
  </si>
  <si>
    <t>黎晓珂</t>
  </si>
  <si>
    <t>421023200301270021</t>
  </si>
  <si>
    <t>顾圣吉</t>
  </si>
  <si>
    <t>310229199901064421</t>
  </si>
  <si>
    <t>陆俐宏</t>
  </si>
  <si>
    <t>310226199909300741</t>
  </si>
  <si>
    <t>朱嘉伊</t>
  </si>
  <si>
    <t>310117200012134420</t>
  </si>
  <si>
    <t>张琬柔</t>
  </si>
  <si>
    <t>31011219990520242X</t>
  </si>
  <si>
    <t>周玉玲</t>
  </si>
  <si>
    <t>362326199703041824</t>
  </si>
  <si>
    <t>彭亦耘</t>
  </si>
  <si>
    <t>310112200202161823</t>
  </si>
  <si>
    <t>陈思婧</t>
  </si>
  <si>
    <t>430726199708110049</t>
  </si>
  <si>
    <t>查佳宜</t>
  </si>
  <si>
    <t>310105199906110427</t>
  </si>
  <si>
    <t>高昕炜</t>
  </si>
  <si>
    <t>310112199906166926</t>
  </si>
  <si>
    <t>单位：元</t>
    <phoneticPr fontId="1" type="noConversion"/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</si>
  <si>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</si>
  <si>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</si>
  <si>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</si>
  <si>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</si>
  <si>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 xml:space="preserve">
学校需求
</t>
    <phoneticPr fontId="1" type="noConversion"/>
  </si>
  <si>
    <t>所属街镇 汇总</t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</si>
  <si>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</si>
  <si>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</si>
  <si>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</si>
  <si>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</si>
  <si>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2025年镇级单位调整预算表（普教二科第二批学区化集团化）</t>
    <phoneticPr fontId="1" type="noConversion"/>
  </si>
  <si>
    <t>调整尾款</t>
    <phoneticPr fontId="1" type="noConversion"/>
  </si>
  <si>
    <t>六次分配</t>
    <phoneticPr fontId="1" type="noConversion"/>
  </si>
  <si>
    <t>补充公用经费</t>
    <phoneticPr fontId="1" type="noConversion"/>
  </si>
  <si>
    <t>中小学教育教学</t>
    <phoneticPr fontId="1" type="noConversion"/>
  </si>
  <si>
    <t>其中
教育事业费</t>
    <phoneticPr fontId="1" type="noConversion"/>
  </si>
  <si>
    <t>其中
本年资金</t>
    <phoneticPr fontId="1" type="noConversion"/>
  </si>
  <si>
    <t>2025年教育统筹经费第六次分配明细表</t>
    <phoneticPr fontId="1" type="noConversion"/>
  </si>
  <si>
    <t>单位：元</t>
  </si>
  <si>
    <t>项目</t>
  </si>
  <si>
    <t>核定金额</t>
  </si>
  <si>
    <t>减：2024年预排教育事业专项资金</t>
  </si>
  <si>
    <t>浦江镇：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</si>
</sst>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  <numFmt numFmtId="190" formatCode="0.000_ ;\-0.0000;;"/>
    <numFmt numFmtId="191" formatCode="0.000_ ;\-0.000;;"/>
    <numFmt numFmtId="192" formatCode="0.000000_ "/>
    <numFmt numFmtId="193" formatCode="0.0000_ "/>
    <numFmt numFmtId="194" formatCode="0.0000_ ;\-0.0000;;"/>
    <numFmt numFmtId="195" formatCode="0.0000_);[Red]\(0.0000\)"/>
    <numFmt numFmtId="196" formatCode="0.000_);[Red]\(0.000\)"/>
    <numFmt numFmtId="197" formatCode="0.0_);[Red]\(0.0\)"/>
  </numFmts>
  <fonts count="20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family val="3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6"/>
      <name val="宋体"/>
      <family val="2"/>
      <charset val="134"/>
    </font>
    <font>
      <sz val="20"/>
      <name val="宋体"/>
      <family val="2"/>
      <charset val="134"/>
    </font>
    <font>
      <sz val="20"/>
      <name val="宋体"/>
      <family val="3"/>
      <charset val="134"/>
      <scheme val="minor"/>
    </font>
    <font>
      <sz val="10"/>
      <name val="仿宋_GB2312"/>
      <family val="3"/>
      <charset val="134"/>
    </font>
    <font>
      <sz val="12"/>
      <color rgb="FFFF0000"/>
      <name val="Arial"/>
      <family val="2"/>
    </font>
    <font>
      <b/>
      <sz val="9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668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06" fillId="2" borderId="42" xfId="1125" applyNumberFormat="1" applyFont="1" applyFill="1" applyBorder="1" applyAlignment="1">
      <alignment horizontal="center" vertical="center"/>
    </xf>
    <xf numFmtId="0" fontId="106" fillId="2" borderId="42" xfId="1125" applyNumberFormat="1" applyFont="1" applyFill="1" applyBorder="1" applyAlignment="1">
      <alignment horizontal="left" vertical="center"/>
    </xf>
    <xf numFmtId="181" fontId="106" fillId="2" borderId="42" xfId="1228" applyNumberFormat="1" applyFont="1" applyFill="1" applyBorder="1" applyAlignment="1">
      <alignment horizontal="left" vertical="center"/>
    </xf>
    <xf numFmtId="179" fontId="106" fillId="2" borderId="42" xfId="1125" applyNumberFormat="1" applyFont="1" applyFill="1" applyBorder="1" applyAlignment="1">
      <alignment horizontal="right" vertical="center"/>
    </xf>
    <xf numFmtId="176" fontId="106" fillId="2" borderId="42" xfId="1228" applyNumberFormat="1" applyFont="1" applyFill="1" applyBorder="1" applyAlignment="1">
      <alignment horizontal="right" vertical="center"/>
    </xf>
    <xf numFmtId="181" fontId="3" fillId="2" borderId="42" xfId="1123" applyNumberFormat="1" applyFont="1" applyFill="1" applyBorder="1">
      <alignment vertical="center"/>
    </xf>
    <xf numFmtId="0" fontId="178" fillId="2" borderId="42" xfId="1125" applyNumberFormat="1" applyFont="1" applyFill="1" applyBorder="1" applyAlignment="1">
      <alignment horizontal="center" vertical="center"/>
    </xf>
    <xf numFmtId="0" fontId="89" fillId="2" borderId="0" xfId="0" applyNumberFormat="1" applyFont="1" applyFill="1" applyAlignment="1">
      <alignment horizontal="center" vertical="center"/>
    </xf>
    <xf numFmtId="0" fontId="184" fillId="0" borderId="42" xfId="2005" applyNumberFormat="1" applyFont="1" applyFill="1" applyBorder="1" applyAlignment="1">
      <alignment horizontal="center" vertical="center" shrinkToFit="1"/>
    </xf>
    <xf numFmtId="0" fontId="184" fillId="0" borderId="42" xfId="2005" applyNumberFormat="1" applyFont="1" applyFill="1" applyBorder="1" applyAlignment="1">
      <alignment horizontal="center" vertical="center" wrapText="1" shrinkToFit="1"/>
    </xf>
    <xf numFmtId="0" fontId="185" fillId="2" borderId="0" xfId="0" applyNumberFormat="1" applyFont="1" applyFill="1">
      <alignment vertical="center"/>
    </xf>
    <xf numFmtId="0" fontId="184" fillId="0" borderId="42" xfId="1200" applyFont="1" applyFill="1" applyBorder="1" applyAlignment="1">
      <alignment horizontal="center" vertical="center"/>
    </xf>
    <xf numFmtId="176" fontId="184" fillId="0" borderId="42" xfId="1200" applyNumberFormat="1" applyFont="1" applyFill="1" applyBorder="1" applyAlignment="1">
      <alignment horizontal="center" vertical="center"/>
    </xf>
    <xf numFmtId="0" fontId="89" fillId="2" borderId="0" xfId="0" applyNumberFormat="1" applyFont="1" applyFill="1">
      <alignment vertical="center"/>
    </xf>
    <xf numFmtId="0" fontId="89" fillId="0" borderId="0" xfId="0" applyNumberFormat="1" applyFont="1" applyFill="1" applyAlignment="1">
      <alignment horizontal="center" vertical="center"/>
    </xf>
    <xf numFmtId="0" fontId="89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89" fillId="0" borderId="42" xfId="0" applyNumberFormat="1" applyFont="1" applyFill="1" applyBorder="1" applyAlignment="1">
      <alignment horizontal="center" vertical="center"/>
    </xf>
    <xf numFmtId="0" fontId="89" fillId="0" borderId="42" xfId="0" applyNumberFormat="1" applyFont="1" applyFill="1" applyBorder="1">
      <alignment vertical="center"/>
    </xf>
    <xf numFmtId="0" fontId="183" fillId="2" borderId="0" xfId="0" applyFont="1" applyFill="1">
      <alignment vertical="center"/>
    </xf>
    <xf numFmtId="0" fontId="187" fillId="2" borderId="42" xfId="2010" applyNumberFormat="1" applyFont="1" applyFill="1" applyBorder="1" applyAlignment="1">
      <alignment horizontal="center" vertical="center" wrapText="1"/>
    </xf>
    <xf numFmtId="0" fontId="187" fillId="2" borderId="42" xfId="2010" applyNumberFormat="1" applyFont="1" applyFill="1" applyBorder="1" applyAlignment="1">
      <alignment horizontal="center" vertical="center"/>
    </xf>
    <xf numFmtId="0" fontId="188" fillId="2" borderId="0" xfId="0" applyFont="1" applyFill="1">
      <alignment vertical="center"/>
    </xf>
    <xf numFmtId="0" fontId="188" fillId="2" borderId="42" xfId="2010" applyNumberFormat="1" applyFont="1" applyFill="1" applyBorder="1" applyAlignment="1">
      <alignment horizontal="center" vertical="center" wrapText="1"/>
    </xf>
    <xf numFmtId="0" fontId="188" fillId="2" borderId="42" xfId="2010" applyNumberFormat="1" applyFont="1" applyFill="1" applyBorder="1" applyAlignment="1">
      <alignment horizontal="center" vertical="center"/>
    </xf>
    <xf numFmtId="0" fontId="188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>
      <alignment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184" fillId="0" borderId="42" xfId="1200" applyFont="1" applyFill="1" applyBorder="1" applyAlignment="1">
      <alignment horizontal="center" vertical="center" wrapText="1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8" fontId="4" fillId="2" borderId="15" xfId="0" applyNumberFormat="1" applyFont="1" applyFill="1" applyBorder="1" applyAlignment="1" applyProtection="1">
      <protection locked="0"/>
    </xf>
    <xf numFmtId="178" fontId="4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>
      <protection locked="0"/>
    </xf>
    <xf numFmtId="176" fontId="4" fillId="2" borderId="15" xfId="0" applyNumberFormat="1" applyFont="1" applyFill="1" applyBorder="1" applyAlignment="1" applyProtection="1">
      <protection locked="0"/>
    </xf>
    <xf numFmtId="176" fontId="4" fillId="2" borderId="17" xfId="0" applyNumberFormat="1" applyFont="1" applyFill="1" applyBorder="1" applyAlignment="1" applyProtection="1">
      <protection locked="0"/>
    </xf>
    <xf numFmtId="0" fontId="132" fillId="2" borderId="0" xfId="0" applyNumberFormat="1" applyFont="1" applyFill="1" applyBorder="1" applyAlignment="1" applyProtection="1">
      <alignment horizontal="center" vertical="center"/>
      <protection locked="0"/>
    </xf>
    <xf numFmtId="178" fontId="4" fillId="2" borderId="17" xfId="0" applyNumberFormat="1" applyFont="1" applyFill="1" applyBorder="1" applyAlignment="1" applyProtection="1"/>
    <xf numFmtId="179" fontId="4" fillId="2" borderId="17" xfId="0" applyNumberFormat="1" applyFont="1" applyFill="1" applyBorder="1" applyAlignment="1" applyProtection="1">
      <protection locked="0"/>
    </xf>
    <xf numFmtId="49" fontId="2" fillId="2" borderId="15" xfId="0" applyNumberFormat="1" applyFont="1" applyFill="1" applyBorder="1" applyAlignment="1" applyProtection="1">
      <alignment wrapText="1"/>
      <protection locked="0"/>
    </xf>
    <xf numFmtId="178" fontId="4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80" fontId="4" fillId="2" borderId="17" xfId="0" applyNumberFormat="1" applyFont="1" applyFill="1" applyBorder="1" applyAlignment="1" applyProtection="1">
      <protection locked="0"/>
    </xf>
    <xf numFmtId="0" fontId="7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Alignment="1" applyProtection="1">
      <protection locked="0"/>
    </xf>
    <xf numFmtId="190" fontId="4" fillId="2" borderId="17" xfId="0" applyNumberFormat="1" applyFont="1" applyFill="1" applyBorder="1" applyAlignment="1" applyProtection="1">
      <protection locked="0"/>
    </xf>
    <xf numFmtId="190" fontId="4" fillId="2" borderId="17" xfId="0" applyNumberFormat="1" applyFont="1" applyFill="1" applyBorder="1" applyAlignment="1" applyProtection="1"/>
    <xf numFmtId="49" fontId="2" fillId="2" borderId="15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80" fontId="4" fillId="2" borderId="17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protection locked="0"/>
    </xf>
    <xf numFmtId="176" fontId="4" fillId="2" borderId="17" xfId="0" applyNumberFormat="1" applyFont="1" applyFill="1" applyBorder="1" applyAlignment="1" applyProtection="1"/>
    <xf numFmtId="176" fontId="2" fillId="2" borderId="17" xfId="0" applyNumberFormat="1" applyFont="1" applyFill="1" applyBorder="1" applyAlignment="1" applyProtection="1">
      <alignment wrapText="1"/>
      <protection locked="0"/>
    </xf>
    <xf numFmtId="176" fontId="2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/>
    <xf numFmtId="185" fontId="2" fillId="2" borderId="17" xfId="0" applyNumberFormat="1" applyFont="1" applyFill="1" applyBorder="1" applyAlignment="1" applyProtection="1">
      <alignment wrapText="1"/>
      <protection locked="0"/>
    </xf>
    <xf numFmtId="191" fontId="4" fillId="2" borderId="17" xfId="0" applyNumberFormat="1" applyFont="1" applyFill="1" applyBorder="1" applyAlignment="1" applyProtection="1">
      <protection locked="0"/>
    </xf>
    <xf numFmtId="0" fontId="117" fillId="2" borderId="17" xfId="0" applyFont="1" applyFill="1" applyBorder="1" applyAlignment="1">
      <alignment horizontal="center" wrapText="1"/>
    </xf>
    <xf numFmtId="176" fontId="68" fillId="2" borderId="17" xfId="0" applyNumberFormat="1" applyFont="1" applyFill="1" applyBorder="1" applyAlignment="1">
      <alignment horizontal="center"/>
    </xf>
    <xf numFmtId="0" fontId="117" fillId="2" borderId="17" xfId="0" applyFont="1" applyFill="1" applyBorder="1" applyAlignment="1"/>
    <xf numFmtId="0" fontId="117" fillId="2" borderId="0" xfId="0" applyFont="1" applyFill="1" applyAlignment="1"/>
    <xf numFmtId="0" fontId="132" fillId="2" borderId="0" xfId="0" applyFont="1" applyFill="1" applyBorder="1" applyAlignment="1">
      <alignment horizontal="center"/>
    </xf>
    <xf numFmtId="0" fontId="132" fillId="2" borderId="16" xfId="0" applyFont="1" applyFill="1" applyBorder="1" applyAlignment="1">
      <alignment horizontal="center"/>
    </xf>
    <xf numFmtId="0" fontId="117" fillId="2" borderId="0" xfId="0" applyFont="1" applyFill="1" applyBorder="1" applyAlignment="1"/>
    <xf numFmtId="192" fontId="117" fillId="2" borderId="0" xfId="0" applyNumberFormat="1" applyFont="1" applyFill="1" applyAlignment="1"/>
    <xf numFmtId="176" fontId="117" fillId="2" borderId="0" xfId="0" applyNumberFormat="1" applyFont="1" applyFill="1" applyAlignment="1"/>
    <xf numFmtId="185" fontId="68" fillId="2" borderId="17" xfId="0" applyNumberFormat="1" applyFont="1" applyFill="1" applyBorder="1" applyAlignment="1">
      <alignment horizontal="center"/>
    </xf>
    <xf numFmtId="0" fontId="117" fillId="2" borderId="0" xfId="0" applyFont="1" applyFill="1" applyAlignment="1">
      <alignment horizontal="center" wrapText="1"/>
    </xf>
    <xf numFmtId="0" fontId="117" fillId="2" borderId="0" xfId="0" applyFont="1" applyFill="1" applyAlignment="1">
      <alignment horizontal="center"/>
    </xf>
    <xf numFmtId="0" fontId="72" fillId="2" borderId="17" xfId="0" applyFont="1" applyFill="1" applyBorder="1" applyAlignment="1" applyProtection="1">
      <alignment horizontal="center" vertical="center" wrapText="1"/>
      <protection locked="0"/>
    </xf>
    <xf numFmtId="194" fontId="4" fillId="2" borderId="17" xfId="0" applyNumberFormat="1" applyFont="1" applyFill="1" applyBorder="1" applyAlignment="1" applyProtection="1">
      <protection locked="0"/>
    </xf>
    <xf numFmtId="179" fontId="4" fillId="2" borderId="17" xfId="0" applyNumberFormat="1" applyFont="1" applyFill="1" applyBorder="1" applyAlignment="1" applyProtection="1"/>
    <xf numFmtId="196" fontId="4" fillId="2" borderId="17" xfId="0" applyNumberFormat="1" applyFont="1" applyFill="1" applyBorder="1" applyAlignment="1" applyProtection="1">
      <protection locked="0"/>
    </xf>
    <xf numFmtId="193" fontId="4" fillId="2" borderId="17" xfId="0" applyNumberFormat="1" applyFont="1" applyFill="1" applyBorder="1" applyAlignment="1" applyProtection="1">
      <protection locked="0"/>
    </xf>
    <xf numFmtId="195" fontId="4" fillId="2" borderId="17" xfId="0" applyNumberFormat="1" applyFont="1" applyFill="1" applyBorder="1" applyAlignment="1" applyProtection="1"/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>
      <alignment vertical="center"/>
    </xf>
    <xf numFmtId="181" fontId="43" fillId="29" borderId="17" xfId="0" applyNumberFormat="1" applyFont="1" applyFill="1" applyBorder="1" applyAlignment="1">
      <alignment horizontal="center" vertical="center"/>
    </xf>
    <xf numFmtId="181" fontId="43" fillId="29" borderId="17" xfId="0" applyNumberFormat="1" applyFont="1" applyFill="1" applyBorder="1" applyAlignment="1">
      <alignment horizontal="center" vertical="center" wrapText="1"/>
    </xf>
    <xf numFmtId="176" fontId="43" fillId="2" borderId="18" xfId="0" applyNumberFormat="1" applyFont="1" applyFill="1" applyBorder="1">
      <alignment vertical="center"/>
    </xf>
    <xf numFmtId="176" fontId="45" fillId="2" borderId="18" xfId="0" applyNumberFormat="1" applyFont="1" applyFill="1" applyBorder="1">
      <alignment vertical="center"/>
    </xf>
    <xf numFmtId="176" fontId="45" fillId="2" borderId="17" xfId="0" applyNumberFormat="1" applyFont="1" applyFill="1" applyBorder="1">
      <alignment vertical="center"/>
    </xf>
    <xf numFmtId="197" fontId="2" fillId="2" borderId="17" xfId="0" applyNumberFormat="1" applyFont="1" applyFill="1" applyBorder="1" applyAlignment="1">
      <alignment horizontal="center" vertical="center"/>
    </xf>
    <xf numFmtId="197" fontId="45" fillId="29" borderId="17" xfId="0" applyNumberFormat="1" applyFont="1" applyFill="1" applyBorder="1" applyAlignment="1">
      <alignment horizontal="center" vertical="center"/>
    </xf>
    <xf numFmtId="197" fontId="43" fillId="2" borderId="0" xfId="0" applyNumberFormat="1" applyFont="1" applyFill="1">
      <alignment vertical="center"/>
    </xf>
    <xf numFmtId="0" fontId="65" fillId="0" borderId="17" xfId="0" applyFont="1" applyBorder="1" applyAlignment="1">
      <alignment horizontal="center" vertical="center"/>
    </xf>
    <xf numFmtId="176" fontId="67" fillId="29" borderId="17" xfId="0" applyNumberFormat="1" applyFont="1" applyFill="1" applyBorder="1" applyAlignment="1">
      <alignment horizontal="center" vertical="center"/>
    </xf>
    <xf numFmtId="0" fontId="44" fillId="2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0" borderId="42" xfId="2006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147" fillId="0" borderId="16" xfId="0" applyFont="1" applyBorder="1" applyAlignment="1">
      <alignment horizontal="right" vertical="center"/>
    </xf>
    <xf numFmtId="181" fontId="1" fillId="29" borderId="17" xfId="0" applyNumberFormat="1" applyFont="1" applyFill="1" applyBorder="1" applyAlignment="1">
      <alignment horizontal="center" vertical="center"/>
    </xf>
    <xf numFmtId="0" fontId="4" fillId="0" borderId="42" xfId="2006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180" fontId="114" fillId="0" borderId="42" xfId="0" applyNumberFormat="1" applyFont="1" applyBorder="1" applyAlignment="1">
      <alignment horizontal="center" vertical="center"/>
    </xf>
    <xf numFmtId="0" fontId="114" fillId="0" borderId="42" xfId="0" applyFont="1" applyFill="1" applyBorder="1" applyAlignment="1">
      <alignment horizontal="center" vertical="center"/>
    </xf>
    <xf numFmtId="0" fontId="70" fillId="2" borderId="0" xfId="0" applyNumberFormat="1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center"/>
    </xf>
    <xf numFmtId="181" fontId="42" fillId="2" borderId="0" xfId="0" applyNumberFormat="1" applyFont="1" applyFill="1">
      <alignment vertical="center"/>
    </xf>
    <xf numFmtId="181" fontId="116" fillId="2" borderId="0" xfId="0" applyNumberFormat="1" applyFont="1" applyFill="1">
      <alignment vertical="center"/>
    </xf>
    <xf numFmtId="181" fontId="190" fillId="2" borderId="16" xfId="0" applyNumberFormat="1" applyFont="1" applyFill="1" applyBorder="1" applyAlignment="1">
      <alignment horizontal="center" vertical="center"/>
    </xf>
    <xf numFmtId="0" fontId="116" fillId="0" borderId="0" xfId="0" applyNumberFormat="1" applyFont="1">
      <alignment vertical="center"/>
    </xf>
    <xf numFmtId="0" fontId="114" fillId="2" borderId="17" xfId="0" applyNumberFormat="1" applyFont="1" applyFill="1" applyBorder="1" applyAlignment="1">
      <alignment horizontal="center" vertical="center"/>
    </xf>
    <xf numFmtId="176" fontId="114" fillId="2" borderId="17" xfId="0" applyNumberFormat="1" applyFont="1" applyFill="1" applyBorder="1" applyAlignment="1">
      <alignment horizontal="center" vertical="center"/>
    </xf>
    <xf numFmtId="0" fontId="102" fillId="2" borderId="17" xfId="0" applyNumberFormat="1" applyFont="1" applyFill="1" applyBorder="1" applyAlignment="1">
      <alignment horizontal="center" vertical="center"/>
    </xf>
    <xf numFmtId="0" fontId="119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7" xfId="1225" applyNumberFormat="1" applyFont="1" applyFill="1" applyBorder="1" applyAlignment="1">
      <alignment horizontal="center" vertical="center"/>
    </xf>
    <xf numFmtId="176" fontId="114" fillId="2" borderId="0" xfId="0" applyNumberFormat="1" applyFont="1" applyFill="1" applyAlignment="1">
      <alignment horizontal="center" vertical="center"/>
    </xf>
    <xf numFmtId="0" fontId="42" fillId="0" borderId="0" xfId="0" applyNumberFormat="1" applyFont="1" applyAlignment="1">
      <alignment horizontal="right" vertical="center"/>
    </xf>
    <xf numFmtId="0" fontId="43" fillId="0" borderId="0" xfId="0" applyNumberFormat="1" applyFont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7" xfId="0" applyNumberFormat="1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0" fontId="141" fillId="0" borderId="0" xfId="0" applyNumberFormat="1" applyFont="1" applyFill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68" fillId="0" borderId="42" xfId="0" applyNumberFormat="1" applyFont="1" applyFill="1" applyBorder="1" applyAlignment="1">
      <alignment horizontal="center" vertical="center"/>
    </xf>
    <xf numFmtId="180" fontId="4" fillId="0" borderId="42" xfId="1123" applyNumberFormat="1" applyFont="1" applyFill="1" applyBorder="1" applyAlignment="1">
      <alignment horizontal="center" vertical="center" wrapText="1"/>
    </xf>
    <xf numFmtId="180" fontId="4" fillId="0" borderId="42" xfId="1123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76" fontId="193" fillId="0" borderId="42" xfId="0" applyNumberFormat="1" applyFont="1" applyFill="1" applyBorder="1" applyAlignment="1">
      <alignment horizontal="center" vertical="center"/>
    </xf>
    <xf numFmtId="176" fontId="193" fillId="0" borderId="42" xfId="0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Alignment="1">
      <alignment horizontal="center" vertical="center" wrapText="1"/>
    </xf>
    <xf numFmtId="180" fontId="68" fillId="0" borderId="42" xfId="2013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 wrapText="1"/>
    </xf>
    <xf numFmtId="176" fontId="114" fillId="2" borderId="42" xfId="0" applyNumberFormat="1" applyFont="1" applyFill="1" applyBorder="1" applyAlignment="1">
      <alignment horizontal="center" vertical="center" wrapText="1"/>
    </xf>
    <xf numFmtId="180" fontId="106" fillId="0" borderId="42" xfId="2013" applyNumberFormat="1" applyFont="1" applyFill="1" applyBorder="1" applyAlignment="1">
      <alignment horizontal="center" vertical="center" wrapText="1"/>
    </xf>
    <xf numFmtId="180" fontId="4" fillId="0" borderId="42" xfId="2013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/>
    </xf>
    <xf numFmtId="180" fontId="75" fillId="0" borderId="0" xfId="0" applyNumberFormat="1" applyFont="1" applyFill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81" fontId="43" fillId="29" borderId="18" xfId="0" applyNumberFormat="1" applyFont="1" applyFill="1" applyBorder="1" applyAlignment="1">
      <alignment horizontal="center" vertical="center"/>
    </xf>
    <xf numFmtId="181" fontId="43" fillId="29" borderId="17" xfId="0" applyNumberFormat="1" applyFont="1" applyFill="1" applyBorder="1" applyAlignment="1">
      <alignment horizontal="center" vertical="center"/>
    </xf>
    <xf numFmtId="0" fontId="68" fillId="2" borderId="17" xfId="0" applyNumberFormat="1" applyFont="1" applyFill="1" applyBorder="1" applyAlignment="1">
      <alignment horizontal="left" vertical="center" wrapText="1"/>
    </xf>
    <xf numFmtId="0" fontId="45" fillId="2" borderId="17" xfId="0" applyNumberFormat="1" applyFont="1" applyFill="1" applyBorder="1" applyAlignment="1">
      <alignment horizontal="left" vertical="center" wrapText="1"/>
    </xf>
    <xf numFmtId="0" fontId="194" fillId="2" borderId="0" xfId="0" applyNumberFormat="1" applyFont="1" applyFill="1" applyBorder="1" applyAlignment="1"/>
    <xf numFmtId="0" fontId="68" fillId="2" borderId="17" xfId="0" applyNumberFormat="1" applyFont="1" applyFill="1" applyBorder="1" applyAlignment="1" applyProtection="1">
      <alignment horizontal="left" vertical="center" wrapText="1"/>
    </xf>
    <xf numFmtId="0" fontId="68" fillId="2" borderId="17" xfId="0" applyNumberFormat="1" applyFont="1" applyFill="1" applyBorder="1" applyAlignment="1" applyProtection="1">
      <alignment horizontal="center" vertical="center" wrapText="1"/>
    </xf>
    <xf numFmtId="180" fontId="72" fillId="2" borderId="17" xfId="0" applyNumberFormat="1" applyFont="1" applyFill="1" applyBorder="1" applyAlignment="1" applyProtection="1">
      <alignment horizontal="center" vertical="center" shrinkToFit="1"/>
    </xf>
    <xf numFmtId="180" fontId="2" fillId="2" borderId="17" xfId="0" applyNumberFormat="1" applyFont="1" applyFill="1" applyBorder="1" applyAlignment="1" applyProtection="1">
      <alignment horizontal="center" vertical="center"/>
    </xf>
    <xf numFmtId="180" fontId="2" fillId="2" borderId="17" xfId="0" applyNumberFormat="1" applyFont="1" applyFill="1" applyBorder="1" applyAlignment="1">
      <alignment horizontal="center" vertical="center" wrapText="1"/>
    </xf>
    <xf numFmtId="180" fontId="45" fillId="2" borderId="17" xfId="0" applyNumberFormat="1" applyFont="1" applyFill="1" applyBorder="1" applyAlignment="1" applyProtection="1">
      <alignment horizontal="center" vertical="center"/>
    </xf>
    <xf numFmtId="180" fontId="4" fillId="2" borderId="17" xfId="0" applyNumberFormat="1" applyFont="1" applyFill="1" applyBorder="1" applyAlignment="1" applyProtection="1">
      <alignment horizontal="center" vertical="center"/>
    </xf>
    <xf numFmtId="180" fontId="45" fillId="2" borderId="17" xfId="0" applyNumberFormat="1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180" fontId="195" fillId="2" borderId="17" xfId="0" applyNumberFormat="1" applyFont="1" applyFill="1" applyBorder="1" applyAlignment="1" applyProtection="1">
      <alignment horizontal="center" vertical="center" shrinkToFit="1"/>
    </xf>
    <xf numFmtId="180" fontId="45" fillId="2" borderId="17" xfId="0" applyNumberFormat="1" applyFont="1" applyFill="1" applyBorder="1" applyAlignment="1">
      <alignment horizontal="center" vertical="center" wrapText="1"/>
    </xf>
    <xf numFmtId="0" fontId="116" fillId="0" borderId="0" xfId="0" applyFont="1">
      <alignment vertical="center"/>
    </xf>
    <xf numFmtId="0" fontId="42" fillId="0" borderId="0" xfId="0" applyFont="1">
      <alignment vertical="center"/>
    </xf>
    <xf numFmtId="0" fontId="197" fillId="0" borderId="17" xfId="0" applyFont="1" applyBorder="1" applyAlignment="1">
      <alignment horizontal="center" vertical="center"/>
    </xf>
    <xf numFmtId="180" fontId="197" fillId="0" borderId="17" xfId="0" applyNumberFormat="1" applyFont="1" applyBorder="1" applyAlignment="1">
      <alignment horizontal="center" vertical="center"/>
    </xf>
    <xf numFmtId="0" fontId="197" fillId="0" borderId="17" xfId="0" applyFont="1" applyFill="1" applyBorder="1" applyAlignment="1">
      <alignment horizontal="center" vertical="center"/>
    </xf>
    <xf numFmtId="0" fontId="197" fillId="0" borderId="17" xfId="0" applyFont="1" applyFill="1" applyBorder="1" applyAlignment="1">
      <alignment horizontal="center" vertical="center" wrapText="1"/>
    </xf>
    <xf numFmtId="0" fontId="95" fillId="0" borderId="17" xfId="0" applyFont="1" applyBorder="1" applyAlignment="1">
      <alignment horizontal="center" vertical="center" wrapText="1"/>
    </xf>
    <xf numFmtId="180" fontId="95" fillId="0" borderId="17" xfId="0" applyNumberFormat="1" applyFont="1" applyBorder="1" applyAlignment="1">
      <alignment horizontal="center" vertical="center" wrapText="1"/>
    </xf>
    <xf numFmtId="0" fontId="198" fillId="0" borderId="17" xfId="0" applyNumberFormat="1" applyFont="1" applyBorder="1" applyAlignment="1">
      <alignment horizontal="center" vertical="center"/>
    </xf>
    <xf numFmtId="176" fontId="197" fillId="0" borderId="17" xfId="0" applyNumberFormat="1" applyFont="1" applyBorder="1" applyAlignment="1">
      <alignment horizontal="center" vertical="center"/>
    </xf>
    <xf numFmtId="0" fontId="198" fillId="0" borderId="17" xfId="0" applyFont="1" applyBorder="1" applyAlignment="1">
      <alignment horizontal="center" vertical="center"/>
    </xf>
    <xf numFmtId="176" fontId="95" fillId="0" borderId="17" xfId="0" applyNumberFormat="1" applyFont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0" fillId="0" borderId="0" xfId="0" applyNumberFormat="1">
      <alignment vertical="center"/>
    </xf>
    <xf numFmtId="180" fontId="195" fillId="2" borderId="17" xfId="0" applyNumberFormat="1" applyFont="1" applyFill="1" applyBorder="1" applyAlignment="1" applyProtection="1">
      <alignment horizontal="center" vertical="center" wrapText="1" shrinkToFit="1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176" fontId="45" fillId="2" borderId="17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/>
    </xf>
    <xf numFmtId="176" fontId="4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2" fillId="2" borderId="50" xfId="0" applyNumberFormat="1" applyFont="1" applyFill="1" applyBorder="1" applyAlignment="1" applyProtection="1">
      <alignment horizontal="center" vertical="center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180" fontId="45" fillId="2" borderId="50" xfId="0" applyNumberFormat="1" applyFont="1" applyFill="1" applyBorder="1" applyAlignment="1">
      <alignment horizontal="center" vertical="center" wrapText="1"/>
    </xf>
    <xf numFmtId="181" fontId="43" fillId="29" borderId="18" xfId="0" applyNumberFormat="1" applyFont="1" applyFill="1" applyBorder="1" applyAlignment="1">
      <alignment horizontal="center" vertical="center" wrapText="1"/>
    </xf>
    <xf numFmtId="180" fontId="43" fillId="29" borderId="17" xfId="0" applyNumberFormat="1" applyFont="1" applyFill="1" applyBorder="1" applyAlignment="1">
      <alignment horizontal="center" vertical="center"/>
    </xf>
    <xf numFmtId="180" fontId="43" fillId="2" borderId="17" xfId="0" applyNumberFormat="1" applyFont="1" applyFill="1" applyBorder="1" applyAlignment="1">
      <alignment horizontal="center" vertical="center"/>
    </xf>
    <xf numFmtId="180" fontId="45" fillId="2" borderId="17" xfId="0" applyNumberFormat="1" applyFont="1" applyFill="1" applyBorder="1" applyAlignment="1">
      <alignment horizontal="center" vertical="center"/>
    </xf>
    <xf numFmtId="180" fontId="45" fillId="29" borderId="17" xfId="0" applyNumberFormat="1" applyFont="1" applyFill="1" applyBorder="1" applyAlignment="1">
      <alignment horizontal="center" vertical="center"/>
    </xf>
    <xf numFmtId="180" fontId="43" fillId="2" borderId="0" xfId="0" applyNumberFormat="1" applyFont="1" applyFill="1">
      <alignment vertical="center"/>
    </xf>
    <xf numFmtId="180" fontId="43" fillId="2" borderId="0" xfId="0" applyNumberFormat="1" applyFont="1" applyFill="1" applyAlignment="1">
      <alignment horizontal="center" vertical="center"/>
    </xf>
    <xf numFmtId="180" fontId="43" fillId="29" borderId="17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90" fillId="0" borderId="42" xfId="0" applyNumberFormat="1" applyFont="1" applyBorder="1" applyAlignment="1">
      <alignment horizontal="center" vertical="center"/>
    </xf>
    <xf numFmtId="0" fontId="90" fillId="0" borderId="42" xfId="0" applyNumberFormat="1" applyFont="1" applyBorder="1" applyAlignment="1">
      <alignment horizontal="center" vertical="center" wrapText="1"/>
    </xf>
    <xf numFmtId="0" fontId="90" fillId="0" borderId="0" xfId="0" applyNumberFormat="1" applyFont="1" applyBorder="1" applyAlignment="1">
      <alignment horizontal="center" vertical="center"/>
    </xf>
    <xf numFmtId="0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 wrapText="1"/>
    </xf>
    <xf numFmtId="176" fontId="90" fillId="0" borderId="4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0" fontId="4" fillId="2" borderId="43" xfId="2015" applyFont="1" applyFill="1" applyBorder="1" applyAlignment="1">
      <alignment horizontal="left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/>
    </xf>
    <xf numFmtId="0" fontId="5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" xfId="0" applyFont="1" applyFill="1" applyBorder="1" applyAlignment="1">
      <alignment horizontal="center" vertical="center" wrapText="1"/>
    </xf>
    <xf numFmtId="176" fontId="5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0" xfId="0" applyFont="1" applyFill="1" applyAlignment="1">
      <alignment vertical="center"/>
    </xf>
    <xf numFmtId="0" fontId="57" fillId="2" borderId="45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protection locked="0"/>
    </xf>
    <xf numFmtId="0" fontId="72" fillId="2" borderId="45" xfId="0" applyNumberFormat="1" applyFont="1" applyFill="1" applyBorder="1" applyAlignment="1" applyProtection="1">
      <alignment horizontal="center" vertical="center"/>
      <protection locked="0"/>
    </xf>
    <xf numFmtId="0" fontId="72" fillId="2" borderId="1" xfId="0" applyNumberFormat="1" applyFont="1" applyFill="1" applyBorder="1" applyAlignment="1" applyProtection="1">
      <alignment horizontal="center" vertical="center"/>
      <protection locked="0"/>
    </xf>
    <xf numFmtId="0" fontId="7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117" fillId="2" borderId="45" xfId="0" applyFont="1" applyFill="1" applyBorder="1" applyAlignment="1">
      <alignment horizontal="center" vertical="center" wrapText="1"/>
    </xf>
    <xf numFmtId="0" fontId="117" fillId="2" borderId="1" xfId="0" applyFont="1" applyFill="1" applyBorder="1" applyAlignment="1">
      <alignment horizontal="center" vertical="center" wrapText="1"/>
    </xf>
    <xf numFmtId="0" fontId="117" fillId="2" borderId="45" xfId="0" applyFont="1" applyFill="1" applyBorder="1" applyAlignment="1">
      <alignment horizontal="center" vertical="center"/>
    </xf>
    <xf numFmtId="0" fontId="189" fillId="0" borderId="0" xfId="0" applyFont="1" applyBorder="1" applyAlignment="1">
      <alignment horizontal="center" vertical="center"/>
    </xf>
    <xf numFmtId="0" fontId="199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200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201" fillId="0" borderId="0" xfId="0" applyNumberFormat="1" applyFont="1" applyBorder="1" applyAlignment="1">
      <alignment horizontal="right" vertical="center"/>
    </xf>
    <xf numFmtId="181" fontId="147" fillId="0" borderId="16" xfId="0" applyNumberFormat="1" applyFont="1" applyBorder="1" applyAlignment="1">
      <alignment horizontal="right" vertical="center"/>
    </xf>
    <xf numFmtId="181" fontId="191" fillId="2" borderId="0" xfId="0" applyNumberFormat="1" applyFont="1" applyFill="1" applyBorder="1" applyAlignment="1">
      <alignment horizontal="center" vertical="center"/>
    </xf>
    <xf numFmtId="181" fontId="116" fillId="0" borderId="0" xfId="0" applyNumberFormat="1" applyFont="1" applyBorder="1" applyAlignment="1">
      <alignment horizontal="center" vertical="center"/>
    </xf>
    <xf numFmtId="181" fontId="116" fillId="0" borderId="0" xfId="0" applyNumberFormat="1" applyFont="1" applyBorder="1" applyAlignment="1">
      <alignment vertical="center"/>
    </xf>
    <xf numFmtId="180" fontId="43" fillId="29" borderId="18" xfId="0" applyNumberFormat="1" applyFont="1" applyFill="1" applyBorder="1" applyAlignment="1">
      <alignment horizontal="center" vertical="center" wrapText="1"/>
    </xf>
    <xf numFmtId="180" fontId="43" fillId="29" borderId="48" xfId="0" applyNumberFormat="1" applyFont="1" applyFill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9" fontId="43" fillId="29" borderId="18" xfId="0" applyNumberFormat="1" applyFont="1" applyFill="1" applyBorder="1" applyAlignment="1">
      <alignment horizontal="center" vertical="center" wrapText="1"/>
    </xf>
    <xf numFmtId="9" fontId="43" fillId="29" borderId="48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97" fontId="2" fillId="29" borderId="17" xfId="0" applyNumberFormat="1" applyFont="1" applyFill="1" applyBorder="1" applyAlignment="1">
      <alignment horizontal="center" vertical="center"/>
    </xf>
    <xf numFmtId="181" fontId="43" fillId="29" borderId="18" xfId="0" applyNumberFormat="1" applyFont="1" applyFill="1" applyBorder="1" applyAlignment="1">
      <alignment horizontal="center" vertical="center" wrapText="1"/>
    </xf>
    <xf numFmtId="181" fontId="43" fillId="29" borderId="48" xfId="0" applyNumberFormat="1" applyFont="1" applyFill="1" applyBorder="1" applyAlignment="1">
      <alignment horizontal="center" vertical="center" wrapText="1"/>
    </xf>
    <xf numFmtId="181" fontId="43" fillId="29" borderId="43" xfId="0" applyNumberFormat="1" applyFont="1" applyFill="1" applyBorder="1" applyAlignment="1">
      <alignment horizontal="center" vertical="center" wrapText="1"/>
    </xf>
    <xf numFmtId="0" fontId="116" fillId="0" borderId="0" xfId="0" applyNumberFormat="1" applyFont="1" applyBorder="1" applyAlignment="1">
      <alignment horizontal="center" vertical="center"/>
    </xf>
    <xf numFmtId="0" fontId="116" fillId="0" borderId="0" xfId="0" applyNumberFormat="1" applyFont="1" applyBorder="1" applyAlignment="1">
      <alignment vertical="center"/>
    </xf>
    <xf numFmtId="0" fontId="116" fillId="0" borderId="0" xfId="0" applyFont="1" applyAlignment="1">
      <alignment vertical="center"/>
    </xf>
    <xf numFmtId="0" fontId="42" fillId="0" borderId="16" xfId="0" applyNumberFormat="1" applyFont="1" applyBorder="1" applyAlignment="1">
      <alignment horizontal="right" vertical="center"/>
    </xf>
    <xf numFmtId="0" fontId="42" fillId="0" borderId="16" xfId="0" applyFont="1" applyBorder="1" applyAlignment="1">
      <alignment horizontal="right" vertical="center"/>
    </xf>
    <xf numFmtId="0" fontId="116" fillId="0" borderId="0" xfId="0" applyNumberFormat="1" applyFont="1" applyAlignment="1">
      <alignment horizontal="center" vertical="center"/>
    </xf>
    <xf numFmtId="180" fontId="192" fillId="0" borderId="0" xfId="0" applyNumberFormat="1" applyFont="1" applyFill="1" applyBorder="1" applyAlignment="1">
      <alignment horizontal="center" vertical="center" wrapText="1"/>
    </xf>
    <xf numFmtId="180" fontId="192" fillId="0" borderId="0" xfId="0" applyNumberFormat="1" applyFont="1" applyFill="1" applyBorder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4" fillId="0" borderId="42" xfId="0" applyNumberFormat="1" applyFont="1" applyFill="1" applyBorder="1" applyAlignment="1">
      <alignment horizontal="center" vertical="center" wrapText="1"/>
    </xf>
    <xf numFmtId="176" fontId="114" fillId="0" borderId="42" xfId="0" applyNumberFormat="1" applyFont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80" fontId="106" fillId="0" borderId="42" xfId="2013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0" fontId="57" fillId="2" borderId="47" xfId="0" applyNumberFormat="1" applyFont="1" applyFill="1" applyBorder="1" applyAlignment="1" applyProtection="1">
      <alignment horizontal="center" vertical="center" shrinkToFit="1"/>
    </xf>
    <xf numFmtId="0" fontId="57" fillId="2" borderId="13" xfId="0" applyNumberFormat="1" applyFont="1" applyFill="1" applyBorder="1" applyAlignment="1" applyProtection="1">
      <alignment horizontal="center" vertical="center" shrinkToFit="1"/>
    </xf>
    <xf numFmtId="0" fontId="57" fillId="2" borderId="1" xfId="0" applyNumberFormat="1" applyFont="1" applyFill="1" applyBorder="1" applyAlignment="1" applyProtection="1">
      <alignment horizontal="center" vertical="center" shrinkToFit="1"/>
    </xf>
    <xf numFmtId="0" fontId="57" fillId="2" borderId="47" xfId="0" applyNumberFormat="1" applyFont="1" applyFill="1" applyBorder="1" applyAlignment="1" applyProtection="1">
      <alignment horizontal="center" vertical="center" wrapText="1" shrinkToFit="1"/>
    </xf>
    <xf numFmtId="0" fontId="57" fillId="2" borderId="13" xfId="0" applyNumberFormat="1" applyFont="1" applyFill="1" applyBorder="1" applyAlignment="1" applyProtection="1">
      <alignment horizontal="center" vertical="center" wrapText="1" shrinkToFit="1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7" fillId="0" borderId="16" xfId="0" applyFont="1" applyBorder="1" applyAlignment="1">
      <alignment horizontal="right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9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57" fillId="2" borderId="50" xfId="0" applyNumberFormat="1" applyFont="1" applyFill="1" applyBorder="1" applyAlignment="1" applyProtection="1">
      <alignment horizontal="center" vertical="center" shrinkToFit="1"/>
    </xf>
    <xf numFmtId="0" fontId="57" fillId="2" borderId="50" xfId="0" applyNumberFormat="1" applyFont="1" applyFill="1" applyBorder="1" applyAlignment="1" applyProtection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24850" y="15954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10375" y="160972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0675" y="120777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54</xdr:row>
      <xdr:rowOff>228600</xdr:rowOff>
    </xdr:from>
    <xdr:to>
      <xdr:col>1</xdr:col>
      <xdr:colOff>1838325</xdr:colOff>
      <xdr:row>55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13877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5275" y="158115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125920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115633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06680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10;&#22238;%20(1)\2025\&#35843;&#25972;&#39044;&#31639;\&#39067;&#26725;\&#39044;&#31639;&#34920;&#24335;\&#39044;&#31639;&#34920;&#24335;\2025&#24180;&#35843;&#25972;&#39044;&#31639;&#3492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25191;&#34892;/&#38215;&#31649;&#20648;&#22791;&#25945;&#24072;&#39044;&#31639;&#34920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5年基本支出预算表"/>
      <sheetName val="生均公用定额标准"/>
      <sheetName val="其他定额标准"/>
      <sheetName val="底稿"/>
      <sheetName val="2025中小学生均"/>
      <sheetName val="2025幼儿园生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>
            <v>3718213</v>
          </cell>
        </row>
        <row r="3">
          <cell r="G3">
            <v>3223549</v>
          </cell>
        </row>
        <row r="4">
          <cell r="G4">
            <v>9157</v>
          </cell>
        </row>
        <row r="5">
          <cell r="G5">
            <v>583000</v>
          </cell>
        </row>
        <row r="6">
          <cell r="G6">
            <v>94925.290000000008</v>
          </cell>
        </row>
        <row r="7">
          <cell r="G7">
            <v>151238.84</v>
          </cell>
        </row>
        <row r="8">
          <cell r="G8">
            <v>662500</v>
          </cell>
        </row>
        <row r="9">
          <cell r="G9">
            <v>2778648.8599999994</v>
          </cell>
        </row>
        <row r="10">
          <cell r="G10">
            <v>68352.45</v>
          </cell>
        </row>
        <row r="11">
          <cell r="G11">
            <v>256100</v>
          </cell>
        </row>
        <row r="12">
          <cell r="G12">
            <v>4835058.68</v>
          </cell>
        </row>
        <row r="13">
          <cell r="G13">
            <v>2419764.4</v>
          </cell>
        </row>
        <row r="14">
          <cell r="G14">
            <v>2094075</v>
          </cell>
        </row>
        <row r="15">
          <cell r="G15">
            <v>1776200</v>
          </cell>
        </row>
        <row r="16">
          <cell r="G16">
            <v>2370</v>
          </cell>
        </row>
        <row r="17">
          <cell r="G17">
            <v>3850</v>
          </cell>
        </row>
        <row r="20">
          <cell r="G20">
            <v>2423819</v>
          </cell>
        </row>
        <row r="21">
          <cell r="G21">
            <v>1951768</v>
          </cell>
        </row>
        <row r="22">
          <cell r="G22">
            <v>5445</v>
          </cell>
        </row>
        <row r="23">
          <cell r="G23">
            <v>374440</v>
          </cell>
        </row>
        <row r="24">
          <cell r="G24">
            <v>36631.589999999997</v>
          </cell>
        </row>
        <row r="25">
          <cell r="G25">
            <v>93592.339999999982</v>
          </cell>
        </row>
        <row r="26">
          <cell r="G26">
            <v>381571</v>
          </cell>
        </row>
        <row r="27">
          <cell r="G27">
            <v>1645636.22</v>
          </cell>
        </row>
        <row r="28">
          <cell r="G28">
            <v>44857.41</v>
          </cell>
        </row>
        <row r="29">
          <cell r="G29">
            <v>161070</v>
          </cell>
        </row>
        <row r="30">
          <cell r="G30">
            <v>2995012.1799999997</v>
          </cell>
        </row>
        <row r="31">
          <cell r="G31">
            <v>1489720</v>
          </cell>
        </row>
        <row r="32">
          <cell r="G32">
            <v>1301086</v>
          </cell>
        </row>
        <row r="33">
          <cell r="G33">
            <v>1096730</v>
          </cell>
        </row>
        <row r="34">
          <cell r="G34">
            <v>2700</v>
          </cell>
        </row>
        <row r="35">
          <cell r="G35">
            <v>1750</v>
          </cell>
        </row>
        <row r="38">
          <cell r="G38">
            <v>2458016</v>
          </cell>
        </row>
        <row r="39">
          <cell r="G39">
            <v>2526108</v>
          </cell>
        </row>
        <row r="40">
          <cell r="G40">
            <v>7308</v>
          </cell>
        </row>
        <row r="41">
          <cell r="G41">
            <v>390680</v>
          </cell>
        </row>
        <row r="42">
          <cell r="G42">
            <v>61510.540000000008</v>
          </cell>
        </row>
        <row r="43">
          <cell r="G43">
            <v>97759.889999999985</v>
          </cell>
        </row>
        <row r="44">
          <cell r="G44">
            <v>453000</v>
          </cell>
        </row>
        <row r="45">
          <cell r="G45">
            <v>1759677.9800000004</v>
          </cell>
        </row>
        <row r="46">
          <cell r="G46">
            <v>98546</v>
          </cell>
        </row>
        <row r="47">
          <cell r="G47">
            <v>185390</v>
          </cell>
        </row>
        <row r="48">
          <cell r="G48">
            <v>3114312.1800000006</v>
          </cell>
        </row>
        <row r="49">
          <cell r="G49">
            <v>1564158.38</v>
          </cell>
        </row>
        <row r="50">
          <cell r="G50">
            <v>1363838</v>
          </cell>
        </row>
        <row r="51">
          <cell r="G51">
            <v>1358230</v>
          </cell>
        </row>
        <row r="52">
          <cell r="G52">
            <v>2190</v>
          </cell>
        </row>
        <row r="53">
          <cell r="G53">
            <v>1920</v>
          </cell>
        </row>
        <row r="57">
          <cell r="G57">
            <v>2667704</v>
          </cell>
        </row>
        <row r="58">
          <cell r="G58">
            <v>2435815</v>
          </cell>
        </row>
        <row r="59">
          <cell r="G59">
            <v>6112</v>
          </cell>
        </row>
        <row r="60">
          <cell r="G60">
            <v>427240</v>
          </cell>
        </row>
        <row r="61">
          <cell r="G61">
            <v>61522.739999999991</v>
          </cell>
        </row>
        <row r="62">
          <cell r="G62">
            <v>97815.65</v>
          </cell>
        </row>
        <row r="63">
          <cell r="G63">
            <v>498000</v>
          </cell>
        </row>
        <row r="64">
          <cell r="G64">
            <v>1760640.9000000004</v>
          </cell>
        </row>
        <row r="65">
          <cell r="G65">
            <v>58827.55</v>
          </cell>
        </row>
        <row r="66">
          <cell r="G66">
            <v>185630</v>
          </cell>
        </row>
        <row r="67">
          <cell r="G67">
            <v>3102568.73</v>
          </cell>
        </row>
        <row r="68">
          <cell r="G68">
            <v>1565009.6</v>
          </cell>
        </row>
        <row r="69">
          <cell r="G69">
            <v>1365848</v>
          </cell>
        </row>
        <row r="70">
          <cell r="G70">
            <v>913780</v>
          </cell>
        </row>
        <row r="71">
          <cell r="G71">
            <v>2160</v>
          </cell>
        </row>
        <row r="72">
          <cell r="G72">
            <v>4550</v>
          </cell>
        </row>
        <row r="75">
          <cell r="G75">
            <v>5877483.4000000004</v>
          </cell>
        </row>
        <row r="76">
          <cell r="G76">
            <v>4256636.8</v>
          </cell>
        </row>
        <row r="77">
          <cell r="G77">
            <v>10915</v>
          </cell>
        </row>
        <row r="78">
          <cell r="G78">
            <v>932280</v>
          </cell>
        </row>
        <row r="79">
          <cell r="G79">
            <v>138470.72999999998</v>
          </cell>
        </row>
        <row r="80">
          <cell r="G80">
            <v>217804.57</v>
          </cell>
        </row>
        <row r="81">
          <cell r="G81">
            <v>1152500</v>
          </cell>
        </row>
        <row r="82">
          <cell r="G82">
            <v>3998415.86</v>
          </cell>
        </row>
        <row r="83">
          <cell r="G83">
            <v>18155.34</v>
          </cell>
        </row>
        <row r="84">
          <cell r="G84">
            <v>372340</v>
          </cell>
        </row>
        <row r="85">
          <cell r="G85">
            <v>7020134.7000000002</v>
          </cell>
        </row>
        <row r="86">
          <cell r="G86">
            <v>3520806.72</v>
          </cell>
        </row>
        <row r="87">
          <cell r="G87">
            <v>3102013</v>
          </cell>
        </row>
        <row r="88">
          <cell r="G88">
            <v>420245</v>
          </cell>
        </row>
        <row r="89">
          <cell r="G89">
            <v>4470</v>
          </cell>
        </row>
        <row r="90">
          <cell r="G90">
            <v>7700</v>
          </cell>
        </row>
        <row r="93">
          <cell r="G93">
            <v>1875827</v>
          </cell>
        </row>
        <row r="94">
          <cell r="G94">
            <v>1096655</v>
          </cell>
        </row>
        <row r="95">
          <cell r="G95">
            <v>2844</v>
          </cell>
        </row>
        <row r="96">
          <cell r="G96">
            <v>314600</v>
          </cell>
        </row>
        <row r="97">
          <cell r="G97">
            <v>36532.42</v>
          </cell>
        </row>
        <row r="98">
          <cell r="G98">
            <v>62486.65</v>
          </cell>
        </row>
        <row r="99">
          <cell r="G99">
            <v>358200</v>
          </cell>
        </row>
        <row r="100">
          <cell r="G100">
            <v>1255842.4300000002</v>
          </cell>
        </row>
        <row r="101">
          <cell r="G101">
            <v>1400</v>
          </cell>
        </row>
        <row r="102">
          <cell r="G102">
            <v>125700</v>
          </cell>
        </row>
        <row r="103">
          <cell r="G103">
            <v>2225467.7000000002</v>
          </cell>
        </row>
        <row r="104">
          <cell r="G104">
            <v>1117391.44</v>
          </cell>
        </row>
        <row r="105">
          <cell r="G105">
            <v>988424</v>
          </cell>
        </row>
        <row r="106">
          <cell r="G106">
            <v>0</v>
          </cell>
        </row>
        <row r="107">
          <cell r="G107">
            <v>2430</v>
          </cell>
        </row>
        <row r="108">
          <cell r="G108">
            <v>6500</v>
          </cell>
        </row>
        <row r="111">
          <cell r="G111">
            <v>1670022.44</v>
          </cell>
        </row>
        <row r="112">
          <cell r="G112">
            <v>1448389</v>
          </cell>
        </row>
        <row r="113">
          <cell r="G113">
            <v>4532</v>
          </cell>
        </row>
        <row r="114">
          <cell r="G114">
            <v>286000</v>
          </cell>
        </row>
        <row r="115">
          <cell r="G115">
            <v>42675.209999999992</v>
          </cell>
        </row>
        <row r="116">
          <cell r="G116">
            <v>61330.92</v>
          </cell>
        </row>
        <row r="117">
          <cell r="G117">
            <v>330400</v>
          </cell>
        </row>
        <row r="118">
          <cell r="G118">
            <v>1124653.19</v>
          </cell>
        </row>
        <row r="119">
          <cell r="G119">
            <v>5862.7199999999993</v>
          </cell>
        </row>
        <row r="120">
          <cell r="G120">
            <v>111690</v>
          </cell>
        </row>
        <row r="121">
          <cell r="G121">
            <v>1962593.0200000003</v>
          </cell>
        </row>
        <row r="122">
          <cell r="G122">
            <v>981300.7100000002</v>
          </cell>
        </row>
        <row r="123">
          <cell r="G123">
            <v>857706</v>
          </cell>
        </row>
        <row r="125">
          <cell r="G125">
            <v>3240</v>
          </cell>
        </row>
        <row r="126">
          <cell r="G126">
            <v>1000</v>
          </cell>
        </row>
        <row r="129">
          <cell r="G129">
            <v>1413400</v>
          </cell>
        </row>
        <row r="130">
          <cell r="G130">
            <v>1114194</v>
          </cell>
        </row>
        <row r="131">
          <cell r="G131">
            <v>3350</v>
          </cell>
        </row>
        <row r="132">
          <cell r="G132">
            <v>231540</v>
          </cell>
        </row>
        <row r="133">
          <cell r="G133">
            <v>34053.979999999996</v>
          </cell>
        </row>
        <row r="134">
          <cell r="G134">
            <v>52161.17</v>
          </cell>
        </row>
        <row r="135">
          <cell r="G135">
            <v>266500</v>
          </cell>
        </row>
        <row r="136">
          <cell r="G136">
            <v>938889.06</v>
          </cell>
        </row>
        <row r="137">
          <cell r="G137">
            <v>21376</v>
          </cell>
        </row>
        <row r="138">
          <cell r="G138">
            <v>91770</v>
          </cell>
        </row>
        <row r="139">
          <cell r="G139">
            <v>1629133.44</v>
          </cell>
        </row>
        <row r="140">
          <cell r="G140">
            <v>834566.72</v>
          </cell>
        </row>
        <row r="141">
          <cell r="G141">
            <v>734407</v>
          </cell>
        </row>
        <row r="142">
          <cell r="G142">
            <v>347020</v>
          </cell>
        </row>
        <row r="143">
          <cell r="G143">
            <v>3150</v>
          </cell>
        </row>
        <row r="144">
          <cell r="G144">
            <v>4600</v>
          </cell>
        </row>
        <row r="147">
          <cell r="G147">
            <v>1296001.99</v>
          </cell>
        </row>
        <row r="148">
          <cell r="G148">
            <v>884257</v>
          </cell>
        </row>
        <row r="149">
          <cell r="G149">
            <v>7246.4</v>
          </cell>
        </row>
        <row r="150">
          <cell r="G150">
            <v>216480</v>
          </cell>
        </row>
        <row r="151">
          <cell r="G151">
            <v>32553.48</v>
          </cell>
        </row>
        <row r="152">
          <cell r="G152">
            <v>45422.559999999998</v>
          </cell>
        </row>
        <row r="153">
          <cell r="G153">
            <v>250000</v>
          </cell>
        </row>
        <row r="154">
          <cell r="G154">
            <v>816603.12</v>
          </cell>
        </row>
        <row r="155">
          <cell r="G155">
            <v>0</v>
          </cell>
        </row>
        <row r="156">
          <cell r="G156">
            <v>81100</v>
          </cell>
        </row>
        <row r="157">
          <cell r="G157">
            <v>1450373.67</v>
          </cell>
        </row>
        <row r="158">
          <cell r="G158">
            <v>725135.14</v>
          </cell>
        </row>
        <row r="159">
          <cell r="G159">
            <v>649912</v>
          </cell>
        </row>
        <row r="160">
          <cell r="G160">
            <v>95340</v>
          </cell>
        </row>
        <row r="161">
          <cell r="G161">
            <v>3960</v>
          </cell>
        </row>
        <row r="162">
          <cell r="G162">
            <v>4700</v>
          </cell>
        </row>
        <row r="166">
          <cell r="G166">
            <v>1365272</v>
          </cell>
        </row>
        <row r="167">
          <cell r="G167">
            <v>1015595.68</v>
          </cell>
        </row>
        <row r="168">
          <cell r="G168">
            <v>3233</v>
          </cell>
        </row>
        <row r="169">
          <cell r="G169">
            <v>227920</v>
          </cell>
        </row>
        <row r="170">
          <cell r="G170">
            <v>18950.120000000003</v>
          </cell>
        </row>
        <row r="171">
          <cell r="G171">
            <v>48657.079999999987</v>
          </cell>
        </row>
        <row r="172">
          <cell r="G172">
            <v>259000</v>
          </cell>
        </row>
        <row r="173">
          <cell r="G173">
            <v>867197.1399999999</v>
          </cell>
        </row>
        <row r="174">
          <cell r="G174">
            <v>0</v>
          </cell>
        </row>
        <row r="175">
          <cell r="G175">
            <v>82770</v>
          </cell>
        </row>
        <row r="176">
          <cell r="G176">
            <v>1499123.2700000003</v>
          </cell>
        </row>
        <row r="178">
          <cell r="G178">
            <v>683560</v>
          </cell>
        </row>
        <row r="179">
          <cell r="G179">
            <v>13020</v>
          </cell>
        </row>
        <row r="180">
          <cell r="G180">
            <v>3240</v>
          </cell>
        </row>
        <row r="181">
          <cell r="G181">
            <v>1400</v>
          </cell>
        </row>
        <row r="185">
          <cell r="G185">
            <v>4420721</v>
          </cell>
        </row>
        <row r="186">
          <cell r="G186">
            <v>2833512</v>
          </cell>
        </row>
        <row r="187">
          <cell r="G187">
            <v>8816</v>
          </cell>
        </row>
        <row r="188">
          <cell r="G188">
            <v>679360</v>
          </cell>
        </row>
        <row r="189">
          <cell r="G189">
            <v>88736.680000000008</v>
          </cell>
        </row>
        <row r="190">
          <cell r="G190">
            <v>158713.54</v>
          </cell>
        </row>
        <row r="191">
          <cell r="G191">
            <v>769000</v>
          </cell>
        </row>
        <row r="192">
          <cell r="G192">
            <v>2856850.0900000003</v>
          </cell>
        </row>
        <row r="193">
          <cell r="G193">
            <v>7413.3</v>
          </cell>
        </row>
        <row r="194">
          <cell r="G194">
            <v>270860</v>
          </cell>
        </row>
        <row r="195">
          <cell r="G195">
            <v>5078843.93</v>
          </cell>
        </row>
        <row r="196">
          <cell r="G196">
            <v>2539421.6200000006</v>
          </cell>
        </row>
        <row r="197">
          <cell r="G197">
            <v>2219422</v>
          </cell>
        </row>
        <row r="198">
          <cell r="G198">
            <v>84230</v>
          </cell>
        </row>
        <row r="199">
          <cell r="G199">
            <v>3480</v>
          </cell>
        </row>
        <row r="200">
          <cell r="G200">
            <v>10000</v>
          </cell>
        </row>
        <row r="203">
          <cell r="G203">
            <v>164918</v>
          </cell>
        </row>
        <row r="204">
          <cell r="G204">
            <v>140279</v>
          </cell>
        </row>
        <row r="205">
          <cell r="G205">
            <v>372</v>
          </cell>
        </row>
        <row r="206">
          <cell r="G206">
            <v>26400</v>
          </cell>
        </row>
        <row r="207">
          <cell r="G207">
            <v>2507.96</v>
          </cell>
        </row>
        <row r="208">
          <cell r="G208">
            <v>6375.8200000000006</v>
          </cell>
        </row>
        <row r="209">
          <cell r="G209">
            <v>30000</v>
          </cell>
        </row>
        <row r="210">
          <cell r="G210">
            <v>114761.32</v>
          </cell>
        </row>
        <row r="211">
          <cell r="G211">
            <v>1403.64</v>
          </cell>
        </row>
        <row r="212">
          <cell r="G212">
            <v>14300</v>
          </cell>
        </row>
        <row r="213">
          <cell r="G213">
            <v>204019.36</v>
          </cell>
        </row>
        <row r="214">
          <cell r="G214">
            <v>95292.84</v>
          </cell>
        </row>
        <row r="215">
          <cell r="G215">
            <v>89340</v>
          </cell>
        </row>
        <row r="216">
          <cell r="G216">
            <v>78900</v>
          </cell>
        </row>
        <row r="217">
          <cell r="G217">
            <v>0</v>
          </cell>
        </row>
        <row r="218">
          <cell r="G218">
            <v>0</v>
          </cell>
        </row>
        <row r="222">
          <cell r="G222">
            <v>517177</v>
          </cell>
        </row>
        <row r="223">
          <cell r="G223">
            <v>298954</v>
          </cell>
        </row>
        <row r="224">
          <cell r="G224">
            <v>906</v>
          </cell>
        </row>
        <row r="225">
          <cell r="G225">
            <v>91960</v>
          </cell>
        </row>
        <row r="226">
          <cell r="G226">
            <v>11225.140000000001</v>
          </cell>
        </row>
        <row r="227">
          <cell r="G227">
            <v>17825.14</v>
          </cell>
        </row>
        <row r="228">
          <cell r="G228">
            <v>104500</v>
          </cell>
        </row>
        <row r="229">
          <cell r="G229">
            <v>320843.16000000003</v>
          </cell>
        </row>
        <row r="230">
          <cell r="G230">
            <v>0</v>
          </cell>
        </row>
        <row r="231">
          <cell r="G231">
            <v>35615</v>
          </cell>
        </row>
        <row r="232">
          <cell r="G232">
            <v>570385.76</v>
          </cell>
        </row>
        <row r="233">
          <cell r="G233">
            <v>285192.88</v>
          </cell>
        </row>
        <row r="234">
          <cell r="G234">
            <v>250444</v>
          </cell>
        </row>
        <row r="235">
          <cell r="G235">
            <v>0</v>
          </cell>
        </row>
        <row r="236">
          <cell r="G236">
            <v>90</v>
          </cell>
        </row>
        <row r="237">
          <cell r="G237">
            <v>700</v>
          </cell>
        </row>
        <row r="240">
          <cell r="G240">
            <v>2639804.2999999998</v>
          </cell>
        </row>
        <row r="241">
          <cell r="G241">
            <v>1593379.5</v>
          </cell>
        </row>
        <row r="242">
          <cell r="G242">
            <v>2973</v>
          </cell>
        </row>
        <row r="243">
          <cell r="G243">
            <v>443120</v>
          </cell>
        </row>
        <row r="244">
          <cell r="G244">
            <v>43447.3</v>
          </cell>
        </row>
        <row r="245">
          <cell r="G245">
            <v>107259.71</v>
          </cell>
        </row>
        <row r="246">
          <cell r="G246">
            <v>507500</v>
          </cell>
        </row>
        <row r="247">
          <cell r="G247">
            <v>1941684.1799999997</v>
          </cell>
        </row>
        <row r="248">
          <cell r="G248">
            <v>0</v>
          </cell>
        </row>
        <row r="249">
          <cell r="G249">
            <v>157720</v>
          </cell>
        </row>
        <row r="250">
          <cell r="G250">
            <v>3460214.88</v>
          </cell>
        </row>
        <row r="251">
          <cell r="G251">
            <v>1703902.5</v>
          </cell>
        </row>
        <row r="252">
          <cell r="G252">
            <v>1464399</v>
          </cell>
        </row>
        <row r="253">
          <cell r="G253">
            <v>79300</v>
          </cell>
        </row>
        <row r="254">
          <cell r="G254">
            <v>3840</v>
          </cell>
        </row>
        <row r="255">
          <cell r="G255">
            <v>1100</v>
          </cell>
        </row>
        <row r="258">
          <cell r="G258">
            <v>927131.75</v>
          </cell>
        </row>
        <row r="259">
          <cell r="G259">
            <v>627199.32000000007</v>
          </cell>
        </row>
        <row r="260">
          <cell r="G260">
            <v>1799</v>
          </cell>
        </row>
        <row r="261">
          <cell r="G261">
            <v>164120</v>
          </cell>
        </row>
        <row r="264">
          <cell r="G264">
            <v>188500</v>
          </cell>
        </row>
        <row r="266">
          <cell r="G266">
            <v>2958.86</v>
          </cell>
        </row>
        <row r="267">
          <cell r="G267">
            <v>65710</v>
          </cell>
        </row>
        <row r="270">
          <cell r="G270">
            <v>470999</v>
          </cell>
        </row>
        <row r="271">
          <cell r="G271">
            <v>186300</v>
          </cell>
        </row>
        <row r="272">
          <cell r="G272">
            <v>1080</v>
          </cell>
        </row>
        <row r="273">
          <cell r="G273">
            <v>1200</v>
          </cell>
        </row>
      </sheetData>
      <sheetData sheetId="11">
        <row r="3">
          <cell r="X3">
            <v>4946485</v>
          </cell>
          <cell r="Y3">
            <v>247324.25</v>
          </cell>
        </row>
        <row r="4">
          <cell r="X4">
            <v>5166495</v>
          </cell>
          <cell r="Y4">
            <v>258324.75</v>
          </cell>
        </row>
        <row r="5">
          <cell r="X5">
            <v>3707920</v>
          </cell>
          <cell r="Y5">
            <v>185396</v>
          </cell>
        </row>
        <row r="7">
          <cell r="X7">
            <v>2976780</v>
          </cell>
          <cell r="Y7">
            <v>148839</v>
          </cell>
        </row>
        <row r="8">
          <cell r="X8">
            <v>3848400</v>
          </cell>
          <cell r="Y8">
            <v>192420</v>
          </cell>
        </row>
        <row r="9">
          <cell r="X9">
            <v>6298175</v>
          </cell>
          <cell r="Y9">
            <v>314908.75</v>
          </cell>
        </row>
        <row r="10">
          <cell r="X10">
            <v>6804495</v>
          </cell>
          <cell r="Y10">
            <v>340224.75</v>
          </cell>
        </row>
      </sheetData>
      <sheetData sheetId="12">
        <row r="2">
          <cell r="L2">
            <v>682070</v>
          </cell>
          <cell r="M2">
            <v>34103.5</v>
          </cell>
        </row>
        <row r="3">
          <cell r="L3">
            <v>286000</v>
          </cell>
          <cell r="M3">
            <v>6935.5</v>
          </cell>
        </row>
        <row r="4">
          <cell r="L4">
            <v>572000</v>
          </cell>
          <cell r="M4">
            <v>14157</v>
          </cell>
        </row>
        <row r="5">
          <cell r="L5">
            <v>858000</v>
          </cell>
          <cell r="M5">
            <v>23738</v>
          </cell>
        </row>
        <row r="6">
          <cell r="L6">
            <v>1166870</v>
          </cell>
          <cell r="M6">
            <v>58343.5</v>
          </cell>
        </row>
        <row r="7">
          <cell r="L7">
            <v>715000</v>
          </cell>
          <cell r="M7">
            <v>30602</v>
          </cell>
        </row>
        <row r="8">
          <cell r="L8">
            <v>893700</v>
          </cell>
          <cell r="M8">
            <v>40967</v>
          </cell>
        </row>
        <row r="9">
          <cell r="L9">
            <v>858000</v>
          </cell>
          <cell r="M9">
            <v>34177</v>
          </cell>
        </row>
        <row r="10">
          <cell r="L10">
            <v>1129670</v>
          </cell>
          <cell r="M10">
            <v>56483.5</v>
          </cell>
        </row>
        <row r="11">
          <cell r="L11">
            <v>572000</v>
          </cell>
          <cell r="M11">
            <v>21521.5</v>
          </cell>
        </row>
        <row r="12">
          <cell r="L12">
            <v>750700</v>
          </cell>
          <cell r="M12">
            <v>36248</v>
          </cell>
        </row>
        <row r="13">
          <cell r="L13">
            <v>572000</v>
          </cell>
          <cell r="M13">
            <v>17660.5</v>
          </cell>
        </row>
        <row r="14">
          <cell r="L14">
            <v>858000</v>
          </cell>
          <cell r="M14">
            <v>31746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单位名</v>
          </cell>
          <cell r="E1" t="str">
            <v>隶属</v>
          </cell>
          <cell r="F1" t="str">
            <v>所在镇</v>
          </cell>
        </row>
        <row r="2">
          <cell r="D2" t="str">
            <v>上海市闵行区颛桥镇第二幼儿园</v>
          </cell>
          <cell r="E2" t="str">
            <v>镇管</v>
          </cell>
          <cell r="F2" t="str">
            <v>颛桥</v>
          </cell>
        </row>
        <row r="3">
          <cell r="D3" t="str">
            <v>上海师范大学闵行实验幼儿园</v>
          </cell>
          <cell r="E3" t="str">
            <v>镇管</v>
          </cell>
          <cell r="F3" t="str">
            <v>颛桥</v>
          </cell>
        </row>
        <row r="4">
          <cell r="D4" t="str">
            <v>上海师范大学闵行实验幼儿园</v>
          </cell>
          <cell r="E4" t="str">
            <v>镇管</v>
          </cell>
          <cell r="F4" t="str">
            <v>颛桥</v>
          </cell>
        </row>
        <row r="5">
          <cell r="D5" t="str">
            <v>上海市闵行区君莲幼儿园</v>
          </cell>
          <cell r="E5" t="str">
            <v>镇管</v>
          </cell>
          <cell r="F5" t="str">
            <v>颛桥</v>
          </cell>
        </row>
        <row r="6">
          <cell r="D6" t="str">
            <v>上海市闵行区君莲幼儿园</v>
          </cell>
          <cell r="E6" t="str">
            <v>镇管</v>
          </cell>
          <cell r="F6" t="str">
            <v>颛桥</v>
          </cell>
        </row>
        <row r="7">
          <cell r="D7" t="str">
            <v>上海市闵行区君莲幼儿园</v>
          </cell>
          <cell r="E7" t="str">
            <v>镇管</v>
          </cell>
          <cell r="F7" t="str">
            <v>颛桥</v>
          </cell>
        </row>
        <row r="8">
          <cell r="D8" t="str">
            <v>上海市闵行区田园外语实验小学</v>
          </cell>
          <cell r="E8" t="str">
            <v>镇管</v>
          </cell>
          <cell r="F8" t="str">
            <v>颛桥</v>
          </cell>
        </row>
        <row r="9">
          <cell r="D9" t="str">
            <v>上海市闵行区田园外语实验小学</v>
          </cell>
          <cell r="E9" t="str">
            <v>镇管</v>
          </cell>
          <cell r="F9" t="str">
            <v>颛桥</v>
          </cell>
        </row>
        <row r="10">
          <cell r="D10" t="str">
            <v>上海市闵行区田园外语实验小学</v>
          </cell>
          <cell r="E10" t="str">
            <v>镇管</v>
          </cell>
          <cell r="F10" t="str">
            <v>颛桥</v>
          </cell>
        </row>
        <row r="11">
          <cell r="D11" t="str">
            <v>上海市闵行区田园外语实验小学</v>
          </cell>
          <cell r="E11" t="str">
            <v>镇管</v>
          </cell>
          <cell r="F11" t="str">
            <v>颛桥</v>
          </cell>
        </row>
        <row r="12">
          <cell r="D12" t="str">
            <v>上海市闵行区田园外语实验小学</v>
          </cell>
          <cell r="E12" t="str">
            <v>镇管</v>
          </cell>
          <cell r="F12" t="str">
            <v>颛桥</v>
          </cell>
        </row>
        <row r="13">
          <cell r="D13" t="str">
            <v>上海市闵行区田园外语实验小学</v>
          </cell>
          <cell r="E13" t="str">
            <v>镇管</v>
          </cell>
          <cell r="F13" t="str">
            <v>颛桥</v>
          </cell>
        </row>
        <row r="14">
          <cell r="D14" t="str">
            <v>上海市闵行区田园外语实验小学</v>
          </cell>
          <cell r="E14" t="str">
            <v>镇管</v>
          </cell>
          <cell r="F14" t="str">
            <v>颛桥</v>
          </cell>
        </row>
        <row r="15">
          <cell r="D15" t="str">
            <v>上海市闵行区田园外语实验小学</v>
          </cell>
          <cell r="E15" t="str">
            <v>镇管</v>
          </cell>
          <cell r="F15" t="str">
            <v>颛桥</v>
          </cell>
        </row>
        <row r="16">
          <cell r="D16" t="str">
            <v>上海市闵行区君莲学校</v>
          </cell>
          <cell r="E16" t="str">
            <v>镇管</v>
          </cell>
          <cell r="F16" t="str">
            <v>颛桥</v>
          </cell>
        </row>
        <row r="17">
          <cell r="D17" t="str">
            <v>上海市闵行区田园第二外语实验小学</v>
          </cell>
          <cell r="E17" t="str">
            <v>镇管</v>
          </cell>
          <cell r="F17" t="str">
            <v>颛桥</v>
          </cell>
        </row>
        <row r="18">
          <cell r="D18" t="str">
            <v>上海市闵行区田园第二外语实验小学</v>
          </cell>
          <cell r="E18" t="str">
            <v>镇管</v>
          </cell>
          <cell r="F18" t="str">
            <v>颛桥</v>
          </cell>
        </row>
        <row r="19">
          <cell r="D19" t="str">
            <v>上海市闵行区田园外国语中学</v>
          </cell>
          <cell r="E19" t="str">
            <v>镇管</v>
          </cell>
          <cell r="F19" t="str">
            <v>颛桥</v>
          </cell>
        </row>
        <row r="20">
          <cell r="D20" t="str">
            <v>上海市闵行区田园外国语中学</v>
          </cell>
          <cell r="E20" t="str">
            <v>镇管</v>
          </cell>
          <cell r="F20" t="str">
            <v>颛桥</v>
          </cell>
        </row>
        <row r="21">
          <cell r="D21" t="str">
            <v>上海市闵行区田园外国语中学</v>
          </cell>
          <cell r="E21" t="str">
            <v>镇管</v>
          </cell>
          <cell r="F21" t="str">
            <v>颛桥</v>
          </cell>
        </row>
        <row r="22">
          <cell r="D22" t="str">
            <v>上海市闵行区田园外国语中学</v>
          </cell>
          <cell r="E22" t="str">
            <v>镇管</v>
          </cell>
          <cell r="F22" t="str">
            <v>颛桥</v>
          </cell>
        </row>
        <row r="23">
          <cell r="D23" t="str">
            <v>上海市闵行区田园外国语中学</v>
          </cell>
          <cell r="E23" t="str">
            <v>镇管</v>
          </cell>
          <cell r="F23" t="str">
            <v>颛桥</v>
          </cell>
        </row>
        <row r="24">
          <cell r="D24" t="str">
            <v>上海市闵行区田园外国语中学</v>
          </cell>
          <cell r="E24" t="str">
            <v>镇管</v>
          </cell>
          <cell r="F24" t="str">
            <v>颛桥</v>
          </cell>
        </row>
        <row r="25">
          <cell r="D25" t="str">
            <v>上海市闵行区田园外国语中学</v>
          </cell>
          <cell r="E25" t="str">
            <v>镇管</v>
          </cell>
          <cell r="F25" t="str">
            <v>颛桥</v>
          </cell>
        </row>
        <row r="26">
          <cell r="D26" t="str">
            <v>上海市闵行区田园外国语中学</v>
          </cell>
          <cell r="E26" t="str">
            <v>镇管</v>
          </cell>
          <cell r="F26" t="str">
            <v>颛桥</v>
          </cell>
        </row>
        <row r="27">
          <cell r="D27" t="str">
            <v>上海市闵行区田园外国语中学</v>
          </cell>
          <cell r="E27" t="str">
            <v>镇管</v>
          </cell>
          <cell r="F27" t="str">
            <v>颛桥</v>
          </cell>
        </row>
        <row r="28">
          <cell r="D28" t="str">
            <v>上海市闵行区田园外国语中学</v>
          </cell>
          <cell r="E28" t="str">
            <v>镇管</v>
          </cell>
          <cell r="F28" t="str">
            <v>颛桥</v>
          </cell>
        </row>
        <row r="29">
          <cell r="D29" t="str">
            <v>上海市闵行区君莲学校</v>
          </cell>
          <cell r="E29" t="str">
            <v>镇管</v>
          </cell>
          <cell r="F29" t="str">
            <v>颛桥</v>
          </cell>
        </row>
        <row r="30">
          <cell r="D30" t="str">
            <v>上海市闵行区君莲学校</v>
          </cell>
          <cell r="E30" t="str">
            <v>镇管</v>
          </cell>
          <cell r="F30" t="str">
            <v>颛桥</v>
          </cell>
        </row>
        <row r="31">
          <cell r="D31" t="str">
            <v>上海市闵行区北桥中学</v>
          </cell>
          <cell r="E31" t="str">
            <v>镇管</v>
          </cell>
          <cell r="F31" t="str">
            <v>颛桥</v>
          </cell>
        </row>
        <row r="32">
          <cell r="D32" t="str">
            <v>上海市闵行区北桥中学</v>
          </cell>
          <cell r="E32" t="str">
            <v>镇管</v>
          </cell>
          <cell r="F32" t="str">
            <v>颛桥</v>
          </cell>
        </row>
        <row r="33">
          <cell r="D33" t="str">
            <v>上海市闵行区颛桥中学</v>
          </cell>
          <cell r="E33" t="str">
            <v>镇管</v>
          </cell>
          <cell r="F33" t="str">
            <v>颛桥</v>
          </cell>
        </row>
        <row r="34">
          <cell r="D34" t="str">
            <v>上海市闵行区颛桥中学</v>
          </cell>
          <cell r="E34" t="str">
            <v>镇管</v>
          </cell>
          <cell r="F34" t="str">
            <v>颛桥</v>
          </cell>
        </row>
        <row r="35">
          <cell r="D35" t="str">
            <v>上海市闵行区颛桥中学</v>
          </cell>
          <cell r="E35" t="str">
            <v>镇管</v>
          </cell>
          <cell r="F35" t="str">
            <v>颛桥</v>
          </cell>
        </row>
        <row r="36">
          <cell r="D36" t="str">
            <v>上海市闵行区颛桥中学</v>
          </cell>
          <cell r="E36" t="str">
            <v>镇管</v>
          </cell>
          <cell r="F36" t="str">
            <v>颛桥</v>
          </cell>
        </row>
        <row r="37">
          <cell r="D37" t="str">
            <v>上海市闵行区颛桥中学</v>
          </cell>
          <cell r="E37" t="str">
            <v>镇管</v>
          </cell>
          <cell r="F37" t="str">
            <v>颛桥</v>
          </cell>
        </row>
        <row r="38">
          <cell r="D38" t="str">
            <v>上海市闵行区北桥中学</v>
          </cell>
          <cell r="E38" t="str">
            <v>镇管</v>
          </cell>
          <cell r="F38" t="str">
            <v>颛桥</v>
          </cell>
        </row>
        <row r="39">
          <cell r="D39" t="str">
            <v>上海市闵行区颛桥中学</v>
          </cell>
          <cell r="E39" t="str">
            <v>镇管</v>
          </cell>
          <cell r="F39" t="str">
            <v>颛桥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 t="str">
            <v>华东师范大学附属闵行永德幼儿园</v>
          </cell>
          <cell r="E41" t="str">
            <v>镇管</v>
          </cell>
          <cell r="F41" t="str">
            <v>吴泾</v>
          </cell>
        </row>
        <row r="42">
          <cell r="D42" t="str">
            <v>华东师范大学附属闵行永德幼儿园</v>
          </cell>
          <cell r="E42" t="str">
            <v>镇管</v>
          </cell>
          <cell r="F42" t="str">
            <v>吴泾</v>
          </cell>
        </row>
        <row r="43">
          <cell r="D43" t="str">
            <v>华东师范大学附属闵行永德幼儿园</v>
          </cell>
          <cell r="E43" t="str">
            <v>镇管</v>
          </cell>
          <cell r="F43" t="str">
            <v>吴泾</v>
          </cell>
        </row>
        <row r="44">
          <cell r="D44" t="str">
            <v>华东师范大学附属闵行永德幼儿园</v>
          </cell>
          <cell r="E44" t="str">
            <v>镇管</v>
          </cell>
          <cell r="F44" t="str">
            <v>吴泾</v>
          </cell>
        </row>
        <row r="45">
          <cell r="D45" t="str">
            <v>华东师范大学附属闵行永德幼儿园</v>
          </cell>
          <cell r="E45" t="str">
            <v>镇管</v>
          </cell>
          <cell r="F45" t="str">
            <v>吴泾</v>
          </cell>
        </row>
        <row r="46">
          <cell r="D46" t="str">
            <v>华东师范大学附属闵行永德幼儿园</v>
          </cell>
          <cell r="E46" t="str">
            <v>镇管</v>
          </cell>
          <cell r="F46" t="str">
            <v>吴泾</v>
          </cell>
        </row>
        <row r="47">
          <cell r="D47" t="str">
            <v>上海市闵行区景东小学</v>
          </cell>
          <cell r="E47" t="str">
            <v>镇管</v>
          </cell>
          <cell r="F47" t="str">
            <v>吴泾</v>
          </cell>
        </row>
        <row r="48">
          <cell r="D48" t="str">
            <v>上海市闵行区景东小学</v>
          </cell>
          <cell r="E48" t="str">
            <v>镇管</v>
          </cell>
          <cell r="F48" t="str">
            <v>吴泾</v>
          </cell>
        </row>
        <row r="49">
          <cell r="D49" t="str">
            <v>上海市闵行区景东小学</v>
          </cell>
          <cell r="E49" t="str">
            <v>镇管</v>
          </cell>
          <cell r="F49" t="str">
            <v>吴泾</v>
          </cell>
        </row>
        <row r="50">
          <cell r="D50" t="str">
            <v>上海市闵行区吴泾镇社区学校</v>
          </cell>
          <cell r="E50" t="str">
            <v>镇管</v>
          </cell>
          <cell r="F50" t="str">
            <v>吴泾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 t="str">
            <v>上海市闵行区康城幼儿园</v>
          </cell>
          <cell r="E52" t="str">
            <v>镇管</v>
          </cell>
          <cell r="F52" t="str">
            <v>莘庄</v>
          </cell>
        </row>
        <row r="53">
          <cell r="D53" t="str">
            <v>上海市闵行区康城幼儿园</v>
          </cell>
          <cell r="E53" t="str">
            <v>镇管</v>
          </cell>
          <cell r="F53" t="str">
            <v>莘庄</v>
          </cell>
        </row>
        <row r="54">
          <cell r="D54" t="str">
            <v>上海市闵行区康城幼儿园</v>
          </cell>
          <cell r="E54" t="str">
            <v>镇管</v>
          </cell>
          <cell r="F54" t="str">
            <v>莘庄</v>
          </cell>
        </row>
        <row r="55">
          <cell r="D55" t="str">
            <v>上海市闵行区明星学校</v>
          </cell>
          <cell r="E55" t="str">
            <v>镇管</v>
          </cell>
          <cell r="F55" t="str">
            <v>莘庄</v>
          </cell>
        </row>
        <row r="56">
          <cell r="D56" t="str">
            <v>上海市闵行区明星学校</v>
          </cell>
          <cell r="E56" t="str">
            <v>镇管</v>
          </cell>
          <cell r="F56" t="str">
            <v>莘庄</v>
          </cell>
        </row>
        <row r="57">
          <cell r="D57" t="str">
            <v>上海市闵行区明星学校</v>
          </cell>
          <cell r="E57" t="str">
            <v>镇管</v>
          </cell>
          <cell r="F57" t="str">
            <v>莘庄</v>
          </cell>
        </row>
        <row r="58">
          <cell r="D58" t="str">
            <v>上海市闵行区明星学校</v>
          </cell>
          <cell r="E58" t="str">
            <v>镇管</v>
          </cell>
          <cell r="F58" t="str">
            <v>莘庄</v>
          </cell>
        </row>
        <row r="59">
          <cell r="D59" t="str">
            <v>上海市闵行区明星学校</v>
          </cell>
          <cell r="E59" t="str">
            <v>镇管</v>
          </cell>
          <cell r="F59" t="str">
            <v>莘庄</v>
          </cell>
        </row>
        <row r="60">
          <cell r="D60" t="str">
            <v>上海市闵行区明星学校</v>
          </cell>
          <cell r="E60" t="str">
            <v>镇管</v>
          </cell>
          <cell r="F60" t="str">
            <v>莘庄</v>
          </cell>
        </row>
        <row r="61">
          <cell r="D61" t="str">
            <v>上海市闵行区明星学校</v>
          </cell>
          <cell r="E61" t="str">
            <v>镇管</v>
          </cell>
          <cell r="F61" t="str">
            <v>莘庄</v>
          </cell>
        </row>
        <row r="62">
          <cell r="D62" t="str">
            <v>上海市闵行区明星学校</v>
          </cell>
          <cell r="E62" t="str">
            <v>镇管</v>
          </cell>
          <cell r="F62" t="str">
            <v>莘庄</v>
          </cell>
        </row>
        <row r="63">
          <cell r="D63" t="str">
            <v>上海市闵行区明星学校</v>
          </cell>
          <cell r="E63" t="str">
            <v>镇管</v>
          </cell>
          <cell r="F63" t="str">
            <v>莘庄</v>
          </cell>
        </row>
        <row r="64">
          <cell r="D64" t="str">
            <v>上海市闵行区明星学校</v>
          </cell>
          <cell r="E64" t="str">
            <v>镇管</v>
          </cell>
          <cell r="F64" t="str">
            <v>莘庄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 t="str">
            <v>上海市闵行区七宝明强幼儿园</v>
          </cell>
          <cell r="E66" t="str">
            <v>镇管</v>
          </cell>
          <cell r="F66" t="str">
            <v>七宝</v>
          </cell>
        </row>
        <row r="67">
          <cell r="D67" t="str">
            <v>上海市闵行区启英宝盛幼儿园</v>
          </cell>
          <cell r="E67" t="str">
            <v>镇管</v>
          </cell>
          <cell r="F67" t="str">
            <v>七宝</v>
          </cell>
        </row>
        <row r="68">
          <cell r="D68" t="str">
            <v>上海市闵行区启英宝盛幼儿园</v>
          </cell>
          <cell r="E68" t="str">
            <v>镇管</v>
          </cell>
          <cell r="F68" t="str">
            <v>七宝</v>
          </cell>
        </row>
        <row r="69">
          <cell r="D69" t="str">
            <v>上海市闵行区启英宝盛幼儿园</v>
          </cell>
          <cell r="E69" t="str">
            <v>镇管</v>
          </cell>
          <cell r="F69" t="str">
            <v>七宝</v>
          </cell>
        </row>
        <row r="70">
          <cell r="D70" t="str">
            <v>闵行区七宝镇明强小学</v>
          </cell>
          <cell r="E70" t="str">
            <v>镇管</v>
          </cell>
          <cell r="F70" t="str">
            <v>七宝</v>
          </cell>
        </row>
        <row r="71">
          <cell r="D71" t="str">
            <v>闵行区七宝镇明强小学</v>
          </cell>
          <cell r="E71" t="str">
            <v>镇管</v>
          </cell>
          <cell r="F71" t="str">
            <v>七宝</v>
          </cell>
        </row>
        <row r="72">
          <cell r="D72" t="str">
            <v>闵行区七宝镇明强小学</v>
          </cell>
          <cell r="E72" t="str">
            <v>镇管</v>
          </cell>
          <cell r="F72" t="str">
            <v>七宝</v>
          </cell>
        </row>
        <row r="73">
          <cell r="D73" t="str">
            <v>上海市闵行区七宝明强第二小学</v>
          </cell>
          <cell r="E73" t="str">
            <v>镇管</v>
          </cell>
          <cell r="F73" t="str">
            <v>七宝</v>
          </cell>
        </row>
        <row r="74">
          <cell r="D74" t="str">
            <v>上海市闵行区七宝明强第二小学</v>
          </cell>
          <cell r="E74" t="str">
            <v>镇管</v>
          </cell>
          <cell r="F74" t="str">
            <v>七宝</v>
          </cell>
        </row>
        <row r="75">
          <cell r="D75" t="str">
            <v>上海市闵行区七宝明强第二小学</v>
          </cell>
          <cell r="E75" t="str">
            <v>镇管</v>
          </cell>
          <cell r="F75" t="str">
            <v>七宝</v>
          </cell>
        </row>
        <row r="76">
          <cell r="D76" t="str">
            <v>上海市闵行区七宝明强第二小学</v>
          </cell>
          <cell r="E76" t="str">
            <v>镇管</v>
          </cell>
          <cell r="F76" t="str">
            <v>七宝</v>
          </cell>
        </row>
        <row r="77">
          <cell r="D77" t="str">
            <v>上海市闵行区七宝明强第二小学</v>
          </cell>
          <cell r="E77" t="str">
            <v>镇管</v>
          </cell>
          <cell r="F77" t="str">
            <v>七宝</v>
          </cell>
        </row>
        <row r="78">
          <cell r="D78" t="str">
            <v>上海市闵行区七宝文来学校</v>
          </cell>
          <cell r="E78" t="str">
            <v>镇管</v>
          </cell>
          <cell r="F78" t="str">
            <v>七宝</v>
          </cell>
        </row>
        <row r="79">
          <cell r="D79" t="str">
            <v>上海市闵行区七宝文来学校</v>
          </cell>
          <cell r="E79" t="str">
            <v>镇管</v>
          </cell>
          <cell r="F79" t="str">
            <v>七宝</v>
          </cell>
        </row>
        <row r="80">
          <cell r="D80" t="str">
            <v>上海市闵行区七宝文来学校</v>
          </cell>
          <cell r="E80" t="str">
            <v>镇管</v>
          </cell>
          <cell r="F80" t="str">
            <v>七宝</v>
          </cell>
        </row>
        <row r="81">
          <cell r="D81" t="str">
            <v>闵行区航华第二小学</v>
          </cell>
          <cell r="E81" t="str">
            <v>镇管</v>
          </cell>
          <cell r="F81" t="str">
            <v>七宝</v>
          </cell>
        </row>
        <row r="82">
          <cell r="D82" t="str">
            <v>闵行区黎明小学</v>
          </cell>
          <cell r="E82" t="str">
            <v>镇管</v>
          </cell>
          <cell r="F82" t="str">
            <v>七宝</v>
          </cell>
        </row>
        <row r="83">
          <cell r="D83" t="str">
            <v>上海市七宝实验小学</v>
          </cell>
          <cell r="E83" t="str">
            <v>镇管</v>
          </cell>
          <cell r="F83" t="str">
            <v>七宝</v>
          </cell>
        </row>
        <row r="84">
          <cell r="D84" t="str">
            <v>上海市七宝实验小学</v>
          </cell>
          <cell r="E84" t="str">
            <v>镇管</v>
          </cell>
          <cell r="F84" t="str">
            <v>七宝</v>
          </cell>
        </row>
        <row r="85">
          <cell r="D85" t="str">
            <v>上海市七宝实验小学</v>
          </cell>
          <cell r="E85" t="str">
            <v>镇管</v>
          </cell>
          <cell r="F85" t="str">
            <v>七宝</v>
          </cell>
        </row>
        <row r="86">
          <cell r="D86" t="str">
            <v>上海市航华中学</v>
          </cell>
          <cell r="E86" t="str">
            <v>镇管</v>
          </cell>
          <cell r="F86" t="str">
            <v>七宝</v>
          </cell>
        </row>
        <row r="87">
          <cell r="D87" t="str">
            <v>上海市航华中学</v>
          </cell>
          <cell r="E87" t="str">
            <v>镇管</v>
          </cell>
          <cell r="F87" t="str">
            <v>七宝</v>
          </cell>
        </row>
        <row r="88">
          <cell r="D88" t="str">
            <v>上海市航华中学</v>
          </cell>
          <cell r="E88" t="str">
            <v>镇管</v>
          </cell>
          <cell r="F88" t="str">
            <v>七宝</v>
          </cell>
        </row>
        <row r="89">
          <cell r="D89" t="str">
            <v>上海市航华中学</v>
          </cell>
          <cell r="E89" t="str">
            <v>镇管</v>
          </cell>
          <cell r="F89" t="str">
            <v>七宝</v>
          </cell>
        </row>
        <row r="90">
          <cell r="D90" t="str">
            <v>上海市闵行区七宝第二中学</v>
          </cell>
          <cell r="E90" t="str">
            <v>镇管</v>
          </cell>
          <cell r="F90" t="str">
            <v>七宝</v>
          </cell>
        </row>
        <row r="91">
          <cell r="D91" t="str">
            <v>上海市闵行区七宝第二中学</v>
          </cell>
          <cell r="E91" t="str">
            <v>镇管</v>
          </cell>
          <cell r="F91" t="str">
            <v>七宝</v>
          </cell>
        </row>
        <row r="92">
          <cell r="D92" t="str">
            <v>上海市闵行区七宝第二中学</v>
          </cell>
          <cell r="E92" t="str">
            <v>镇管</v>
          </cell>
          <cell r="F92" t="str">
            <v>七宝</v>
          </cell>
        </row>
        <row r="93">
          <cell r="D93" t="str">
            <v>上海市闵行区七宝第二中学</v>
          </cell>
          <cell r="E93" t="str">
            <v>镇管</v>
          </cell>
          <cell r="F93" t="str">
            <v>七宝</v>
          </cell>
        </row>
        <row r="94">
          <cell r="D94" t="str">
            <v>上海市闵行区七宝第二中学</v>
          </cell>
          <cell r="E94" t="str">
            <v>镇管</v>
          </cell>
          <cell r="F94" t="str">
            <v>七宝</v>
          </cell>
        </row>
        <row r="95">
          <cell r="D95" t="str">
            <v>上海市闵行区七宝第二中学</v>
          </cell>
          <cell r="E95" t="str">
            <v>镇管</v>
          </cell>
          <cell r="F95" t="str">
            <v>七宝</v>
          </cell>
        </row>
        <row r="96">
          <cell r="D96" t="str">
            <v>上海市闵行区七宝第三中学</v>
          </cell>
          <cell r="E96" t="str">
            <v>镇管</v>
          </cell>
          <cell r="F96" t="str">
            <v>七宝</v>
          </cell>
        </row>
        <row r="97">
          <cell r="D97" t="str">
            <v>上海市闵行区七宝文来学校</v>
          </cell>
          <cell r="E97" t="str">
            <v>镇管</v>
          </cell>
          <cell r="F97" t="str">
            <v>七宝</v>
          </cell>
        </row>
        <row r="98">
          <cell r="D98" t="str">
            <v>上海市闵行区七宝文来学校</v>
          </cell>
          <cell r="E98" t="str">
            <v>镇管</v>
          </cell>
          <cell r="F98" t="str">
            <v>七宝</v>
          </cell>
        </row>
        <row r="99">
          <cell r="D99" t="str">
            <v>上海市闵行区七宝文来学校</v>
          </cell>
          <cell r="E99" t="str">
            <v>镇管</v>
          </cell>
          <cell r="F99" t="str">
            <v>七宝</v>
          </cell>
        </row>
        <row r="100">
          <cell r="D100" t="str">
            <v>上海市闵行区七宝文来学校</v>
          </cell>
          <cell r="E100" t="str">
            <v>镇管</v>
          </cell>
          <cell r="F100" t="str">
            <v>七宝</v>
          </cell>
        </row>
        <row r="101">
          <cell r="D101" t="str">
            <v>上海市七宝实验中学</v>
          </cell>
          <cell r="E101" t="str">
            <v>镇管</v>
          </cell>
          <cell r="F101" t="str">
            <v>七宝</v>
          </cell>
        </row>
        <row r="102">
          <cell r="D102" t="str">
            <v>上海市七宝实验中学</v>
          </cell>
          <cell r="E102" t="str">
            <v>镇管</v>
          </cell>
          <cell r="F102" t="str">
            <v>七宝</v>
          </cell>
        </row>
        <row r="103">
          <cell r="D103" t="str">
            <v>上海市七宝实验中学</v>
          </cell>
          <cell r="E103" t="str">
            <v>镇管</v>
          </cell>
          <cell r="F103" t="str">
            <v>七宝</v>
          </cell>
        </row>
        <row r="104">
          <cell r="D104" t="str">
            <v>上海市七宝实验中学</v>
          </cell>
          <cell r="E104" t="str">
            <v>镇管</v>
          </cell>
          <cell r="F104" t="str">
            <v>七宝</v>
          </cell>
        </row>
        <row r="105">
          <cell r="D105" t="str">
            <v>上海市七宝实验中学</v>
          </cell>
          <cell r="E105" t="str">
            <v>镇管</v>
          </cell>
          <cell r="F105" t="str">
            <v>七宝</v>
          </cell>
        </row>
        <row r="106">
          <cell r="D106" t="str">
            <v>上海市七宝实验中学</v>
          </cell>
          <cell r="E106" t="str">
            <v>镇管</v>
          </cell>
          <cell r="F106" t="str">
            <v>七宝</v>
          </cell>
        </row>
        <row r="107">
          <cell r="D107" t="str">
            <v>上海市七宝实验中学</v>
          </cell>
          <cell r="E107" t="str">
            <v>镇管</v>
          </cell>
          <cell r="F107" t="str">
            <v>七宝</v>
          </cell>
        </row>
        <row r="108">
          <cell r="D108" t="str">
            <v>上海市七宝实验中学</v>
          </cell>
          <cell r="E108" t="str">
            <v>镇管</v>
          </cell>
          <cell r="F108" t="str">
            <v>七宝</v>
          </cell>
        </row>
        <row r="109">
          <cell r="D109" t="str">
            <v>上海市闵行区七宝第三中学</v>
          </cell>
          <cell r="E109" t="str">
            <v>镇管</v>
          </cell>
          <cell r="F109" t="str">
            <v>七宝</v>
          </cell>
        </row>
        <row r="110">
          <cell r="D110" t="str">
            <v>上海市闵行区七宝第三中学</v>
          </cell>
          <cell r="E110" t="str">
            <v>镇管</v>
          </cell>
          <cell r="F110" t="str">
            <v>七宝</v>
          </cell>
        </row>
        <row r="111">
          <cell r="D111" t="str">
            <v>上海市七宝实验中学</v>
          </cell>
          <cell r="E111" t="str">
            <v>镇管</v>
          </cell>
          <cell r="F111" t="str">
            <v>七宝</v>
          </cell>
        </row>
        <row r="112">
          <cell r="D112">
            <v>0</v>
          </cell>
          <cell r="E112">
            <v>0</v>
          </cell>
          <cell r="F112">
            <v>0</v>
          </cell>
        </row>
        <row r="113">
          <cell r="D113" t="str">
            <v>上海市闵行区浦江宝邸幼儿园</v>
          </cell>
          <cell r="E113" t="str">
            <v>镇管</v>
          </cell>
          <cell r="F113" t="str">
            <v>浦江</v>
          </cell>
        </row>
        <row r="114">
          <cell r="D114" t="str">
            <v>上海市闵行区浦江宝邸幼儿园</v>
          </cell>
          <cell r="E114" t="str">
            <v>镇管</v>
          </cell>
          <cell r="F114" t="str">
            <v>浦江</v>
          </cell>
        </row>
        <row r="115">
          <cell r="D115" t="str">
            <v>上海市闵行区浦江宝邸幼儿园</v>
          </cell>
          <cell r="E115" t="str">
            <v>镇管</v>
          </cell>
          <cell r="F115" t="str">
            <v>浦江</v>
          </cell>
        </row>
        <row r="116">
          <cell r="D116" t="str">
            <v>上海市闵行区浦江宝邸幼儿园</v>
          </cell>
          <cell r="E116" t="str">
            <v>镇管</v>
          </cell>
          <cell r="F116" t="str">
            <v>浦江</v>
          </cell>
        </row>
        <row r="117">
          <cell r="D117" t="str">
            <v>上海市闵行区浦江瑞和城幼儿园</v>
          </cell>
          <cell r="E117" t="str">
            <v>镇管</v>
          </cell>
          <cell r="F117" t="str">
            <v>浦江</v>
          </cell>
        </row>
        <row r="118">
          <cell r="D118" t="str">
            <v>上海市闵行区浦江瑞和城幼儿园</v>
          </cell>
          <cell r="E118" t="str">
            <v>镇管</v>
          </cell>
          <cell r="F118" t="str">
            <v>浦江</v>
          </cell>
        </row>
        <row r="119">
          <cell r="D119" t="str">
            <v>上海市闵行区浦江瑞和城幼儿园</v>
          </cell>
          <cell r="E119" t="str">
            <v>镇管</v>
          </cell>
          <cell r="F119" t="str">
            <v>浦江</v>
          </cell>
        </row>
        <row r="120">
          <cell r="D120" t="str">
            <v>上海市闵行区浦江瑞和城幼儿园</v>
          </cell>
          <cell r="E120" t="str">
            <v>镇管</v>
          </cell>
          <cell r="F120" t="str">
            <v>浦江</v>
          </cell>
        </row>
        <row r="121">
          <cell r="D121" t="str">
            <v>上海市闵行区浦江瑞和城幼儿园</v>
          </cell>
          <cell r="E121" t="str">
            <v>镇管</v>
          </cell>
          <cell r="F121" t="str">
            <v>浦江</v>
          </cell>
        </row>
        <row r="122">
          <cell r="D122" t="str">
            <v>上海市闵行区浦江瑞和城幼儿园</v>
          </cell>
          <cell r="E122" t="str">
            <v>镇管</v>
          </cell>
          <cell r="F122" t="str">
            <v>浦江</v>
          </cell>
        </row>
        <row r="123">
          <cell r="D123" t="str">
            <v>上海市闵行区浦江瑞和城幼儿园</v>
          </cell>
          <cell r="E123" t="str">
            <v>镇管</v>
          </cell>
          <cell r="F123" t="str">
            <v>浦江</v>
          </cell>
        </row>
        <row r="124">
          <cell r="D124" t="str">
            <v>上海市闵行区浦江闸航路幼儿园</v>
          </cell>
          <cell r="E124" t="str">
            <v>镇管</v>
          </cell>
          <cell r="F124" t="str">
            <v>浦江</v>
          </cell>
        </row>
        <row r="125">
          <cell r="D125" t="str">
            <v>上海市闵行区浦江闸航路幼儿园</v>
          </cell>
          <cell r="E125" t="str">
            <v>镇管</v>
          </cell>
          <cell r="F125" t="str">
            <v>浦江</v>
          </cell>
        </row>
        <row r="126">
          <cell r="D126" t="str">
            <v>上海市闵行区浦江闸航路幼儿园</v>
          </cell>
          <cell r="E126" t="str">
            <v>镇管</v>
          </cell>
          <cell r="F126" t="str">
            <v>浦江</v>
          </cell>
        </row>
        <row r="127">
          <cell r="D127" t="str">
            <v>上海市闵行区浦江闸航路幼儿园</v>
          </cell>
          <cell r="E127" t="str">
            <v>镇管</v>
          </cell>
          <cell r="F127" t="str">
            <v>浦江</v>
          </cell>
        </row>
        <row r="128">
          <cell r="D128" t="str">
            <v>上海市闵行区浦江闸航路幼儿园</v>
          </cell>
          <cell r="E128" t="str">
            <v>镇管</v>
          </cell>
          <cell r="F128" t="str">
            <v>浦江</v>
          </cell>
        </row>
        <row r="129">
          <cell r="D129" t="str">
            <v>上海市闵行区浦莲幼儿园</v>
          </cell>
          <cell r="E129" t="str">
            <v>镇管</v>
          </cell>
          <cell r="F129" t="str">
            <v>浦江</v>
          </cell>
        </row>
        <row r="130">
          <cell r="D130" t="str">
            <v>上海市闵行区浦莲幼儿园</v>
          </cell>
          <cell r="E130" t="str">
            <v>镇管</v>
          </cell>
          <cell r="F130" t="str">
            <v>浦江</v>
          </cell>
        </row>
        <row r="131">
          <cell r="D131" t="str">
            <v>上海市闵行区浦莲幼儿园</v>
          </cell>
          <cell r="E131" t="str">
            <v>镇管</v>
          </cell>
          <cell r="F131" t="str">
            <v>浦江</v>
          </cell>
        </row>
        <row r="132">
          <cell r="D132" t="str">
            <v>上海市闵行区浦莲幼儿园</v>
          </cell>
          <cell r="E132" t="str">
            <v>镇管</v>
          </cell>
          <cell r="F132" t="str">
            <v>浦江</v>
          </cell>
        </row>
        <row r="133">
          <cell r="D133" t="str">
            <v>上海市闵行区浦莲幼儿园</v>
          </cell>
          <cell r="E133" t="str">
            <v>镇管</v>
          </cell>
          <cell r="F133" t="str">
            <v>浦江</v>
          </cell>
        </row>
        <row r="134">
          <cell r="D134" t="str">
            <v>上海市闵行区浦莲幼儿园</v>
          </cell>
          <cell r="E134" t="str">
            <v>镇管</v>
          </cell>
          <cell r="F134" t="str">
            <v>浦江</v>
          </cell>
        </row>
        <row r="135">
          <cell r="D135" t="str">
            <v>上海市闵行区浦莲幼儿园</v>
          </cell>
          <cell r="E135" t="str">
            <v>镇管</v>
          </cell>
          <cell r="F135" t="str">
            <v>浦江</v>
          </cell>
        </row>
        <row r="136">
          <cell r="D136" t="str">
            <v>上海市闵行区浦莲幼儿园</v>
          </cell>
          <cell r="E136" t="str">
            <v>镇管</v>
          </cell>
          <cell r="F136" t="str">
            <v>浦江</v>
          </cell>
        </row>
        <row r="137">
          <cell r="D137" t="str">
            <v>上海市闵行区浦莲幼儿园</v>
          </cell>
          <cell r="E137" t="str">
            <v>镇管</v>
          </cell>
          <cell r="F137" t="str">
            <v>浦江</v>
          </cell>
        </row>
        <row r="138">
          <cell r="D138" t="str">
            <v>上海市闵行区浦莲幼儿园</v>
          </cell>
          <cell r="E138" t="str">
            <v>镇管</v>
          </cell>
          <cell r="F138" t="str">
            <v>浦江</v>
          </cell>
        </row>
        <row r="139">
          <cell r="D139" t="str">
            <v>上海市闵行区浦莲幼儿园</v>
          </cell>
          <cell r="E139" t="str">
            <v>镇管</v>
          </cell>
          <cell r="F139" t="str">
            <v>浦江</v>
          </cell>
        </row>
        <row r="140">
          <cell r="D140" t="str">
            <v>上海市闵行区浦莲幼儿园</v>
          </cell>
          <cell r="E140" t="str">
            <v>镇管</v>
          </cell>
          <cell r="F140" t="str">
            <v>浦江</v>
          </cell>
        </row>
        <row r="141">
          <cell r="D141" t="str">
            <v>上海市闵行区浦莲幼儿园</v>
          </cell>
          <cell r="E141" t="str">
            <v>镇管</v>
          </cell>
          <cell r="F141" t="str">
            <v>浦江</v>
          </cell>
        </row>
        <row r="142">
          <cell r="D142" t="str">
            <v>上海市闵行区浦莲幼儿园</v>
          </cell>
          <cell r="E142" t="str">
            <v>镇管</v>
          </cell>
          <cell r="F142" t="str">
            <v>浦江</v>
          </cell>
        </row>
        <row r="143">
          <cell r="D143" t="str">
            <v>上海市闵行区浦莲幼儿园</v>
          </cell>
          <cell r="E143" t="str">
            <v>镇管</v>
          </cell>
          <cell r="F143" t="str">
            <v>浦江</v>
          </cell>
        </row>
        <row r="144">
          <cell r="D144" t="str">
            <v>上海市闵行区浦瑞幼儿园</v>
          </cell>
          <cell r="E144" t="str">
            <v>镇管</v>
          </cell>
          <cell r="F144" t="str">
            <v>浦江</v>
          </cell>
        </row>
        <row r="145">
          <cell r="D145" t="str">
            <v>上海市闵行区浦瑞幼儿园</v>
          </cell>
          <cell r="E145" t="str">
            <v>镇管</v>
          </cell>
          <cell r="F145" t="str">
            <v>浦江</v>
          </cell>
        </row>
        <row r="146">
          <cell r="D146" t="str">
            <v>上海市闵行区浦瑞幼儿园</v>
          </cell>
          <cell r="E146" t="str">
            <v>镇管</v>
          </cell>
          <cell r="F146" t="str">
            <v>浦江</v>
          </cell>
        </row>
        <row r="147">
          <cell r="D147" t="str">
            <v>上海市闵行区浦瑞幼儿园</v>
          </cell>
          <cell r="E147" t="str">
            <v>镇管</v>
          </cell>
          <cell r="F147" t="str">
            <v>浦江</v>
          </cell>
        </row>
        <row r="148">
          <cell r="D148" t="str">
            <v>上海市闵行区浦瑞幼儿园</v>
          </cell>
          <cell r="E148" t="str">
            <v>镇管</v>
          </cell>
          <cell r="F148" t="str">
            <v>浦江</v>
          </cell>
        </row>
        <row r="149">
          <cell r="D149" t="str">
            <v>上海市闵行区浦瑞幼儿园</v>
          </cell>
          <cell r="E149" t="str">
            <v>镇管</v>
          </cell>
          <cell r="F149" t="str">
            <v>浦江</v>
          </cell>
        </row>
        <row r="150">
          <cell r="D150" t="str">
            <v>上海市闵行区浦瑞幼儿园</v>
          </cell>
          <cell r="E150" t="str">
            <v>镇管</v>
          </cell>
          <cell r="F150" t="str">
            <v>浦江</v>
          </cell>
        </row>
        <row r="151">
          <cell r="D151" t="str">
            <v>上海市闵行区浦瑞幼儿园</v>
          </cell>
          <cell r="E151" t="str">
            <v>镇管</v>
          </cell>
          <cell r="F151" t="str">
            <v>浦江</v>
          </cell>
        </row>
        <row r="152">
          <cell r="D152" t="str">
            <v>上海市闵行区浦瑞幼儿园</v>
          </cell>
          <cell r="E152" t="str">
            <v>镇管</v>
          </cell>
          <cell r="F152" t="str">
            <v>浦江</v>
          </cell>
        </row>
        <row r="153">
          <cell r="D153" t="str">
            <v>上海市闵行区浦瑞幼儿园</v>
          </cell>
          <cell r="E153" t="str">
            <v>镇管</v>
          </cell>
          <cell r="F153" t="str">
            <v>浦江</v>
          </cell>
        </row>
        <row r="154">
          <cell r="D154" t="str">
            <v>上海市闵行区浦瑞幼儿园</v>
          </cell>
          <cell r="E154" t="str">
            <v>镇管</v>
          </cell>
          <cell r="F154" t="str">
            <v>浦江</v>
          </cell>
        </row>
        <row r="155">
          <cell r="D155" t="str">
            <v>上海市闵行区浦航幼儿园</v>
          </cell>
          <cell r="E155" t="str">
            <v>镇管</v>
          </cell>
          <cell r="F155" t="str">
            <v>浦江</v>
          </cell>
        </row>
        <row r="156">
          <cell r="D156" t="str">
            <v>上海市闵行区浦航幼儿园</v>
          </cell>
          <cell r="E156" t="str">
            <v>镇管</v>
          </cell>
          <cell r="F156" t="str">
            <v>浦江</v>
          </cell>
        </row>
        <row r="157">
          <cell r="D157" t="str">
            <v>上海市闵行区浦航幼儿园</v>
          </cell>
          <cell r="E157" t="str">
            <v>镇管</v>
          </cell>
          <cell r="F157" t="str">
            <v>浦江</v>
          </cell>
        </row>
        <row r="158">
          <cell r="D158" t="str">
            <v>上海市闵行区浦航幼儿园</v>
          </cell>
          <cell r="E158" t="str">
            <v>镇管</v>
          </cell>
          <cell r="F158" t="str">
            <v>浦江</v>
          </cell>
        </row>
        <row r="159">
          <cell r="D159" t="str">
            <v>上海市闵行区浦航幼儿园</v>
          </cell>
          <cell r="E159" t="str">
            <v>镇管</v>
          </cell>
          <cell r="F159" t="str">
            <v>浦江</v>
          </cell>
        </row>
        <row r="160">
          <cell r="D160" t="str">
            <v>上海市闵行区浦江镇第二幼儿园</v>
          </cell>
          <cell r="E160" t="str">
            <v>镇管</v>
          </cell>
          <cell r="F160" t="str">
            <v>浦江</v>
          </cell>
        </row>
        <row r="161">
          <cell r="D161" t="str">
            <v>闵行区浦江镇第三幼儿园</v>
          </cell>
          <cell r="E161" t="str">
            <v>镇管</v>
          </cell>
          <cell r="F161" t="str">
            <v>浦江</v>
          </cell>
        </row>
        <row r="162">
          <cell r="D162" t="str">
            <v>闵行区浦江镇第三幼儿园</v>
          </cell>
          <cell r="E162" t="str">
            <v>镇管</v>
          </cell>
          <cell r="F162" t="str">
            <v>浦江</v>
          </cell>
        </row>
        <row r="163">
          <cell r="D163" t="str">
            <v>闵行区浦江镇第三幼儿园</v>
          </cell>
          <cell r="E163" t="str">
            <v>镇管</v>
          </cell>
          <cell r="F163" t="str">
            <v>浦江</v>
          </cell>
        </row>
        <row r="164">
          <cell r="D164" t="str">
            <v>闵行区浦江镇第三幼儿园</v>
          </cell>
          <cell r="E164" t="str">
            <v>镇管</v>
          </cell>
          <cell r="F164" t="str">
            <v>浦江</v>
          </cell>
        </row>
        <row r="165">
          <cell r="D165" t="str">
            <v>闵行区浦江镇第三幼儿园</v>
          </cell>
          <cell r="E165" t="str">
            <v>镇管</v>
          </cell>
          <cell r="F165" t="str">
            <v>浦江</v>
          </cell>
        </row>
        <row r="166">
          <cell r="D166" t="str">
            <v>闵行区浦江镇第三幼儿园</v>
          </cell>
          <cell r="E166" t="str">
            <v>镇管</v>
          </cell>
          <cell r="F166" t="str">
            <v>浦江</v>
          </cell>
        </row>
        <row r="167">
          <cell r="D167" t="str">
            <v>上海市闵行区浦莲幼儿园</v>
          </cell>
          <cell r="E167" t="str">
            <v>镇管</v>
          </cell>
          <cell r="F167" t="str">
            <v>浦江</v>
          </cell>
        </row>
        <row r="168">
          <cell r="D168" t="str">
            <v>上海市闵行区浦瑞幼儿园</v>
          </cell>
          <cell r="E168" t="str">
            <v>镇管</v>
          </cell>
          <cell r="F168" t="str">
            <v>浦江</v>
          </cell>
        </row>
        <row r="169">
          <cell r="D169" t="str">
            <v>上海市闵行区福山实验学校</v>
          </cell>
          <cell r="E169" t="str">
            <v>镇管</v>
          </cell>
          <cell r="F169" t="str">
            <v>浦江</v>
          </cell>
        </row>
        <row r="170">
          <cell r="D170" t="str">
            <v>上海市闵行区福山实验学校</v>
          </cell>
          <cell r="E170" t="str">
            <v>镇管</v>
          </cell>
          <cell r="F170" t="str">
            <v>浦江</v>
          </cell>
        </row>
        <row r="171">
          <cell r="D171" t="str">
            <v>上海市闵行区福山实验学校</v>
          </cell>
          <cell r="E171" t="str">
            <v>镇管</v>
          </cell>
          <cell r="F171" t="str">
            <v>浦江</v>
          </cell>
        </row>
        <row r="172">
          <cell r="D172" t="str">
            <v>上海市闵行区福山实验学校</v>
          </cell>
          <cell r="E172" t="str">
            <v>镇管</v>
          </cell>
          <cell r="F172" t="str">
            <v>浦江</v>
          </cell>
        </row>
        <row r="173">
          <cell r="D173" t="str">
            <v>上海市闵行区福山实验学校</v>
          </cell>
          <cell r="E173" t="str">
            <v>镇管</v>
          </cell>
          <cell r="F173" t="str">
            <v>浦江</v>
          </cell>
        </row>
        <row r="174">
          <cell r="D174" t="str">
            <v>上海市闵行区福山实验学校</v>
          </cell>
          <cell r="E174" t="str">
            <v>镇管</v>
          </cell>
          <cell r="F174" t="str">
            <v>浦江</v>
          </cell>
        </row>
        <row r="175">
          <cell r="D175" t="str">
            <v>上海市闵行区福山实验学校</v>
          </cell>
          <cell r="E175" t="str">
            <v>镇管</v>
          </cell>
          <cell r="F175" t="str">
            <v>浦江</v>
          </cell>
        </row>
        <row r="176">
          <cell r="D176" t="str">
            <v>上海市闵行区浦汇小学</v>
          </cell>
          <cell r="E176" t="str">
            <v>镇管</v>
          </cell>
          <cell r="F176" t="str">
            <v>浦江</v>
          </cell>
        </row>
        <row r="177">
          <cell r="D177" t="str">
            <v>上海市闵行区浦汇小学</v>
          </cell>
          <cell r="E177" t="str">
            <v>镇管</v>
          </cell>
          <cell r="F177" t="str">
            <v>浦江</v>
          </cell>
        </row>
        <row r="178">
          <cell r="D178" t="str">
            <v>上海市闵行区浦汇小学</v>
          </cell>
          <cell r="E178" t="str">
            <v>镇管</v>
          </cell>
          <cell r="F178" t="str">
            <v>浦江</v>
          </cell>
        </row>
        <row r="179">
          <cell r="D179" t="str">
            <v>上海市闵行区浦汇小学</v>
          </cell>
          <cell r="E179" t="str">
            <v>镇管</v>
          </cell>
          <cell r="F179" t="str">
            <v>浦江</v>
          </cell>
        </row>
        <row r="180">
          <cell r="D180" t="str">
            <v>上海市闵行区浦汇小学</v>
          </cell>
          <cell r="E180" t="str">
            <v>镇管</v>
          </cell>
          <cell r="F180" t="str">
            <v>浦江</v>
          </cell>
        </row>
        <row r="181">
          <cell r="D181" t="str">
            <v>上海市闵行区浦汇小学</v>
          </cell>
          <cell r="E181" t="str">
            <v>镇管</v>
          </cell>
          <cell r="F181" t="str">
            <v>浦江</v>
          </cell>
        </row>
        <row r="182">
          <cell r="D182" t="str">
            <v>上海市闵行区浦汇小学</v>
          </cell>
          <cell r="E182" t="str">
            <v>镇管</v>
          </cell>
          <cell r="F182" t="str">
            <v>浦江</v>
          </cell>
        </row>
        <row r="183">
          <cell r="D183" t="str">
            <v>上海市闵行区浦汇小学</v>
          </cell>
          <cell r="E183" t="str">
            <v>镇管</v>
          </cell>
          <cell r="F183" t="str">
            <v>浦江</v>
          </cell>
        </row>
        <row r="184">
          <cell r="D184" t="str">
            <v>上海市闵行区浦汇小学</v>
          </cell>
          <cell r="E184" t="str">
            <v>镇管</v>
          </cell>
          <cell r="F184" t="str">
            <v>浦江</v>
          </cell>
        </row>
        <row r="185">
          <cell r="D185" t="str">
            <v>上海市闵行区浦江第二小学</v>
          </cell>
          <cell r="E185" t="str">
            <v>镇管</v>
          </cell>
          <cell r="F185" t="str">
            <v>浦江</v>
          </cell>
        </row>
        <row r="186">
          <cell r="D186" t="str">
            <v>上海市闵行区浦江第二小学</v>
          </cell>
          <cell r="E186" t="str">
            <v>镇管</v>
          </cell>
          <cell r="F186" t="str">
            <v>浦江</v>
          </cell>
        </row>
        <row r="187">
          <cell r="D187" t="str">
            <v>上海市闵行区浦江第二小学</v>
          </cell>
          <cell r="E187" t="str">
            <v>镇管</v>
          </cell>
          <cell r="F187" t="str">
            <v>浦江</v>
          </cell>
        </row>
        <row r="188">
          <cell r="D188" t="str">
            <v>上海市闵行区浦江第二小学</v>
          </cell>
          <cell r="E188" t="str">
            <v>镇管</v>
          </cell>
          <cell r="F188" t="str">
            <v>浦江</v>
          </cell>
        </row>
        <row r="189">
          <cell r="D189" t="str">
            <v>上海市闵行区浦江第二小学</v>
          </cell>
          <cell r="E189" t="str">
            <v>镇管</v>
          </cell>
          <cell r="F189" t="str">
            <v>浦江</v>
          </cell>
        </row>
        <row r="190">
          <cell r="D190" t="str">
            <v>上海市闵行区浦江第二小学</v>
          </cell>
          <cell r="E190" t="str">
            <v>镇管</v>
          </cell>
          <cell r="F190" t="str">
            <v>浦江</v>
          </cell>
        </row>
        <row r="191">
          <cell r="D191" t="str">
            <v>上海市闵行区浦江第二小学</v>
          </cell>
          <cell r="E191" t="str">
            <v>镇管</v>
          </cell>
          <cell r="F191" t="str">
            <v>浦江</v>
          </cell>
        </row>
        <row r="192">
          <cell r="D192" t="str">
            <v>上海市闵行区浦江第二小学</v>
          </cell>
          <cell r="E192" t="str">
            <v>镇管</v>
          </cell>
          <cell r="F192" t="str">
            <v>浦江</v>
          </cell>
        </row>
        <row r="193">
          <cell r="D193" t="str">
            <v>上海市闵行区浦江第三小学</v>
          </cell>
          <cell r="E193" t="str">
            <v>镇管</v>
          </cell>
          <cell r="F193" t="str">
            <v>浦江</v>
          </cell>
        </row>
        <row r="194">
          <cell r="D194" t="str">
            <v>上海市闵行区浦江第三小学</v>
          </cell>
          <cell r="E194" t="str">
            <v>镇管</v>
          </cell>
          <cell r="F194" t="str">
            <v>浦江</v>
          </cell>
        </row>
        <row r="195">
          <cell r="D195" t="str">
            <v>上海市闵行区浦江第三小学</v>
          </cell>
          <cell r="E195" t="str">
            <v>镇管</v>
          </cell>
          <cell r="F195" t="str">
            <v>浦江</v>
          </cell>
        </row>
        <row r="196">
          <cell r="D196" t="str">
            <v>上海市闵行区浦江第三小学</v>
          </cell>
          <cell r="E196" t="str">
            <v>镇管</v>
          </cell>
          <cell r="F196" t="str">
            <v>浦江</v>
          </cell>
        </row>
        <row r="197">
          <cell r="D197" t="str">
            <v>上海市闵行区浦江第三小学</v>
          </cell>
          <cell r="E197" t="str">
            <v>镇管</v>
          </cell>
          <cell r="F197" t="str">
            <v>浦江</v>
          </cell>
        </row>
        <row r="198">
          <cell r="D198" t="str">
            <v>上海市闵行区浦江第三小学</v>
          </cell>
          <cell r="E198" t="str">
            <v>镇管</v>
          </cell>
          <cell r="F198" t="str">
            <v>浦江</v>
          </cell>
        </row>
        <row r="199">
          <cell r="D199" t="str">
            <v>上海市闵行区浦江第三小学</v>
          </cell>
          <cell r="E199" t="str">
            <v>镇管</v>
          </cell>
          <cell r="F199" t="str">
            <v>浦江</v>
          </cell>
        </row>
        <row r="200">
          <cell r="D200" t="str">
            <v>上海市闵行区浦江第三小学</v>
          </cell>
          <cell r="E200" t="str">
            <v>镇管</v>
          </cell>
          <cell r="F200" t="str">
            <v>浦江</v>
          </cell>
        </row>
        <row r="201">
          <cell r="D201" t="str">
            <v>上海市闵行区浦江第三小学</v>
          </cell>
          <cell r="E201" t="str">
            <v>镇管</v>
          </cell>
          <cell r="F201" t="str">
            <v>浦江</v>
          </cell>
        </row>
        <row r="202">
          <cell r="D202" t="str">
            <v>上海市闵行区浦江第三小学</v>
          </cell>
          <cell r="E202" t="str">
            <v>镇管</v>
          </cell>
          <cell r="F202" t="str">
            <v>浦江</v>
          </cell>
        </row>
        <row r="203">
          <cell r="D203" t="str">
            <v>上海戏剧学院闵行附属学校</v>
          </cell>
          <cell r="E203" t="str">
            <v>镇管</v>
          </cell>
          <cell r="F203" t="str">
            <v>浦江</v>
          </cell>
        </row>
        <row r="204">
          <cell r="D204" t="str">
            <v>上海世外教育附属浦江外国语学校</v>
          </cell>
          <cell r="E204" t="str">
            <v>镇管</v>
          </cell>
          <cell r="F204" t="str">
            <v>浦江</v>
          </cell>
        </row>
        <row r="205">
          <cell r="D205" t="str">
            <v>上海世外教育附属浦江外国语学校</v>
          </cell>
          <cell r="E205" t="str">
            <v>镇管</v>
          </cell>
          <cell r="F205" t="str">
            <v>浦江</v>
          </cell>
        </row>
        <row r="206">
          <cell r="D206" t="str">
            <v>上海世外教育附属浦江外国语学校</v>
          </cell>
          <cell r="E206" t="str">
            <v>镇管</v>
          </cell>
          <cell r="F206" t="str">
            <v>浦江</v>
          </cell>
        </row>
        <row r="207">
          <cell r="D207" t="str">
            <v>上海世外教育附属浦江外国语学校</v>
          </cell>
          <cell r="E207" t="str">
            <v>镇管</v>
          </cell>
          <cell r="F207" t="str">
            <v>浦江</v>
          </cell>
        </row>
        <row r="208">
          <cell r="D208" t="str">
            <v>上海市闵行区浦江第二小学</v>
          </cell>
          <cell r="E208" t="str">
            <v>镇管</v>
          </cell>
          <cell r="F208" t="str">
            <v>浦江</v>
          </cell>
        </row>
        <row r="209">
          <cell r="D209" t="str">
            <v>上海师范大学附属中学闵行实验学校</v>
          </cell>
          <cell r="E209" t="str">
            <v>镇管</v>
          </cell>
          <cell r="F209" t="str">
            <v>浦江</v>
          </cell>
        </row>
        <row r="210">
          <cell r="D210" t="str">
            <v>上海师范大学附属中学闵行实验学校</v>
          </cell>
          <cell r="E210" t="str">
            <v>镇管</v>
          </cell>
          <cell r="F210" t="str">
            <v>浦江</v>
          </cell>
        </row>
        <row r="211">
          <cell r="D211" t="str">
            <v>上海师范大学附属中学闵行实验学校</v>
          </cell>
          <cell r="E211" t="str">
            <v>镇管</v>
          </cell>
          <cell r="F211" t="str">
            <v>浦江</v>
          </cell>
        </row>
        <row r="212">
          <cell r="D212" t="str">
            <v>上海师范大学附属中学闵行实验学校</v>
          </cell>
          <cell r="E212" t="str">
            <v>镇管</v>
          </cell>
          <cell r="F212" t="str">
            <v>浦江</v>
          </cell>
        </row>
        <row r="213">
          <cell r="D213" t="str">
            <v>上海师范大学附属中学闵行实验学校</v>
          </cell>
          <cell r="E213" t="str">
            <v>镇管</v>
          </cell>
          <cell r="F213" t="str">
            <v>浦江</v>
          </cell>
        </row>
        <row r="214">
          <cell r="D214" t="str">
            <v>上海市闵行区浦航实验中学</v>
          </cell>
          <cell r="E214" t="str">
            <v>镇管</v>
          </cell>
          <cell r="F214" t="str">
            <v>浦江</v>
          </cell>
        </row>
        <row r="215">
          <cell r="D215" t="str">
            <v>上海市闵行区浦航实验中学</v>
          </cell>
          <cell r="E215" t="str">
            <v>镇管</v>
          </cell>
          <cell r="F215" t="str">
            <v>浦江</v>
          </cell>
        </row>
        <row r="216">
          <cell r="D216" t="str">
            <v>上海市闵行区浦航实验中学</v>
          </cell>
          <cell r="E216" t="str">
            <v>镇管</v>
          </cell>
          <cell r="F216" t="str">
            <v>浦江</v>
          </cell>
        </row>
        <row r="217">
          <cell r="D217" t="str">
            <v>上海市闵行区浦航实验中学</v>
          </cell>
          <cell r="E217" t="str">
            <v>镇管</v>
          </cell>
          <cell r="F217" t="str">
            <v>浦江</v>
          </cell>
        </row>
        <row r="218">
          <cell r="D218" t="str">
            <v>上海市闵行区浦航实验中学</v>
          </cell>
          <cell r="E218" t="str">
            <v>镇管</v>
          </cell>
          <cell r="F218" t="str">
            <v>浦江</v>
          </cell>
        </row>
        <row r="219">
          <cell r="D219" t="str">
            <v>上海市闵行区浦航实验中学</v>
          </cell>
          <cell r="E219" t="str">
            <v>镇管</v>
          </cell>
          <cell r="F219" t="str">
            <v>浦江</v>
          </cell>
        </row>
        <row r="220">
          <cell r="D220" t="str">
            <v>上海市闵行区浦江第二中学</v>
          </cell>
          <cell r="E220" t="str">
            <v>镇管</v>
          </cell>
          <cell r="F220" t="str">
            <v>浦江</v>
          </cell>
        </row>
        <row r="221">
          <cell r="D221" t="str">
            <v>上海市闵行区浦江第二中学</v>
          </cell>
          <cell r="E221" t="str">
            <v>镇管</v>
          </cell>
          <cell r="F221" t="str">
            <v>浦江</v>
          </cell>
        </row>
        <row r="222">
          <cell r="D222" t="str">
            <v>上海市闵行区浦江第二中学</v>
          </cell>
          <cell r="E222" t="str">
            <v>镇管</v>
          </cell>
          <cell r="F222" t="str">
            <v>浦江</v>
          </cell>
        </row>
        <row r="223">
          <cell r="D223" t="str">
            <v>上海市闵行区浦江第二中学</v>
          </cell>
          <cell r="E223" t="str">
            <v>镇管</v>
          </cell>
          <cell r="F223" t="str">
            <v>浦江</v>
          </cell>
        </row>
        <row r="224">
          <cell r="D224" t="str">
            <v>上海市闵行区浦江第二中学</v>
          </cell>
          <cell r="E224" t="str">
            <v>镇管</v>
          </cell>
          <cell r="F224" t="str">
            <v>浦江</v>
          </cell>
        </row>
        <row r="225">
          <cell r="D225" t="str">
            <v>上海市闵行区浦江第二中学</v>
          </cell>
          <cell r="E225" t="str">
            <v>镇管</v>
          </cell>
          <cell r="F225" t="str">
            <v>浦江</v>
          </cell>
        </row>
        <row r="226">
          <cell r="D226" t="str">
            <v>上海市闵行区浦江第二中学</v>
          </cell>
          <cell r="E226" t="str">
            <v>镇管</v>
          </cell>
          <cell r="F226" t="str">
            <v>浦江</v>
          </cell>
        </row>
        <row r="227">
          <cell r="D227" t="str">
            <v>上海市闵行区浦江第三中学</v>
          </cell>
          <cell r="E227" t="str">
            <v>镇管</v>
          </cell>
          <cell r="F227" t="str">
            <v>浦江</v>
          </cell>
        </row>
        <row r="228">
          <cell r="D228" t="str">
            <v>上海市闵行区浦江第三中学</v>
          </cell>
          <cell r="E228" t="str">
            <v>镇管</v>
          </cell>
          <cell r="F228" t="str">
            <v>浦江</v>
          </cell>
        </row>
        <row r="229">
          <cell r="D229" t="str">
            <v>上海市闵行区浦江第三中学</v>
          </cell>
          <cell r="E229" t="str">
            <v>镇管</v>
          </cell>
          <cell r="F229" t="str">
            <v>浦江</v>
          </cell>
        </row>
        <row r="230">
          <cell r="D230" t="str">
            <v>上海市闵行区浦江第三中学</v>
          </cell>
          <cell r="E230" t="str">
            <v>镇管</v>
          </cell>
          <cell r="F230" t="str">
            <v>浦江</v>
          </cell>
        </row>
        <row r="231">
          <cell r="D231" t="str">
            <v>上海市闵行区浦江第三中学</v>
          </cell>
          <cell r="E231" t="str">
            <v>镇管</v>
          </cell>
          <cell r="F231" t="str">
            <v>浦江</v>
          </cell>
        </row>
        <row r="232">
          <cell r="D232" t="str">
            <v>上海师范大学附属中学闵行实验学校</v>
          </cell>
          <cell r="E232" t="str">
            <v>镇管</v>
          </cell>
          <cell r="F232" t="str">
            <v>浦江</v>
          </cell>
        </row>
        <row r="233">
          <cell r="D233" t="str">
            <v>上海师范大学附属中学闵行实验学校</v>
          </cell>
          <cell r="E233" t="str">
            <v>镇管</v>
          </cell>
          <cell r="F233" t="str">
            <v>浦江</v>
          </cell>
        </row>
        <row r="234">
          <cell r="D234" t="str">
            <v>上海市闵行区浦航实验中学</v>
          </cell>
          <cell r="E234" t="str">
            <v>镇管</v>
          </cell>
          <cell r="F234" t="str">
            <v>浦江</v>
          </cell>
        </row>
        <row r="235">
          <cell r="D235" t="str">
            <v>上海市闵行区浦航实验中学</v>
          </cell>
          <cell r="E235" t="str">
            <v>镇管</v>
          </cell>
          <cell r="F235" t="str">
            <v>浦江</v>
          </cell>
        </row>
        <row r="236">
          <cell r="D236" t="str">
            <v>上海市闵行区浦江第二中学</v>
          </cell>
          <cell r="E236" t="str">
            <v>镇管</v>
          </cell>
          <cell r="F236" t="str">
            <v>浦江</v>
          </cell>
        </row>
        <row r="237">
          <cell r="D237">
            <v>0</v>
          </cell>
          <cell r="E237">
            <v>0</v>
          </cell>
          <cell r="F237">
            <v>0</v>
          </cell>
        </row>
        <row r="238">
          <cell r="D238" t="str">
            <v>上海市闵行区春申景城幼儿园</v>
          </cell>
          <cell r="E238" t="str">
            <v>镇管</v>
          </cell>
          <cell r="F238" t="str">
            <v>梅陇</v>
          </cell>
        </row>
        <row r="239">
          <cell r="D239" t="str">
            <v>上海市闵行区梅陇永联幼儿园</v>
          </cell>
          <cell r="E239" t="str">
            <v>镇管</v>
          </cell>
          <cell r="F239" t="str">
            <v>梅陇</v>
          </cell>
        </row>
        <row r="240">
          <cell r="D240" t="str">
            <v>上海市闵行区梅陇梅锦幼儿园</v>
          </cell>
          <cell r="E240" t="str">
            <v>镇管</v>
          </cell>
          <cell r="F240" t="str">
            <v>梅陇</v>
          </cell>
        </row>
        <row r="241">
          <cell r="D241" t="str">
            <v>上海市闵行区梅陇梅锦幼儿园</v>
          </cell>
          <cell r="E241" t="str">
            <v>镇管</v>
          </cell>
          <cell r="F241" t="str">
            <v>梅陇</v>
          </cell>
        </row>
        <row r="242">
          <cell r="D242" t="str">
            <v>上海中医药大学附属闵行蔷薇小学</v>
          </cell>
          <cell r="E242" t="str">
            <v>镇管</v>
          </cell>
          <cell r="F242" t="str">
            <v>梅陇</v>
          </cell>
        </row>
        <row r="243">
          <cell r="D243" t="str">
            <v>上海市闵行区第三实验小学</v>
          </cell>
          <cell r="E243" t="str">
            <v>镇管</v>
          </cell>
          <cell r="F243" t="str">
            <v>梅陇</v>
          </cell>
        </row>
        <row r="244">
          <cell r="D244" t="str">
            <v>华东理工大学附属闵行梅陇实验学校</v>
          </cell>
          <cell r="E244" t="str">
            <v>镇管</v>
          </cell>
          <cell r="F244" t="str">
            <v>梅陇</v>
          </cell>
        </row>
        <row r="245">
          <cell r="D245" t="str">
            <v>上海市罗阳中学</v>
          </cell>
          <cell r="E245" t="str">
            <v>镇管</v>
          </cell>
          <cell r="F245" t="str">
            <v>梅陇</v>
          </cell>
        </row>
        <row r="246">
          <cell r="D246" t="str">
            <v>上海市罗阳中学</v>
          </cell>
          <cell r="E246" t="str">
            <v>镇管</v>
          </cell>
          <cell r="F246" t="str">
            <v>梅陇</v>
          </cell>
        </row>
        <row r="247">
          <cell r="D247" t="str">
            <v>上海市罗阳中学</v>
          </cell>
          <cell r="E247" t="str">
            <v>镇管</v>
          </cell>
          <cell r="F247" t="str">
            <v>梅陇</v>
          </cell>
        </row>
        <row r="248">
          <cell r="D248" t="str">
            <v>上海市七宝中学附属闵行金都实验中学</v>
          </cell>
          <cell r="E248" t="str">
            <v>镇管</v>
          </cell>
          <cell r="F248" t="str">
            <v>梅陇</v>
          </cell>
        </row>
        <row r="249">
          <cell r="D249" t="str">
            <v>上海市七宝中学附属闵行金都实验中学</v>
          </cell>
          <cell r="E249" t="str">
            <v>镇管</v>
          </cell>
          <cell r="F249" t="str">
            <v>梅陇</v>
          </cell>
        </row>
        <row r="250">
          <cell r="D250" t="str">
            <v>上海市七宝中学附属闵行金都实验中学</v>
          </cell>
          <cell r="E250" t="str">
            <v>镇管</v>
          </cell>
          <cell r="F250" t="str">
            <v>梅陇</v>
          </cell>
        </row>
        <row r="251">
          <cell r="D251" t="str">
            <v>上海市七宝中学附属闵行金都实验中学</v>
          </cell>
          <cell r="E251" t="str">
            <v>镇管</v>
          </cell>
          <cell r="F251" t="str">
            <v>梅陇</v>
          </cell>
        </row>
        <row r="252">
          <cell r="D252" t="str">
            <v>上海市七宝中学附属闵行金都实验中学</v>
          </cell>
          <cell r="E252" t="str">
            <v>镇管</v>
          </cell>
          <cell r="F252" t="str">
            <v>梅陇</v>
          </cell>
        </row>
        <row r="253">
          <cell r="D253" t="str">
            <v>上海中医药大学附属闵行晶城中学</v>
          </cell>
          <cell r="E253" t="str">
            <v>镇管</v>
          </cell>
          <cell r="F253" t="str">
            <v>梅陇</v>
          </cell>
        </row>
        <row r="254">
          <cell r="D254" t="str">
            <v>上海中医药大学附属闵行晶城中学</v>
          </cell>
          <cell r="E254" t="str">
            <v>镇管</v>
          </cell>
          <cell r="F254" t="str">
            <v>梅陇</v>
          </cell>
        </row>
        <row r="255">
          <cell r="D255" t="str">
            <v>上海中医药大学附属闵行晶城中学</v>
          </cell>
          <cell r="E255" t="str">
            <v>镇管</v>
          </cell>
          <cell r="F255" t="str">
            <v>梅陇</v>
          </cell>
        </row>
        <row r="256">
          <cell r="D256" t="str">
            <v>上海中医药大学附属闵行晶城中学</v>
          </cell>
          <cell r="E256" t="str">
            <v>镇管</v>
          </cell>
          <cell r="F256" t="str">
            <v>梅陇</v>
          </cell>
        </row>
        <row r="257">
          <cell r="D257" t="str">
            <v>上海中医药大学附属闵行晶城中学</v>
          </cell>
          <cell r="E257" t="str">
            <v>镇管</v>
          </cell>
          <cell r="F257" t="str">
            <v>梅陇</v>
          </cell>
        </row>
        <row r="258">
          <cell r="D258">
            <v>0</v>
          </cell>
          <cell r="E258">
            <v>0</v>
          </cell>
          <cell r="F258">
            <v>0</v>
          </cell>
        </row>
        <row r="259">
          <cell r="D259" t="str">
            <v>上海市闵行区马桥富国幼儿园</v>
          </cell>
          <cell r="E259" t="str">
            <v>镇管</v>
          </cell>
          <cell r="F259" t="str">
            <v>马桥</v>
          </cell>
        </row>
        <row r="260">
          <cell r="D260" t="str">
            <v>上海市闵行区马桥富国幼儿园</v>
          </cell>
          <cell r="E260" t="str">
            <v>镇管</v>
          </cell>
          <cell r="F260" t="str">
            <v>马桥</v>
          </cell>
        </row>
        <row r="261">
          <cell r="D261" t="str">
            <v>上海市闵行区马桥富国幼儿园</v>
          </cell>
          <cell r="E261" t="str">
            <v>镇管</v>
          </cell>
          <cell r="F261" t="str">
            <v>马桥</v>
          </cell>
        </row>
        <row r="262">
          <cell r="D262" t="str">
            <v>上海市闵行区马桥启英幼儿园</v>
          </cell>
          <cell r="E262" t="str">
            <v>镇管</v>
          </cell>
          <cell r="F262" t="str">
            <v>马桥</v>
          </cell>
        </row>
        <row r="263">
          <cell r="D263" t="str">
            <v>上海市闵行区马桥启英幼儿园</v>
          </cell>
          <cell r="E263" t="str">
            <v>镇管</v>
          </cell>
          <cell r="F263" t="str">
            <v>马桥</v>
          </cell>
        </row>
        <row r="264">
          <cell r="D264" t="str">
            <v>上海市闵行区马桥启英幼儿园</v>
          </cell>
          <cell r="E264" t="str">
            <v>镇管</v>
          </cell>
          <cell r="F264" t="str">
            <v>马桥</v>
          </cell>
        </row>
        <row r="265">
          <cell r="D265" t="str">
            <v>上海市闵行区马桥富国幼儿园</v>
          </cell>
          <cell r="E265" t="str">
            <v>镇管</v>
          </cell>
          <cell r="F265" t="str">
            <v>马桥</v>
          </cell>
        </row>
        <row r="266">
          <cell r="D266" t="str">
            <v>上海市闵行区马桥文来外国语小学</v>
          </cell>
          <cell r="E266" t="str">
            <v>镇管</v>
          </cell>
          <cell r="F266" t="str">
            <v>马桥</v>
          </cell>
        </row>
        <row r="267">
          <cell r="D267" t="str">
            <v>上海市闵行区马桥文来外国语小学</v>
          </cell>
          <cell r="E267" t="str">
            <v>镇管</v>
          </cell>
          <cell r="F267" t="str">
            <v>马桥</v>
          </cell>
        </row>
        <row r="268">
          <cell r="D268" t="str">
            <v>上海市闵行区马桥文来外国语小学</v>
          </cell>
          <cell r="E268" t="str">
            <v>镇管</v>
          </cell>
          <cell r="F268" t="str">
            <v>马桥</v>
          </cell>
        </row>
        <row r="269">
          <cell r="D269" t="str">
            <v>上海市闵行区马桥文来外国语小学</v>
          </cell>
          <cell r="E269" t="str">
            <v>镇管</v>
          </cell>
          <cell r="F269" t="str">
            <v>马桥</v>
          </cell>
        </row>
        <row r="270">
          <cell r="D270" t="str">
            <v>上海交通大学附属闵行马桥实验学校</v>
          </cell>
          <cell r="E270" t="str">
            <v>镇管</v>
          </cell>
          <cell r="F270" t="str">
            <v>马桥</v>
          </cell>
        </row>
        <row r="271">
          <cell r="D271" t="str">
            <v>上海交通大学附属闵行马桥实验学校</v>
          </cell>
          <cell r="E271" t="str">
            <v>镇管</v>
          </cell>
          <cell r="F271" t="str">
            <v>马桥</v>
          </cell>
        </row>
        <row r="272">
          <cell r="D272" t="str">
            <v>上海交通大学附属闵行马桥实验学校</v>
          </cell>
          <cell r="E272" t="str">
            <v>镇管</v>
          </cell>
          <cell r="F272" t="str">
            <v>马桥</v>
          </cell>
        </row>
        <row r="273">
          <cell r="D273" t="str">
            <v>上海交通大学附属闵行马桥实验学校</v>
          </cell>
          <cell r="E273" t="str">
            <v>镇管</v>
          </cell>
          <cell r="F273" t="str">
            <v>马桥</v>
          </cell>
        </row>
        <row r="274">
          <cell r="D274" t="str">
            <v>上海交通大学附属闵行马桥实验学校</v>
          </cell>
          <cell r="E274" t="str">
            <v>镇管</v>
          </cell>
          <cell r="F274" t="str">
            <v>马桥</v>
          </cell>
        </row>
        <row r="275">
          <cell r="D275" t="str">
            <v>上海交通大学附属闵行马桥实验学校</v>
          </cell>
          <cell r="E275" t="str">
            <v>镇管</v>
          </cell>
          <cell r="F275" t="str">
            <v>马桥</v>
          </cell>
        </row>
        <row r="276">
          <cell r="D276" t="str">
            <v>上海交通大学附属闵行马桥实验学校</v>
          </cell>
          <cell r="E276" t="str">
            <v>镇管</v>
          </cell>
          <cell r="F276" t="str">
            <v>马桥</v>
          </cell>
        </row>
        <row r="277">
          <cell r="D277" t="str">
            <v>上海交通大学附属闵行马桥实验学校</v>
          </cell>
          <cell r="E277" t="str">
            <v>镇管</v>
          </cell>
          <cell r="F277" t="str">
            <v>马桥</v>
          </cell>
        </row>
        <row r="278">
          <cell r="D278" t="str">
            <v>上海交通大学附属闵行马桥实验学校</v>
          </cell>
          <cell r="E278" t="str">
            <v>镇管</v>
          </cell>
          <cell r="F278" t="str">
            <v>马桥</v>
          </cell>
        </row>
        <row r="279">
          <cell r="D279" t="str">
            <v>上海交通大学附属闵行马桥实验学校</v>
          </cell>
          <cell r="E279" t="str">
            <v>镇管</v>
          </cell>
          <cell r="F279" t="str">
            <v>马桥</v>
          </cell>
        </row>
        <row r="280">
          <cell r="D280" t="str">
            <v>上海市马桥强恕学校</v>
          </cell>
          <cell r="E280" t="str">
            <v>镇管</v>
          </cell>
          <cell r="F280" t="str">
            <v>马桥</v>
          </cell>
        </row>
        <row r="281">
          <cell r="D281" t="str">
            <v>上海市马桥强恕学校</v>
          </cell>
          <cell r="E281" t="str">
            <v>镇管</v>
          </cell>
          <cell r="F281" t="str">
            <v>马桥</v>
          </cell>
        </row>
        <row r="282">
          <cell r="D282" t="str">
            <v>上海市闵行区马桥复旦万科实验中学</v>
          </cell>
          <cell r="E282" t="str">
            <v>镇管</v>
          </cell>
          <cell r="F282" t="str">
            <v>马桥</v>
          </cell>
        </row>
        <row r="283">
          <cell r="D283" t="str">
            <v>上海市闵行区马桥复旦万科实验中学</v>
          </cell>
          <cell r="E283" t="str">
            <v>镇管</v>
          </cell>
          <cell r="F283" t="str">
            <v>马桥</v>
          </cell>
        </row>
        <row r="284">
          <cell r="D284" t="str">
            <v>上海交通大学附属闵行马桥实验学校</v>
          </cell>
          <cell r="E284" t="str">
            <v>镇管</v>
          </cell>
          <cell r="F284" t="str">
            <v>马桥</v>
          </cell>
        </row>
        <row r="285">
          <cell r="D285">
            <v>0</v>
          </cell>
          <cell r="E285">
            <v>0</v>
          </cell>
          <cell r="F285">
            <v>0</v>
          </cell>
        </row>
        <row r="286">
          <cell r="D286" t="str">
            <v>上海市闵行区华漕镇金色幼儿园</v>
          </cell>
          <cell r="E286" t="str">
            <v>镇管</v>
          </cell>
          <cell r="F286" t="str">
            <v>华漕</v>
          </cell>
        </row>
        <row r="287">
          <cell r="D287" t="str">
            <v>闵行区华漕镇纪王幼儿园</v>
          </cell>
          <cell r="E287" t="str">
            <v>镇管</v>
          </cell>
          <cell r="F287" t="str">
            <v>华漕</v>
          </cell>
        </row>
        <row r="288">
          <cell r="D288" t="str">
            <v>上海市闵行区华漕镇季乐路幼儿园</v>
          </cell>
          <cell r="E288" t="str">
            <v>镇管</v>
          </cell>
          <cell r="F288" t="str">
            <v>华漕</v>
          </cell>
        </row>
        <row r="289">
          <cell r="D289" t="str">
            <v>上海市闵行区华漕镇季乐路幼儿园</v>
          </cell>
          <cell r="E289" t="str">
            <v>镇管</v>
          </cell>
          <cell r="F289" t="str">
            <v>华漕</v>
          </cell>
        </row>
        <row r="290">
          <cell r="D290" t="str">
            <v>上海市闵行区华漕镇季乐路幼儿园</v>
          </cell>
          <cell r="E290" t="str">
            <v>镇管</v>
          </cell>
          <cell r="F290" t="str">
            <v>华漕</v>
          </cell>
        </row>
        <row r="291">
          <cell r="D291" t="str">
            <v>上海市闵行区华漕镇季乐路幼儿园</v>
          </cell>
          <cell r="E291" t="str">
            <v>镇管</v>
          </cell>
          <cell r="F291" t="str">
            <v>华漕</v>
          </cell>
        </row>
        <row r="292">
          <cell r="D292" t="str">
            <v>上海市闵行区华漕镇季乐路幼儿园</v>
          </cell>
          <cell r="E292" t="str">
            <v>镇管</v>
          </cell>
          <cell r="F292" t="str">
            <v>华漕</v>
          </cell>
        </row>
        <row r="293">
          <cell r="D293" t="str">
            <v>上海市闵行区华漕镇季乐路幼儿园</v>
          </cell>
          <cell r="E293" t="str">
            <v>镇管</v>
          </cell>
          <cell r="F293" t="str">
            <v>华漕</v>
          </cell>
        </row>
        <row r="294">
          <cell r="D294" t="str">
            <v>上海市闵行区华漕学校</v>
          </cell>
          <cell r="E294" t="str">
            <v>镇管</v>
          </cell>
          <cell r="F294" t="str">
            <v>华漕</v>
          </cell>
        </row>
        <row r="295">
          <cell r="D295" t="str">
            <v>上海市闵行区华漕学校</v>
          </cell>
          <cell r="E295" t="str">
            <v>镇管</v>
          </cell>
          <cell r="F295" t="str">
            <v>华漕</v>
          </cell>
        </row>
        <row r="296">
          <cell r="D296" t="str">
            <v>上海市闵行区华漕学校</v>
          </cell>
          <cell r="E296" t="str">
            <v>镇管</v>
          </cell>
          <cell r="F296" t="str">
            <v>华漕</v>
          </cell>
        </row>
        <row r="297">
          <cell r="D297" t="str">
            <v>上海市闵行区诸翟学校</v>
          </cell>
          <cell r="E297" t="str">
            <v>镇管</v>
          </cell>
          <cell r="F297" t="str">
            <v>华漕</v>
          </cell>
        </row>
        <row r="298">
          <cell r="D298" t="str">
            <v>上海市闵行区诸翟学校</v>
          </cell>
          <cell r="E298" t="str">
            <v>镇管</v>
          </cell>
          <cell r="F298" t="str">
            <v>华漕</v>
          </cell>
        </row>
        <row r="299">
          <cell r="D299" t="str">
            <v>上海市闵行区诸翟学校</v>
          </cell>
          <cell r="E299" t="str">
            <v>镇管</v>
          </cell>
          <cell r="F299" t="str">
            <v>华漕</v>
          </cell>
        </row>
        <row r="300">
          <cell r="D300" t="str">
            <v>上海市闵行区诸翟学校</v>
          </cell>
          <cell r="E300" t="str">
            <v>镇管</v>
          </cell>
          <cell r="F300" t="str">
            <v>华漕</v>
          </cell>
        </row>
        <row r="301">
          <cell r="D301" t="str">
            <v>上海市闵行区诸翟学校</v>
          </cell>
          <cell r="E301" t="str">
            <v>镇管</v>
          </cell>
          <cell r="F301" t="str">
            <v>华漕</v>
          </cell>
        </row>
        <row r="302">
          <cell r="D302" t="str">
            <v>上海市闵行区诸翟学校</v>
          </cell>
          <cell r="E302" t="str">
            <v>镇管</v>
          </cell>
          <cell r="F302" t="str">
            <v>华漕</v>
          </cell>
        </row>
        <row r="303">
          <cell r="D303" t="str">
            <v>上海市闵行区华漕学校</v>
          </cell>
          <cell r="E303" t="str">
            <v>镇管</v>
          </cell>
          <cell r="F303" t="str">
            <v>华漕</v>
          </cell>
        </row>
        <row r="304">
          <cell r="D304" t="str">
            <v>上海市闵行区诸翟学校</v>
          </cell>
          <cell r="E304" t="str">
            <v>镇管</v>
          </cell>
          <cell r="F304" t="str">
            <v>华漕</v>
          </cell>
        </row>
        <row r="305">
          <cell r="D305" t="str">
            <v>上海市闵行区诸翟学校</v>
          </cell>
          <cell r="E305" t="str">
            <v>镇管</v>
          </cell>
          <cell r="F305" t="str">
            <v>华漕</v>
          </cell>
        </row>
        <row r="306">
          <cell r="D306" t="str">
            <v>上海市闵行区诸翟学校</v>
          </cell>
          <cell r="E306" t="str">
            <v>镇管</v>
          </cell>
          <cell r="F306" t="str">
            <v>华漕</v>
          </cell>
        </row>
        <row r="307">
          <cell r="D307" t="str">
            <v>上海市闵行区诸翟学校</v>
          </cell>
          <cell r="E307" t="str">
            <v>镇管</v>
          </cell>
          <cell r="F307" t="str">
            <v>华漕</v>
          </cell>
        </row>
        <row r="308">
          <cell r="D308" t="str">
            <v>上海市闵行区诸翟学校</v>
          </cell>
          <cell r="E308" t="str">
            <v>镇管</v>
          </cell>
          <cell r="F308" t="str">
            <v>华漕</v>
          </cell>
        </row>
        <row r="309">
          <cell r="D309" t="str">
            <v>上海市闵行区纪王学校</v>
          </cell>
          <cell r="E309" t="str">
            <v>镇管</v>
          </cell>
          <cell r="F309" t="str">
            <v>华漕</v>
          </cell>
        </row>
        <row r="310">
          <cell r="D310" t="str">
            <v>上海市闵行区纪王学校</v>
          </cell>
          <cell r="E310" t="str">
            <v>镇管</v>
          </cell>
          <cell r="F310" t="str">
            <v>华漕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 t="str">
            <v>华东师范大学附属闵行虹桥幼儿园</v>
          </cell>
          <cell r="E312" t="str">
            <v>镇管</v>
          </cell>
          <cell r="F312" t="str">
            <v>虹桥</v>
          </cell>
        </row>
        <row r="313">
          <cell r="D313" t="str">
            <v>华东师范大学附属闵行虹桥幼儿园</v>
          </cell>
          <cell r="E313" t="str">
            <v>镇管</v>
          </cell>
          <cell r="F313" t="str">
            <v>虹桥</v>
          </cell>
        </row>
        <row r="314">
          <cell r="D314" t="str">
            <v>华东师范大学附属闵行虹桥幼儿园</v>
          </cell>
          <cell r="E314" t="str">
            <v>镇管</v>
          </cell>
          <cell r="F314" t="str">
            <v>虹桥</v>
          </cell>
        </row>
        <row r="315">
          <cell r="D315" t="str">
            <v>华东师范大学附属闵行虹桥幼儿园</v>
          </cell>
          <cell r="E315" t="str">
            <v>镇管</v>
          </cell>
          <cell r="F315" t="str">
            <v>虹桥</v>
          </cell>
        </row>
        <row r="316">
          <cell r="D316" t="str">
            <v>华东师范大学附属闵行虹桥幼儿园</v>
          </cell>
          <cell r="E316" t="str">
            <v>镇管</v>
          </cell>
          <cell r="F316" t="str">
            <v>虹桥</v>
          </cell>
        </row>
        <row r="317">
          <cell r="D317" t="str">
            <v>闵行区虹桥中心小学</v>
          </cell>
          <cell r="E317" t="str">
            <v>镇管</v>
          </cell>
          <cell r="F317" t="str">
            <v>虹桥</v>
          </cell>
        </row>
        <row r="318">
          <cell r="D318" t="str">
            <v>闵行区虹桥中心小学</v>
          </cell>
          <cell r="E318" t="str">
            <v>镇管</v>
          </cell>
          <cell r="F318" t="str">
            <v>虹桥</v>
          </cell>
        </row>
        <row r="319">
          <cell r="D319" t="str">
            <v>闵行区虹桥中心小学</v>
          </cell>
          <cell r="E319" t="str">
            <v>镇管</v>
          </cell>
          <cell r="F319" t="str">
            <v>虹桥</v>
          </cell>
        </row>
        <row r="320">
          <cell r="D320" t="str">
            <v>闵行区虹桥中心小学</v>
          </cell>
          <cell r="E320" t="str">
            <v>镇管</v>
          </cell>
          <cell r="F320" t="str">
            <v>虹桥</v>
          </cell>
        </row>
        <row r="321">
          <cell r="D321" t="str">
            <v>闵行区虹桥中心小学</v>
          </cell>
          <cell r="E321" t="str">
            <v>镇管</v>
          </cell>
          <cell r="F321" t="str">
            <v>虹桥</v>
          </cell>
        </row>
        <row r="322">
          <cell r="D322" t="str">
            <v>华东师范大学附属闵行虹桥学校</v>
          </cell>
          <cell r="E322" t="str">
            <v>镇管</v>
          </cell>
          <cell r="F322" t="str">
            <v>虹桥</v>
          </cell>
        </row>
        <row r="323">
          <cell r="D323" t="str">
            <v>华东师范大学附属闵行虹桥学校</v>
          </cell>
          <cell r="E323" t="str">
            <v>镇管</v>
          </cell>
          <cell r="F323" t="str">
            <v>虹桥</v>
          </cell>
        </row>
        <row r="324">
          <cell r="D324" t="str">
            <v>华东师范大学附属闵行虹桥学校</v>
          </cell>
          <cell r="E324" t="str">
            <v>镇管</v>
          </cell>
          <cell r="F324" t="str">
            <v>虹桥</v>
          </cell>
        </row>
        <row r="325">
          <cell r="D325" t="str">
            <v>闵行区龙柏第一小学</v>
          </cell>
          <cell r="E325" t="str">
            <v>镇管</v>
          </cell>
          <cell r="F325" t="str">
            <v>虹桥</v>
          </cell>
        </row>
        <row r="326">
          <cell r="D326" t="str">
            <v>上海市龙柏中学</v>
          </cell>
          <cell r="E326" t="str">
            <v>镇管</v>
          </cell>
          <cell r="F326" t="str">
            <v>虹桥</v>
          </cell>
        </row>
        <row r="327">
          <cell r="D327" t="str">
            <v>上海市龙柏中学</v>
          </cell>
          <cell r="E327" t="str">
            <v>镇管</v>
          </cell>
          <cell r="F327" t="str">
            <v>虹桥</v>
          </cell>
        </row>
        <row r="328">
          <cell r="D328" t="str">
            <v>上海市龙柏中学</v>
          </cell>
          <cell r="E328" t="str">
            <v>镇管</v>
          </cell>
          <cell r="F328" t="str">
            <v>虹桥</v>
          </cell>
        </row>
        <row r="329">
          <cell r="D329" t="str">
            <v>上海市闵行区上虹中学</v>
          </cell>
          <cell r="E329" t="str">
            <v>镇管</v>
          </cell>
          <cell r="F329" t="str">
            <v>虹桥</v>
          </cell>
        </row>
        <row r="330">
          <cell r="D330" t="str">
            <v>上海市闵行区上虹中学</v>
          </cell>
          <cell r="E330" t="str">
            <v>镇管</v>
          </cell>
          <cell r="F330" t="str">
            <v>虹桥</v>
          </cell>
        </row>
        <row r="331">
          <cell r="D331">
            <v>0</v>
          </cell>
          <cell r="E331">
            <v>0</v>
          </cell>
          <cell r="F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354" t="s">
        <v>270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373" t="s">
        <v>1240</v>
      </c>
      <c r="B1" s="1374"/>
      <c r="C1" s="1374"/>
      <c r="D1" s="1374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375" t="s">
        <v>1076</v>
      </c>
      <c r="B1" s="1375"/>
      <c r="C1" s="1375"/>
      <c r="D1" s="1375"/>
      <c r="E1" s="1375"/>
      <c r="F1" s="1375"/>
      <c r="G1" s="1375"/>
      <c r="H1" s="1375"/>
      <c r="I1" s="1375"/>
      <c r="J1" s="1375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376" t="s">
        <v>735</v>
      </c>
      <c r="B1" s="1377"/>
      <c r="C1" s="1377"/>
      <c r="D1" s="1377"/>
      <c r="E1" s="1377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378" t="s">
        <v>833</v>
      </c>
      <c r="B1" s="1378"/>
      <c r="C1" s="1378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379" t="s">
        <v>954</v>
      </c>
      <c r="B1" s="1379"/>
      <c r="C1" s="1379"/>
      <c r="D1" s="1379"/>
      <c r="E1" s="1379"/>
      <c r="F1" s="1379"/>
      <c r="G1" s="1379"/>
      <c r="H1" s="1379"/>
      <c r="I1" s="1379"/>
      <c r="J1" s="1379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382" t="s">
        <v>965</v>
      </c>
      <c r="B1" s="1383"/>
      <c r="C1" s="1383"/>
      <c r="D1" s="1383"/>
      <c r="E1" s="1383"/>
      <c r="F1" s="1383"/>
      <c r="G1" s="1383"/>
      <c r="H1" s="1383"/>
      <c r="I1" s="1383"/>
      <c r="J1" s="1383"/>
      <c r="K1" s="1383"/>
      <c r="L1" s="1383"/>
      <c r="M1" s="1383"/>
      <c r="N1" s="1383"/>
      <c r="O1" s="1383"/>
      <c r="P1" s="1383"/>
      <c r="Q1" s="1383"/>
      <c r="R1" s="1383"/>
      <c r="S1" s="1383"/>
      <c r="T1" s="1383"/>
      <c r="U1" s="1383"/>
      <c r="V1" s="1383"/>
      <c r="W1" s="1383"/>
      <c r="X1" s="1383"/>
      <c r="Y1" s="1383"/>
      <c r="Z1" s="1383"/>
      <c r="AA1" s="1383"/>
      <c r="AB1" s="1383"/>
      <c r="AC1" s="1383"/>
      <c r="AD1" s="1383"/>
      <c r="AE1" s="1383"/>
      <c r="AF1" s="1383"/>
      <c r="AG1" s="1383"/>
      <c r="AH1" s="1383"/>
      <c r="AI1" s="1383"/>
      <c r="AJ1" s="1383"/>
      <c r="AK1" s="1383"/>
      <c r="AL1" s="1383"/>
      <c r="AM1" s="1383"/>
      <c r="AN1" s="1384"/>
      <c r="AO1" s="1384"/>
    </row>
    <row r="2" spans="1:41" ht="11.25" customHeight="1">
      <c r="A2" s="1385" t="s">
        <v>631</v>
      </c>
      <c r="B2" s="1385" t="s">
        <v>632</v>
      </c>
      <c r="C2" s="1385" t="s">
        <v>955</v>
      </c>
      <c r="D2" s="1385" t="s">
        <v>633</v>
      </c>
      <c r="E2" s="1385" t="s">
        <v>634</v>
      </c>
      <c r="F2" s="1385"/>
      <c r="G2" s="1385"/>
      <c r="H2" s="1385"/>
      <c r="I2" s="1385"/>
      <c r="J2" s="1385" t="s">
        <v>966</v>
      </c>
      <c r="K2" s="1385"/>
      <c r="L2" s="1385"/>
      <c r="M2" s="1385"/>
      <c r="N2" s="1385"/>
      <c r="O2" s="1386" t="s">
        <v>635</v>
      </c>
      <c r="P2" s="1386"/>
      <c r="Q2" s="1386"/>
      <c r="R2" s="1386"/>
      <c r="S2" s="1386"/>
      <c r="T2" s="1386" t="s">
        <v>636</v>
      </c>
      <c r="U2" s="1386"/>
      <c r="V2" s="1386"/>
      <c r="W2" s="1386"/>
      <c r="X2" s="1386"/>
      <c r="Y2" s="1386" t="s">
        <v>637</v>
      </c>
      <c r="Z2" s="1386"/>
      <c r="AA2" s="1386"/>
      <c r="AB2" s="1386"/>
      <c r="AC2" s="1386"/>
      <c r="AD2" s="1385" t="s">
        <v>967</v>
      </c>
      <c r="AE2" s="1385"/>
      <c r="AF2" s="1385"/>
      <c r="AG2" s="1385"/>
      <c r="AH2" s="1385"/>
      <c r="AI2" s="1385"/>
      <c r="AJ2" s="1385"/>
      <c r="AK2" s="1385"/>
      <c r="AL2" s="1385"/>
      <c r="AM2" s="1385"/>
      <c r="AN2" s="1380" t="s">
        <v>968</v>
      </c>
      <c r="AO2" s="1380" t="s">
        <v>267</v>
      </c>
    </row>
    <row r="3" spans="1:41" ht="33.75">
      <c r="A3" s="1385"/>
      <c r="B3" s="1385"/>
      <c r="C3" s="1385"/>
      <c r="D3" s="1385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381"/>
      <c r="AO3" s="1381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387" t="s">
        <v>1059</v>
      </c>
      <c r="B1" s="1387"/>
      <c r="C1" s="1387"/>
      <c r="D1" s="1388"/>
      <c r="E1" s="1388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389" t="s">
        <v>1657</v>
      </c>
      <c r="B1" s="1389"/>
      <c r="C1" s="1389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390" t="s">
        <v>1301</v>
      </c>
      <c r="B1" s="1390"/>
      <c r="C1" s="1390"/>
      <c r="D1" s="1390"/>
      <c r="E1" s="1390"/>
      <c r="F1" s="1390"/>
      <c r="G1" s="1390"/>
      <c r="H1" s="1390"/>
      <c r="I1" s="1390"/>
      <c r="J1" s="1390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391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392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392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392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392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/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356" t="s">
        <v>827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</row>
    <row r="2" spans="1:11" ht="15" customHeight="1">
      <c r="A2" s="1358" t="s">
        <v>12</v>
      </c>
      <c r="B2" s="1358" t="s">
        <v>13</v>
      </c>
      <c r="C2" s="1358" t="s">
        <v>14</v>
      </c>
      <c r="D2" s="1358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358" t="s">
        <v>17</v>
      </c>
      <c r="K2" s="1358" t="s">
        <v>18</v>
      </c>
    </row>
    <row r="3" spans="1:11" ht="15" customHeight="1">
      <c r="A3" s="1359"/>
      <c r="B3" s="1359"/>
      <c r="C3" s="1359"/>
      <c r="D3" s="1359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359"/>
      <c r="K3" s="1359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393" t="s">
        <v>1681</v>
      </c>
      <c r="B1" s="1394"/>
      <c r="C1" s="1394"/>
      <c r="D1" s="1394"/>
      <c r="E1" s="1394"/>
      <c r="F1" s="1394"/>
      <c r="G1" s="1394"/>
      <c r="H1" s="1394"/>
      <c r="I1" s="1394"/>
      <c r="J1" s="1394"/>
      <c r="K1" s="1394"/>
      <c r="L1" s="1394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95" t="s">
        <v>2140</v>
      </c>
      <c r="B1" s="1396"/>
      <c r="C1" s="1396"/>
      <c r="D1" s="1396"/>
      <c r="E1" s="1396"/>
      <c r="F1" s="1396"/>
      <c r="G1" s="1396"/>
      <c r="H1" s="1396"/>
    </row>
    <row r="2" spans="1:13" s="550" customFormat="1" ht="12.75">
      <c r="A2" s="1397" t="s">
        <v>2141</v>
      </c>
      <c r="B2" s="1397" t="s">
        <v>2142</v>
      </c>
      <c r="C2" s="1397" t="s">
        <v>2143</v>
      </c>
      <c r="D2" s="1397" t="s">
        <v>2144</v>
      </c>
      <c r="E2" s="1400" t="s">
        <v>2145</v>
      </c>
      <c r="F2" s="1402" t="s">
        <v>2146</v>
      </c>
      <c r="G2" s="1403"/>
      <c r="H2" s="1404" t="s">
        <v>18</v>
      </c>
      <c r="I2" s="549"/>
      <c r="J2" s="549"/>
      <c r="K2" s="549"/>
      <c r="L2" s="549"/>
      <c r="M2" s="549"/>
    </row>
    <row r="3" spans="1:13" s="554" customFormat="1" ht="12.75">
      <c r="A3" s="1398"/>
      <c r="B3" s="1398"/>
      <c r="C3" s="1398"/>
      <c r="D3" s="1399"/>
      <c r="E3" s="1401"/>
      <c r="F3" s="551" t="s">
        <v>2147</v>
      </c>
      <c r="G3" s="552" t="s">
        <v>2148</v>
      </c>
      <c r="H3" s="1405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95" t="s">
        <v>2252</v>
      </c>
      <c r="B1" s="1396"/>
      <c r="C1" s="1396"/>
      <c r="D1" s="1396"/>
      <c r="E1" s="1396"/>
      <c r="F1" s="1396"/>
      <c r="G1" s="1396"/>
      <c r="H1" s="1396"/>
    </row>
    <row r="2" spans="1:13" s="550" customFormat="1" ht="12.75">
      <c r="A2" s="1397" t="s">
        <v>2141</v>
      </c>
      <c r="B2" s="1397" t="s">
        <v>2142</v>
      </c>
      <c r="C2" s="1397" t="s">
        <v>2143</v>
      </c>
      <c r="D2" s="1397" t="s">
        <v>2144</v>
      </c>
      <c r="E2" s="1400" t="s">
        <v>2145</v>
      </c>
      <c r="F2" s="1402" t="s">
        <v>2146</v>
      </c>
      <c r="G2" s="1403"/>
      <c r="H2" s="1404" t="s">
        <v>18</v>
      </c>
      <c r="I2" s="549"/>
      <c r="J2" s="549"/>
      <c r="K2" s="549"/>
      <c r="L2" s="549"/>
      <c r="M2" s="549"/>
    </row>
    <row r="3" spans="1:13" s="554" customFormat="1" ht="12.75">
      <c r="A3" s="1398"/>
      <c r="B3" s="1398"/>
      <c r="C3" s="1398"/>
      <c r="D3" s="1399"/>
      <c r="E3" s="1401"/>
      <c r="F3" s="551" t="s">
        <v>2147</v>
      </c>
      <c r="G3" s="552" t="s">
        <v>2148</v>
      </c>
      <c r="H3" s="1405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406" t="s">
        <v>2272</v>
      </c>
      <c r="B1" s="1407"/>
      <c r="C1" s="1407"/>
      <c r="D1" s="1407"/>
      <c r="E1" s="1407"/>
      <c r="F1" s="1407"/>
      <c r="G1" s="1407"/>
      <c r="H1" s="1407"/>
    </row>
    <row r="2" spans="1:13" s="629" customFormat="1" ht="12.75">
      <c r="A2" s="1408" t="s">
        <v>2141</v>
      </c>
      <c r="B2" s="1408" t="s">
        <v>2142</v>
      </c>
      <c r="C2" s="1408" t="s">
        <v>2143</v>
      </c>
      <c r="D2" s="1408" t="s">
        <v>2144</v>
      </c>
      <c r="E2" s="1411" t="s">
        <v>2145</v>
      </c>
      <c r="F2" s="1413" t="s">
        <v>2273</v>
      </c>
      <c r="G2" s="1414"/>
      <c r="H2" s="1415" t="s">
        <v>18</v>
      </c>
      <c r="I2" s="628"/>
      <c r="J2" s="628"/>
      <c r="K2" s="628"/>
      <c r="L2" s="628"/>
      <c r="M2" s="628"/>
    </row>
    <row r="3" spans="1:13" s="633" customFormat="1" ht="12.75">
      <c r="A3" s="1409"/>
      <c r="B3" s="1409"/>
      <c r="C3" s="1409"/>
      <c r="D3" s="1410"/>
      <c r="E3" s="1412"/>
      <c r="F3" s="630" t="s">
        <v>2147</v>
      </c>
      <c r="G3" s="631" t="s">
        <v>2148</v>
      </c>
      <c r="H3" s="1416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420" t="s">
        <v>2299</v>
      </c>
      <c r="B1" s="1421"/>
      <c r="C1" s="1421"/>
      <c r="D1" s="1421"/>
      <c r="E1" s="1421"/>
      <c r="F1" s="1421"/>
      <c r="G1" s="1421"/>
      <c r="H1" s="1421"/>
      <c r="I1" s="1421"/>
      <c r="J1" s="1421"/>
      <c r="K1" s="1421"/>
      <c r="L1" s="1421"/>
      <c r="M1" s="1421"/>
      <c r="N1" s="1421"/>
      <c r="O1" s="1421"/>
    </row>
    <row r="2" spans="1:16" s="697" customFormat="1" ht="24.95" customHeight="1">
      <c r="A2" s="1422" t="s">
        <v>2300</v>
      </c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</row>
    <row r="3" spans="1:16" s="698" customFormat="1" ht="16.7" customHeight="1">
      <c r="A3" s="1419" t="s">
        <v>12</v>
      </c>
      <c r="B3" s="1418" t="s">
        <v>2301</v>
      </c>
      <c r="C3" s="1418" t="s">
        <v>13</v>
      </c>
      <c r="D3" s="1418" t="s">
        <v>1242</v>
      </c>
      <c r="E3" s="1418" t="s">
        <v>1243</v>
      </c>
      <c r="F3" s="1418" t="s">
        <v>2302</v>
      </c>
      <c r="G3" s="1418" t="s">
        <v>1245</v>
      </c>
      <c r="H3" s="1418" t="s">
        <v>1244</v>
      </c>
      <c r="I3" s="1418" t="s">
        <v>1246</v>
      </c>
      <c r="J3" s="1418" t="s">
        <v>2303</v>
      </c>
      <c r="K3" s="1418" t="s">
        <v>2304</v>
      </c>
      <c r="L3" s="1418" t="s">
        <v>2305</v>
      </c>
      <c r="M3" s="1418" t="s">
        <v>2306</v>
      </c>
      <c r="N3" s="1419" t="s">
        <v>2307</v>
      </c>
      <c r="O3" s="1419" t="s">
        <v>18</v>
      </c>
    </row>
    <row r="4" spans="1:16" s="698" customFormat="1" ht="18.600000000000001" customHeight="1">
      <c r="A4" s="1419"/>
      <c r="B4" s="1418"/>
      <c r="C4" s="1418"/>
      <c r="D4" s="1418"/>
      <c r="E4" s="1418"/>
      <c r="F4" s="1418"/>
      <c r="G4" s="1418"/>
      <c r="H4" s="1418"/>
      <c r="I4" s="1418"/>
      <c r="J4" s="1418"/>
      <c r="K4" s="1418"/>
      <c r="L4" s="1418"/>
      <c r="M4" s="1418"/>
      <c r="N4" s="1419"/>
      <c r="O4" s="1419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417" t="s">
        <v>2349</v>
      </c>
      <c r="B22" s="1417"/>
      <c r="C22" s="1417"/>
      <c r="D22" s="1417"/>
      <c r="E22" s="1417"/>
      <c r="F22" s="1417"/>
      <c r="G22" s="1417"/>
      <c r="H22" s="1417"/>
      <c r="I22" s="1417"/>
      <c r="J22" s="1417"/>
      <c r="K22" s="1417"/>
      <c r="L22" s="1417"/>
      <c r="M22" s="1417"/>
      <c r="N22" s="1417"/>
      <c r="O22" s="1417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426" t="s">
        <v>2136</v>
      </c>
      <c r="B1" s="1427"/>
      <c r="C1" s="1427"/>
      <c r="D1" s="1427"/>
      <c r="E1" s="1427"/>
      <c r="F1" s="1427"/>
      <c r="G1" s="1427"/>
      <c r="H1" s="1427"/>
      <c r="I1" s="1427"/>
      <c r="J1" s="1428"/>
    </row>
    <row r="2" spans="1:10">
      <c r="A2" s="1423" t="s">
        <v>12</v>
      </c>
      <c r="B2" s="1423" t="s">
        <v>1303</v>
      </c>
      <c r="C2" s="1423" t="s">
        <v>1305</v>
      </c>
      <c r="D2" s="1423" t="s">
        <v>1306</v>
      </c>
      <c r="E2" s="1423" t="s">
        <v>1307</v>
      </c>
      <c r="F2" s="1423" t="s">
        <v>1</v>
      </c>
      <c r="G2" s="1424" t="s">
        <v>1683</v>
      </c>
      <c r="H2" s="1424"/>
      <c r="I2" s="1425"/>
      <c r="J2" s="1491" t="s">
        <v>2134</v>
      </c>
    </row>
    <row r="3" spans="1:10">
      <c r="A3" s="1423"/>
      <c r="B3" s="1423"/>
      <c r="C3" s="1423"/>
      <c r="D3" s="1423"/>
      <c r="E3" s="1423"/>
      <c r="F3" s="1423"/>
      <c r="G3" s="163" t="s">
        <v>1308</v>
      </c>
      <c r="H3" s="361" t="s">
        <v>1309</v>
      </c>
      <c r="I3" s="526" t="s">
        <v>1310</v>
      </c>
      <c r="J3" s="1491"/>
    </row>
    <row r="4" spans="1:10" s="170" customFormat="1" ht="24">
      <c r="A4" s="1429">
        <v>1</v>
      </c>
      <c r="B4" s="1429" t="s">
        <v>2350</v>
      </c>
      <c r="C4" s="1430" t="s">
        <v>1312</v>
      </c>
      <c r="D4" s="1429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492">
        <f>ROUND(I10*0.8,0)</f>
        <v>292350</v>
      </c>
    </row>
    <row r="5" spans="1:10" s="170" customFormat="1" ht="13.5">
      <c r="A5" s="1429"/>
      <c r="B5" s="1429"/>
      <c r="C5" s="1430"/>
      <c r="D5" s="1429"/>
      <c r="E5" s="365" t="s">
        <v>1687</v>
      </c>
      <c r="F5" s="365" t="s">
        <v>1686</v>
      </c>
      <c r="G5" s="1433">
        <v>1150</v>
      </c>
      <c r="H5" s="1501">
        <v>168</v>
      </c>
      <c r="I5" s="1431">
        <v>193200</v>
      </c>
      <c r="J5" s="1493"/>
    </row>
    <row r="6" spans="1:10" s="170" customFormat="1" ht="24">
      <c r="A6" s="1429"/>
      <c r="B6" s="1429"/>
      <c r="C6" s="1430"/>
      <c r="D6" s="1429"/>
      <c r="E6" s="365" t="s">
        <v>1688</v>
      </c>
      <c r="F6" s="365" t="s">
        <v>1686</v>
      </c>
      <c r="G6" s="1434"/>
      <c r="H6" s="1502"/>
      <c r="I6" s="1432"/>
      <c r="J6" s="1493"/>
    </row>
    <row r="7" spans="1:10" s="170" customFormat="1" ht="13.5">
      <c r="A7" s="1429"/>
      <c r="B7" s="1429"/>
      <c r="C7" s="1430"/>
      <c r="D7" s="367" t="s">
        <v>1332</v>
      </c>
      <c r="E7" s="365"/>
      <c r="F7" s="365"/>
      <c r="G7" s="75"/>
      <c r="H7" s="366"/>
      <c r="I7" s="529">
        <v>309408</v>
      </c>
      <c r="J7" s="1493"/>
    </row>
    <row r="8" spans="1:10" s="170" customFormat="1" ht="13.5">
      <c r="A8" s="1429"/>
      <c r="B8" s="1429"/>
      <c r="C8" s="1430"/>
      <c r="D8" s="367" t="s">
        <v>1334</v>
      </c>
      <c r="E8" s="365"/>
      <c r="F8" s="365"/>
      <c r="G8" s="137"/>
      <c r="H8" s="366"/>
      <c r="I8" s="529">
        <v>37128.959999999999</v>
      </c>
      <c r="J8" s="1493"/>
    </row>
    <row r="9" spans="1:10" s="170" customFormat="1" ht="13.5">
      <c r="A9" s="1429"/>
      <c r="B9" s="1429"/>
      <c r="C9" s="1430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493"/>
    </row>
    <row r="10" spans="1:10" s="170" customFormat="1" ht="13.5">
      <c r="A10" s="1429"/>
      <c r="B10" s="1429"/>
      <c r="C10" s="1430"/>
      <c r="D10" s="367" t="s">
        <v>1342</v>
      </c>
      <c r="E10" s="365"/>
      <c r="F10" s="365"/>
      <c r="G10" s="75"/>
      <c r="H10" s="366"/>
      <c r="I10" s="529">
        <v>365436.96</v>
      </c>
      <c r="J10" s="1494"/>
    </row>
    <row r="11" spans="1:10" s="170" customFormat="1" ht="24">
      <c r="A11" s="1429">
        <v>2</v>
      </c>
      <c r="B11" s="1429" t="s">
        <v>2351</v>
      </c>
      <c r="C11" s="1430" t="s">
        <v>1690</v>
      </c>
      <c r="D11" s="1429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495">
        <f>ROUND(I15*0.9,0)</f>
        <v>900630</v>
      </c>
    </row>
    <row r="12" spans="1:10" s="170" customFormat="1" ht="13.5">
      <c r="A12" s="1429"/>
      <c r="B12" s="1429"/>
      <c r="C12" s="1430"/>
      <c r="D12" s="1429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496"/>
    </row>
    <row r="13" spans="1:10" s="170" customFormat="1" ht="13.5">
      <c r="A13" s="1429"/>
      <c r="B13" s="1429"/>
      <c r="C13" s="1430"/>
      <c r="D13" s="367" t="s">
        <v>1332</v>
      </c>
      <c r="E13" s="365"/>
      <c r="F13" s="365"/>
      <c r="G13" s="75"/>
      <c r="H13" s="366"/>
      <c r="I13" s="529">
        <v>898699.86</v>
      </c>
      <c r="J13" s="1496"/>
    </row>
    <row r="14" spans="1:10" s="170" customFormat="1" ht="13.5">
      <c r="A14" s="1429"/>
      <c r="B14" s="1429"/>
      <c r="C14" s="1430"/>
      <c r="D14" s="367" t="s">
        <v>1334</v>
      </c>
      <c r="E14" s="365"/>
      <c r="F14" s="365"/>
      <c r="G14" s="137"/>
      <c r="H14" s="366"/>
      <c r="I14" s="529">
        <v>102000</v>
      </c>
      <c r="J14" s="1496"/>
    </row>
    <row r="15" spans="1:10" s="170" customFormat="1" ht="13.5">
      <c r="A15" s="1429"/>
      <c r="B15" s="1429"/>
      <c r="C15" s="1430"/>
      <c r="D15" s="367" t="s">
        <v>1342</v>
      </c>
      <c r="E15" s="365"/>
      <c r="F15" s="365"/>
      <c r="G15" s="75"/>
      <c r="H15" s="366"/>
      <c r="I15" s="529">
        <v>1000699.86</v>
      </c>
      <c r="J15" s="1497"/>
    </row>
    <row r="16" spans="1:10" s="170" customFormat="1" ht="24">
      <c r="A16" s="1429">
        <v>3</v>
      </c>
      <c r="B16" s="1429" t="s">
        <v>2352</v>
      </c>
      <c r="C16" s="1430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495">
        <f>ROUND(I23*0.8,0)</f>
        <v>1029095</v>
      </c>
    </row>
    <row r="17" spans="1:10" s="170" customFormat="1" ht="24">
      <c r="A17" s="1429"/>
      <c r="B17" s="1429"/>
      <c r="C17" s="1430"/>
      <c r="D17" s="1429" t="s">
        <v>1694</v>
      </c>
      <c r="E17" s="365" t="s">
        <v>1695</v>
      </c>
      <c r="F17" s="365" t="s">
        <v>1686</v>
      </c>
      <c r="G17" s="1433">
        <v>1150</v>
      </c>
      <c r="H17" s="1501">
        <v>319</v>
      </c>
      <c r="I17" s="1431">
        <v>366850</v>
      </c>
      <c r="J17" s="1496"/>
    </row>
    <row r="18" spans="1:10" s="170" customFormat="1" ht="24">
      <c r="A18" s="1429"/>
      <c r="B18" s="1429"/>
      <c r="C18" s="1430"/>
      <c r="D18" s="1429"/>
      <c r="E18" s="365" t="s">
        <v>1696</v>
      </c>
      <c r="F18" s="365" t="s">
        <v>1686</v>
      </c>
      <c r="G18" s="1434"/>
      <c r="H18" s="1502"/>
      <c r="I18" s="1432"/>
      <c r="J18" s="1496"/>
    </row>
    <row r="19" spans="1:10" s="170" customFormat="1" ht="13.5">
      <c r="A19" s="1429"/>
      <c r="B19" s="1429"/>
      <c r="C19" s="1430"/>
      <c r="D19" s="1429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496"/>
    </row>
    <row r="20" spans="1:10" s="170" customFormat="1" ht="13.5">
      <c r="A20" s="1429"/>
      <c r="B20" s="1429"/>
      <c r="C20" s="1430"/>
      <c r="D20" s="367" t="s">
        <v>1332</v>
      </c>
      <c r="E20" s="365"/>
      <c r="F20" s="365"/>
      <c r="G20" s="75"/>
      <c r="H20" s="366"/>
      <c r="I20" s="529">
        <v>1138018.3500000001</v>
      </c>
      <c r="J20" s="1496"/>
    </row>
    <row r="21" spans="1:10" s="170" customFormat="1" ht="13.5">
      <c r="A21" s="1429"/>
      <c r="B21" s="1429"/>
      <c r="C21" s="1430"/>
      <c r="D21" s="367" t="s">
        <v>1334</v>
      </c>
      <c r="E21" s="365"/>
      <c r="F21" s="365"/>
      <c r="G21" s="137"/>
      <c r="H21" s="366"/>
      <c r="I21" s="529">
        <v>118350</v>
      </c>
      <c r="J21" s="1496"/>
    </row>
    <row r="22" spans="1:10" s="170" customFormat="1" ht="13.5">
      <c r="A22" s="1429"/>
      <c r="B22" s="1429"/>
      <c r="C22" s="1430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496"/>
    </row>
    <row r="23" spans="1:10" s="170" customFormat="1" ht="13.5">
      <c r="A23" s="1429"/>
      <c r="B23" s="1429"/>
      <c r="C23" s="1430"/>
      <c r="D23" s="367" t="s">
        <v>1342</v>
      </c>
      <c r="E23" s="365"/>
      <c r="F23" s="365"/>
      <c r="G23" s="75"/>
      <c r="H23" s="366"/>
      <c r="I23" s="529">
        <v>1286368.3500000001</v>
      </c>
      <c r="J23" s="1497"/>
    </row>
    <row r="24" spans="1:10" s="170" customFormat="1" ht="24">
      <c r="A24" s="1429">
        <v>4</v>
      </c>
      <c r="B24" s="1429" t="s">
        <v>2353</v>
      </c>
      <c r="C24" s="1430" t="s">
        <v>1690</v>
      </c>
      <c r="D24" s="1429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495">
        <f>ROUND(I29*0.8,0)</f>
        <v>410010</v>
      </c>
    </row>
    <row r="25" spans="1:10" s="170" customFormat="1" ht="36">
      <c r="A25" s="1429"/>
      <c r="B25" s="1429"/>
      <c r="C25" s="1430"/>
      <c r="D25" s="1429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496"/>
    </row>
    <row r="26" spans="1:10" s="170" customFormat="1" ht="13.5">
      <c r="A26" s="1429"/>
      <c r="B26" s="1429"/>
      <c r="C26" s="1430"/>
      <c r="D26" s="1429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496"/>
    </row>
    <row r="27" spans="1:10" s="170" customFormat="1" ht="13.5">
      <c r="A27" s="1429"/>
      <c r="B27" s="1429"/>
      <c r="C27" s="1430"/>
      <c r="D27" s="367" t="s">
        <v>1332</v>
      </c>
      <c r="E27" s="365"/>
      <c r="F27" s="365"/>
      <c r="G27" s="75"/>
      <c r="H27" s="366"/>
      <c r="I27" s="529">
        <v>457600</v>
      </c>
      <c r="J27" s="1496"/>
    </row>
    <row r="28" spans="1:10" s="170" customFormat="1" ht="13.5">
      <c r="A28" s="1429"/>
      <c r="B28" s="1429"/>
      <c r="C28" s="1430"/>
      <c r="D28" s="367" t="s">
        <v>1334</v>
      </c>
      <c r="E28" s="365"/>
      <c r="F28" s="365"/>
      <c r="G28" s="137"/>
      <c r="H28" s="366"/>
      <c r="I28" s="529">
        <v>54912</v>
      </c>
      <c r="J28" s="1496"/>
    </row>
    <row r="29" spans="1:10" s="170" customFormat="1" ht="13.5">
      <c r="A29" s="1429"/>
      <c r="B29" s="1429"/>
      <c r="C29" s="1430"/>
      <c r="D29" s="367" t="s">
        <v>1342</v>
      </c>
      <c r="E29" s="365"/>
      <c r="F29" s="365"/>
      <c r="G29" s="75"/>
      <c r="H29" s="366"/>
      <c r="I29" s="529">
        <v>512512</v>
      </c>
      <c r="J29" s="1497"/>
    </row>
    <row r="30" spans="1:10" s="374" customFormat="1">
      <c r="A30" s="1436">
        <v>5</v>
      </c>
      <c r="B30" s="1436" t="s">
        <v>1391</v>
      </c>
      <c r="C30" s="1439" t="s">
        <v>1702</v>
      </c>
      <c r="D30" s="1442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498">
        <f>ROUND(I65*0.9,0)</f>
        <v>2028146</v>
      </c>
    </row>
    <row r="31" spans="1:10" s="374" customFormat="1">
      <c r="A31" s="1437"/>
      <c r="B31" s="1437"/>
      <c r="C31" s="1440"/>
      <c r="D31" s="1442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499"/>
    </row>
    <row r="32" spans="1:10" s="374" customFormat="1">
      <c r="A32" s="1437"/>
      <c r="B32" s="1437"/>
      <c r="C32" s="1440"/>
      <c r="D32" s="1442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499"/>
    </row>
    <row r="33" spans="1:10" s="374" customFormat="1">
      <c r="A33" s="1437"/>
      <c r="B33" s="1437"/>
      <c r="C33" s="1440"/>
      <c r="D33" s="1442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499"/>
    </row>
    <row r="34" spans="1:10" s="374" customFormat="1">
      <c r="A34" s="1437"/>
      <c r="B34" s="1437"/>
      <c r="C34" s="1440"/>
      <c r="D34" s="1442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499"/>
    </row>
    <row r="35" spans="1:10" s="374" customFormat="1">
      <c r="A35" s="1437"/>
      <c r="B35" s="1437"/>
      <c r="C35" s="1440"/>
      <c r="D35" s="1442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499"/>
    </row>
    <row r="36" spans="1:10" s="374" customFormat="1">
      <c r="A36" s="1437"/>
      <c r="B36" s="1437"/>
      <c r="C36" s="1440"/>
      <c r="D36" s="1442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499"/>
    </row>
    <row r="37" spans="1:10" s="374" customFormat="1">
      <c r="A37" s="1437"/>
      <c r="B37" s="1437"/>
      <c r="C37" s="1440"/>
      <c r="D37" s="1442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499"/>
    </row>
    <row r="38" spans="1:10" s="374" customFormat="1">
      <c r="A38" s="1437"/>
      <c r="B38" s="1437"/>
      <c r="C38" s="1440"/>
      <c r="D38" s="1442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499"/>
    </row>
    <row r="39" spans="1:10" s="374" customFormat="1">
      <c r="A39" s="1437"/>
      <c r="B39" s="1437"/>
      <c r="C39" s="1440"/>
      <c r="D39" s="1442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499"/>
    </row>
    <row r="40" spans="1:10" s="374" customFormat="1">
      <c r="A40" s="1437"/>
      <c r="B40" s="1437"/>
      <c r="C40" s="1440"/>
      <c r="D40" s="1442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499"/>
    </row>
    <row r="41" spans="1:10" s="374" customFormat="1">
      <c r="A41" s="1437"/>
      <c r="B41" s="1437"/>
      <c r="C41" s="1440"/>
      <c r="D41" s="1442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499"/>
    </row>
    <row r="42" spans="1:10" s="374" customFormat="1">
      <c r="A42" s="1437"/>
      <c r="B42" s="1437"/>
      <c r="C42" s="1440"/>
      <c r="D42" s="1442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499"/>
    </row>
    <row r="43" spans="1:10" s="374" customFormat="1">
      <c r="A43" s="1437"/>
      <c r="B43" s="1437"/>
      <c r="C43" s="1440"/>
      <c r="D43" s="1442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499"/>
    </row>
    <row r="44" spans="1:10" s="374" customFormat="1">
      <c r="A44" s="1437"/>
      <c r="B44" s="1437"/>
      <c r="C44" s="1440"/>
      <c r="D44" s="1442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499"/>
    </row>
    <row r="45" spans="1:10" s="374" customFormat="1">
      <c r="A45" s="1437"/>
      <c r="B45" s="1437"/>
      <c r="C45" s="1440"/>
      <c r="D45" s="1442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499"/>
    </row>
    <row r="46" spans="1:10" s="374" customFormat="1">
      <c r="A46" s="1437"/>
      <c r="B46" s="1437"/>
      <c r="C46" s="1440"/>
      <c r="D46" s="1442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499"/>
    </row>
    <row r="47" spans="1:10" s="374" customFormat="1">
      <c r="A47" s="1436"/>
      <c r="B47" s="1436"/>
      <c r="C47" s="1439"/>
      <c r="D47" s="1443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499"/>
    </row>
    <row r="48" spans="1:10" s="374" customFormat="1">
      <c r="A48" s="1437"/>
      <c r="B48" s="1437"/>
      <c r="C48" s="1440"/>
      <c r="D48" s="1443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499"/>
    </row>
    <row r="49" spans="1:10" s="374" customFormat="1">
      <c r="A49" s="1437"/>
      <c r="B49" s="1437"/>
      <c r="C49" s="1440"/>
      <c r="D49" s="1443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499"/>
    </row>
    <row r="50" spans="1:10" s="374" customFormat="1">
      <c r="A50" s="1437"/>
      <c r="B50" s="1437"/>
      <c r="C50" s="1440"/>
      <c r="D50" s="1443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499"/>
    </row>
    <row r="51" spans="1:10" s="374" customFormat="1">
      <c r="A51" s="1437"/>
      <c r="B51" s="1437"/>
      <c r="C51" s="1440"/>
      <c r="D51" s="1443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499"/>
    </row>
    <row r="52" spans="1:10" s="374" customFormat="1">
      <c r="A52" s="1437"/>
      <c r="B52" s="1437"/>
      <c r="C52" s="1440"/>
      <c r="D52" s="1443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499"/>
    </row>
    <row r="53" spans="1:10" s="374" customFormat="1">
      <c r="A53" s="1437"/>
      <c r="B53" s="1437"/>
      <c r="C53" s="1440"/>
      <c r="D53" s="1443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499"/>
    </row>
    <row r="54" spans="1:10" s="374" customFormat="1">
      <c r="A54" s="1437"/>
      <c r="B54" s="1437"/>
      <c r="C54" s="1440"/>
      <c r="D54" s="1443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499"/>
    </row>
    <row r="55" spans="1:10" s="374" customFormat="1">
      <c r="A55" s="1437"/>
      <c r="B55" s="1437"/>
      <c r="C55" s="1440"/>
      <c r="D55" s="1443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499"/>
    </row>
    <row r="56" spans="1:10" s="374" customFormat="1">
      <c r="A56" s="1437"/>
      <c r="B56" s="1437"/>
      <c r="C56" s="1440"/>
      <c r="D56" s="1443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499"/>
    </row>
    <row r="57" spans="1:10" s="374" customFormat="1" ht="24">
      <c r="A57" s="1437"/>
      <c r="B57" s="1437"/>
      <c r="C57" s="1440"/>
      <c r="D57" s="1443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499"/>
    </row>
    <row r="58" spans="1:10" s="374" customFormat="1">
      <c r="A58" s="1437"/>
      <c r="B58" s="1437"/>
      <c r="C58" s="1440"/>
      <c r="D58" s="1443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499"/>
    </row>
    <row r="59" spans="1:10" s="374" customFormat="1">
      <c r="A59" s="1437"/>
      <c r="B59" s="1437"/>
      <c r="C59" s="1440"/>
      <c r="D59" s="1443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499"/>
    </row>
    <row r="60" spans="1:10" s="374" customFormat="1">
      <c r="A60" s="1437"/>
      <c r="B60" s="1437"/>
      <c r="C60" s="1440"/>
      <c r="D60" s="1443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499"/>
    </row>
    <row r="61" spans="1:10" s="374" customFormat="1">
      <c r="A61" s="1437"/>
      <c r="B61" s="1437"/>
      <c r="C61" s="1440"/>
      <c r="D61" s="382" t="s">
        <v>1332</v>
      </c>
      <c r="E61" s="367"/>
      <c r="F61" s="383"/>
      <c r="G61" s="301"/>
      <c r="H61" s="384"/>
      <c r="I61" s="510">
        <v>2023323.58</v>
      </c>
      <c r="J61" s="1499"/>
    </row>
    <row r="62" spans="1:10" s="374" customFormat="1">
      <c r="A62" s="1437"/>
      <c r="B62" s="1437"/>
      <c r="C62" s="1440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499"/>
    </row>
    <row r="63" spans="1:10" s="374" customFormat="1">
      <c r="A63" s="1437"/>
      <c r="B63" s="1437"/>
      <c r="C63" s="1440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499"/>
    </row>
    <row r="64" spans="1:10" s="374" customFormat="1">
      <c r="A64" s="1437"/>
      <c r="B64" s="1437"/>
      <c r="C64" s="1440"/>
      <c r="D64" s="382" t="s">
        <v>1742</v>
      </c>
      <c r="E64" s="367"/>
      <c r="F64" s="383"/>
      <c r="G64" s="301"/>
      <c r="H64" s="384"/>
      <c r="I64" s="510">
        <v>230172.35800000001</v>
      </c>
      <c r="J64" s="1499"/>
    </row>
    <row r="65" spans="1:10" s="374" customFormat="1">
      <c r="A65" s="1438"/>
      <c r="B65" s="1438"/>
      <c r="C65" s="1441"/>
      <c r="D65" s="382" t="s">
        <v>1342</v>
      </c>
      <c r="E65" s="367"/>
      <c r="F65" s="383"/>
      <c r="G65" s="301"/>
      <c r="H65" s="384"/>
      <c r="I65" s="510">
        <v>2253495.9380000001</v>
      </c>
      <c r="J65" s="1500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435">
        <v>1</v>
      </c>
      <c r="B67" s="1435" t="s">
        <v>2354</v>
      </c>
      <c r="C67" s="1435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495">
        <f>ROUND(I74*0.9,0)</f>
        <v>2289409</v>
      </c>
    </row>
    <row r="68" spans="1:10" s="170" customFormat="1" ht="48">
      <c r="A68" s="1435"/>
      <c r="B68" s="1435"/>
      <c r="C68" s="1435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503"/>
    </row>
    <row r="69" spans="1:10" s="170" customFormat="1" ht="48">
      <c r="A69" s="1435"/>
      <c r="B69" s="1435"/>
      <c r="C69" s="1435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503"/>
    </row>
    <row r="70" spans="1:10" s="170" customFormat="1" ht="48">
      <c r="A70" s="1435"/>
      <c r="B70" s="1435"/>
      <c r="C70" s="1435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503"/>
    </row>
    <row r="71" spans="1:10" s="170" customFormat="1" ht="36">
      <c r="A71" s="1435"/>
      <c r="B71" s="1435"/>
      <c r="C71" s="1435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503"/>
    </row>
    <row r="72" spans="1:10" s="364" customFormat="1">
      <c r="A72" s="1435"/>
      <c r="B72" s="1435"/>
      <c r="C72" s="1435"/>
      <c r="D72" s="362" t="s">
        <v>1332</v>
      </c>
      <c r="E72" s="362"/>
      <c r="F72" s="362"/>
      <c r="G72" s="362"/>
      <c r="H72" s="363"/>
      <c r="I72" s="533">
        <v>2312534</v>
      </c>
      <c r="J72" s="1503"/>
    </row>
    <row r="73" spans="1:10" s="364" customFormat="1">
      <c r="A73" s="1435"/>
      <c r="B73" s="1435"/>
      <c r="C73" s="1435"/>
      <c r="D73" s="367" t="s">
        <v>1334</v>
      </c>
      <c r="E73" s="362"/>
      <c r="F73" s="362"/>
      <c r="G73" s="362"/>
      <c r="H73" s="363"/>
      <c r="I73" s="533">
        <v>231253.4</v>
      </c>
      <c r="J73" s="1503"/>
    </row>
    <row r="74" spans="1:10" s="364" customFormat="1">
      <c r="A74" s="1435"/>
      <c r="B74" s="1435"/>
      <c r="C74" s="1435"/>
      <c r="D74" s="362" t="s">
        <v>1342</v>
      </c>
      <c r="E74" s="362"/>
      <c r="F74" s="362"/>
      <c r="G74" s="362"/>
      <c r="H74" s="363"/>
      <c r="I74" s="533">
        <v>2543787.4</v>
      </c>
      <c r="J74" s="1504"/>
    </row>
    <row r="75" spans="1:10" s="170" customFormat="1" ht="36">
      <c r="A75" s="1429">
        <v>2</v>
      </c>
      <c r="B75" s="1429" t="s">
        <v>2355</v>
      </c>
      <c r="C75" s="1430" t="s">
        <v>1312</v>
      </c>
      <c r="D75" s="1429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495">
        <f>ROUND(I80*0.9,0)</f>
        <v>722592</v>
      </c>
    </row>
    <row r="76" spans="1:10" s="170" customFormat="1" ht="24">
      <c r="A76" s="1429"/>
      <c r="B76" s="1429"/>
      <c r="C76" s="1430"/>
      <c r="D76" s="1429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496"/>
    </row>
    <row r="77" spans="1:10" s="170" customFormat="1" ht="13.5">
      <c r="A77" s="1429"/>
      <c r="B77" s="1429"/>
      <c r="C77" s="1430"/>
      <c r="D77" s="367" t="s">
        <v>1332</v>
      </c>
      <c r="E77" s="365"/>
      <c r="F77" s="365"/>
      <c r="G77" s="395"/>
      <c r="H77" s="366"/>
      <c r="I77" s="529">
        <v>690430</v>
      </c>
      <c r="J77" s="1496"/>
    </row>
    <row r="78" spans="1:10" s="170" customFormat="1" ht="13.5">
      <c r="A78" s="1429"/>
      <c r="B78" s="1429"/>
      <c r="C78" s="1430"/>
      <c r="D78" s="367" t="s">
        <v>1334</v>
      </c>
      <c r="E78" s="365"/>
      <c r="F78" s="365"/>
      <c r="G78" s="395"/>
      <c r="H78" s="366"/>
      <c r="I78" s="529">
        <v>82450</v>
      </c>
      <c r="J78" s="1496"/>
    </row>
    <row r="79" spans="1:10" s="170" customFormat="1" ht="13.5">
      <c r="A79" s="1429"/>
      <c r="B79" s="1429"/>
      <c r="C79" s="1430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496"/>
    </row>
    <row r="80" spans="1:10" s="170" customFormat="1" ht="13.5">
      <c r="A80" s="1429"/>
      <c r="B80" s="1429"/>
      <c r="C80" s="1430"/>
      <c r="D80" s="367" t="s">
        <v>1342</v>
      </c>
      <c r="E80" s="365"/>
      <c r="F80" s="365"/>
      <c r="G80" s="395"/>
      <c r="H80" s="366"/>
      <c r="I80" s="529">
        <v>802880</v>
      </c>
      <c r="J80" s="1497"/>
    </row>
    <row r="81" spans="1:10" s="170" customFormat="1" ht="24">
      <c r="A81" s="1429">
        <v>3</v>
      </c>
      <c r="B81" s="1429" t="s">
        <v>2356</v>
      </c>
      <c r="C81" s="1430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495">
        <f>ROUND(I93*0.9,0)</f>
        <v>1646563</v>
      </c>
    </row>
    <row r="82" spans="1:10" s="170" customFormat="1" ht="36">
      <c r="A82" s="1429"/>
      <c r="B82" s="1429"/>
      <c r="C82" s="1430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496"/>
    </row>
    <row r="83" spans="1:10" s="170" customFormat="1" ht="36">
      <c r="A83" s="1429"/>
      <c r="B83" s="1429"/>
      <c r="C83" s="1430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496"/>
    </row>
    <row r="84" spans="1:10" s="170" customFormat="1" ht="13.5">
      <c r="A84" s="1429"/>
      <c r="B84" s="1429"/>
      <c r="C84" s="1430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496"/>
    </row>
    <row r="85" spans="1:10" s="170" customFormat="1" ht="13.5">
      <c r="A85" s="1429"/>
      <c r="B85" s="1429"/>
      <c r="C85" s="1430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496"/>
    </row>
    <row r="86" spans="1:10" s="170" customFormat="1" ht="24">
      <c r="A86" s="1429"/>
      <c r="B86" s="1429"/>
      <c r="C86" s="1430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496"/>
    </row>
    <row r="87" spans="1:10" s="170" customFormat="1" ht="48">
      <c r="A87" s="1429"/>
      <c r="B87" s="1429"/>
      <c r="C87" s="1430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496"/>
    </row>
    <row r="88" spans="1:10" s="170" customFormat="1" ht="24">
      <c r="A88" s="1429"/>
      <c r="B88" s="1429"/>
      <c r="C88" s="1430"/>
      <c r="D88" s="1444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496"/>
    </row>
    <row r="89" spans="1:10" s="170" customFormat="1" ht="48">
      <c r="A89" s="1429"/>
      <c r="B89" s="1429"/>
      <c r="C89" s="1430"/>
      <c r="D89" s="1444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496"/>
    </row>
    <row r="90" spans="1:10" s="170" customFormat="1" ht="36">
      <c r="A90" s="1429"/>
      <c r="B90" s="1429"/>
      <c r="C90" s="1430"/>
      <c r="D90" s="1444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496"/>
    </row>
    <row r="91" spans="1:10" s="170" customFormat="1" ht="13.5">
      <c r="A91" s="1429"/>
      <c r="B91" s="1429"/>
      <c r="C91" s="1430"/>
      <c r="D91" s="367" t="s">
        <v>1332</v>
      </c>
      <c r="E91" s="365"/>
      <c r="F91" s="365"/>
      <c r="G91" s="395"/>
      <c r="H91" s="366"/>
      <c r="I91" s="529">
        <v>1633495.29</v>
      </c>
      <c r="J91" s="1496"/>
    </row>
    <row r="92" spans="1:10" s="170" customFormat="1" ht="13.5">
      <c r="A92" s="1429"/>
      <c r="B92" s="1429"/>
      <c r="C92" s="1430"/>
      <c r="D92" s="367" t="s">
        <v>1334</v>
      </c>
      <c r="E92" s="365"/>
      <c r="F92" s="365"/>
      <c r="G92" s="395"/>
      <c r="H92" s="366"/>
      <c r="I92" s="529">
        <v>196019.43479999999</v>
      </c>
      <c r="J92" s="1496"/>
    </row>
    <row r="93" spans="1:10" s="170" customFormat="1" ht="13.5">
      <c r="A93" s="1429"/>
      <c r="B93" s="1429"/>
      <c r="C93" s="1430"/>
      <c r="D93" s="367" t="s">
        <v>1342</v>
      </c>
      <c r="E93" s="365"/>
      <c r="F93" s="365"/>
      <c r="G93" s="395"/>
      <c r="H93" s="366"/>
      <c r="I93" s="529">
        <v>1829514.7248</v>
      </c>
      <c r="J93" s="1497"/>
    </row>
    <row r="94" spans="1:10" s="170" customFormat="1" ht="60">
      <c r="A94" s="1429">
        <v>4</v>
      </c>
      <c r="B94" s="1429" t="s">
        <v>2357</v>
      </c>
      <c r="C94" s="1430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495">
        <f>ROUND(I97*0.8,0)</f>
        <v>417043</v>
      </c>
    </row>
    <row r="95" spans="1:10" s="170" customFormat="1" ht="13.5">
      <c r="A95" s="1429"/>
      <c r="B95" s="1429"/>
      <c r="C95" s="1430"/>
      <c r="D95" s="367" t="s">
        <v>1332</v>
      </c>
      <c r="E95" s="365"/>
      <c r="F95" s="365"/>
      <c r="G95" s="395"/>
      <c r="H95" s="366"/>
      <c r="I95" s="529">
        <v>465450</v>
      </c>
      <c r="J95" s="1496"/>
    </row>
    <row r="96" spans="1:10" s="170" customFormat="1" ht="13.5">
      <c r="A96" s="1429"/>
      <c r="B96" s="1429"/>
      <c r="C96" s="1430"/>
      <c r="D96" s="367" t="s">
        <v>1334</v>
      </c>
      <c r="E96" s="365"/>
      <c r="F96" s="365"/>
      <c r="G96" s="395"/>
      <c r="H96" s="366"/>
      <c r="I96" s="529">
        <v>55854</v>
      </c>
      <c r="J96" s="1496"/>
    </row>
    <row r="97" spans="1:10" s="170" customFormat="1" ht="13.5">
      <c r="A97" s="1429"/>
      <c r="B97" s="1429"/>
      <c r="C97" s="1430"/>
      <c r="D97" s="367" t="s">
        <v>1342</v>
      </c>
      <c r="E97" s="365"/>
      <c r="F97" s="365"/>
      <c r="G97" s="395"/>
      <c r="H97" s="366"/>
      <c r="I97" s="529">
        <v>521304</v>
      </c>
      <c r="J97" s="1497"/>
    </row>
    <row r="98" spans="1:10" s="170" customFormat="1" ht="48">
      <c r="A98" s="1429">
        <v>5</v>
      </c>
      <c r="B98" s="1429" t="s">
        <v>2358</v>
      </c>
      <c r="C98" s="1430" t="s">
        <v>1690</v>
      </c>
      <c r="D98" s="1429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495">
        <f>ROUND(I102*0.8,0)</f>
        <v>121887</v>
      </c>
    </row>
    <row r="99" spans="1:10" s="170" customFormat="1" ht="13.5">
      <c r="A99" s="1429"/>
      <c r="B99" s="1429"/>
      <c r="C99" s="1430"/>
      <c r="D99" s="1429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496"/>
    </row>
    <row r="100" spans="1:10" s="170" customFormat="1" ht="13.5">
      <c r="A100" s="1429"/>
      <c r="B100" s="1429"/>
      <c r="C100" s="1430"/>
      <c r="D100" s="367" t="s">
        <v>1332</v>
      </c>
      <c r="E100" s="365"/>
      <c r="F100" s="365"/>
      <c r="G100" s="395"/>
      <c r="H100" s="366"/>
      <c r="I100" s="529">
        <v>136035</v>
      </c>
      <c r="J100" s="1496"/>
    </row>
    <row r="101" spans="1:10" s="170" customFormat="1" ht="13.5">
      <c r="A101" s="1429"/>
      <c r="B101" s="1429"/>
      <c r="C101" s="1430"/>
      <c r="D101" s="367" t="s">
        <v>1334</v>
      </c>
      <c r="E101" s="365"/>
      <c r="F101" s="365"/>
      <c r="G101" s="395"/>
      <c r="H101" s="366"/>
      <c r="I101" s="533">
        <v>16324.2</v>
      </c>
      <c r="J101" s="1496"/>
    </row>
    <row r="102" spans="1:10" s="170" customFormat="1" ht="13.5">
      <c r="A102" s="1429"/>
      <c r="B102" s="1429"/>
      <c r="C102" s="1430"/>
      <c r="D102" s="367" t="s">
        <v>1342</v>
      </c>
      <c r="E102" s="365"/>
      <c r="F102" s="365"/>
      <c r="G102" s="395"/>
      <c r="H102" s="366"/>
      <c r="I102" s="529">
        <v>152359.20000000001</v>
      </c>
      <c r="J102" s="1497"/>
    </row>
    <row r="103" spans="1:10" s="170" customFormat="1" ht="36">
      <c r="A103" s="1444">
        <v>6</v>
      </c>
      <c r="B103" s="1444" t="s">
        <v>2359</v>
      </c>
      <c r="C103" s="1445" t="s">
        <v>1312</v>
      </c>
      <c r="D103" s="1444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495">
        <f>ROUND(I108*0.8,0)</f>
        <v>302082</v>
      </c>
    </row>
    <row r="104" spans="1:10" s="170" customFormat="1" ht="24">
      <c r="A104" s="1444"/>
      <c r="B104" s="1444"/>
      <c r="C104" s="1445"/>
      <c r="D104" s="1444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496"/>
    </row>
    <row r="105" spans="1:10" s="170" customFormat="1" ht="36">
      <c r="A105" s="1444"/>
      <c r="B105" s="1444"/>
      <c r="C105" s="1445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496"/>
    </row>
    <row r="106" spans="1:10" s="170" customFormat="1" ht="13.5">
      <c r="A106" s="1444"/>
      <c r="B106" s="1444"/>
      <c r="C106" s="1445"/>
      <c r="D106" s="398" t="s">
        <v>1332</v>
      </c>
      <c r="E106" s="396"/>
      <c r="F106" s="396"/>
      <c r="G106" s="395"/>
      <c r="H106" s="366"/>
      <c r="I106" s="531">
        <v>337145</v>
      </c>
      <c r="J106" s="1496"/>
    </row>
    <row r="107" spans="1:10" s="170" customFormat="1" ht="13.5">
      <c r="A107" s="1444"/>
      <c r="B107" s="1444"/>
      <c r="C107" s="1445"/>
      <c r="D107" s="398" t="s">
        <v>1334</v>
      </c>
      <c r="E107" s="396"/>
      <c r="F107" s="365"/>
      <c r="G107" s="395"/>
      <c r="H107" s="366"/>
      <c r="I107" s="531">
        <v>40457.4</v>
      </c>
      <c r="J107" s="1496"/>
    </row>
    <row r="108" spans="1:10" s="170" customFormat="1" ht="13.5">
      <c r="A108" s="1444"/>
      <c r="B108" s="1444"/>
      <c r="C108" s="1445"/>
      <c r="D108" s="398" t="s">
        <v>1342</v>
      </c>
      <c r="E108" s="396"/>
      <c r="F108" s="396"/>
      <c r="G108" s="395"/>
      <c r="H108" s="366"/>
      <c r="I108" s="531">
        <v>377602.4</v>
      </c>
      <c r="J108" s="1497"/>
    </row>
    <row r="109" spans="1:10" s="374" customFormat="1" ht="24">
      <c r="A109" s="1446">
        <v>7</v>
      </c>
      <c r="B109" s="1446" t="s">
        <v>2360</v>
      </c>
      <c r="C109" s="1435" t="s">
        <v>1783</v>
      </c>
      <c r="D109" s="1446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498">
        <f>ROUND(I124*0.9,0)</f>
        <v>1188231</v>
      </c>
    </row>
    <row r="110" spans="1:10" s="374" customFormat="1">
      <c r="A110" s="1446"/>
      <c r="B110" s="1446"/>
      <c r="C110" s="1435"/>
      <c r="D110" s="1446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499"/>
    </row>
    <row r="111" spans="1:10" s="374" customFormat="1">
      <c r="A111" s="1446"/>
      <c r="B111" s="1446"/>
      <c r="C111" s="1435"/>
      <c r="D111" s="1446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499"/>
    </row>
    <row r="112" spans="1:10" s="374" customFormat="1">
      <c r="A112" s="1446"/>
      <c r="B112" s="1446"/>
      <c r="C112" s="1435"/>
      <c r="D112" s="1446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499"/>
    </row>
    <row r="113" spans="1:10" s="374" customFormat="1">
      <c r="A113" s="1446"/>
      <c r="B113" s="1446"/>
      <c r="C113" s="1435"/>
      <c r="D113" s="1446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499"/>
    </row>
    <row r="114" spans="1:10" s="374" customFormat="1">
      <c r="A114" s="1446"/>
      <c r="B114" s="1446"/>
      <c r="C114" s="1435"/>
      <c r="D114" s="1446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499"/>
    </row>
    <row r="115" spans="1:10" s="374" customFormat="1">
      <c r="A115" s="1446"/>
      <c r="B115" s="1446"/>
      <c r="C115" s="1435"/>
      <c r="D115" s="1446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499"/>
    </row>
    <row r="116" spans="1:10" s="374" customFormat="1">
      <c r="A116" s="1446"/>
      <c r="B116" s="1446"/>
      <c r="C116" s="1435"/>
      <c r="D116" s="1446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499"/>
    </row>
    <row r="117" spans="1:10" s="374" customFormat="1">
      <c r="A117" s="1446"/>
      <c r="B117" s="1446"/>
      <c r="C117" s="1435"/>
      <c r="D117" s="1446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499"/>
    </row>
    <row r="118" spans="1:10" s="374" customFormat="1">
      <c r="A118" s="1446"/>
      <c r="B118" s="1446"/>
      <c r="C118" s="1435"/>
      <c r="D118" s="1446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499"/>
    </row>
    <row r="119" spans="1:10" s="374" customFormat="1">
      <c r="A119" s="1446"/>
      <c r="B119" s="1446"/>
      <c r="C119" s="1435"/>
      <c r="D119" s="1446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499"/>
    </row>
    <row r="120" spans="1:10" s="374" customFormat="1">
      <c r="A120" s="1446"/>
      <c r="B120" s="1446"/>
      <c r="C120" s="1435"/>
      <c r="D120" s="1446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499"/>
    </row>
    <row r="121" spans="1:10" s="374" customFormat="1">
      <c r="A121" s="1447"/>
      <c r="B121" s="1447"/>
      <c r="C121" s="1423"/>
      <c r="D121" s="401" t="s">
        <v>1332</v>
      </c>
      <c r="E121" s="362"/>
      <c r="F121" s="402"/>
      <c r="G121" s="403"/>
      <c r="H121" s="373"/>
      <c r="I121" s="510">
        <v>1049336</v>
      </c>
      <c r="J121" s="1499"/>
    </row>
    <row r="122" spans="1:10" s="374" customFormat="1">
      <c r="A122" s="1446"/>
      <c r="B122" s="1446"/>
      <c r="C122" s="1435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499"/>
    </row>
    <row r="123" spans="1:10" s="374" customFormat="1">
      <c r="A123" s="1447"/>
      <c r="B123" s="1447"/>
      <c r="C123" s="1423"/>
      <c r="D123" s="382" t="s">
        <v>1742</v>
      </c>
      <c r="E123" s="362"/>
      <c r="F123" s="402"/>
      <c r="G123" s="403"/>
      <c r="H123" s="404"/>
      <c r="I123" s="510">
        <v>270920.32000000001</v>
      </c>
      <c r="J123" s="1499"/>
    </row>
    <row r="124" spans="1:10" s="374" customFormat="1">
      <c r="A124" s="1447"/>
      <c r="B124" s="1447"/>
      <c r="C124" s="1423"/>
      <c r="D124" s="401" t="s">
        <v>1342</v>
      </c>
      <c r="E124" s="362"/>
      <c r="F124" s="402"/>
      <c r="G124" s="403"/>
      <c r="H124" s="404"/>
      <c r="I124" s="510">
        <v>1320256.32</v>
      </c>
      <c r="J124" s="1500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429">
        <v>1</v>
      </c>
      <c r="B126" s="1429" t="s">
        <v>2361</v>
      </c>
      <c r="C126" s="1430" t="s">
        <v>1312</v>
      </c>
      <c r="D126" s="1429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495">
        <f>ROUND(I131*0.8,0)</f>
        <v>372500</v>
      </c>
    </row>
    <row r="127" spans="1:10" s="170" customFormat="1" ht="24">
      <c r="A127" s="1429"/>
      <c r="B127" s="1429"/>
      <c r="C127" s="1430"/>
      <c r="D127" s="1429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496"/>
    </row>
    <row r="128" spans="1:10" s="170" customFormat="1" ht="24">
      <c r="A128" s="1429"/>
      <c r="B128" s="1429"/>
      <c r="C128" s="1430"/>
      <c r="D128" s="1429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496"/>
    </row>
    <row r="129" spans="1:10" s="170" customFormat="1" ht="13.5">
      <c r="A129" s="1429"/>
      <c r="B129" s="1429"/>
      <c r="C129" s="1430"/>
      <c r="D129" s="367" t="s">
        <v>1332</v>
      </c>
      <c r="E129" s="365"/>
      <c r="F129" s="365"/>
      <c r="G129" s="365"/>
      <c r="H129" s="370"/>
      <c r="I129" s="529">
        <v>415737.13</v>
      </c>
      <c r="J129" s="1496"/>
    </row>
    <row r="130" spans="1:10" s="170" customFormat="1" ht="13.5">
      <c r="A130" s="1429"/>
      <c r="B130" s="1429"/>
      <c r="C130" s="1430"/>
      <c r="D130" s="367" t="s">
        <v>1334</v>
      </c>
      <c r="E130" s="365"/>
      <c r="F130" s="365"/>
      <c r="G130" s="365"/>
      <c r="H130" s="370"/>
      <c r="I130" s="529">
        <v>49888.455600000001</v>
      </c>
      <c r="J130" s="1496"/>
    </row>
    <row r="131" spans="1:10" s="170" customFormat="1" ht="13.5">
      <c r="A131" s="1429"/>
      <c r="B131" s="1429"/>
      <c r="C131" s="1430"/>
      <c r="D131" s="367" t="s">
        <v>1342</v>
      </c>
      <c r="E131" s="365"/>
      <c r="F131" s="365"/>
      <c r="G131" s="365"/>
      <c r="H131" s="370"/>
      <c r="I131" s="529">
        <v>465625.58559999999</v>
      </c>
      <c r="J131" s="1497"/>
    </row>
    <row r="132" spans="1:10" s="170" customFormat="1" ht="13.5">
      <c r="A132" s="1429">
        <v>2</v>
      </c>
      <c r="B132" s="1429" t="s">
        <v>2362</v>
      </c>
      <c r="C132" s="1430" t="s">
        <v>1690</v>
      </c>
      <c r="D132" s="1429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495">
        <f>ROUND(I137*0.8,0)</f>
        <v>541024</v>
      </c>
    </row>
    <row r="133" spans="1:10" s="170" customFormat="1" ht="13.5">
      <c r="A133" s="1429"/>
      <c r="B133" s="1429"/>
      <c r="C133" s="1430"/>
      <c r="D133" s="1429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496"/>
    </row>
    <row r="134" spans="1:10" s="170" customFormat="1" ht="13.5">
      <c r="A134" s="1429"/>
      <c r="B134" s="1429"/>
      <c r="C134" s="1430"/>
      <c r="D134" s="367" t="s">
        <v>1332</v>
      </c>
      <c r="E134" s="365"/>
      <c r="F134" s="365"/>
      <c r="G134" s="75"/>
      <c r="H134" s="366"/>
      <c r="I134" s="529">
        <v>580000</v>
      </c>
      <c r="J134" s="1496"/>
    </row>
    <row r="135" spans="1:10" s="170" customFormat="1" ht="13.5">
      <c r="A135" s="1429"/>
      <c r="B135" s="1429"/>
      <c r="C135" s="1430"/>
      <c r="D135" s="367" t="s">
        <v>1334</v>
      </c>
      <c r="E135" s="365"/>
      <c r="F135" s="365"/>
      <c r="G135" s="137"/>
      <c r="H135" s="366"/>
      <c r="I135" s="529">
        <v>66280</v>
      </c>
      <c r="J135" s="1496"/>
    </row>
    <row r="136" spans="1:10" s="170" customFormat="1" ht="13.5">
      <c r="A136" s="1429"/>
      <c r="B136" s="1429"/>
      <c r="C136" s="1430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496"/>
    </row>
    <row r="137" spans="1:10" s="170" customFormat="1" ht="13.5">
      <c r="A137" s="1429"/>
      <c r="B137" s="1429"/>
      <c r="C137" s="1430"/>
      <c r="D137" s="367" t="s">
        <v>1342</v>
      </c>
      <c r="E137" s="365"/>
      <c r="F137" s="365"/>
      <c r="G137" s="75"/>
      <c r="H137" s="366"/>
      <c r="I137" s="529">
        <v>676280</v>
      </c>
      <c r="J137" s="1497"/>
    </row>
    <row r="138" spans="1:10" s="170" customFormat="1" ht="24">
      <c r="A138" s="1429">
        <v>3</v>
      </c>
      <c r="B138" s="1429" t="s">
        <v>2363</v>
      </c>
      <c r="C138" s="1430" t="s">
        <v>1312</v>
      </c>
      <c r="D138" s="1429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495">
        <f>ROUND(I145*0.8,0)</f>
        <v>174956</v>
      </c>
    </row>
    <row r="139" spans="1:10" s="170" customFormat="1" ht="24">
      <c r="A139" s="1429"/>
      <c r="B139" s="1429"/>
      <c r="C139" s="1430"/>
      <c r="D139" s="1429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496"/>
    </row>
    <row r="140" spans="1:10" s="170" customFormat="1" ht="24">
      <c r="A140" s="1429"/>
      <c r="B140" s="1429"/>
      <c r="C140" s="1430"/>
      <c r="D140" s="1429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496"/>
    </row>
    <row r="141" spans="1:10" s="170" customFormat="1" ht="13.5">
      <c r="A141" s="1429"/>
      <c r="B141" s="1429"/>
      <c r="C141" s="1430"/>
      <c r="D141" s="1429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496"/>
    </row>
    <row r="142" spans="1:10" s="170" customFormat="1" ht="13.5">
      <c r="A142" s="1429"/>
      <c r="B142" s="1429"/>
      <c r="C142" s="1430"/>
      <c r="D142" s="367" t="s">
        <v>1332</v>
      </c>
      <c r="E142" s="365"/>
      <c r="F142" s="365"/>
      <c r="G142" s="75"/>
      <c r="H142" s="366"/>
      <c r="I142" s="529">
        <v>183210.23999999999</v>
      </c>
      <c r="J142" s="1496"/>
    </row>
    <row r="143" spans="1:10" s="170" customFormat="1" ht="13.5">
      <c r="A143" s="1429"/>
      <c r="B143" s="1429"/>
      <c r="C143" s="1430"/>
      <c r="D143" s="367" t="s">
        <v>1334</v>
      </c>
      <c r="E143" s="365"/>
      <c r="F143" s="365"/>
      <c r="G143" s="137"/>
      <c r="H143" s="366"/>
      <c r="I143" s="529">
        <v>21985.228800000001</v>
      </c>
      <c r="J143" s="1496"/>
    </row>
    <row r="144" spans="1:10" s="170" customFormat="1" ht="13.5">
      <c r="A144" s="1429"/>
      <c r="B144" s="1429"/>
      <c r="C144" s="1430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496"/>
    </row>
    <row r="145" spans="1:10" s="170" customFormat="1" ht="13.5">
      <c r="A145" s="1429"/>
      <c r="B145" s="1429"/>
      <c r="C145" s="1430"/>
      <c r="D145" s="367" t="s">
        <v>1342</v>
      </c>
      <c r="E145" s="365"/>
      <c r="F145" s="365"/>
      <c r="G145" s="75"/>
      <c r="H145" s="366"/>
      <c r="I145" s="529">
        <v>218695.4688</v>
      </c>
      <c r="J145" s="1497"/>
    </row>
    <row r="146" spans="1:10" s="170" customFormat="1" ht="24">
      <c r="A146" s="1429">
        <v>4</v>
      </c>
      <c r="B146" s="1429" t="s">
        <v>2364</v>
      </c>
      <c r="C146" s="1430" t="s">
        <v>1312</v>
      </c>
      <c r="D146" s="1429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495">
        <f>ROUND(I153*0.9,0)</f>
        <v>1070240</v>
      </c>
    </row>
    <row r="147" spans="1:10" s="170" customFormat="1" ht="24">
      <c r="A147" s="1429"/>
      <c r="B147" s="1429"/>
      <c r="C147" s="1430"/>
      <c r="D147" s="1429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496"/>
    </row>
    <row r="148" spans="1:10" s="170" customFormat="1" ht="24">
      <c r="A148" s="1429"/>
      <c r="B148" s="1429"/>
      <c r="C148" s="1430"/>
      <c r="D148" s="1429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496"/>
    </row>
    <row r="149" spans="1:10" s="170" customFormat="1" ht="13.5">
      <c r="A149" s="1429"/>
      <c r="B149" s="1429"/>
      <c r="C149" s="1430"/>
      <c r="D149" s="1429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496"/>
    </row>
    <row r="150" spans="1:10" s="170" customFormat="1" ht="13.5">
      <c r="A150" s="1429"/>
      <c r="B150" s="1429"/>
      <c r="C150" s="1430"/>
      <c r="D150" s="367" t="s">
        <v>1332</v>
      </c>
      <c r="E150" s="365"/>
      <c r="F150" s="365"/>
      <c r="G150" s="75"/>
      <c r="H150" s="366"/>
      <c r="I150" s="529">
        <v>1027605</v>
      </c>
      <c r="J150" s="1496"/>
    </row>
    <row r="151" spans="1:10" s="170" customFormat="1" ht="13.5">
      <c r="A151" s="1429"/>
      <c r="B151" s="1429"/>
      <c r="C151" s="1430"/>
      <c r="D151" s="367" t="s">
        <v>1334</v>
      </c>
      <c r="E151" s="365"/>
      <c r="F151" s="365"/>
      <c r="G151" s="137"/>
      <c r="H151" s="366"/>
      <c r="I151" s="529">
        <v>111550</v>
      </c>
      <c r="J151" s="1496"/>
    </row>
    <row r="152" spans="1:10" s="170" customFormat="1" ht="13.5">
      <c r="A152" s="1429"/>
      <c r="B152" s="1429"/>
      <c r="C152" s="1430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496"/>
    </row>
    <row r="153" spans="1:10" s="170" customFormat="1" ht="13.5">
      <c r="A153" s="1429"/>
      <c r="B153" s="1429"/>
      <c r="C153" s="1430"/>
      <c r="D153" s="367" t="s">
        <v>1342</v>
      </c>
      <c r="E153" s="365"/>
      <c r="F153" s="365"/>
      <c r="G153" s="75"/>
      <c r="H153" s="366"/>
      <c r="I153" s="529">
        <v>1189155</v>
      </c>
      <c r="J153" s="1497"/>
    </row>
    <row r="154" spans="1:10" s="170" customFormat="1" ht="24">
      <c r="A154" s="1429">
        <v>5</v>
      </c>
      <c r="B154" s="1429" t="s">
        <v>2365</v>
      </c>
      <c r="C154" s="1430" t="s">
        <v>1690</v>
      </c>
      <c r="D154" s="1429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495">
        <f>ROUND(I161*0.9,0)</f>
        <v>865002</v>
      </c>
    </row>
    <row r="155" spans="1:10" s="170" customFormat="1" ht="24">
      <c r="A155" s="1429"/>
      <c r="B155" s="1429"/>
      <c r="C155" s="1430"/>
      <c r="D155" s="1429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496"/>
    </row>
    <row r="156" spans="1:10" s="170" customFormat="1" ht="24">
      <c r="A156" s="1429"/>
      <c r="B156" s="1429"/>
      <c r="C156" s="1430"/>
      <c r="D156" s="1429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496"/>
    </row>
    <row r="157" spans="1:10" s="170" customFormat="1" ht="13.5">
      <c r="A157" s="1429"/>
      <c r="B157" s="1429"/>
      <c r="C157" s="1430"/>
      <c r="D157" s="1429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496"/>
    </row>
    <row r="158" spans="1:10" s="170" customFormat="1" ht="13.5">
      <c r="A158" s="1429"/>
      <c r="B158" s="1429"/>
      <c r="C158" s="1430"/>
      <c r="D158" s="367" t="s">
        <v>1332</v>
      </c>
      <c r="E158" s="365"/>
      <c r="F158" s="365"/>
      <c r="G158" s="75"/>
      <c r="H158" s="366"/>
      <c r="I158" s="529">
        <v>821513</v>
      </c>
      <c r="J158" s="1496"/>
    </row>
    <row r="159" spans="1:10" s="170" customFormat="1" ht="13.5">
      <c r="A159" s="1429"/>
      <c r="B159" s="1429"/>
      <c r="C159" s="1430"/>
      <c r="D159" s="367" t="s">
        <v>1334</v>
      </c>
      <c r="E159" s="365"/>
      <c r="F159" s="365"/>
      <c r="G159" s="137"/>
      <c r="H159" s="366"/>
      <c r="I159" s="529">
        <v>89600</v>
      </c>
      <c r="J159" s="1496"/>
    </row>
    <row r="160" spans="1:10" s="170" customFormat="1" ht="13.5">
      <c r="A160" s="1429"/>
      <c r="B160" s="1429"/>
      <c r="C160" s="1430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496"/>
    </row>
    <row r="161" spans="1:10" s="170" customFormat="1" ht="13.5">
      <c r="A161" s="1429"/>
      <c r="B161" s="1429"/>
      <c r="C161" s="1430"/>
      <c r="D161" s="367" t="s">
        <v>1342</v>
      </c>
      <c r="E161" s="365"/>
      <c r="F161" s="365"/>
      <c r="G161" s="75"/>
      <c r="H161" s="366"/>
      <c r="I161" s="529">
        <v>961113</v>
      </c>
      <c r="J161" s="1497"/>
    </row>
    <row r="162" spans="1:10" s="170" customFormat="1" ht="36">
      <c r="A162" s="1429">
        <v>6</v>
      </c>
      <c r="B162" s="1429" t="s">
        <v>2366</v>
      </c>
      <c r="C162" s="1430" t="s">
        <v>1312</v>
      </c>
      <c r="D162" s="1429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495">
        <f>ROUND(I169*0.9,0)</f>
        <v>907101</v>
      </c>
    </row>
    <row r="163" spans="1:10" s="170" customFormat="1" ht="24">
      <c r="A163" s="1429"/>
      <c r="B163" s="1429"/>
      <c r="C163" s="1430"/>
      <c r="D163" s="1429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496"/>
    </row>
    <row r="164" spans="1:10" s="170" customFormat="1" ht="24">
      <c r="A164" s="1429"/>
      <c r="B164" s="1429"/>
      <c r="C164" s="1430"/>
      <c r="D164" s="1429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496"/>
    </row>
    <row r="165" spans="1:10" s="170" customFormat="1" ht="24">
      <c r="A165" s="1429"/>
      <c r="B165" s="1429"/>
      <c r="C165" s="1430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496"/>
    </row>
    <row r="166" spans="1:10" s="170" customFormat="1" ht="13.5">
      <c r="A166" s="1429"/>
      <c r="B166" s="1429"/>
      <c r="C166" s="1430"/>
      <c r="D166" s="367" t="s">
        <v>1332</v>
      </c>
      <c r="E166" s="365"/>
      <c r="F166" s="365"/>
      <c r="G166" s="75"/>
      <c r="H166" s="366"/>
      <c r="I166" s="529">
        <v>873116.01</v>
      </c>
      <c r="J166" s="1496"/>
    </row>
    <row r="167" spans="1:10" s="170" customFormat="1" ht="13.5">
      <c r="A167" s="1429"/>
      <c r="B167" s="1429"/>
      <c r="C167" s="1430"/>
      <c r="D167" s="367" t="s">
        <v>1334</v>
      </c>
      <c r="E167" s="365"/>
      <c r="F167" s="365"/>
      <c r="G167" s="137"/>
      <c r="H167" s="366"/>
      <c r="I167" s="529">
        <v>104773.9212</v>
      </c>
      <c r="J167" s="1496"/>
    </row>
    <row r="168" spans="1:10" s="170" customFormat="1" ht="13.5">
      <c r="A168" s="1429"/>
      <c r="B168" s="1429"/>
      <c r="C168" s="1430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496"/>
    </row>
    <row r="169" spans="1:10" s="170" customFormat="1" ht="13.5">
      <c r="A169" s="1429"/>
      <c r="B169" s="1429"/>
      <c r="C169" s="1430"/>
      <c r="D169" s="367" t="s">
        <v>1342</v>
      </c>
      <c r="E169" s="365"/>
      <c r="F169" s="365"/>
      <c r="G169" s="75"/>
      <c r="H169" s="366"/>
      <c r="I169" s="529">
        <v>1007889.9312</v>
      </c>
      <c r="J169" s="1497"/>
    </row>
    <row r="170" spans="1:10" s="170" customFormat="1" ht="60">
      <c r="A170" s="1448">
        <v>7</v>
      </c>
      <c r="B170" s="1448" t="s">
        <v>2367</v>
      </c>
      <c r="C170" s="1448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495">
        <f>ROUND(I173*0.9,0)</f>
        <v>134793</v>
      </c>
    </row>
    <row r="171" spans="1:10" s="170" customFormat="1" ht="13.5">
      <c r="A171" s="1429"/>
      <c r="B171" s="1429"/>
      <c r="C171" s="1430"/>
      <c r="D171" s="367" t="s">
        <v>1332</v>
      </c>
      <c r="E171" s="365"/>
      <c r="F171" s="365"/>
      <c r="G171" s="75"/>
      <c r="H171" s="366"/>
      <c r="I171" s="534">
        <v>133723.38</v>
      </c>
      <c r="J171" s="1496"/>
    </row>
    <row r="172" spans="1:10" s="170" customFormat="1" ht="13.5">
      <c r="A172" s="1429"/>
      <c r="B172" s="1429"/>
      <c r="C172" s="1430"/>
      <c r="D172" s="367" t="s">
        <v>1334</v>
      </c>
      <c r="E172" s="365"/>
      <c r="F172" s="365"/>
      <c r="G172" s="137"/>
      <c r="H172" s="366"/>
      <c r="I172" s="534">
        <v>16046.8056</v>
      </c>
      <c r="J172" s="1496"/>
    </row>
    <row r="173" spans="1:10" s="170" customFormat="1" ht="13.5">
      <c r="A173" s="1429"/>
      <c r="B173" s="1429"/>
      <c r="C173" s="1430"/>
      <c r="D173" s="367" t="s">
        <v>1342</v>
      </c>
      <c r="E173" s="365"/>
      <c r="F173" s="365"/>
      <c r="G173" s="75"/>
      <c r="H173" s="366"/>
      <c r="I173" s="533">
        <v>149770.1856</v>
      </c>
      <c r="J173" s="1497"/>
    </row>
    <row r="174" spans="1:10" s="170" customFormat="1" ht="13.5">
      <c r="A174" s="1429">
        <v>8</v>
      </c>
      <c r="B174" s="1429" t="s">
        <v>2368</v>
      </c>
      <c r="C174" s="1430" t="s">
        <v>1312</v>
      </c>
      <c r="D174" s="1429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429"/>
      <c r="B175" s="1429"/>
      <c r="C175" s="1430"/>
      <c r="D175" s="1429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495">
        <f>ROUND(I182*0.9,0)</f>
        <v>1467511</v>
      </c>
    </row>
    <row r="176" spans="1:10" s="170" customFormat="1" ht="13.5">
      <c r="A176" s="1429"/>
      <c r="B176" s="1429"/>
      <c r="C176" s="1430"/>
      <c r="D176" s="1429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496"/>
    </row>
    <row r="177" spans="1:10" s="170" customFormat="1" ht="13.5">
      <c r="A177" s="1429"/>
      <c r="B177" s="1429"/>
      <c r="C177" s="1430"/>
      <c r="D177" s="1429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496"/>
    </row>
    <row r="178" spans="1:10" s="170" customFormat="1" ht="13.5">
      <c r="A178" s="1429"/>
      <c r="B178" s="1429"/>
      <c r="C178" s="1430"/>
      <c r="D178" s="1429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496"/>
    </row>
    <row r="179" spans="1:10" s="170" customFormat="1" ht="13.5">
      <c r="A179" s="1429"/>
      <c r="B179" s="1429"/>
      <c r="C179" s="1430"/>
      <c r="D179" s="367" t="s">
        <v>1332</v>
      </c>
      <c r="E179" s="365"/>
      <c r="F179" s="365"/>
      <c r="G179" s="75"/>
      <c r="H179" s="366"/>
      <c r="I179" s="529">
        <v>1429078.72</v>
      </c>
      <c r="J179" s="1496"/>
    </row>
    <row r="180" spans="1:10" s="170" customFormat="1" ht="13.5">
      <c r="A180" s="1429"/>
      <c r="B180" s="1429"/>
      <c r="C180" s="1430"/>
      <c r="D180" s="367" t="s">
        <v>1334</v>
      </c>
      <c r="E180" s="365"/>
      <c r="F180" s="365"/>
      <c r="G180" s="137"/>
      <c r="H180" s="366"/>
      <c r="I180" s="529">
        <v>171489.44639999999</v>
      </c>
      <c r="J180" s="1496"/>
    </row>
    <row r="181" spans="1:10" s="170" customFormat="1" ht="13.5">
      <c r="A181" s="1429"/>
      <c r="B181" s="1429"/>
      <c r="C181" s="1430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496"/>
    </row>
    <row r="182" spans="1:10" s="170" customFormat="1" ht="13.5">
      <c r="A182" s="1429"/>
      <c r="B182" s="1429"/>
      <c r="C182" s="1430"/>
      <c r="D182" s="367" t="s">
        <v>1342</v>
      </c>
      <c r="E182" s="365"/>
      <c r="F182" s="365"/>
      <c r="G182" s="75"/>
      <c r="H182" s="366"/>
      <c r="I182" s="529">
        <v>1630568.1664</v>
      </c>
      <c r="J182" s="1497"/>
    </row>
    <row r="183" spans="1:10" s="170" customFormat="1" ht="48">
      <c r="A183" s="1429">
        <v>9</v>
      </c>
      <c r="B183" s="1429" t="s">
        <v>2369</v>
      </c>
      <c r="C183" s="1430" t="s">
        <v>1690</v>
      </c>
      <c r="D183" s="1429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495">
        <f>ROUND(I189*0.9,0)</f>
        <v>1635998</v>
      </c>
    </row>
    <row r="184" spans="1:10" s="170" customFormat="1" ht="48">
      <c r="A184" s="1429"/>
      <c r="B184" s="1429"/>
      <c r="C184" s="1430"/>
      <c r="D184" s="1429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496"/>
    </row>
    <row r="185" spans="1:10" s="170" customFormat="1" ht="36">
      <c r="A185" s="1429"/>
      <c r="B185" s="1429"/>
      <c r="C185" s="1430"/>
      <c r="D185" s="1429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496"/>
    </row>
    <row r="186" spans="1:10" s="170" customFormat="1" ht="13.5">
      <c r="A186" s="1429"/>
      <c r="B186" s="1429"/>
      <c r="C186" s="1430"/>
      <c r="D186" s="367" t="s">
        <v>1332</v>
      </c>
      <c r="E186" s="365"/>
      <c r="F186" s="365"/>
      <c r="G186" s="75"/>
      <c r="H186" s="366"/>
      <c r="I186" s="529">
        <v>1640250.94</v>
      </c>
      <c r="J186" s="1496"/>
    </row>
    <row r="187" spans="1:10" s="170" customFormat="1" ht="13.5">
      <c r="A187" s="1429"/>
      <c r="B187" s="1429"/>
      <c r="C187" s="1430"/>
      <c r="D187" s="367" t="s">
        <v>1334</v>
      </c>
      <c r="E187" s="365"/>
      <c r="F187" s="365"/>
      <c r="G187" s="137"/>
      <c r="H187" s="366"/>
      <c r="I187" s="529">
        <v>164025.09400000001</v>
      </c>
      <c r="J187" s="1496"/>
    </row>
    <row r="188" spans="1:10" s="170" customFormat="1" ht="13.5">
      <c r="A188" s="1429"/>
      <c r="B188" s="1429"/>
      <c r="C188" s="1430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496"/>
    </row>
    <row r="189" spans="1:10" s="170" customFormat="1" ht="13.5">
      <c r="A189" s="1429"/>
      <c r="B189" s="1429"/>
      <c r="C189" s="1430"/>
      <c r="D189" s="367" t="s">
        <v>1342</v>
      </c>
      <c r="E189" s="365"/>
      <c r="F189" s="365"/>
      <c r="G189" s="75"/>
      <c r="H189" s="366"/>
      <c r="I189" s="529">
        <v>1817776.034</v>
      </c>
      <c r="J189" s="1497"/>
    </row>
    <row r="190" spans="1:10" s="170" customFormat="1" ht="24">
      <c r="A190" s="1429">
        <v>10</v>
      </c>
      <c r="B190" s="1429" t="s">
        <v>2370</v>
      </c>
      <c r="C190" s="1430" t="s">
        <v>1827</v>
      </c>
      <c r="D190" s="1429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495">
        <f>ROUND(I200*0.9,0)</f>
        <v>2622213</v>
      </c>
    </row>
    <row r="191" spans="1:10" s="170" customFormat="1" ht="13.5">
      <c r="A191" s="1429"/>
      <c r="B191" s="1429"/>
      <c r="C191" s="1430"/>
      <c r="D191" s="1429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496"/>
    </row>
    <row r="192" spans="1:10" s="170" customFormat="1" ht="13.5">
      <c r="A192" s="1429"/>
      <c r="B192" s="1429"/>
      <c r="C192" s="1430"/>
      <c r="D192" s="1429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496"/>
    </row>
    <row r="193" spans="1:10" s="170" customFormat="1" ht="13.5">
      <c r="A193" s="1429"/>
      <c r="B193" s="1429"/>
      <c r="C193" s="1430"/>
      <c r="D193" s="1429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496"/>
    </row>
    <row r="194" spans="1:10" s="170" customFormat="1" ht="13.5">
      <c r="A194" s="1429"/>
      <c r="B194" s="1429"/>
      <c r="C194" s="1430"/>
      <c r="D194" s="1429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496"/>
    </row>
    <row r="195" spans="1:10" s="170" customFormat="1" ht="13.5">
      <c r="A195" s="1429"/>
      <c r="B195" s="1429"/>
      <c r="C195" s="1430"/>
      <c r="D195" s="1429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496"/>
    </row>
    <row r="196" spans="1:10" s="170" customFormat="1" ht="24">
      <c r="A196" s="1429"/>
      <c r="B196" s="1429"/>
      <c r="C196" s="1430"/>
      <c r="D196" s="1429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496"/>
    </row>
    <row r="197" spans="1:10" s="170" customFormat="1" ht="13.5">
      <c r="A197" s="1429"/>
      <c r="B197" s="1429"/>
      <c r="C197" s="1430"/>
      <c r="D197" s="1429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496"/>
    </row>
    <row r="198" spans="1:10" s="170" customFormat="1" ht="13.5">
      <c r="A198" s="1429"/>
      <c r="B198" s="1429"/>
      <c r="C198" s="1430"/>
      <c r="D198" s="367" t="s">
        <v>1332</v>
      </c>
      <c r="E198" s="365"/>
      <c r="F198" s="365"/>
      <c r="G198" s="75"/>
      <c r="H198" s="366"/>
      <c r="I198" s="529">
        <v>2648700</v>
      </c>
      <c r="J198" s="1496"/>
    </row>
    <row r="199" spans="1:10" s="170" customFormat="1" ht="13.5">
      <c r="A199" s="1429"/>
      <c r="B199" s="1429"/>
      <c r="C199" s="1430"/>
      <c r="D199" s="367" t="s">
        <v>1334</v>
      </c>
      <c r="E199" s="365"/>
      <c r="F199" s="365"/>
      <c r="G199" s="137"/>
      <c r="H199" s="366"/>
      <c r="I199" s="529">
        <v>264870</v>
      </c>
      <c r="J199" s="1496"/>
    </row>
    <row r="200" spans="1:10" s="170" customFormat="1" ht="13.5">
      <c r="A200" s="1429"/>
      <c r="B200" s="1429"/>
      <c r="C200" s="1430"/>
      <c r="D200" s="367" t="s">
        <v>1342</v>
      </c>
      <c r="E200" s="365"/>
      <c r="F200" s="365"/>
      <c r="G200" s="75"/>
      <c r="H200" s="366"/>
      <c r="I200" s="529">
        <v>2913570</v>
      </c>
      <c r="J200" s="1497"/>
    </row>
    <row r="201" spans="1:10" s="170" customFormat="1" ht="36">
      <c r="A201" s="1429">
        <v>11</v>
      </c>
      <c r="B201" s="1449" t="s">
        <v>1837</v>
      </c>
      <c r="C201" s="1449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495">
        <f>ROUND(I205*0.8,0)</f>
        <v>221000</v>
      </c>
    </row>
    <row r="202" spans="1:10" s="170" customFormat="1" ht="13.5">
      <c r="A202" s="1429"/>
      <c r="B202" s="1449"/>
      <c r="C202" s="1449"/>
      <c r="D202" s="405" t="s">
        <v>1332</v>
      </c>
      <c r="E202" s="365"/>
      <c r="F202" s="365"/>
      <c r="G202" s="75"/>
      <c r="H202" s="366"/>
      <c r="I202" s="529">
        <v>244020</v>
      </c>
      <c r="J202" s="1496"/>
    </row>
    <row r="203" spans="1:10" s="170" customFormat="1" ht="13.5">
      <c r="A203" s="1429"/>
      <c r="B203" s="1449"/>
      <c r="C203" s="1449"/>
      <c r="D203" s="405" t="s">
        <v>1334</v>
      </c>
      <c r="E203" s="365"/>
      <c r="F203" s="365"/>
      <c r="G203" s="75"/>
      <c r="H203" s="366"/>
      <c r="I203" s="529">
        <v>27730</v>
      </c>
      <c r="J203" s="1496"/>
    </row>
    <row r="204" spans="1:10" s="170" customFormat="1" ht="13.5">
      <c r="A204" s="1429"/>
      <c r="B204" s="1449"/>
      <c r="C204" s="1449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496"/>
    </row>
    <row r="205" spans="1:10" s="170" customFormat="1" ht="13.5">
      <c r="A205" s="1429"/>
      <c r="B205" s="1449"/>
      <c r="C205" s="1449"/>
      <c r="D205" s="405" t="s">
        <v>1342</v>
      </c>
      <c r="E205" s="365"/>
      <c r="F205" s="365"/>
      <c r="G205" s="75"/>
      <c r="H205" s="366"/>
      <c r="I205" s="529">
        <v>276250</v>
      </c>
      <c r="J205" s="1497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451">
        <v>1</v>
      </c>
      <c r="B207" s="1452" t="s">
        <v>1840</v>
      </c>
      <c r="C207" s="1453" t="s">
        <v>1312</v>
      </c>
      <c r="D207" s="1452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505">
        <f>ROUND(I214*0.8,0)</f>
        <v>783200</v>
      </c>
    </row>
    <row r="208" spans="1:10" s="416" customFormat="1" ht="24">
      <c r="A208" s="1451"/>
      <c r="B208" s="1452"/>
      <c r="C208" s="1453"/>
      <c r="D208" s="1452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506"/>
    </row>
    <row r="209" spans="1:10" s="416" customFormat="1" ht="24">
      <c r="A209" s="1451"/>
      <c r="B209" s="1452"/>
      <c r="C209" s="1453"/>
      <c r="D209" s="1452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506"/>
    </row>
    <row r="210" spans="1:10" s="416" customFormat="1">
      <c r="A210" s="1451"/>
      <c r="B210" s="1452"/>
      <c r="C210" s="1453"/>
      <c r="D210" s="418" t="s">
        <v>1332</v>
      </c>
      <c r="E210" s="412"/>
      <c r="F210" s="413"/>
      <c r="G210" s="410"/>
      <c r="H210" s="406"/>
      <c r="I210" s="514">
        <v>844700</v>
      </c>
      <c r="J210" s="1506"/>
    </row>
    <row r="211" spans="1:10" s="416" customFormat="1">
      <c r="A211" s="1451"/>
      <c r="B211" s="1452"/>
      <c r="C211" s="1453"/>
      <c r="D211" s="418" t="s">
        <v>1334</v>
      </c>
      <c r="E211" s="412"/>
      <c r="F211" s="413"/>
      <c r="G211" s="419"/>
      <c r="H211" s="408"/>
      <c r="I211" s="515">
        <v>95300</v>
      </c>
      <c r="J211" s="1506"/>
    </row>
    <row r="212" spans="1:10" s="416" customFormat="1">
      <c r="A212" s="1451"/>
      <c r="B212" s="1452"/>
      <c r="C212" s="1453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506"/>
    </row>
    <row r="213" spans="1:10" s="416" customFormat="1">
      <c r="A213" s="1451"/>
      <c r="B213" s="1452"/>
      <c r="C213" s="1453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506"/>
    </row>
    <row r="214" spans="1:10" s="416" customFormat="1">
      <c r="A214" s="1451"/>
      <c r="B214" s="1452"/>
      <c r="C214" s="1453"/>
      <c r="D214" s="418" t="s">
        <v>1342</v>
      </c>
      <c r="E214" s="412"/>
      <c r="F214" s="413"/>
      <c r="G214" s="410"/>
      <c r="H214" s="406"/>
      <c r="I214" s="514">
        <v>979000</v>
      </c>
      <c r="J214" s="1507"/>
    </row>
    <row r="215" spans="1:10" s="416" customFormat="1" ht="24">
      <c r="A215" s="1451">
        <v>2</v>
      </c>
      <c r="B215" s="1452" t="s">
        <v>1843</v>
      </c>
      <c r="C215" s="1453" t="s">
        <v>1312</v>
      </c>
      <c r="D215" s="1452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505">
        <f>ROUND(I225*0.8,0)</f>
        <v>531776</v>
      </c>
    </row>
    <row r="216" spans="1:10" s="416" customFormat="1" ht="24">
      <c r="A216" s="1451"/>
      <c r="B216" s="1452"/>
      <c r="C216" s="1453"/>
      <c r="D216" s="1452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506"/>
    </row>
    <row r="217" spans="1:10" s="416" customFormat="1" ht="24">
      <c r="A217" s="1451"/>
      <c r="B217" s="1452"/>
      <c r="C217" s="1453"/>
      <c r="D217" s="1452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506"/>
    </row>
    <row r="218" spans="1:10" s="416" customFormat="1" ht="24">
      <c r="A218" s="1451"/>
      <c r="B218" s="1452"/>
      <c r="C218" s="1453"/>
      <c r="D218" s="1452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506"/>
    </row>
    <row r="219" spans="1:10" s="416" customFormat="1" ht="36">
      <c r="A219" s="1451"/>
      <c r="B219" s="1452"/>
      <c r="C219" s="1453"/>
      <c r="D219" s="1452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506"/>
    </row>
    <row r="220" spans="1:10" s="416" customFormat="1" ht="24">
      <c r="A220" s="1451"/>
      <c r="B220" s="1452"/>
      <c r="C220" s="1453"/>
      <c r="D220" s="1452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506"/>
    </row>
    <row r="221" spans="1:10" s="416" customFormat="1">
      <c r="A221" s="1451"/>
      <c r="B221" s="1452"/>
      <c r="C221" s="1453"/>
      <c r="D221" s="418" t="s">
        <v>1332</v>
      </c>
      <c r="E221" s="412"/>
      <c r="F221" s="413"/>
      <c r="G221" s="410"/>
      <c r="H221" s="406"/>
      <c r="I221" s="514">
        <v>569450</v>
      </c>
      <c r="J221" s="1506"/>
    </row>
    <row r="222" spans="1:10" s="416" customFormat="1">
      <c r="A222" s="1451"/>
      <c r="B222" s="1452"/>
      <c r="C222" s="1453"/>
      <c r="D222" s="418" t="s">
        <v>1334</v>
      </c>
      <c r="E222" s="412"/>
      <c r="F222" s="413"/>
      <c r="G222" s="419"/>
      <c r="H222" s="408"/>
      <c r="I222" s="515">
        <v>59870</v>
      </c>
      <c r="J222" s="1506"/>
    </row>
    <row r="223" spans="1:10" s="416" customFormat="1">
      <c r="A223" s="1451"/>
      <c r="B223" s="1452"/>
      <c r="C223" s="1453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506"/>
    </row>
    <row r="224" spans="1:10" s="416" customFormat="1">
      <c r="A224" s="1451"/>
      <c r="B224" s="1452"/>
      <c r="C224" s="1453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506"/>
    </row>
    <row r="225" spans="1:10" s="416" customFormat="1">
      <c r="A225" s="1451"/>
      <c r="B225" s="1452"/>
      <c r="C225" s="1453"/>
      <c r="D225" s="418" t="s">
        <v>1342</v>
      </c>
      <c r="E225" s="412"/>
      <c r="F225" s="413"/>
      <c r="G225" s="410"/>
      <c r="H225" s="406"/>
      <c r="I225" s="514">
        <v>664720</v>
      </c>
      <c r="J225" s="1507"/>
    </row>
    <row r="226" spans="1:10" s="416" customFormat="1" ht="24">
      <c r="A226" s="1451">
        <v>3</v>
      </c>
      <c r="B226" s="1452" t="s">
        <v>1848</v>
      </c>
      <c r="C226" s="1453" t="s">
        <v>1312</v>
      </c>
      <c r="D226" s="1452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505">
        <f>ROUND(I240*0.9,0)</f>
        <v>375030</v>
      </c>
    </row>
    <row r="227" spans="1:10" s="416" customFormat="1" ht="24">
      <c r="A227" s="1451"/>
      <c r="B227" s="1452"/>
      <c r="C227" s="1453"/>
      <c r="D227" s="1452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506"/>
    </row>
    <row r="228" spans="1:10" s="416" customFormat="1" ht="36">
      <c r="A228" s="1451"/>
      <c r="B228" s="1452"/>
      <c r="C228" s="1453"/>
      <c r="D228" s="1452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506"/>
    </row>
    <row r="229" spans="1:10" s="416" customFormat="1" ht="24">
      <c r="A229" s="1451"/>
      <c r="B229" s="1452"/>
      <c r="C229" s="1453"/>
      <c r="D229" s="1452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506"/>
    </row>
    <row r="230" spans="1:10" s="416" customFormat="1" ht="24">
      <c r="A230" s="1451"/>
      <c r="B230" s="1452"/>
      <c r="C230" s="1453"/>
      <c r="D230" s="1452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506"/>
    </row>
    <row r="231" spans="1:10" s="416" customFormat="1" ht="24">
      <c r="A231" s="1451"/>
      <c r="B231" s="1452"/>
      <c r="C231" s="1453"/>
      <c r="D231" s="1452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506"/>
    </row>
    <row r="232" spans="1:10" s="416" customFormat="1" ht="24">
      <c r="A232" s="1451"/>
      <c r="B232" s="1452"/>
      <c r="C232" s="1453"/>
      <c r="D232" s="1452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506"/>
    </row>
    <row r="233" spans="1:10" s="416" customFormat="1">
      <c r="A233" s="1451"/>
      <c r="B233" s="1452"/>
      <c r="C233" s="1453"/>
      <c r="D233" s="1452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506"/>
    </row>
    <row r="234" spans="1:10" s="416" customFormat="1" ht="24">
      <c r="A234" s="1451"/>
      <c r="B234" s="1452"/>
      <c r="C234" s="1453"/>
      <c r="D234" s="1452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506"/>
    </row>
    <row r="235" spans="1:10" s="416" customFormat="1" ht="24">
      <c r="A235" s="1451"/>
      <c r="B235" s="1452"/>
      <c r="C235" s="1453"/>
      <c r="D235" s="1452"/>
      <c r="E235" s="1450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506"/>
    </row>
    <row r="236" spans="1:10" s="416" customFormat="1" ht="24">
      <c r="A236" s="1451"/>
      <c r="B236" s="1452"/>
      <c r="C236" s="1453"/>
      <c r="D236" s="1452"/>
      <c r="E236" s="1450"/>
      <c r="F236" s="413" t="s">
        <v>1315</v>
      </c>
      <c r="G236" s="414">
        <v>269</v>
      </c>
      <c r="H236" s="413">
        <v>330</v>
      </c>
      <c r="I236" s="512">
        <v>88770</v>
      </c>
      <c r="J236" s="1506"/>
    </row>
    <row r="237" spans="1:10" s="416" customFormat="1">
      <c r="A237" s="1451"/>
      <c r="B237" s="1452"/>
      <c r="C237" s="1453"/>
      <c r="D237" s="418" t="s">
        <v>1332</v>
      </c>
      <c r="E237" s="412"/>
      <c r="F237" s="413"/>
      <c r="G237" s="410"/>
      <c r="H237" s="406"/>
      <c r="I237" s="514">
        <v>368405</v>
      </c>
      <c r="J237" s="1506"/>
    </row>
    <row r="238" spans="1:10" s="416" customFormat="1">
      <c r="A238" s="1451"/>
      <c r="B238" s="1452"/>
      <c r="C238" s="1453"/>
      <c r="D238" s="418" t="s">
        <v>1334</v>
      </c>
      <c r="E238" s="412"/>
      <c r="F238" s="413"/>
      <c r="G238" s="419"/>
      <c r="H238" s="408"/>
      <c r="I238" s="515">
        <v>43795</v>
      </c>
      <c r="J238" s="1506"/>
    </row>
    <row r="239" spans="1:10" s="416" customFormat="1">
      <c r="A239" s="1451"/>
      <c r="B239" s="1452"/>
      <c r="C239" s="1453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506"/>
    </row>
    <row r="240" spans="1:10" s="416" customFormat="1">
      <c r="A240" s="1451"/>
      <c r="B240" s="1452"/>
      <c r="C240" s="1453"/>
      <c r="D240" s="418" t="s">
        <v>1342</v>
      </c>
      <c r="E240" s="412"/>
      <c r="F240" s="413"/>
      <c r="G240" s="410"/>
      <c r="H240" s="406"/>
      <c r="I240" s="514">
        <v>416700</v>
      </c>
      <c r="J240" s="1507"/>
    </row>
    <row r="241" spans="1:10" s="416" customFormat="1" ht="24">
      <c r="A241" s="1451">
        <v>4</v>
      </c>
      <c r="B241" s="1452" t="s">
        <v>1860</v>
      </c>
      <c r="C241" s="1453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505">
        <f>ROUND(I247*0.9,0)</f>
        <v>203400</v>
      </c>
    </row>
    <row r="242" spans="1:10" s="416" customFormat="1" ht="24">
      <c r="A242" s="1451"/>
      <c r="B242" s="1452"/>
      <c r="C242" s="1453"/>
      <c r="D242" s="1452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506"/>
    </row>
    <row r="243" spans="1:10" s="416" customFormat="1" ht="24">
      <c r="A243" s="1451"/>
      <c r="B243" s="1452"/>
      <c r="C243" s="1453"/>
      <c r="D243" s="1452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506"/>
    </row>
    <row r="244" spans="1:10" s="416" customFormat="1">
      <c r="A244" s="1451"/>
      <c r="B244" s="1452"/>
      <c r="C244" s="1453"/>
      <c r="D244" s="418" t="s">
        <v>1332</v>
      </c>
      <c r="E244" s="412"/>
      <c r="F244" s="413"/>
      <c r="G244" s="410"/>
      <c r="H244" s="406"/>
      <c r="I244" s="514">
        <v>175000</v>
      </c>
      <c r="J244" s="1506"/>
    </row>
    <row r="245" spans="1:10" s="416" customFormat="1">
      <c r="A245" s="1451"/>
      <c r="B245" s="1452"/>
      <c r="C245" s="1453"/>
      <c r="D245" s="418" t="s">
        <v>1334</v>
      </c>
      <c r="E245" s="412"/>
      <c r="F245" s="413"/>
      <c r="G245" s="419"/>
      <c r="H245" s="408"/>
      <c r="I245" s="515">
        <v>21000</v>
      </c>
      <c r="J245" s="1506"/>
    </row>
    <row r="246" spans="1:10" s="416" customFormat="1">
      <c r="A246" s="1451"/>
      <c r="B246" s="1452"/>
      <c r="C246" s="1453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506"/>
    </row>
    <row r="247" spans="1:10" s="416" customFormat="1">
      <c r="A247" s="1451"/>
      <c r="B247" s="1452"/>
      <c r="C247" s="1453"/>
      <c r="D247" s="418" t="s">
        <v>1342</v>
      </c>
      <c r="E247" s="412"/>
      <c r="F247" s="413"/>
      <c r="G247" s="410"/>
      <c r="H247" s="406"/>
      <c r="I247" s="514">
        <v>226000</v>
      </c>
      <c r="J247" s="1507"/>
    </row>
    <row r="248" spans="1:10" s="416" customFormat="1" ht="24">
      <c r="A248" s="1451">
        <v>5</v>
      </c>
      <c r="B248" s="1452" t="s">
        <v>243</v>
      </c>
      <c r="C248" s="1453" t="s">
        <v>1312</v>
      </c>
      <c r="D248" s="1452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505">
        <f>ROUND(I253*0.9,0)</f>
        <v>268956</v>
      </c>
    </row>
    <row r="249" spans="1:10" s="416" customFormat="1" ht="24">
      <c r="A249" s="1451"/>
      <c r="B249" s="1452"/>
      <c r="C249" s="1453"/>
      <c r="D249" s="1452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506"/>
    </row>
    <row r="250" spans="1:10" s="416" customFormat="1">
      <c r="A250" s="1451"/>
      <c r="B250" s="1452"/>
      <c r="C250" s="1453"/>
      <c r="D250" s="418" t="s">
        <v>1332</v>
      </c>
      <c r="E250" s="412"/>
      <c r="F250" s="413"/>
      <c r="G250" s="410"/>
      <c r="H250" s="406"/>
      <c r="I250" s="515">
        <v>244500</v>
      </c>
      <c r="J250" s="1506"/>
    </row>
    <row r="251" spans="1:10" s="416" customFormat="1">
      <c r="A251" s="1451"/>
      <c r="B251" s="1452"/>
      <c r="C251" s="1453"/>
      <c r="D251" s="418" t="s">
        <v>1334</v>
      </c>
      <c r="E251" s="412"/>
      <c r="F251" s="413"/>
      <c r="G251" s="419"/>
      <c r="H251" s="408"/>
      <c r="I251" s="515">
        <v>29340</v>
      </c>
      <c r="J251" s="1506"/>
    </row>
    <row r="252" spans="1:10" s="416" customFormat="1">
      <c r="A252" s="1451"/>
      <c r="B252" s="1452"/>
      <c r="C252" s="1453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506"/>
    </row>
    <row r="253" spans="1:10" s="416" customFormat="1">
      <c r="A253" s="1451"/>
      <c r="B253" s="1452"/>
      <c r="C253" s="1453"/>
      <c r="D253" s="418" t="s">
        <v>1342</v>
      </c>
      <c r="E253" s="412"/>
      <c r="F253" s="413"/>
      <c r="G253" s="410"/>
      <c r="H253" s="406"/>
      <c r="I253" s="514">
        <v>298840</v>
      </c>
      <c r="J253" s="1507"/>
    </row>
    <row r="254" spans="1:10" s="416" customFormat="1" ht="24">
      <c r="A254" s="1451">
        <v>6</v>
      </c>
      <c r="B254" s="1452" t="s">
        <v>238</v>
      </c>
      <c r="C254" s="1453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505">
        <f>ROUND(I258*0.9,0)</f>
        <v>1209060</v>
      </c>
    </row>
    <row r="255" spans="1:10" s="416" customFormat="1">
      <c r="A255" s="1451"/>
      <c r="B255" s="1452"/>
      <c r="C255" s="1453"/>
      <c r="D255" s="418" t="s">
        <v>1332</v>
      </c>
      <c r="E255" s="412"/>
      <c r="F255" s="413"/>
      <c r="G255" s="410"/>
      <c r="H255" s="406"/>
      <c r="I255" s="514">
        <v>1200000</v>
      </c>
      <c r="J255" s="1506"/>
    </row>
    <row r="256" spans="1:10" s="416" customFormat="1">
      <c r="A256" s="1451"/>
      <c r="B256" s="1452"/>
      <c r="C256" s="1453"/>
      <c r="D256" s="418" t="s">
        <v>1334</v>
      </c>
      <c r="E256" s="412"/>
      <c r="F256" s="413"/>
      <c r="G256" s="419"/>
      <c r="H256" s="408"/>
      <c r="I256" s="515">
        <v>134400</v>
      </c>
      <c r="J256" s="1506"/>
    </row>
    <row r="257" spans="1:10" s="416" customFormat="1">
      <c r="A257" s="1451"/>
      <c r="B257" s="1452"/>
      <c r="C257" s="1453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506"/>
    </row>
    <row r="258" spans="1:10" s="416" customFormat="1">
      <c r="A258" s="1451"/>
      <c r="B258" s="1452"/>
      <c r="C258" s="1453"/>
      <c r="D258" s="418" t="s">
        <v>1342</v>
      </c>
      <c r="E258" s="412"/>
      <c r="F258" s="413"/>
      <c r="G258" s="410"/>
      <c r="H258" s="406"/>
      <c r="I258" s="514">
        <v>1343400</v>
      </c>
      <c r="J258" s="1507"/>
    </row>
    <row r="259" spans="1:10" s="416" customFormat="1">
      <c r="A259" s="1451">
        <v>7</v>
      </c>
      <c r="B259" s="1452" t="s">
        <v>1866</v>
      </c>
      <c r="C259" s="1453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505">
        <f>ROUND(I272*0.8,0)</f>
        <v>1047264</v>
      </c>
    </row>
    <row r="260" spans="1:10" s="416" customFormat="1">
      <c r="A260" s="1451"/>
      <c r="B260" s="1452"/>
      <c r="C260" s="1453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506"/>
    </row>
    <row r="261" spans="1:10" s="416" customFormat="1">
      <c r="A261" s="1451"/>
      <c r="B261" s="1452"/>
      <c r="C261" s="1453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506"/>
    </row>
    <row r="262" spans="1:10" s="416" customFormat="1">
      <c r="A262" s="1451"/>
      <c r="B262" s="1452"/>
      <c r="C262" s="1453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506"/>
    </row>
    <row r="263" spans="1:10" s="416" customFormat="1">
      <c r="A263" s="1451"/>
      <c r="B263" s="1452"/>
      <c r="C263" s="1453"/>
      <c r="D263" s="1452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506"/>
    </row>
    <row r="264" spans="1:10" s="416" customFormat="1" ht="24">
      <c r="A264" s="1451"/>
      <c r="B264" s="1452"/>
      <c r="C264" s="1453"/>
      <c r="D264" s="1452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506"/>
    </row>
    <row r="265" spans="1:10" s="416" customFormat="1" ht="24">
      <c r="A265" s="1451"/>
      <c r="B265" s="1452"/>
      <c r="C265" s="1453"/>
      <c r="D265" s="1452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506"/>
    </row>
    <row r="266" spans="1:10" s="416" customFormat="1">
      <c r="A266" s="1451"/>
      <c r="B266" s="1452"/>
      <c r="C266" s="1453"/>
      <c r="D266" s="1452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506"/>
    </row>
    <row r="267" spans="1:10" s="416" customFormat="1">
      <c r="A267" s="1451"/>
      <c r="B267" s="1452"/>
      <c r="C267" s="1453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506"/>
    </row>
    <row r="268" spans="1:10" s="416" customFormat="1">
      <c r="A268" s="1451"/>
      <c r="B268" s="1452"/>
      <c r="C268" s="1453"/>
      <c r="D268" s="418" t="s">
        <v>1332</v>
      </c>
      <c r="E268" s="412"/>
      <c r="F268" s="413"/>
      <c r="G268" s="419"/>
      <c r="H268" s="408"/>
      <c r="I268" s="515">
        <v>1134000</v>
      </c>
      <c r="J268" s="1506"/>
    </row>
    <row r="269" spans="1:10" s="416" customFormat="1">
      <c r="A269" s="1451"/>
      <c r="B269" s="1452"/>
      <c r="C269" s="1453"/>
      <c r="D269" s="408" t="s">
        <v>1880</v>
      </c>
      <c r="E269" s="423"/>
      <c r="F269" s="418"/>
      <c r="G269" s="419"/>
      <c r="H269" s="408"/>
      <c r="I269" s="515">
        <v>136080</v>
      </c>
      <c r="J269" s="1506"/>
    </row>
    <row r="270" spans="1:10" s="416" customFormat="1">
      <c r="A270" s="1451"/>
      <c r="B270" s="1452"/>
      <c r="C270" s="1453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506"/>
    </row>
    <row r="271" spans="1:10" s="416" customFormat="1">
      <c r="A271" s="1451"/>
      <c r="B271" s="1452"/>
      <c r="C271" s="1453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506"/>
    </row>
    <row r="272" spans="1:10" s="416" customFormat="1">
      <c r="A272" s="1451"/>
      <c r="B272" s="1452"/>
      <c r="C272" s="1453"/>
      <c r="D272" s="418" t="s">
        <v>1342</v>
      </c>
      <c r="E272" s="412"/>
      <c r="F272" s="413"/>
      <c r="G272" s="419"/>
      <c r="H272" s="408"/>
      <c r="I272" s="515">
        <v>1309080</v>
      </c>
      <c r="J272" s="1507"/>
    </row>
    <row r="273" spans="1:10" s="416" customFormat="1">
      <c r="A273" s="1451">
        <v>8</v>
      </c>
      <c r="B273" s="1452" t="s">
        <v>1008</v>
      </c>
      <c r="C273" s="1453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505">
        <f>ROUND(I280*0.8,0)</f>
        <v>2858965</v>
      </c>
    </row>
    <row r="274" spans="1:10" s="416" customFormat="1">
      <c r="A274" s="1451"/>
      <c r="B274" s="1452"/>
      <c r="C274" s="1453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506"/>
    </row>
    <row r="275" spans="1:10" s="416" customFormat="1" ht="48">
      <c r="A275" s="1451"/>
      <c r="B275" s="1452"/>
      <c r="C275" s="1453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506"/>
    </row>
    <row r="276" spans="1:10" s="416" customFormat="1">
      <c r="A276" s="1451"/>
      <c r="B276" s="1452"/>
      <c r="C276" s="1453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506"/>
    </row>
    <row r="277" spans="1:10" s="416" customFormat="1">
      <c r="A277" s="1451"/>
      <c r="B277" s="1452"/>
      <c r="C277" s="1453"/>
      <c r="D277" s="418" t="s">
        <v>1332</v>
      </c>
      <c r="E277" s="412"/>
      <c r="F277" s="413"/>
      <c r="G277" s="419"/>
      <c r="H277" s="408"/>
      <c r="I277" s="511">
        <v>3247187</v>
      </c>
      <c r="J277" s="1506"/>
    </row>
    <row r="278" spans="1:10" s="416" customFormat="1">
      <c r="A278" s="1451"/>
      <c r="B278" s="1452"/>
      <c r="C278" s="1453"/>
      <c r="D278" s="408" t="s">
        <v>1880</v>
      </c>
      <c r="E278" s="423"/>
      <c r="F278" s="418"/>
      <c r="G278" s="419"/>
      <c r="H278" s="408"/>
      <c r="I278" s="515">
        <v>324718.7</v>
      </c>
      <c r="J278" s="1506"/>
    </row>
    <row r="279" spans="1:10" s="416" customFormat="1">
      <c r="A279" s="1451"/>
      <c r="B279" s="1452"/>
      <c r="C279" s="1453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506"/>
    </row>
    <row r="280" spans="1:10" s="416" customFormat="1">
      <c r="A280" s="1451"/>
      <c r="B280" s="1452"/>
      <c r="C280" s="1453"/>
      <c r="D280" s="418" t="s">
        <v>1342</v>
      </c>
      <c r="E280" s="412"/>
      <c r="F280" s="413"/>
      <c r="G280" s="419"/>
      <c r="H280" s="408"/>
      <c r="I280" s="515">
        <v>3573705.7</v>
      </c>
      <c r="J280" s="1507"/>
    </row>
    <row r="281" spans="1:10" s="416" customFormat="1" ht="24">
      <c r="A281" s="1451">
        <v>9</v>
      </c>
      <c r="B281" s="1452" t="s">
        <v>1887</v>
      </c>
      <c r="C281" s="1453" t="s">
        <v>1690</v>
      </c>
      <c r="D281" s="1452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505">
        <f>ROUND(I290*0.9,0)</f>
        <v>1817744</v>
      </c>
    </row>
    <row r="282" spans="1:10" s="416" customFormat="1">
      <c r="A282" s="1451"/>
      <c r="B282" s="1452"/>
      <c r="C282" s="1453"/>
      <c r="D282" s="1452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506"/>
    </row>
    <row r="283" spans="1:10" s="416" customFormat="1" ht="24">
      <c r="A283" s="1451"/>
      <c r="B283" s="1452"/>
      <c r="C283" s="1453"/>
      <c r="D283" s="1452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506"/>
    </row>
    <row r="284" spans="1:10" s="416" customFormat="1" ht="24">
      <c r="A284" s="1451"/>
      <c r="B284" s="1452"/>
      <c r="C284" s="1453"/>
      <c r="D284" s="1452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506"/>
    </row>
    <row r="285" spans="1:10" s="416" customFormat="1" ht="24">
      <c r="A285" s="1451"/>
      <c r="B285" s="1452"/>
      <c r="C285" s="1453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506"/>
    </row>
    <row r="286" spans="1:10" s="416" customFormat="1">
      <c r="A286" s="1451"/>
      <c r="B286" s="1452"/>
      <c r="C286" s="1453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506"/>
    </row>
    <row r="287" spans="1:10" s="416" customFormat="1">
      <c r="A287" s="1451"/>
      <c r="B287" s="1452"/>
      <c r="C287" s="1453"/>
      <c r="D287" s="418" t="s">
        <v>1332</v>
      </c>
      <c r="E287" s="412"/>
      <c r="F287" s="413"/>
      <c r="G287" s="419"/>
      <c r="H287" s="408"/>
      <c r="I287" s="515">
        <v>1781560</v>
      </c>
      <c r="J287" s="1506"/>
    </row>
    <row r="288" spans="1:10" s="416" customFormat="1">
      <c r="A288" s="1451"/>
      <c r="B288" s="1452"/>
      <c r="C288" s="1453"/>
      <c r="D288" s="408" t="s">
        <v>1880</v>
      </c>
      <c r="E288" s="423"/>
      <c r="F288" s="418"/>
      <c r="G288" s="419"/>
      <c r="H288" s="408"/>
      <c r="I288" s="515">
        <v>178156</v>
      </c>
      <c r="J288" s="1506"/>
    </row>
    <row r="289" spans="1:10" s="416" customFormat="1" ht="24">
      <c r="A289" s="1451"/>
      <c r="B289" s="1452"/>
      <c r="C289" s="1453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506"/>
    </row>
    <row r="290" spans="1:10" s="416" customFormat="1">
      <c r="A290" s="1451"/>
      <c r="B290" s="1452"/>
      <c r="C290" s="1453"/>
      <c r="D290" s="418" t="s">
        <v>1342</v>
      </c>
      <c r="E290" s="412"/>
      <c r="F290" s="413"/>
      <c r="G290" s="419"/>
      <c r="H290" s="408"/>
      <c r="I290" s="515">
        <v>2019716</v>
      </c>
      <c r="J290" s="1507"/>
    </row>
    <row r="291" spans="1:10" s="416" customFormat="1" ht="36">
      <c r="A291" s="1451">
        <v>10</v>
      </c>
      <c r="B291" s="1452" t="s">
        <v>240</v>
      </c>
      <c r="C291" s="1453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505">
        <f>ROUND(I297*0.9,0)</f>
        <v>1369260</v>
      </c>
    </row>
    <row r="292" spans="1:10" s="416" customFormat="1" ht="24">
      <c r="A292" s="1451"/>
      <c r="B292" s="1452"/>
      <c r="C292" s="1453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506"/>
    </row>
    <row r="293" spans="1:10" s="416" customFormat="1">
      <c r="A293" s="1451"/>
      <c r="B293" s="1452"/>
      <c r="C293" s="1453"/>
      <c r="D293" s="418" t="s">
        <v>1332</v>
      </c>
      <c r="E293" s="412"/>
      <c r="F293" s="413"/>
      <c r="G293" s="419"/>
      <c r="H293" s="408"/>
      <c r="I293" s="515">
        <v>1332500</v>
      </c>
      <c r="J293" s="1506"/>
    </row>
    <row r="294" spans="1:10" s="416" customFormat="1">
      <c r="A294" s="1451"/>
      <c r="B294" s="1452"/>
      <c r="C294" s="1453"/>
      <c r="D294" s="408" t="s">
        <v>1880</v>
      </c>
      <c r="E294" s="423"/>
      <c r="F294" s="418"/>
      <c r="G294" s="419"/>
      <c r="H294" s="408"/>
      <c r="I294" s="515">
        <v>159900</v>
      </c>
      <c r="J294" s="1506"/>
    </row>
    <row r="295" spans="1:10" s="416" customFormat="1">
      <c r="A295" s="1451"/>
      <c r="B295" s="1452"/>
      <c r="C295" s="1453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506"/>
    </row>
    <row r="296" spans="1:10" s="416" customFormat="1">
      <c r="A296" s="1451"/>
      <c r="B296" s="1452"/>
      <c r="C296" s="1453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506"/>
    </row>
    <row r="297" spans="1:10" s="416" customFormat="1">
      <c r="A297" s="1451"/>
      <c r="B297" s="1452"/>
      <c r="C297" s="1453"/>
      <c r="D297" s="418" t="s">
        <v>1342</v>
      </c>
      <c r="E297" s="412"/>
      <c r="F297" s="413"/>
      <c r="G297" s="419"/>
      <c r="H297" s="408"/>
      <c r="I297" s="515">
        <v>1521400</v>
      </c>
      <c r="J297" s="1507"/>
    </row>
    <row r="298" spans="1:10" s="416" customFormat="1" ht="24">
      <c r="A298" s="1456">
        <v>11</v>
      </c>
      <c r="B298" s="1452" t="s">
        <v>1904</v>
      </c>
      <c r="C298" s="1453" t="s">
        <v>1690</v>
      </c>
      <c r="D298" s="1452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505">
        <f>ROUND(I303*0.9,0)</f>
        <v>658800</v>
      </c>
    </row>
    <row r="299" spans="1:10" s="416" customFormat="1">
      <c r="A299" s="1456"/>
      <c r="B299" s="1452"/>
      <c r="C299" s="1453"/>
      <c r="D299" s="1452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506"/>
    </row>
    <row r="300" spans="1:10" s="416" customFormat="1">
      <c r="A300" s="1456"/>
      <c r="B300" s="1452"/>
      <c r="C300" s="1453"/>
      <c r="D300" s="418" t="s">
        <v>1332</v>
      </c>
      <c r="E300" s="412"/>
      <c r="F300" s="413"/>
      <c r="G300" s="419"/>
      <c r="H300" s="408"/>
      <c r="I300" s="515">
        <v>640000</v>
      </c>
      <c r="J300" s="1506"/>
    </row>
    <row r="301" spans="1:10" s="416" customFormat="1">
      <c r="A301" s="1456"/>
      <c r="B301" s="1452"/>
      <c r="C301" s="1453"/>
      <c r="D301" s="408" t="s">
        <v>1880</v>
      </c>
      <c r="E301" s="423"/>
      <c r="F301" s="418"/>
      <c r="G301" s="419"/>
      <c r="H301" s="408"/>
      <c r="I301" s="515">
        <v>72000</v>
      </c>
      <c r="J301" s="1506"/>
    </row>
    <row r="302" spans="1:10" s="416" customFormat="1">
      <c r="A302" s="1456"/>
      <c r="B302" s="1452"/>
      <c r="C302" s="1453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506"/>
    </row>
    <row r="303" spans="1:10" s="416" customFormat="1">
      <c r="A303" s="1456"/>
      <c r="B303" s="1452"/>
      <c r="C303" s="1453"/>
      <c r="D303" s="418" t="s">
        <v>1342</v>
      </c>
      <c r="E303" s="412"/>
      <c r="F303" s="413"/>
      <c r="G303" s="419"/>
      <c r="H303" s="408"/>
      <c r="I303" s="515">
        <v>732000</v>
      </c>
      <c r="J303" s="1507"/>
    </row>
    <row r="304" spans="1:10" s="374" customFormat="1">
      <c r="A304" s="1457">
        <v>12</v>
      </c>
      <c r="B304" s="1458" t="s">
        <v>1008</v>
      </c>
      <c r="C304" s="1446" t="s">
        <v>1907</v>
      </c>
      <c r="D304" s="1458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498">
        <f>ROUND(I314*0.8,0)</f>
        <v>1094650</v>
      </c>
    </row>
    <row r="305" spans="1:10" s="374" customFormat="1">
      <c r="A305" s="1457"/>
      <c r="B305" s="1458"/>
      <c r="C305" s="1446"/>
      <c r="D305" s="1458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499"/>
    </row>
    <row r="306" spans="1:10" s="374" customFormat="1">
      <c r="A306" s="1457"/>
      <c r="B306" s="1458"/>
      <c r="C306" s="1446"/>
      <c r="D306" s="1458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499"/>
    </row>
    <row r="307" spans="1:10" s="374" customFormat="1">
      <c r="A307" s="1457"/>
      <c r="B307" s="1458"/>
      <c r="C307" s="1446"/>
      <c r="D307" s="1458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499"/>
    </row>
    <row r="308" spans="1:10" s="374" customFormat="1">
      <c r="A308" s="1457"/>
      <c r="B308" s="1458"/>
      <c r="C308" s="1446"/>
      <c r="D308" s="433" t="s">
        <v>1332</v>
      </c>
      <c r="E308" s="428"/>
      <c r="F308" s="429"/>
      <c r="G308" s="403"/>
      <c r="H308" s="404"/>
      <c r="I308" s="510">
        <v>1221707.21</v>
      </c>
      <c r="J308" s="1499"/>
    </row>
    <row r="309" spans="1:10" s="374" customFormat="1">
      <c r="A309" s="1457"/>
      <c r="B309" s="1458"/>
      <c r="C309" s="1446"/>
      <c r="D309" s="434" t="s">
        <v>1911</v>
      </c>
      <c r="E309" s="428"/>
      <c r="F309" s="429"/>
      <c r="G309" s="1446"/>
      <c r="H309" s="1454"/>
      <c r="I309" s="1455">
        <v>146604.8652</v>
      </c>
      <c r="J309" s="1499"/>
    </row>
    <row r="310" spans="1:10" s="374" customFormat="1">
      <c r="A310" s="1457"/>
      <c r="B310" s="1458"/>
      <c r="C310" s="1446"/>
      <c r="D310" s="434" t="s">
        <v>1912</v>
      </c>
      <c r="E310" s="428"/>
      <c r="F310" s="429"/>
      <c r="G310" s="1446"/>
      <c r="H310" s="1454"/>
      <c r="I310" s="1455"/>
      <c r="J310" s="1499"/>
    </row>
    <row r="311" spans="1:10" s="374" customFormat="1" ht="24">
      <c r="A311" s="1457"/>
      <c r="B311" s="1458"/>
      <c r="C311" s="1446"/>
      <c r="D311" s="434" t="s">
        <v>1913</v>
      </c>
      <c r="E311" s="428"/>
      <c r="F311" s="429"/>
      <c r="G311" s="1446"/>
      <c r="H311" s="1454"/>
      <c r="I311" s="1455"/>
      <c r="J311" s="1499"/>
    </row>
    <row r="312" spans="1:10" s="374" customFormat="1">
      <c r="A312" s="1457"/>
      <c r="B312" s="1458"/>
      <c r="C312" s="1446"/>
      <c r="D312" s="434" t="s">
        <v>1914</v>
      </c>
      <c r="E312" s="428"/>
      <c r="F312" s="429"/>
      <c r="G312" s="1446"/>
      <c r="H312" s="1454"/>
      <c r="I312" s="1455"/>
      <c r="J312" s="1499"/>
    </row>
    <row r="313" spans="1:10" s="374" customFormat="1" ht="24">
      <c r="A313" s="1457"/>
      <c r="B313" s="1458"/>
      <c r="C313" s="1446"/>
      <c r="D313" s="367" t="s">
        <v>1742</v>
      </c>
      <c r="E313" s="428"/>
      <c r="F313" s="429"/>
      <c r="G313" s="403"/>
      <c r="H313" s="404"/>
      <c r="I313" s="510">
        <v>146604.8652</v>
      </c>
      <c r="J313" s="1499"/>
    </row>
    <row r="314" spans="1:10" s="374" customFormat="1">
      <c r="A314" s="1457"/>
      <c r="B314" s="1458"/>
      <c r="C314" s="1446"/>
      <c r="D314" s="433" t="s">
        <v>1342</v>
      </c>
      <c r="E314" s="428"/>
      <c r="F314" s="429"/>
      <c r="G314" s="403"/>
      <c r="H314" s="404"/>
      <c r="I314" s="510">
        <v>1368312.0752000001</v>
      </c>
      <c r="J314" s="1500"/>
    </row>
    <row r="315" spans="1:10" s="374" customFormat="1">
      <c r="A315" s="1446">
        <v>13</v>
      </c>
      <c r="B315" s="1435" t="s">
        <v>1003</v>
      </c>
      <c r="C315" s="1446" t="s">
        <v>1907</v>
      </c>
      <c r="D315" s="1435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498">
        <f>ROUND(I325*0.8,0)</f>
        <v>89600</v>
      </c>
    </row>
    <row r="316" spans="1:10" s="374" customFormat="1">
      <c r="A316" s="1446"/>
      <c r="B316" s="1435"/>
      <c r="C316" s="1446"/>
      <c r="D316" s="1435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499"/>
    </row>
    <row r="317" spans="1:10" s="374" customFormat="1">
      <c r="A317" s="1446"/>
      <c r="B317" s="1435"/>
      <c r="C317" s="1446"/>
      <c r="D317" s="1435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499"/>
    </row>
    <row r="318" spans="1:10" s="374" customFormat="1">
      <c r="A318" s="1446"/>
      <c r="B318" s="1435"/>
      <c r="C318" s="1446"/>
      <c r="D318" s="1435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499"/>
    </row>
    <row r="319" spans="1:10" s="374" customFormat="1">
      <c r="A319" s="1446"/>
      <c r="B319" s="1435"/>
      <c r="C319" s="1446"/>
      <c r="D319" s="433" t="s">
        <v>1332</v>
      </c>
      <c r="E319" s="428"/>
      <c r="F319" s="429"/>
      <c r="G319" s="403"/>
      <c r="H319" s="404"/>
      <c r="I319" s="510">
        <v>100000</v>
      </c>
      <c r="J319" s="1499"/>
    </row>
    <row r="320" spans="1:10" s="374" customFormat="1">
      <c r="A320" s="1446"/>
      <c r="B320" s="1435"/>
      <c r="C320" s="1446"/>
      <c r="D320" s="434" t="s">
        <v>1918</v>
      </c>
      <c r="E320" s="428"/>
      <c r="F320" s="429"/>
      <c r="G320" s="1446"/>
      <c r="H320" s="1454"/>
      <c r="I320" s="1455">
        <v>12000</v>
      </c>
      <c r="J320" s="1499"/>
    </row>
    <row r="321" spans="1:28" s="374" customFormat="1" ht="24">
      <c r="A321" s="1446"/>
      <c r="B321" s="1435"/>
      <c r="C321" s="1446"/>
      <c r="D321" s="434" t="s">
        <v>1913</v>
      </c>
      <c r="E321" s="428"/>
      <c r="F321" s="429"/>
      <c r="G321" s="1446"/>
      <c r="H321" s="1454"/>
      <c r="I321" s="1455"/>
      <c r="J321" s="1499"/>
    </row>
    <row r="322" spans="1:28" s="374" customFormat="1">
      <c r="A322" s="1446"/>
      <c r="B322" s="1435"/>
      <c r="C322" s="1446"/>
      <c r="D322" s="434" t="s">
        <v>1911</v>
      </c>
      <c r="E322" s="428"/>
      <c r="F322" s="429"/>
      <c r="G322" s="1446"/>
      <c r="H322" s="1454"/>
      <c r="I322" s="1455"/>
      <c r="J322" s="1499"/>
    </row>
    <row r="323" spans="1:28" s="374" customFormat="1" ht="24">
      <c r="A323" s="1446"/>
      <c r="B323" s="1435"/>
      <c r="C323" s="1446"/>
      <c r="D323" s="434" t="s">
        <v>1919</v>
      </c>
      <c r="E323" s="428"/>
      <c r="F323" s="429"/>
      <c r="G323" s="1446"/>
      <c r="H323" s="1454"/>
      <c r="I323" s="1455"/>
      <c r="J323" s="1499"/>
    </row>
    <row r="324" spans="1:28" s="374" customFormat="1" ht="24">
      <c r="A324" s="1446"/>
      <c r="B324" s="1435"/>
      <c r="C324" s="1446"/>
      <c r="D324" s="433" t="s">
        <v>1742</v>
      </c>
      <c r="E324" s="428"/>
      <c r="F324" s="429"/>
      <c r="G324" s="403"/>
      <c r="H324" s="404"/>
      <c r="I324" s="510">
        <v>12000</v>
      </c>
      <c r="J324" s="1499"/>
    </row>
    <row r="325" spans="1:28" s="374" customFormat="1">
      <c r="A325" s="1446"/>
      <c r="B325" s="1435"/>
      <c r="C325" s="1446"/>
      <c r="D325" s="433" t="s">
        <v>1342</v>
      </c>
      <c r="E325" s="428"/>
      <c r="F325" s="429"/>
      <c r="G325" s="403"/>
      <c r="H325" s="404"/>
      <c r="I325" s="510">
        <v>112000</v>
      </c>
      <c r="J325" s="1500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461">
        <v>1</v>
      </c>
      <c r="B327" s="1461" t="s">
        <v>1922</v>
      </c>
      <c r="C327" s="1463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505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461"/>
      <c r="B328" s="1461"/>
      <c r="C328" s="1463"/>
      <c r="D328" s="436" t="s">
        <v>1332</v>
      </c>
      <c r="E328" s="438"/>
      <c r="F328" s="437"/>
      <c r="G328" s="440"/>
      <c r="H328" s="441"/>
      <c r="I328" s="514">
        <v>168750</v>
      </c>
      <c r="J328" s="1506"/>
    </row>
    <row r="329" spans="1:28" s="416" customFormat="1" ht="14.25">
      <c r="A329" s="1461"/>
      <c r="B329" s="1461"/>
      <c r="C329" s="1463"/>
      <c r="D329" s="436" t="s">
        <v>1334</v>
      </c>
      <c r="E329" s="438"/>
      <c r="F329" s="437"/>
      <c r="G329" s="440"/>
      <c r="H329" s="442"/>
      <c r="I329" s="515">
        <v>20250</v>
      </c>
      <c r="J329" s="1506"/>
    </row>
    <row r="330" spans="1:28" s="416" customFormat="1">
      <c r="A330" s="1461"/>
      <c r="B330" s="1461"/>
      <c r="C330" s="1463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506"/>
    </row>
    <row r="331" spans="1:28" s="416" customFormat="1">
      <c r="A331" s="1461"/>
      <c r="B331" s="1461"/>
      <c r="C331" s="1463"/>
      <c r="D331" s="436" t="s">
        <v>1342</v>
      </c>
      <c r="E331" s="438"/>
      <c r="F331" s="437"/>
      <c r="G331" s="441"/>
      <c r="H331" s="441"/>
      <c r="I331" s="519">
        <v>192600</v>
      </c>
      <c r="J331" s="1507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459">
        <v>1</v>
      </c>
      <c r="B333" s="1460" t="s">
        <v>246</v>
      </c>
      <c r="C333" s="1462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505">
        <f>ROUND(I340*0.9,0)</f>
        <v>1454011</v>
      </c>
    </row>
    <row r="334" spans="1:28" s="416" customFormat="1">
      <c r="A334" s="1459"/>
      <c r="B334" s="1461"/>
      <c r="C334" s="1463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506"/>
    </row>
    <row r="335" spans="1:28" s="416" customFormat="1">
      <c r="A335" s="1459"/>
      <c r="B335" s="1461"/>
      <c r="C335" s="1463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506"/>
    </row>
    <row r="336" spans="1:28" s="416" customFormat="1">
      <c r="A336" s="1459"/>
      <c r="B336" s="1461"/>
      <c r="C336" s="1463"/>
      <c r="D336" s="436" t="s">
        <v>1332</v>
      </c>
      <c r="E336" s="438"/>
      <c r="F336" s="437"/>
      <c r="G336" s="441"/>
      <c r="H336" s="441"/>
      <c r="I336" s="514">
        <v>1421400</v>
      </c>
      <c r="J336" s="1506"/>
    </row>
    <row r="337" spans="1:10" s="416" customFormat="1">
      <c r="A337" s="1459"/>
      <c r="B337" s="1461"/>
      <c r="C337" s="1463"/>
      <c r="D337" s="436" t="s">
        <v>1334</v>
      </c>
      <c r="E337" s="438"/>
      <c r="F337" s="437"/>
      <c r="G337" s="442"/>
      <c r="H337" s="442"/>
      <c r="I337" s="515">
        <v>170568</v>
      </c>
      <c r="J337" s="1506"/>
    </row>
    <row r="338" spans="1:10" s="416" customFormat="1">
      <c r="A338" s="1459"/>
      <c r="B338" s="1461"/>
      <c r="C338" s="1463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506"/>
    </row>
    <row r="339" spans="1:10" s="416" customFormat="1">
      <c r="A339" s="1459"/>
      <c r="B339" s="1461"/>
      <c r="C339" s="1463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506"/>
    </row>
    <row r="340" spans="1:10" s="416" customFormat="1">
      <c r="A340" s="1459"/>
      <c r="B340" s="1461"/>
      <c r="C340" s="1463"/>
      <c r="D340" s="436" t="s">
        <v>1342</v>
      </c>
      <c r="E340" s="438"/>
      <c r="F340" s="437"/>
      <c r="G340" s="441"/>
      <c r="H340" s="441"/>
      <c r="I340" s="514">
        <v>1615568</v>
      </c>
      <c r="J340" s="1507"/>
    </row>
    <row r="341" spans="1:10" s="416" customFormat="1">
      <c r="A341" s="1459">
        <v>2</v>
      </c>
      <c r="B341" s="1460" t="s">
        <v>1048</v>
      </c>
      <c r="C341" s="1462" t="s">
        <v>1690</v>
      </c>
      <c r="D341" s="1461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505">
        <f>ROUND(I349*0.8,0)</f>
        <v>1091520</v>
      </c>
    </row>
    <row r="342" spans="1:10" s="416" customFormat="1" ht="24">
      <c r="A342" s="1459"/>
      <c r="B342" s="1460"/>
      <c r="C342" s="1462"/>
      <c r="D342" s="1461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506"/>
    </row>
    <row r="343" spans="1:10" s="416" customFormat="1">
      <c r="A343" s="1459"/>
      <c r="B343" s="1460"/>
      <c r="C343" s="1462"/>
      <c r="D343" s="1461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506"/>
    </row>
    <row r="344" spans="1:10" s="416" customFormat="1" ht="36">
      <c r="A344" s="1459"/>
      <c r="B344" s="1461"/>
      <c r="C344" s="1463"/>
      <c r="D344" s="1461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506"/>
    </row>
    <row r="345" spans="1:10" s="416" customFormat="1" ht="24">
      <c r="A345" s="1459"/>
      <c r="B345" s="1461"/>
      <c r="C345" s="1463"/>
      <c r="D345" s="1461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506"/>
    </row>
    <row r="346" spans="1:10" s="416" customFormat="1">
      <c r="A346" s="1459"/>
      <c r="B346" s="1461"/>
      <c r="C346" s="1463"/>
      <c r="D346" s="436" t="s">
        <v>1332</v>
      </c>
      <c r="E346" s="438"/>
      <c r="F346" s="437"/>
      <c r="G346" s="441"/>
      <c r="H346" s="441"/>
      <c r="I346" s="514">
        <v>1208600</v>
      </c>
      <c r="J346" s="1506"/>
    </row>
    <row r="347" spans="1:10" s="416" customFormat="1">
      <c r="A347" s="1459"/>
      <c r="B347" s="1461"/>
      <c r="C347" s="1463"/>
      <c r="D347" s="436" t="s">
        <v>1334</v>
      </c>
      <c r="E347" s="438"/>
      <c r="F347" s="437"/>
      <c r="G347" s="442"/>
      <c r="H347" s="442"/>
      <c r="I347" s="515">
        <v>125800</v>
      </c>
      <c r="J347" s="1506"/>
    </row>
    <row r="348" spans="1:10" s="416" customFormat="1">
      <c r="A348" s="1459"/>
      <c r="B348" s="1461"/>
      <c r="C348" s="1463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506"/>
    </row>
    <row r="349" spans="1:10" s="416" customFormat="1">
      <c r="A349" s="1459"/>
      <c r="B349" s="1461"/>
      <c r="C349" s="1463"/>
      <c r="D349" s="436" t="s">
        <v>1342</v>
      </c>
      <c r="E349" s="438"/>
      <c r="F349" s="437"/>
      <c r="G349" s="441"/>
      <c r="H349" s="441"/>
      <c r="I349" s="514">
        <v>1364400</v>
      </c>
      <c r="J349" s="1507"/>
    </row>
    <row r="350" spans="1:10" s="416" customFormat="1">
      <c r="A350" s="1459">
        <v>3</v>
      </c>
      <c r="B350" s="1460" t="s">
        <v>251</v>
      </c>
      <c r="C350" s="1462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505">
        <f>ROUND(I354*0.9,0)</f>
        <v>136080</v>
      </c>
    </row>
    <row r="351" spans="1:10" s="416" customFormat="1">
      <c r="A351" s="1459"/>
      <c r="B351" s="1460"/>
      <c r="C351" s="1462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506"/>
    </row>
    <row r="352" spans="1:10" s="416" customFormat="1">
      <c r="A352" s="1459"/>
      <c r="B352" s="1461"/>
      <c r="C352" s="1463"/>
      <c r="D352" s="436" t="s">
        <v>1332</v>
      </c>
      <c r="E352" s="438"/>
      <c r="F352" s="437"/>
      <c r="G352" s="441"/>
      <c r="H352" s="441"/>
      <c r="I352" s="514">
        <v>135000</v>
      </c>
      <c r="J352" s="1506"/>
    </row>
    <row r="353" spans="1:10" s="416" customFormat="1">
      <c r="A353" s="1459"/>
      <c r="B353" s="1461"/>
      <c r="C353" s="1463"/>
      <c r="D353" s="436" t="s">
        <v>1334</v>
      </c>
      <c r="E353" s="438"/>
      <c r="F353" s="437"/>
      <c r="G353" s="442"/>
      <c r="H353" s="442"/>
      <c r="I353" s="515">
        <v>16200</v>
      </c>
      <c r="J353" s="1506"/>
    </row>
    <row r="354" spans="1:10" s="416" customFormat="1">
      <c r="A354" s="1459"/>
      <c r="B354" s="1461"/>
      <c r="C354" s="1463"/>
      <c r="D354" s="436" t="s">
        <v>1342</v>
      </c>
      <c r="E354" s="438"/>
      <c r="F354" s="437"/>
      <c r="G354" s="441"/>
      <c r="H354" s="441"/>
      <c r="I354" s="514">
        <v>151200</v>
      </c>
      <c r="J354" s="1507"/>
    </row>
    <row r="355" spans="1:10" s="416" customFormat="1">
      <c r="A355" s="1459">
        <v>4</v>
      </c>
      <c r="B355" s="1461" t="s">
        <v>809</v>
      </c>
      <c r="C355" s="1463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505">
        <f>ROUND(I360*0.9,0)</f>
        <v>1894770</v>
      </c>
    </row>
    <row r="356" spans="1:10" s="416" customFormat="1">
      <c r="A356" s="1459"/>
      <c r="B356" s="1461"/>
      <c r="C356" s="1463"/>
      <c r="D356" s="436" t="s">
        <v>1332</v>
      </c>
      <c r="E356" s="438"/>
      <c r="F356" s="437"/>
      <c r="G356" s="441"/>
      <c r="H356" s="441"/>
      <c r="I356" s="514">
        <v>1815000</v>
      </c>
      <c r="J356" s="1506"/>
    </row>
    <row r="357" spans="1:10" s="416" customFormat="1">
      <c r="A357" s="1459"/>
      <c r="B357" s="1461"/>
      <c r="C357" s="1463"/>
      <c r="D357" s="436" t="s">
        <v>1334</v>
      </c>
      <c r="E357" s="438"/>
      <c r="F357" s="437"/>
      <c r="G357" s="442"/>
      <c r="H357" s="442"/>
      <c r="I357" s="515">
        <v>181500</v>
      </c>
      <c r="J357" s="1506"/>
    </row>
    <row r="358" spans="1:10" s="416" customFormat="1">
      <c r="A358" s="1459"/>
      <c r="B358" s="1461"/>
      <c r="C358" s="1463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506"/>
    </row>
    <row r="359" spans="1:10" s="416" customFormat="1">
      <c r="A359" s="1459"/>
      <c r="B359" s="1461"/>
      <c r="C359" s="1463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506"/>
    </row>
    <row r="360" spans="1:10" s="416" customFormat="1">
      <c r="A360" s="1459"/>
      <c r="B360" s="1461"/>
      <c r="C360" s="1463"/>
      <c r="D360" s="436" t="s">
        <v>1342</v>
      </c>
      <c r="E360" s="438"/>
      <c r="F360" s="437"/>
      <c r="G360" s="441"/>
      <c r="H360" s="441"/>
      <c r="I360" s="514">
        <v>2105300</v>
      </c>
      <c r="J360" s="1507"/>
    </row>
    <row r="361" spans="1:10" s="416" customFormat="1">
      <c r="A361" s="1459">
        <v>5</v>
      </c>
      <c r="B361" s="1460" t="s">
        <v>1942</v>
      </c>
      <c r="C361" s="1462" t="s">
        <v>1690</v>
      </c>
      <c r="D361" s="1461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505">
        <f>ROUND(I366*0.8,0)</f>
        <v>467436</v>
      </c>
    </row>
    <row r="362" spans="1:10" s="416" customFormat="1" ht="24">
      <c r="A362" s="1459"/>
      <c r="B362" s="1460"/>
      <c r="C362" s="1462"/>
      <c r="D362" s="1461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506"/>
    </row>
    <row r="363" spans="1:10" s="416" customFormat="1">
      <c r="A363" s="1459"/>
      <c r="B363" s="1460"/>
      <c r="C363" s="1462"/>
      <c r="D363" s="448" t="s">
        <v>1332</v>
      </c>
      <c r="E363" s="449"/>
      <c r="F363" s="450"/>
      <c r="G363" s="448"/>
      <c r="H363" s="448"/>
      <c r="I363" s="521">
        <v>497350</v>
      </c>
      <c r="J363" s="1506"/>
    </row>
    <row r="364" spans="1:10" s="416" customFormat="1">
      <c r="A364" s="1459"/>
      <c r="B364" s="1460"/>
      <c r="C364" s="1462"/>
      <c r="D364" s="436" t="s">
        <v>1334</v>
      </c>
      <c r="E364" s="438"/>
      <c r="F364" s="437"/>
      <c r="G364" s="442"/>
      <c r="H364" s="442"/>
      <c r="I364" s="515">
        <v>56945</v>
      </c>
      <c r="J364" s="1506"/>
    </row>
    <row r="365" spans="1:10" s="416" customFormat="1">
      <c r="A365" s="1459"/>
      <c r="B365" s="1460"/>
      <c r="C365" s="1462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506"/>
    </row>
    <row r="366" spans="1:10" s="416" customFormat="1">
      <c r="A366" s="1459"/>
      <c r="B366" s="1460"/>
      <c r="C366" s="1462"/>
      <c r="D366" s="436" t="s">
        <v>1342</v>
      </c>
      <c r="E366" s="438"/>
      <c r="F366" s="437"/>
      <c r="G366" s="441"/>
      <c r="H366" s="441"/>
      <c r="I366" s="514">
        <v>584295</v>
      </c>
      <c r="J366" s="1507"/>
    </row>
    <row r="367" spans="1:10" s="416" customFormat="1" ht="24">
      <c r="A367" s="1459">
        <v>6</v>
      </c>
      <c r="B367" s="1461" t="s">
        <v>1945</v>
      </c>
      <c r="C367" s="1463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505">
        <f>ROUND(I371*0.8,0)</f>
        <v>146240</v>
      </c>
    </row>
    <row r="368" spans="1:10" s="416" customFormat="1">
      <c r="A368" s="1459"/>
      <c r="B368" s="1461"/>
      <c r="C368" s="1463"/>
      <c r="D368" s="436" t="s">
        <v>1332</v>
      </c>
      <c r="E368" s="438"/>
      <c r="F368" s="437"/>
      <c r="G368" s="441"/>
      <c r="H368" s="441"/>
      <c r="I368" s="514">
        <v>160000</v>
      </c>
      <c r="J368" s="1506"/>
    </row>
    <row r="369" spans="1:10" s="416" customFormat="1">
      <c r="A369" s="1459"/>
      <c r="B369" s="1461"/>
      <c r="C369" s="1463"/>
      <c r="D369" s="436" t="s">
        <v>1334</v>
      </c>
      <c r="E369" s="438"/>
      <c r="F369" s="437"/>
      <c r="G369" s="442"/>
      <c r="H369" s="442"/>
      <c r="I369" s="515">
        <v>19200</v>
      </c>
      <c r="J369" s="1506"/>
    </row>
    <row r="370" spans="1:10" s="416" customFormat="1">
      <c r="A370" s="1459"/>
      <c r="B370" s="1461"/>
      <c r="C370" s="1463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506"/>
    </row>
    <row r="371" spans="1:10" s="416" customFormat="1">
      <c r="A371" s="1459"/>
      <c r="B371" s="1461"/>
      <c r="C371" s="1463"/>
      <c r="D371" s="436" t="s">
        <v>1342</v>
      </c>
      <c r="E371" s="438"/>
      <c r="F371" s="437"/>
      <c r="G371" s="441"/>
      <c r="H371" s="441"/>
      <c r="I371" s="514">
        <v>182800</v>
      </c>
      <c r="J371" s="1507"/>
    </row>
    <row r="372" spans="1:10" s="416" customFormat="1">
      <c r="A372" s="1459">
        <v>7</v>
      </c>
      <c r="B372" s="1460" t="s">
        <v>1046</v>
      </c>
      <c r="C372" s="1462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505">
        <f>ROUND(I382*0.8,0)</f>
        <v>558189</v>
      </c>
    </row>
    <row r="373" spans="1:10" s="416" customFormat="1">
      <c r="A373" s="1459"/>
      <c r="B373" s="1460"/>
      <c r="C373" s="1462"/>
      <c r="D373" s="1461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506"/>
    </row>
    <row r="374" spans="1:10" s="416" customFormat="1">
      <c r="A374" s="1459"/>
      <c r="B374" s="1460"/>
      <c r="C374" s="1462"/>
      <c r="D374" s="1461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506"/>
    </row>
    <row r="375" spans="1:10" s="416" customFormat="1">
      <c r="A375" s="1459"/>
      <c r="B375" s="1460"/>
      <c r="C375" s="1462"/>
      <c r="D375" s="1461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506"/>
    </row>
    <row r="376" spans="1:10" s="416" customFormat="1">
      <c r="A376" s="1459"/>
      <c r="B376" s="1460"/>
      <c r="C376" s="1462"/>
      <c r="D376" s="1461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506"/>
    </row>
    <row r="377" spans="1:10" s="416" customFormat="1">
      <c r="A377" s="1459"/>
      <c r="B377" s="1460"/>
      <c r="C377" s="1462"/>
      <c r="D377" s="1461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506"/>
    </row>
    <row r="378" spans="1:10" s="416" customFormat="1">
      <c r="A378" s="1459"/>
      <c r="B378" s="1460"/>
      <c r="C378" s="1462"/>
      <c r="D378" s="1461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506"/>
    </row>
    <row r="379" spans="1:10" s="416" customFormat="1">
      <c r="A379" s="1459"/>
      <c r="B379" s="1460"/>
      <c r="C379" s="1462"/>
      <c r="D379" s="448" t="s">
        <v>1332</v>
      </c>
      <c r="E379" s="449"/>
      <c r="F379" s="450"/>
      <c r="G379" s="448"/>
      <c r="H379" s="448"/>
      <c r="I379" s="521">
        <v>616550</v>
      </c>
      <c r="J379" s="1506"/>
    </row>
    <row r="380" spans="1:10" s="416" customFormat="1">
      <c r="A380" s="1459"/>
      <c r="B380" s="1461"/>
      <c r="C380" s="1463"/>
      <c r="D380" s="436" t="s">
        <v>1334</v>
      </c>
      <c r="E380" s="438"/>
      <c r="F380" s="437"/>
      <c r="G380" s="442"/>
      <c r="H380" s="442"/>
      <c r="I380" s="515">
        <v>73986</v>
      </c>
      <c r="J380" s="1506"/>
    </row>
    <row r="381" spans="1:10" s="416" customFormat="1">
      <c r="A381" s="1459"/>
      <c r="B381" s="1461"/>
      <c r="C381" s="1463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506"/>
    </row>
    <row r="382" spans="1:10" s="416" customFormat="1">
      <c r="A382" s="1459"/>
      <c r="B382" s="1461"/>
      <c r="C382" s="1463"/>
      <c r="D382" s="436" t="s">
        <v>1342</v>
      </c>
      <c r="E382" s="438"/>
      <c r="F382" s="437"/>
      <c r="G382" s="441"/>
      <c r="H382" s="441"/>
      <c r="I382" s="514">
        <v>697736</v>
      </c>
      <c r="J382" s="1507"/>
    </row>
    <row r="383" spans="1:10" s="416" customFormat="1" ht="24">
      <c r="A383" s="1459">
        <v>8</v>
      </c>
      <c r="B383" s="1461" t="s">
        <v>245</v>
      </c>
      <c r="C383" s="1463" t="s">
        <v>1690</v>
      </c>
      <c r="D383" s="1461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505">
        <f>ROUND(I389*0.9,0)</f>
        <v>2299367</v>
      </c>
    </row>
    <row r="384" spans="1:10" s="416" customFormat="1">
      <c r="A384" s="1459"/>
      <c r="B384" s="1461"/>
      <c r="C384" s="1463"/>
      <c r="D384" s="1461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506"/>
    </row>
    <row r="385" spans="1:10" s="416" customFormat="1">
      <c r="A385" s="1459"/>
      <c r="B385" s="1461"/>
      <c r="C385" s="1463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506"/>
    </row>
    <row r="386" spans="1:10" s="416" customFormat="1">
      <c r="A386" s="1459"/>
      <c r="B386" s="1461"/>
      <c r="C386" s="1463"/>
      <c r="D386" s="436" t="s">
        <v>1332</v>
      </c>
      <c r="E386" s="438"/>
      <c r="F386" s="437"/>
      <c r="G386" s="441"/>
      <c r="H386" s="441"/>
      <c r="I386" s="514">
        <v>2295320</v>
      </c>
      <c r="J386" s="1506"/>
    </row>
    <row r="387" spans="1:10" s="416" customFormat="1">
      <c r="A387" s="1459"/>
      <c r="B387" s="1461"/>
      <c r="C387" s="1463"/>
      <c r="D387" s="436" t="s">
        <v>1334</v>
      </c>
      <c r="E387" s="438"/>
      <c r="F387" s="437"/>
      <c r="G387" s="442"/>
      <c r="H387" s="442"/>
      <c r="I387" s="515">
        <v>229532</v>
      </c>
      <c r="J387" s="1506"/>
    </row>
    <row r="388" spans="1:10" s="416" customFormat="1">
      <c r="A388" s="1459"/>
      <c r="B388" s="1461"/>
      <c r="C388" s="1463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506"/>
    </row>
    <row r="389" spans="1:10" s="416" customFormat="1">
      <c r="A389" s="1459"/>
      <c r="B389" s="1461"/>
      <c r="C389" s="1463"/>
      <c r="D389" s="436" t="s">
        <v>1342</v>
      </c>
      <c r="E389" s="438"/>
      <c r="F389" s="437"/>
      <c r="G389" s="441"/>
      <c r="H389" s="441"/>
      <c r="I389" s="514">
        <v>2554852</v>
      </c>
      <c r="J389" s="1507"/>
    </row>
    <row r="390" spans="1:10" s="416" customFormat="1">
      <c r="A390" s="1459">
        <v>9</v>
      </c>
      <c r="B390" s="1460" t="s">
        <v>1962</v>
      </c>
      <c r="C390" s="1462" t="s">
        <v>1312</v>
      </c>
      <c r="D390" s="1460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505">
        <f>ROUND(I405*0.8,0)</f>
        <v>309348</v>
      </c>
    </row>
    <row r="391" spans="1:10" s="416" customFormat="1">
      <c r="A391" s="1459"/>
      <c r="B391" s="1460"/>
      <c r="C391" s="1462"/>
      <c r="D391" s="1460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506"/>
    </row>
    <row r="392" spans="1:10" s="416" customFormat="1">
      <c r="A392" s="1459"/>
      <c r="B392" s="1460"/>
      <c r="C392" s="1462"/>
      <c r="D392" s="1460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506"/>
    </row>
    <row r="393" spans="1:10" s="416" customFormat="1" ht="24">
      <c r="A393" s="1459"/>
      <c r="B393" s="1460"/>
      <c r="C393" s="1462"/>
      <c r="D393" s="1460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506"/>
    </row>
    <row r="394" spans="1:10" s="416" customFormat="1">
      <c r="A394" s="1459"/>
      <c r="B394" s="1460"/>
      <c r="C394" s="1462"/>
      <c r="D394" s="1460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506"/>
    </row>
    <row r="395" spans="1:10" s="416" customFormat="1" ht="24">
      <c r="A395" s="1459"/>
      <c r="B395" s="1460"/>
      <c r="C395" s="1462"/>
      <c r="D395" s="1460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506"/>
    </row>
    <row r="396" spans="1:10" s="416" customFormat="1">
      <c r="A396" s="1459"/>
      <c r="B396" s="1460"/>
      <c r="C396" s="1462"/>
      <c r="D396" s="1460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506"/>
    </row>
    <row r="397" spans="1:10" s="416" customFormat="1" ht="24">
      <c r="A397" s="1459"/>
      <c r="B397" s="1460"/>
      <c r="C397" s="1462"/>
      <c r="D397" s="1460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506"/>
    </row>
    <row r="398" spans="1:10" s="416" customFormat="1" ht="24">
      <c r="A398" s="1459"/>
      <c r="B398" s="1460"/>
      <c r="C398" s="1462"/>
      <c r="D398" s="1460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506"/>
    </row>
    <row r="399" spans="1:10" s="416" customFormat="1">
      <c r="A399" s="1459"/>
      <c r="B399" s="1460"/>
      <c r="C399" s="1462"/>
      <c r="D399" s="1460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506"/>
    </row>
    <row r="400" spans="1:10" s="416" customFormat="1">
      <c r="A400" s="1459"/>
      <c r="B400" s="1460"/>
      <c r="C400" s="1462"/>
      <c r="D400" s="1460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506"/>
    </row>
    <row r="401" spans="1:10" s="416" customFormat="1">
      <c r="A401" s="1459"/>
      <c r="B401" s="1460"/>
      <c r="C401" s="1462"/>
      <c r="D401" s="1460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506"/>
    </row>
    <row r="402" spans="1:10" s="416" customFormat="1">
      <c r="A402" s="1459"/>
      <c r="B402" s="1460"/>
      <c r="C402" s="1462"/>
      <c r="D402" s="448" t="s">
        <v>1332</v>
      </c>
      <c r="E402" s="449"/>
      <c r="F402" s="450"/>
      <c r="G402" s="448"/>
      <c r="H402" s="448"/>
      <c r="I402" s="521">
        <v>341237</v>
      </c>
      <c r="J402" s="1506"/>
    </row>
    <row r="403" spans="1:10" s="416" customFormat="1">
      <c r="A403" s="1459"/>
      <c r="B403" s="1460"/>
      <c r="C403" s="1462"/>
      <c r="D403" s="448" t="s">
        <v>1334</v>
      </c>
      <c r="E403" s="449"/>
      <c r="F403" s="450"/>
      <c r="G403" s="448"/>
      <c r="H403" s="448"/>
      <c r="I403" s="521">
        <v>40948.44</v>
      </c>
      <c r="J403" s="1506"/>
    </row>
    <row r="404" spans="1:10" s="416" customFormat="1">
      <c r="A404" s="1459"/>
      <c r="B404" s="1460"/>
      <c r="C404" s="1462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506"/>
    </row>
    <row r="405" spans="1:10" s="416" customFormat="1">
      <c r="A405" s="1459"/>
      <c r="B405" s="1460"/>
      <c r="C405" s="1462"/>
      <c r="D405" s="448" t="s">
        <v>1342</v>
      </c>
      <c r="E405" s="449"/>
      <c r="F405" s="450"/>
      <c r="G405" s="448"/>
      <c r="H405" s="448"/>
      <c r="I405" s="521">
        <v>386685.44</v>
      </c>
      <c r="J405" s="1507"/>
    </row>
    <row r="406" spans="1:10" s="416" customFormat="1">
      <c r="A406" s="1459">
        <v>10</v>
      </c>
      <c r="B406" s="1461" t="s">
        <v>247</v>
      </c>
      <c r="C406" s="1463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505">
        <f>ROUND(I413*0.9,0)</f>
        <v>285476</v>
      </c>
    </row>
    <row r="407" spans="1:10" s="416" customFormat="1">
      <c r="A407" s="1459"/>
      <c r="B407" s="1461"/>
      <c r="C407" s="1463"/>
      <c r="D407" s="1461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506"/>
    </row>
    <row r="408" spans="1:10" s="416" customFormat="1">
      <c r="A408" s="1459"/>
      <c r="B408" s="1461"/>
      <c r="C408" s="1463"/>
      <c r="D408" s="1461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506"/>
    </row>
    <row r="409" spans="1:10" s="416" customFormat="1">
      <c r="A409" s="1459"/>
      <c r="B409" s="1461"/>
      <c r="C409" s="1463"/>
      <c r="D409" s="1461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506"/>
    </row>
    <row r="410" spans="1:10" s="416" customFormat="1">
      <c r="A410" s="1459"/>
      <c r="B410" s="1461"/>
      <c r="C410" s="1463"/>
      <c r="D410" s="436" t="s">
        <v>1332</v>
      </c>
      <c r="E410" s="438"/>
      <c r="F410" s="437"/>
      <c r="G410" s="441"/>
      <c r="H410" s="441"/>
      <c r="I410" s="514">
        <v>280800</v>
      </c>
      <c r="J410" s="1506"/>
    </row>
    <row r="411" spans="1:10" s="416" customFormat="1">
      <c r="A411" s="1459"/>
      <c r="B411" s="1461"/>
      <c r="C411" s="1463"/>
      <c r="D411" s="436" t="s">
        <v>1334</v>
      </c>
      <c r="E411" s="438"/>
      <c r="F411" s="437"/>
      <c r="G411" s="442"/>
      <c r="H411" s="442"/>
      <c r="I411" s="515">
        <v>33696</v>
      </c>
      <c r="J411" s="1506"/>
    </row>
    <row r="412" spans="1:10" s="416" customFormat="1">
      <c r="A412" s="1459"/>
      <c r="B412" s="1461"/>
      <c r="C412" s="1463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506"/>
    </row>
    <row r="413" spans="1:10" s="416" customFormat="1">
      <c r="A413" s="1459"/>
      <c r="B413" s="1461"/>
      <c r="C413" s="1463"/>
      <c r="D413" s="436" t="s">
        <v>1342</v>
      </c>
      <c r="E413" s="438"/>
      <c r="F413" s="437"/>
      <c r="G413" s="441"/>
      <c r="H413" s="441"/>
      <c r="I413" s="514">
        <v>317196</v>
      </c>
      <c r="J413" s="1507"/>
    </row>
    <row r="414" spans="1:10" s="374" customFormat="1">
      <c r="A414" s="1457">
        <v>11</v>
      </c>
      <c r="B414" s="1458" t="s">
        <v>186</v>
      </c>
      <c r="C414" s="1446"/>
      <c r="D414" s="1458" t="s">
        <v>1983</v>
      </c>
      <c r="E414" s="1458" t="s">
        <v>1984</v>
      </c>
      <c r="F414" s="1457" t="s">
        <v>1686</v>
      </c>
      <c r="G414" s="400">
        <v>189</v>
      </c>
      <c r="H414" s="432">
        <v>42.24</v>
      </c>
      <c r="I414" s="527">
        <v>7983.36</v>
      </c>
      <c r="J414" s="1498">
        <f>ROUND(I496*0.9,0)</f>
        <v>4232094</v>
      </c>
    </row>
    <row r="415" spans="1:10" s="374" customFormat="1">
      <c r="A415" s="1457"/>
      <c r="B415" s="1458"/>
      <c r="C415" s="1446"/>
      <c r="D415" s="1458"/>
      <c r="E415" s="1458"/>
      <c r="F415" s="1457"/>
      <c r="G415" s="400">
        <v>27</v>
      </c>
      <c r="H415" s="432">
        <v>260</v>
      </c>
      <c r="I415" s="527">
        <v>7020</v>
      </c>
      <c r="J415" s="1499"/>
    </row>
    <row r="416" spans="1:10" s="374" customFormat="1">
      <c r="A416" s="1457"/>
      <c r="B416" s="1458"/>
      <c r="C416" s="1446"/>
      <c r="D416" s="1458"/>
      <c r="E416" s="1458" t="s">
        <v>1985</v>
      </c>
      <c r="F416" s="1457" t="s">
        <v>1686</v>
      </c>
      <c r="G416" s="400" t="s">
        <v>1986</v>
      </c>
      <c r="H416" s="432">
        <v>1632</v>
      </c>
      <c r="I416" s="527">
        <v>65280</v>
      </c>
      <c r="J416" s="1499"/>
    </row>
    <row r="417" spans="1:10" s="374" customFormat="1">
      <c r="A417" s="1457"/>
      <c r="B417" s="1458"/>
      <c r="C417" s="1446"/>
      <c r="D417" s="1458"/>
      <c r="E417" s="1458"/>
      <c r="F417" s="1457"/>
      <c r="G417" s="400" t="s">
        <v>1987</v>
      </c>
      <c r="H417" s="432">
        <v>677.7</v>
      </c>
      <c r="I417" s="527">
        <v>10843.2</v>
      </c>
      <c r="J417" s="1499"/>
    </row>
    <row r="418" spans="1:10" s="374" customFormat="1" ht="36">
      <c r="A418" s="1457"/>
      <c r="B418" s="1458"/>
      <c r="C418" s="1446"/>
      <c r="D418" s="1458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499"/>
    </row>
    <row r="419" spans="1:10" s="374" customFormat="1" ht="24">
      <c r="A419" s="1457"/>
      <c r="B419" s="1458"/>
      <c r="C419" s="1446"/>
      <c r="D419" s="1458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499"/>
    </row>
    <row r="420" spans="1:10" s="374" customFormat="1" ht="24">
      <c r="A420" s="1457"/>
      <c r="B420" s="1458"/>
      <c r="C420" s="1446"/>
      <c r="D420" s="1458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499"/>
    </row>
    <row r="421" spans="1:10" s="374" customFormat="1">
      <c r="A421" s="1457"/>
      <c r="B421" s="1458"/>
      <c r="C421" s="1446"/>
      <c r="D421" s="1458"/>
      <c r="E421" s="1458" t="s">
        <v>1991</v>
      </c>
      <c r="F421" s="1457" t="s">
        <v>1686</v>
      </c>
      <c r="G421" s="400">
        <v>160.72</v>
      </c>
      <c r="H421" s="432">
        <v>47.5</v>
      </c>
      <c r="I421" s="527">
        <v>7634.2</v>
      </c>
      <c r="J421" s="1499"/>
    </row>
    <row r="422" spans="1:10" s="374" customFormat="1">
      <c r="A422" s="1457"/>
      <c r="B422" s="1458"/>
      <c r="C422" s="1446"/>
      <c r="D422" s="1458"/>
      <c r="E422" s="1458"/>
      <c r="F422" s="1457"/>
      <c r="G422" s="400">
        <v>100</v>
      </c>
      <c r="H422" s="432">
        <v>145</v>
      </c>
      <c r="I422" s="527">
        <v>14500</v>
      </c>
      <c r="J422" s="1499"/>
    </row>
    <row r="423" spans="1:10" s="374" customFormat="1" ht="24">
      <c r="A423" s="1457"/>
      <c r="B423" s="1458"/>
      <c r="C423" s="1446"/>
      <c r="D423" s="1458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499"/>
    </row>
    <row r="424" spans="1:10" s="374" customFormat="1">
      <c r="A424" s="1457"/>
      <c r="B424" s="1458"/>
      <c r="C424" s="1446"/>
      <c r="D424" s="1458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499"/>
    </row>
    <row r="425" spans="1:10" s="374" customFormat="1" ht="24">
      <c r="A425" s="1457"/>
      <c r="B425" s="1458"/>
      <c r="C425" s="1446"/>
      <c r="D425" s="1458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499"/>
    </row>
    <row r="426" spans="1:10" s="374" customFormat="1">
      <c r="A426" s="1457"/>
      <c r="B426" s="1458"/>
      <c r="C426" s="1446"/>
      <c r="D426" s="1458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499"/>
    </row>
    <row r="427" spans="1:10" s="374" customFormat="1">
      <c r="A427" s="1457"/>
      <c r="B427" s="1458"/>
      <c r="C427" s="1446"/>
      <c r="D427" s="1458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499"/>
    </row>
    <row r="428" spans="1:10" s="374" customFormat="1" ht="24">
      <c r="A428" s="1457"/>
      <c r="B428" s="1458"/>
      <c r="C428" s="1446"/>
      <c r="D428" s="1458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499"/>
    </row>
    <row r="429" spans="1:10" s="374" customFormat="1">
      <c r="A429" s="1457"/>
      <c r="B429" s="1458"/>
      <c r="C429" s="1446"/>
      <c r="D429" s="1458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499"/>
    </row>
    <row r="430" spans="1:10" s="374" customFormat="1" ht="24">
      <c r="A430" s="1457"/>
      <c r="B430" s="1458"/>
      <c r="C430" s="1446"/>
      <c r="D430" s="1458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499"/>
    </row>
    <row r="431" spans="1:10" s="374" customFormat="1" ht="48">
      <c r="A431" s="1457"/>
      <c r="B431" s="1458"/>
      <c r="C431" s="1446"/>
      <c r="D431" s="1458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499"/>
    </row>
    <row r="432" spans="1:10" s="374" customFormat="1">
      <c r="A432" s="1457"/>
      <c r="B432" s="1458"/>
      <c r="C432" s="1446"/>
      <c r="D432" s="1458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499"/>
    </row>
    <row r="433" spans="1:10" s="374" customFormat="1">
      <c r="A433" s="1457"/>
      <c r="B433" s="1458"/>
      <c r="C433" s="1446"/>
      <c r="D433" s="1458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499"/>
    </row>
    <row r="434" spans="1:10" s="374" customFormat="1">
      <c r="A434" s="1457"/>
      <c r="B434" s="1458"/>
      <c r="C434" s="1446"/>
      <c r="D434" s="1458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499"/>
    </row>
    <row r="435" spans="1:10" s="374" customFormat="1">
      <c r="A435" s="1457"/>
      <c r="B435" s="1458"/>
      <c r="C435" s="1446"/>
      <c r="D435" s="1458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499"/>
    </row>
    <row r="436" spans="1:10" s="374" customFormat="1">
      <c r="A436" s="1457"/>
      <c r="B436" s="1458"/>
      <c r="C436" s="1446"/>
      <c r="D436" s="1458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499"/>
    </row>
    <row r="437" spans="1:10" s="374" customFormat="1">
      <c r="A437" s="1457"/>
      <c r="B437" s="1458"/>
      <c r="C437" s="1446"/>
      <c r="D437" s="1458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499"/>
    </row>
    <row r="438" spans="1:10" s="374" customFormat="1">
      <c r="A438" s="1457"/>
      <c r="B438" s="1458"/>
      <c r="C438" s="1446"/>
      <c r="D438" s="1458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499"/>
    </row>
    <row r="439" spans="1:10" s="374" customFormat="1" ht="24">
      <c r="A439" s="1457"/>
      <c r="B439" s="1458"/>
      <c r="C439" s="1446"/>
      <c r="D439" s="1458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499"/>
    </row>
    <row r="440" spans="1:10" s="374" customFormat="1">
      <c r="A440" s="1457"/>
      <c r="B440" s="1458"/>
      <c r="C440" s="1446"/>
      <c r="D440" s="1458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499"/>
    </row>
    <row r="441" spans="1:10" s="374" customFormat="1" ht="24">
      <c r="A441" s="1457"/>
      <c r="B441" s="1458"/>
      <c r="C441" s="1446"/>
      <c r="D441" s="1458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499"/>
    </row>
    <row r="442" spans="1:10" s="374" customFormat="1">
      <c r="A442" s="1457"/>
      <c r="B442" s="1458"/>
      <c r="C442" s="1446"/>
      <c r="D442" s="1458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499"/>
    </row>
    <row r="443" spans="1:10" s="374" customFormat="1" ht="24">
      <c r="A443" s="1457"/>
      <c r="B443" s="1458"/>
      <c r="C443" s="1446"/>
      <c r="D443" s="1458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499"/>
    </row>
    <row r="444" spans="1:10" s="374" customFormat="1">
      <c r="A444" s="1457"/>
      <c r="B444" s="1458"/>
      <c r="C444" s="1446"/>
      <c r="D444" s="1458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499"/>
    </row>
    <row r="445" spans="1:10" s="374" customFormat="1">
      <c r="A445" s="1457"/>
      <c r="B445" s="1458"/>
      <c r="C445" s="1446"/>
      <c r="D445" s="1458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499"/>
    </row>
    <row r="446" spans="1:10" s="374" customFormat="1">
      <c r="A446" s="1457"/>
      <c r="B446" s="1458"/>
      <c r="C446" s="1446"/>
      <c r="D446" s="1458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499"/>
    </row>
    <row r="447" spans="1:10" s="374" customFormat="1">
      <c r="A447" s="1457"/>
      <c r="B447" s="1458"/>
      <c r="C447" s="1446"/>
      <c r="D447" s="1458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499"/>
    </row>
    <row r="448" spans="1:10" s="374" customFormat="1">
      <c r="A448" s="1457"/>
      <c r="B448" s="1458"/>
      <c r="C448" s="1446"/>
      <c r="D448" s="1458"/>
      <c r="E448" s="1458" t="s">
        <v>2012</v>
      </c>
      <c r="F448" s="1457" t="s">
        <v>1686</v>
      </c>
      <c r="G448" s="400">
        <v>808</v>
      </c>
      <c r="H448" s="432">
        <v>230</v>
      </c>
      <c r="I448" s="527">
        <v>185840</v>
      </c>
      <c r="J448" s="1499"/>
    </row>
    <row r="449" spans="1:10" s="374" customFormat="1">
      <c r="A449" s="1457"/>
      <c r="B449" s="1458"/>
      <c r="C449" s="1446"/>
      <c r="D449" s="1458"/>
      <c r="E449" s="1458"/>
      <c r="F449" s="1457"/>
      <c r="G449" s="400">
        <v>36</v>
      </c>
      <c r="H449" s="432">
        <v>165</v>
      </c>
      <c r="I449" s="527">
        <v>5940</v>
      </c>
      <c r="J449" s="1499"/>
    </row>
    <row r="450" spans="1:10" s="374" customFormat="1">
      <c r="A450" s="1457"/>
      <c r="B450" s="1458"/>
      <c r="C450" s="1446"/>
      <c r="D450" s="1458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499"/>
    </row>
    <row r="451" spans="1:10" s="374" customFormat="1" ht="24">
      <c r="A451" s="1457"/>
      <c r="B451" s="1458"/>
      <c r="C451" s="1446"/>
      <c r="D451" s="1458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499"/>
    </row>
    <row r="452" spans="1:10" s="374" customFormat="1" ht="24">
      <c r="A452" s="1457"/>
      <c r="B452" s="1458"/>
      <c r="C452" s="1446"/>
      <c r="D452" s="1458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499"/>
    </row>
    <row r="453" spans="1:10" s="374" customFormat="1" ht="36">
      <c r="A453" s="1457"/>
      <c r="B453" s="1458"/>
      <c r="C453" s="1446"/>
      <c r="D453" s="1458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499"/>
    </row>
    <row r="454" spans="1:10" s="374" customFormat="1" ht="24">
      <c r="A454" s="1457"/>
      <c r="B454" s="1458"/>
      <c r="C454" s="1446"/>
      <c r="D454" s="1458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499"/>
    </row>
    <row r="455" spans="1:10" s="374" customFormat="1" ht="24">
      <c r="A455" s="1457"/>
      <c r="B455" s="1458"/>
      <c r="C455" s="1446"/>
      <c r="D455" s="1458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499"/>
    </row>
    <row r="456" spans="1:10" s="374" customFormat="1" ht="24">
      <c r="A456" s="1457"/>
      <c r="B456" s="1458"/>
      <c r="C456" s="1446"/>
      <c r="D456" s="1458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499"/>
    </row>
    <row r="457" spans="1:10" s="374" customFormat="1">
      <c r="A457" s="1457"/>
      <c r="B457" s="1458"/>
      <c r="C457" s="1446"/>
      <c r="D457" s="1458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499"/>
    </row>
    <row r="458" spans="1:10" s="374" customFormat="1">
      <c r="A458" s="1457"/>
      <c r="B458" s="1458"/>
      <c r="C458" s="1446"/>
      <c r="D458" s="1458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499"/>
    </row>
    <row r="459" spans="1:10" s="374" customFormat="1">
      <c r="A459" s="1457"/>
      <c r="B459" s="1458"/>
      <c r="C459" s="1446"/>
      <c r="D459" s="1458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499"/>
    </row>
    <row r="460" spans="1:10" s="374" customFormat="1">
      <c r="A460" s="1457"/>
      <c r="B460" s="1458"/>
      <c r="C460" s="1446"/>
      <c r="D460" s="1458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499"/>
    </row>
    <row r="461" spans="1:10" s="374" customFormat="1">
      <c r="A461" s="1457"/>
      <c r="B461" s="1458"/>
      <c r="C461" s="1446"/>
      <c r="D461" s="1458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499"/>
    </row>
    <row r="462" spans="1:10" s="374" customFormat="1">
      <c r="A462" s="1457"/>
      <c r="B462" s="1458"/>
      <c r="C462" s="1446"/>
      <c r="D462" s="1458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499"/>
    </row>
    <row r="463" spans="1:10" s="374" customFormat="1" ht="36">
      <c r="A463" s="1457"/>
      <c r="B463" s="1458"/>
      <c r="C463" s="1446"/>
      <c r="D463" s="1458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499"/>
    </row>
    <row r="464" spans="1:10" s="374" customFormat="1">
      <c r="A464" s="1457"/>
      <c r="B464" s="1458"/>
      <c r="C464" s="1446"/>
      <c r="D464" s="1458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499"/>
    </row>
    <row r="465" spans="1:10" s="374" customFormat="1">
      <c r="A465" s="1457"/>
      <c r="B465" s="1458"/>
      <c r="C465" s="1446"/>
      <c r="D465" s="1458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499"/>
    </row>
    <row r="466" spans="1:10" s="374" customFormat="1">
      <c r="A466" s="1457"/>
      <c r="B466" s="1458"/>
      <c r="C466" s="1446"/>
      <c r="D466" s="1458" t="s">
        <v>2024</v>
      </c>
      <c r="E466" s="1458" t="s">
        <v>2025</v>
      </c>
      <c r="F466" s="1457" t="s">
        <v>1686</v>
      </c>
      <c r="G466" s="400" t="s">
        <v>2026</v>
      </c>
      <c r="H466" s="432">
        <v>1632</v>
      </c>
      <c r="I466" s="527">
        <v>8160</v>
      </c>
      <c r="J466" s="1499"/>
    </row>
    <row r="467" spans="1:10" s="374" customFormat="1">
      <c r="A467" s="1457"/>
      <c r="B467" s="1458"/>
      <c r="C467" s="1446"/>
      <c r="D467" s="1458"/>
      <c r="E467" s="1458"/>
      <c r="F467" s="1457"/>
      <c r="G467" s="400" t="s">
        <v>2027</v>
      </c>
      <c r="H467" s="432">
        <v>2532</v>
      </c>
      <c r="I467" s="527">
        <v>15192</v>
      </c>
      <c r="J467" s="1499"/>
    </row>
    <row r="468" spans="1:10" s="374" customFormat="1">
      <c r="A468" s="1457"/>
      <c r="B468" s="1458"/>
      <c r="C468" s="1446"/>
      <c r="D468" s="1458"/>
      <c r="E468" s="1458"/>
      <c r="F468" s="1457"/>
      <c r="G468" s="400" t="s">
        <v>2028</v>
      </c>
      <c r="H468" s="432">
        <v>677.7</v>
      </c>
      <c r="I468" s="527">
        <v>1321.5150000000001</v>
      </c>
      <c r="J468" s="1499"/>
    </row>
    <row r="469" spans="1:10" s="374" customFormat="1" ht="24">
      <c r="A469" s="1457"/>
      <c r="B469" s="1458"/>
      <c r="C469" s="1446"/>
      <c r="D469" s="1458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499"/>
    </row>
    <row r="470" spans="1:10" s="374" customFormat="1">
      <c r="A470" s="1457"/>
      <c r="B470" s="1458"/>
      <c r="C470" s="1446"/>
      <c r="D470" s="1458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499"/>
    </row>
    <row r="471" spans="1:10" s="374" customFormat="1">
      <c r="A471" s="1457"/>
      <c r="B471" s="1458"/>
      <c r="C471" s="1446"/>
      <c r="D471" s="1458"/>
      <c r="E471" s="1458" t="s">
        <v>2031</v>
      </c>
      <c r="F471" s="1457" t="s">
        <v>1686</v>
      </c>
      <c r="G471" s="400">
        <v>35.4</v>
      </c>
      <c r="H471" s="432">
        <v>42.24</v>
      </c>
      <c r="I471" s="527">
        <v>1495.296</v>
      </c>
      <c r="J471" s="1499"/>
    </row>
    <row r="472" spans="1:10" s="374" customFormat="1">
      <c r="A472" s="1457"/>
      <c r="B472" s="1458"/>
      <c r="C472" s="1446"/>
      <c r="D472" s="1458"/>
      <c r="E472" s="1458"/>
      <c r="F472" s="1457"/>
      <c r="G472" s="400">
        <v>47.4</v>
      </c>
      <c r="H472" s="432">
        <v>260</v>
      </c>
      <c r="I472" s="527">
        <v>12324</v>
      </c>
      <c r="J472" s="1499"/>
    </row>
    <row r="473" spans="1:10" s="374" customFormat="1">
      <c r="A473" s="1457"/>
      <c r="B473" s="1458"/>
      <c r="C473" s="1446"/>
      <c r="D473" s="1458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499"/>
    </row>
    <row r="474" spans="1:10" s="374" customFormat="1">
      <c r="A474" s="1457"/>
      <c r="B474" s="1458"/>
      <c r="C474" s="1446"/>
      <c r="D474" s="1458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499"/>
    </row>
    <row r="475" spans="1:10" s="374" customFormat="1">
      <c r="A475" s="1457"/>
      <c r="B475" s="1458"/>
      <c r="C475" s="1446"/>
      <c r="D475" s="1458"/>
      <c r="E475" s="1458" t="s">
        <v>2034</v>
      </c>
      <c r="F475" s="1457" t="s">
        <v>1686</v>
      </c>
      <c r="G475" s="400">
        <v>340</v>
      </c>
      <c r="H475" s="432">
        <v>280</v>
      </c>
      <c r="I475" s="527">
        <v>95200</v>
      </c>
      <c r="J475" s="1499"/>
    </row>
    <row r="476" spans="1:10" s="374" customFormat="1">
      <c r="A476" s="1457"/>
      <c r="B476" s="1458"/>
      <c r="C476" s="1446"/>
      <c r="D476" s="1458"/>
      <c r="E476" s="1458"/>
      <c r="F476" s="1457"/>
      <c r="G476" s="400" t="s">
        <v>2035</v>
      </c>
      <c r="H476" s="432">
        <v>249.07</v>
      </c>
      <c r="I476" s="527">
        <v>22416.3</v>
      </c>
      <c r="J476" s="1499"/>
    </row>
    <row r="477" spans="1:10" s="374" customFormat="1">
      <c r="A477" s="1457"/>
      <c r="B477" s="1458"/>
      <c r="C477" s="1446"/>
      <c r="D477" s="1458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499"/>
    </row>
    <row r="478" spans="1:10" s="374" customFormat="1">
      <c r="A478" s="1457"/>
      <c r="B478" s="1458"/>
      <c r="C478" s="1446"/>
      <c r="D478" s="1458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499"/>
    </row>
    <row r="479" spans="1:10" s="374" customFormat="1">
      <c r="A479" s="1457"/>
      <c r="B479" s="1458"/>
      <c r="C479" s="1446"/>
      <c r="D479" s="1458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499"/>
    </row>
    <row r="480" spans="1:10" s="374" customFormat="1">
      <c r="A480" s="1457"/>
      <c r="B480" s="1458"/>
      <c r="C480" s="1446"/>
      <c r="D480" s="1458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499"/>
    </row>
    <row r="481" spans="1:10" s="374" customFormat="1">
      <c r="A481" s="1457"/>
      <c r="B481" s="1458"/>
      <c r="C481" s="1446"/>
      <c r="D481" s="1458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499"/>
    </row>
    <row r="482" spans="1:10" s="374" customFormat="1" ht="24">
      <c r="A482" s="1457"/>
      <c r="B482" s="1458"/>
      <c r="C482" s="1446"/>
      <c r="D482" s="1458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499"/>
    </row>
    <row r="483" spans="1:10" s="374" customFormat="1">
      <c r="A483" s="1457"/>
      <c r="B483" s="1458"/>
      <c r="C483" s="1446"/>
      <c r="D483" s="1458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499"/>
    </row>
    <row r="484" spans="1:10" s="374" customFormat="1">
      <c r="A484" s="1457"/>
      <c r="B484" s="1458"/>
      <c r="C484" s="1446"/>
      <c r="D484" s="1458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499"/>
    </row>
    <row r="485" spans="1:10" s="374" customFormat="1">
      <c r="A485" s="1457"/>
      <c r="B485" s="1458"/>
      <c r="C485" s="1446"/>
      <c r="D485" s="1458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499"/>
    </row>
    <row r="486" spans="1:10" s="374" customFormat="1">
      <c r="A486" s="1457"/>
      <c r="B486" s="1458"/>
      <c r="C486" s="1446"/>
      <c r="D486" s="1458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499"/>
    </row>
    <row r="487" spans="1:10" s="374" customFormat="1" ht="24">
      <c r="A487" s="1457"/>
      <c r="B487" s="1458"/>
      <c r="C487" s="1446"/>
      <c r="D487" s="1458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499"/>
    </row>
    <row r="488" spans="1:10" s="374" customFormat="1" ht="36">
      <c r="A488" s="1457"/>
      <c r="B488" s="1458"/>
      <c r="C488" s="1446"/>
      <c r="D488" s="1458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499"/>
    </row>
    <row r="489" spans="1:10" s="374" customFormat="1">
      <c r="A489" s="1457"/>
      <c r="B489" s="1458"/>
      <c r="C489" s="1446"/>
      <c r="D489" s="1458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499"/>
    </row>
    <row r="490" spans="1:10" s="374" customFormat="1" ht="24">
      <c r="A490" s="1457"/>
      <c r="B490" s="1458"/>
      <c r="C490" s="1446"/>
      <c r="D490" s="1458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499"/>
    </row>
    <row r="491" spans="1:10" s="374" customFormat="1">
      <c r="A491" s="1457"/>
      <c r="B491" s="1458"/>
      <c r="C491" s="1446"/>
      <c r="D491" s="1458"/>
      <c r="E491" s="428" t="s">
        <v>2048</v>
      </c>
      <c r="F491" s="429" t="s">
        <v>1382</v>
      </c>
      <c r="G491" s="400">
        <v>0</v>
      </c>
      <c r="H491" s="432"/>
      <c r="I491" s="527"/>
      <c r="J491" s="1499"/>
    </row>
    <row r="492" spans="1:10" s="374" customFormat="1">
      <c r="A492" s="1457"/>
      <c r="B492" s="1458"/>
      <c r="C492" s="1446"/>
      <c r="D492" s="433" t="s">
        <v>1332</v>
      </c>
      <c r="E492" s="428"/>
      <c r="F492" s="429"/>
      <c r="G492" s="403"/>
      <c r="H492" s="404"/>
      <c r="I492" s="510">
        <v>4179388.0122000002</v>
      </c>
      <c r="J492" s="1499"/>
    </row>
    <row r="493" spans="1:10" s="374" customFormat="1" ht="24">
      <c r="A493" s="1457"/>
      <c r="B493" s="1458"/>
      <c r="C493" s="1446"/>
      <c r="D493" s="367" t="s">
        <v>1742</v>
      </c>
      <c r="E493" s="428"/>
      <c r="F493" s="429"/>
      <c r="G493" s="403"/>
      <c r="H493" s="404"/>
      <c r="I493" s="510">
        <v>417938.80122000002</v>
      </c>
      <c r="J493" s="1499"/>
    </row>
    <row r="494" spans="1:10" s="374" customFormat="1">
      <c r="A494" s="1457"/>
      <c r="B494" s="1458"/>
      <c r="C494" s="1446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499"/>
    </row>
    <row r="495" spans="1:10" s="374" customFormat="1">
      <c r="A495" s="1457"/>
      <c r="B495" s="1458"/>
      <c r="C495" s="1446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499"/>
    </row>
    <row r="496" spans="1:10" s="374" customFormat="1">
      <c r="A496" s="1457"/>
      <c r="B496" s="1458"/>
      <c r="C496" s="1446"/>
      <c r="D496" s="433" t="s">
        <v>1342</v>
      </c>
      <c r="E496" s="428"/>
      <c r="F496" s="429"/>
      <c r="G496" s="403"/>
      <c r="H496" s="404"/>
      <c r="I496" s="510">
        <v>4702326.8134199996</v>
      </c>
      <c r="J496" s="1500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436">
        <v>1</v>
      </c>
      <c r="B498" s="1466" t="s">
        <v>266</v>
      </c>
      <c r="C498" s="1439" t="s">
        <v>1312</v>
      </c>
      <c r="D498" s="1439" t="s">
        <v>2052</v>
      </c>
      <c r="E498" s="365" t="s">
        <v>2053</v>
      </c>
      <c r="F498" s="385" t="s">
        <v>1315</v>
      </c>
      <c r="G498" s="75">
        <v>610</v>
      </c>
      <c r="H498" s="1479">
        <v>51</v>
      </c>
      <c r="I498" s="1455">
        <v>31110</v>
      </c>
      <c r="J498" s="1505">
        <f>ROUND(I508*0.9,0)</f>
        <v>561109</v>
      </c>
    </row>
    <row r="499" spans="1:10" s="453" customFormat="1">
      <c r="A499" s="1437"/>
      <c r="B499" s="1467"/>
      <c r="C499" s="1440"/>
      <c r="D499" s="1440"/>
      <c r="E499" s="365" t="s">
        <v>2054</v>
      </c>
      <c r="F499" s="385" t="s">
        <v>1315</v>
      </c>
      <c r="G499" s="75">
        <v>610</v>
      </c>
      <c r="H499" s="1479"/>
      <c r="I499" s="1455"/>
      <c r="J499" s="1503"/>
    </row>
    <row r="500" spans="1:10" s="455" customFormat="1">
      <c r="A500" s="1437"/>
      <c r="B500" s="1467"/>
      <c r="C500" s="1440"/>
      <c r="D500" s="1440"/>
      <c r="E500" s="454" t="s">
        <v>2055</v>
      </c>
      <c r="F500" s="1480" t="s">
        <v>1315</v>
      </c>
      <c r="G500" s="75">
        <v>484.42</v>
      </c>
      <c r="H500" s="373">
        <v>199.5</v>
      </c>
      <c r="I500" s="527">
        <v>96641.79</v>
      </c>
      <c r="J500" s="1503"/>
    </row>
    <row r="501" spans="1:10" s="455" customFormat="1">
      <c r="A501" s="1437"/>
      <c r="B501" s="1467"/>
      <c r="C501" s="1440"/>
      <c r="D501" s="1440"/>
      <c r="E501" s="454" t="s">
        <v>2056</v>
      </c>
      <c r="F501" s="1480"/>
      <c r="G501" s="75">
        <v>125.58</v>
      </c>
      <c r="H501" s="373">
        <v>240</v>
      </c>
      <c r="I501" s="527">
        <v>30139.200000000001</v>
      </c>
      <c r="J501" s="1503"/>
    </row>
    <row r="502" spans="1:10" s="455" customFormat="1" ht="24">
      <c r="A502" s="1437"/>
      <c r="B502" s="1467"/>
      <c r="C502" s="1440"/>
      <c r="D502" s="1439" t="s">
        <v>1961</v>
      </c>
      <c r="E502" s="365" t="s">
        <v>2057</v>
      </c>
      <c r="F502" s="385" t="s">
        <v>1315</v>
      </c>
      <c r="G502" s="75">
        <v>1324</v>
      </c>
      <c r="H502" s="1479">
        <v>51</v>
      </c>
      <c r="I502" s="1455">
        <v>67524</v>
      </c>
      <c r="J502" s="1503"/>
    </row>
    <row r="503" spans="1:10" s="455" customFormat="1">
      <c r="A503" s="1437"/>
      <c r="B503" s="1467"/>
      <c r="C503" s="1440"/>
      <c r="D503" s="1440"/>
      <c r="E503" s="365" t="s">
        <v>2054</v>
      </c>
      <c r="F503" s="385" t="s">
        <v>1315</v>
      </c>
      <c r="G503" s="75">
        <v>1324</v>
      </c>
      <c r="H503" s="1479"/>
      <c r="I503" s="1455"/>
      <c r="J503" s="1503"/>
    </row>
    <row r="504" spans="1:10" s="455" customFormat="1">
      <c r="A504" s="1437"/>
      <c r="B504" s="1467"/>
      <c r="C504" s="1440"/>
      <c r="D504" s="1441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503"/>
    </row>
    <row r="505" spans="1:10" s="453" customFormat="1">
      <c r="A505" s="1464"/>
      <c r="B505" s="1468"/>
      <c r="C505" s="1470"/>
      <c r="D505" s="458" t="s">
        <v>1332</v>
      </c>
      <c r="E505" s="459"/>
      <c r="F505" s="460"/>
      <c r="G505" s="461"/>
      <c r="H505" s="462"/>
      <c r="I505" s="510">
        <v>503454.99</v>
      </c>
      <c r="J505" s="1503"/>
    </row>
    <row r="506" spans="1:10" s="453" customFormat="1">
      <c r="A506" s="1464"/>
      <c r="B506" s="1468"/>
      <c r="C506" s="1470"/>
      <c r="D506" s="458" t="s">
        <v>1742</v>
      </c>
      <c r="E506" s="459"/>
      <c r="F506" s="460"/>
      <c r="G506" s="463"/>
      <c r="H506" s="462"/>
      <c r="I506" s="510">
        <v>60000</v>
      </c>
      <c r="J506" s="1503"/>
    </row>
    <row r="507" spans="1:10" s="455" customFormat="1">
      <c r="A507" s="1437"/>
      <c r="B507" s="1467"/>
      <c r="C507" s="1440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503"/>
    </row>
    <row r="508" spans="1:10" s="453" customFormat="1">
      <c r="A508" s="1465"/>
      <c r="B508" s="1469"/>
      <c r="C508" s="1471"/>
      <c r="D508" s="458" t="s">
        <v>1342</v>
      </c>
      <c r="E508" s="459"/>
      <c r="F508" s="460"/>
      <c r="G508" s="468"/>
      <c r="H508" s="462"/>
      <c r="I508" s="510">
        <v>623454.99</v>
      </c>
      <c r="J508" s="1504"/>
    </row>
    <row r="509" spans="1:10" s="455" customFormat="1">
      <c r="A509" s="1472">
        <v>2</v>
      </c>
      <c r="B509" s="1474" t="s">
        <v>670</v>
      </c>
      <c r="C509" s="1476" t="s">
        <v>1312</v>
      </c>
      <c r="D509" s="1436" t="s">
        <v>2060</v>
      </c>
      <c r="E509" s="1466" t="s">
        <v>2061</v>
      </c>
      <c r="F509" s="1436" t="s">
        <v>1745</v>
      </c>
      <c r="G509" s="469" t="s">
        <v>2062</v>
      </c>
      <c r="H509" s="457">
        <v>1632</v>
      </c>
      <c r="I509" s="527">
        <v>17952</v>
      </c>
      <c r="J509" s="1505">
        <f>ROUND(I523*0.9,0)</f>
        <v>956698</v>
      </c>
    </row>
    <row r="510" spans="1:10" s="455" customFormat="1">
      <c r="A510" s="1472"/>
      <c r="B510" s="1474"/>
      <c r="C510" s="1476"/>
      <c r="D510" s="1437"/>
      <c r="E510" s="1478"/>
      <c r="F510" s="1438"/>
      <c r="G510" s="470" t="s">
        <v>2063</v>
      </c>
      <c r="H510" s="457">
        <v>2532</v>
      </c>
      <c r="I510" s="527">
        <v>5064</v>
      </c>
      <c r="J510" s="1503"/>
    </row>
    <row r="511" spans="1:10" s="455" customFormat="1">
      <c r="A511" s="1472"/>
      <c r="B511" s="1474"/>
      <c r="C511" s="1476"/>
      <c r="D511" s="1437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503"/>
    </row>
    <row r="512" spans="1:10" s="455" customFormat="1">
      <c r="A512" s="1472"/>
      <c r="B512" s="1474"/>
      <c r="C512" s="1476"/>
      <c r="D512" s="1437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503"/>
    </row>
    <row r="513" spans="1:10" s="455" customFormat="1">
      <c r="A513" s="1472"/>
      <c r="B513" s="1474"/>
      <c r="C513" s="1476"/>
      <c r="D513" s="1437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503"/>
    </row>
    <row r="514" spans="1:10" s="455" customFormat="1">
      <c r="A514" s="1472"/>
      <c r="B514" s="1474"/>
      <c r="C514" s="1476"/>
      <c r="D514" s="1437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503"/>
    </row>
    <row r="515" spans="1:10" s="455" customFormat="1">
      <c r="A515" s="1472"/>
      <c r="B515" s="1474"/>
      <c r="C515" s="1476"/>
      <c r="D515" s="1437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503"/>
    </row>
    <row r="516" spans="1:10" s="455" customFormat="1">
      <c r="A516" s="1472"/>
      <c r="B516" s="1474"/>
      <c r="C516" s="1476"/>
      <c r="D516" s="1438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503"/>
    </row>
    <row r="517" spans="1:10" s="455" customFormat="1" ht="24">
      <c r="A517" s="1472"/>
      <c r="B517" s="1474"/>
      <c r="C517" s="1476"/>
      <c r="D517" s="1439" t="s">
        <v>2070</v>
      </c>
      <c r="E517" s="465" t="s">
        <v>2071</v>
      </c>
      <c r="F517" s="466" t="s">
        <v>1315</v>
      </c>
      <c r="G517" s="467">
        <v>2250</v>
      </c>
      <c r="H517" s="1481">
        <v>51</v>
      </c>
      <c r="I517" s="1455">
        <v>114750</v>
      </c>
      <c r="J517" s="1503"/>
    </row>
    <row r="518" spans="1:10" s="455" customFormat="1">
      <c r="A518" s="1472"/>
      <c r="B518" s="1474"/>
      <c r="C518" s="1476"/>
      <c r="D518" s="1440"/>
      <c r="E518" s="465" t="s">
        <v>2054</v>
      </c>
      <c r="F518" s="466" t="s">
        <v>1315</v>
      </c>
      <c r="G518" s="467">
        <v>2250</v>
      </c>
      <c r="H518" s="1481"/>
      <c r="I518" s="1455"/>
      <c r="J518" s="1503"/>
    </row>
    <row r="519" spans="1:10" s="455" customFormat="1">
      <c r="A519" s="1472"/>
      <c r="B519" s="1474"/>
      <c r="C519" s="1476"/>
      <c r="D519" s="1441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503"/>
    </row>
    <row r="520" spans="1:10" s="453" customFormat="1">
      <c r="A520" s="1473"/>
      <c r="B520" s="1475"/>
      <c r="C520" s="1477"/>
      <c r="D520" s="458" t="s">
        <v>1332</v>
      </c>
      <c r="E520" s="459"/>
      <c r="F520" s="460"/>
      <c r="G520" s="463"/>
      <c r="H520" s="462"/>
      <c r="I520" s="510">
        <v>922319.59999999905</v>
      </c>
      <c r="J520" s="1503"/>
    </row>
    <row r="521" spans="1:10" s="453" customFormat="1">
      <c r="A521" s="1473"/>
      <c r="B521" s="1475"/>
      <c r="C521" s="1477"/>
      <c r="D521" s="458" t="s">
        <v>1742</v>
      </c>
      <c r="E521" s="459"/>
      <c r="F521" s="460"/>
      <c r="G521" s="463"/>
      <c r="H521" s="462"/>
      <c r="I521" s="510">
        <v>110678.352</v>
      </c>
      <c r="J521" s="1503"/>
    </row>
    <row r="522" spans="1:10" s="455" customFormat="1">
      <c r="A522" s="1472"/>
      <c r="B522" s="1474"/>
      <c r="C522" s="1476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503"/>
    </row>
    <row r="523" spans="1:10" s="453" customFormat="1">
      <c r="A523" s="1473"/>
      <c r="B523" s="1475"/>
      <c r="C523" s="1477"/>
      <c r="D523" s="458" t="s">
        <v>1342</v>
      </c>
      <c r="E523" s="459"/>
      <c r="F523" s="460"/>
      <c r="G523" s="468"/>
      <c r="H523" s="462"/>
      <c r="I523" s="510">
        <v>1062997.952</v>
      </c>
      <c r="J523" s="1504"/>
    </row>
    <row r="524" spans="1:10" s="455" customFormat="1" ht="24">
      <c r="A524" s="1472">
        <v>3</v>
      </c>
      <c r="B524" s="1474" t="s">
        <v>2074</v>
      </c>
      <c r="C524" s="1476" t="s">
        <v>1312</v>
      </c>
      <c r="D524" s="1436" t="s">
        <v>2075</v>
      </c>
      <c r="E524" s="465" t="s">
        <v>2076</v>
      </c>
      <c r="F524" s="466" t="s">
        <v>1315</v>
      </c>
      <c r="G524" s="469">
        <v>749</v>
      </c>
      <c r="H524" s="1481">
        <v>380</v>
      </c>
      <c r="I524" s="1455">
        <v>284620</v>
      </c>
      <c r="J524" s="1505">
        <f>ROUND(I535*0.9,0)</f>
        <v>868907</v>
      </c>
    </row>
    <row r="525" spans="1:10" s="455" customFormat="1" ht="24">
      <c r="A525" s="1472"/>
      <c r="B525" s="1474"/>
      <c r="C525" s="1476"/>
      <c r="D525" s="1438"/>
      <c r="E525" s="465" t="s">
        <v>1935</v>
      </c>
      <c r="F525" s="466" t="s">
        <v>1315</v>
      </c>
      <c r="G525" s="467">
        <v>749</v>
      </c>
      <c r="H525" s="1481"/>
      <c r="I525" s="1455"/>
      <c r="J525" s="1503"/>
    </row>
    <row r="526" spans="1:10" s="455" customFormat="1" ht="24">
      <c r="A526" s="1472"/>
      <c r="B526" s="1474"/>
      <c r="C526" s="1476"/>
      <c r="D526" s="1436" t="s">
        <v>2077</v>
      </c>
      <c r="E526" s="465" t="s">
        <v>2053</v>
      </c>
      <c r="F526" s="466" t="s">
        <v>1315</v>
      </c>
      <c r="G526" s="467">
        <v>425.5</v>
      </c>
      <c r="H526" s="1481">
        <v>51</v>
      </c>
      <c r="I526" s="1455">
        <v>21700.5</v>
      </c>
      <c r="J526" s="1503"/>
    </row>
    <row r="527" spans="1:10" s="455" customFormat="1">
      <c r="A527" s="1472"/>
      <c r="B527" s="1474"/>
      <c r="C527" s="1476"/>
      <c r="D527" s="1437"/>
      <c r="E527" s="465" t="s">
        <v>2054</v>
      </c>
      <c r="F527" s="466" t="s">
        <v>1315</v>
      </c>
      <c r="G527" s="467">
        <v>425.5</v>
      </c>
      <c r="H527" s="1481"/>
      <c r="I527" s="1455"/>
      <c r="J527" s="1503"/>
    </row>
    <row r="528" spans="1:10" s="455" customFormat="1">
      <c r="A528" s="1472"/>
      <c r="B528" s="1474"/>
      <c r="C528" s="1476"/>
      <c r="D528" s="1438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503"/>
    </row>
    <row r="529" spans="1:10" s="455" customFormat="1" ht="24">
      <c r="A529" s="1472"/>
      <c r="B529" s="1474"/>
      <c r="C529" s="1476"/>
      <c r="D529" s="1436" t="s">
        <v>1961</v>
      </c>
      <c r="E529" s="465" t="s">
        <v>2071</v>
      </c>
      <c r="F529" s="466" t="s">
        <v>1315</v>
      </c>
      <c r="G529" s="467">
        <v>1556</v>
      </c>
      <c r="H529" s="1481">
        <v>51</v>
      </c>
      <c r="I529" s="1455">
        <v>79356</v>
      </c>
      <c r="J529" s="1503"/>
    </row>
    <row r="530" spans="1:10" s="455" customFormat="1">
      <c r="A530" s="1472"/>
      <c r="B530" s="1474"/>
      <c r="C530" s="1476"/>
      <c r="D530" s="1437"/>
      <c r="E530" s="465" t="s">
        <v>2054</v>
      </c>
      <c r="F530" s="466" t="s">
        <v>1315</v>
      </c>
      <c r="G530" s="467">
        <v>1556</v>
      </c>
      <c r="H530" s="1481"/>
      <c r="I530" s="1455"/>
      <c r="J530" s="1503"/>
    </row>
    <row r="531" spans="1:10" s="455" customFormat="1">
      <c r="A531" s="1472"/>
      <c r="B531" s="1474"/>
      <c r="C531" s="1476"/>
      <c r="D531" s="1438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503"/>
    </row>
    <row r="532" spans="1:10" s="453" customFormat="1">
      <c r="A532" s="1473"/>
      <c r="B532" s="1475"/>
      <c r="C532" s="1477"/>
      <c r="D532" s="458" t="s">
        <v>1332</v>
      </c>
      <c r="E532" s="459"/>
      <c r="F532" s="460"/>
      <c r="G532" s="463"/>
      <c r="H532" s="462"/>
      <c r="I532" s="510">
        <v>814556.5</v>
      </c>
      <c r="J532" s="1503"/>
    </row>
    <row r="533" spans="1:10" s="453" customFormat="1">
      <c r="A533" s="1473"/>
      <c r="B533" s="1475"/>
      <c r="C533" s="1477"/>
      <c r="D533" s="458" t="s">
        <v>1742</v>
      </c>
      <c r="E533" s="459"/>
      <c r="F533" s="460"/>
      <c r="G533" s="463"/>
      <c r="H533" s="462"/>
      <c r="I533" s="510">
        <v>90896</v>
      </c>
      <c r="J533" s="1503"/>
    </row>
    <row r="534" spans="1:10" s="455" customFormat="1">
      <c r="A534" s="1472"/>
      <c r="B534" s="1474"/>
      <c r="C534" s="1476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503"/>
    </row>
    <row r="535" spans="1:10" s="453" customFormat="1">
      <c r="A535" s="1473"/>
      <c r="B535" s="1475"/>
      <c r="C535" s="1477"/>
      <c r="D535" s="458" t="s">
        <v>1342</v>
      </c>
      <c r="E535" s="459"/>
      <c r="F535" s="460"/>
      <c r="G535" s="468"/>
      <c r="H535" s="462"/>
      <c r="I535" s="510">
        <v>965452.5</v>
      </c>
      <c r="J535" s="1504"/>
    </row>
    <row r="536" spans="1:10" s="455" customFormat="1">
      <c r="A536" s="1472">
        <v>4</v>
      </c>
      <c r="B536" s="1474" t="s">
        <v>2078</v>
      </c>
      <c r="C536" s="1476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505">
        <f>ROUND(I543*0.9,0)</f>
        <v>2424196</v>
      </c>
    </row>
    <row r="537" spans="1:10" s="455" customFormat="1" ht="24">
      <c r="A537" s="1472"/>
      <c r="B537" s="1474"/>
      <c r="C537" s="1476"/>
      <c r="D537" s="1436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503"/>
    </row>
    <row r="538" spans="1:10" s="455" customFormat="1">
      <c r="A538" s="1472"/>
      <c r="B538" s="1474"/>
      <c r="C538" s="1476"/>
      <c r="D538" s="1437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503"/>
    </row>
    <row r="539" spans="1:10" s="455" customFormat="1" ht="24">
      <c r="A539" s="1472"/>
      <c r="B539" s="1474"/>
      <c r="C539" s="1476"/>
      <c r="D539" s="1438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503"/>
    </row>
    <row r="540" spans="1:10" s="453" customFormat="1">
      <c r="A540" s="1473"/>
      <c r="B540" s="1475"/>
      <c r="C540" s="1477"/>
      <c r="D540" s="458" t="s">
        <v>1332</v>
      </c>
      <c r="E540" s="459"/>
      <c r="F540" s="460"/>
      <c r="G540" s="463"/>
      <c r="H540" s="462"/>
      <c r="I540" s="510">
        <v>2421410</v>
      </c>
      <c r="J540" s="1503"/>
    </row>
    <row r="541" spans="1:10" s="453" customFormat="1">
      <c r="A541" s="1473"/>
      <c r="B541" s="1475"/>
      <c r="C541" s="1477"/>
      <c r="D541" s="458" t="s">
        <v>1742</v>
      </c>
      <c r="E541" s="459"/>
      <c r="F541" s="460"/>
      <c r="G541" s="463"/>
      <c r="H541" s="462"/>
      <c r="I541" s="510">
        <v>242141</v>
      </c>
      <c r="J541" s="1503"/>
    </row>
    <row r="542" spans="1:10" s="455" customFormat="1">
      <c r="A542" s="1472"/>
      <c r="B542" s="1474"/>
      <c r="C542" s="1476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503"/>
    </row>
    <row r="543" spans="1:10" s="453" customFormat="1">
      <c r="A543" s="1482"/>
      <c r="B543" s="1483"/>
      <c r="C543" s="1484"/>
      <c r="D543" s="474" t="s">
        <v>1342</v>
      </c>
      <c r="E543" s="475"/>
      <c r="F543" s="476"/>
      <c r="G543" s="477"/>
      <c r="H543" s="462"/>
      <c r="I543" s="510">
        <v>2693551</v>
      </c>
      <c r="J543" s="1504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472">
        <v>1</v>
      </c>
      <c r="B545" s="1474" t="s">
        <v>165</v>
      </c>
      <c r="C545" s="1476" t="s">
        <v>1312</v>
      </c>
      <c r="D545" s="1436" t="s">
        <v>2080</v>
      </c>
      <c r="E545" s="465" t="s">
        <v>2081</v>
      </c>
      <c r="F545" s="466" t="s">
        <v>1315</v>
      </c>
      <c r="G545" s="1439">
        <v>1750</v>
      </c>
      <c r="H545" s="1481">
        <v>400</v>
      </c>
      <c r="I545" s="1455">
        <v>700000</v>
      </c>
      <c r="J545" s="1505">
        <f>ROUND(I551*0.9,0)</f>
        <v>738176</v>
      </c>
    </row>
    <row r="546" spans="1:239" s="483" customFormat="1">
      <c r="A546" s="1472"/>
      <c r="B546" s="1474"/>
      <c r="C546" s="1476"/>
      <c r="D546" s="1438"/>
      <c r="E546" s="465" t="s">
        <v>2082</v>
      </c>
      <c r="F546" s="466" t="s">
        <v>1315</v>
      </c>
      <c r="G546" s="1441"/>
      <c r="H546" s="1481"/>
      <c r="I546" s="1455"/>
      <c r="J546" s="1503"/>
    </row>
    <row r="547" spans="1:239" s="483" customFormat="1">
      <c r="A547" s="1472"/>
      <c r="B547" s="1474"/>
      <c r="C547" s="1476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503"/>
    </row>
    <row r="548" spans="1:239" s="485" customFormat="1">
      <c r="A548" s="1473"/>
      <c r="B548" s="1475"/>
      <c r="C548" s="1477"/>
      <c r="D548" s="458" t="s">
        <v>1332</v>
      </c>
      <c r="E548" s="459"/>
      <c r="F548" s="460"/>
      <c r="G548" s="463"/>
      <c r="H548" s="462"/>
      <c r="I548" s="510">
        <v>714460</v>
      </c>
      <c r="J548" s="1503"/>
    </row>
    <row r="549" spans="1:239" s="485" customFormat="1">
      <c r="A549" s="1473"/>
      <c r="B549" s="1475"/>
      <c r="C549" s="1477"/>
      <c r="D549" s="458" t="s">
        <v>1742</v>
      </c>
      <c r="E549" s="459"/>
      <c r="F549" s="460"/>
      <c r="G549" s="463"/>
      <c r="H549" s="462"/>
      <c r="I549" s="510">
        <v>85735.2</v>
      </c>
      <c r="J549" s="1503"/>
    </row>
    <row r="550" spans="1:239" s="483" customFormat="1">
      <c r="A550" s="1472"/>
      <c r="B550" s="1474"/>
      <c r="C550" s="1476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503"/>
    </row>
    <row r="551" spans="1:239" s="485" customFormat="1">
      <c r="A551" s="1473"/>
      <c r="B551" s="1475"/>
      <c r="C551" s="1477"/>
      <c r="D551" s="458" t="s">
        <v>1342</v>
      </c>
      <c r="E551" s="459"/>
      <c r="F551" s="460"/>
      <c r="G551" s="468"/>
      <c r="H551" s="462"/>
      <c r="I551" s="510">
        <v>820195.2</v>
      </c>
      <c r="J551" s="1504"/>
    </row>
    <row r="552" spans="1:239" s="483" customFormat="1">
      <c r="A552" s="1472">
        <v>2</v>
      </c>
      <c r="B552" s="1474" t="s">
        <v>166</v>
      </c>
      <c r="C552" s="1476" t="s">
        <v>2085</v>
      </c>
      <c r="D552" s="1436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505">
        <f>ROUND(I558*0.8,0)</f>
        <v>123542</v>
      </c>
    </row>
    <row r="553" spans="1:239" s="483" customFormat="1">
      <c r="A553" s="1472"/>
      <c r="B553" s="1474"/>
      <c r="C553" s="1476"/>
      <c r="D553" s="1437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503"/>
    </row>
    <row r="554" spans="1:239" s="483" customFormat="1">
      <c r="A554" s="1472"/>
      <c r="B554" s="1474"/>
      <c r="C554" s="1476"/>
      <c r="D554" s="1437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503"/>
    </row>
    <row r="555" spans="1:239" s="483" customFormat="1" ht="45" customHeight="1">
      <c r="A555" s="1472"/>
      <c r="B555" s="1474"/>
      <c r="C555" s="1476"/>
      <c r="D555" s="1437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503"/>
    </row>
    <row r="556" spans="1:239" s="485" customFormat="1" ht="45" customHeight="1">
      <c r="A556" s="1473"/>
      <c r="B556" s="1475"/>
      <c r="C556" s="1477"/>
      <c r="D556" s="458" t="s">
        <v>1332</v>
      </c>
      <c r="E556" s="459"/>
      <c r="F556" s="460"/>
      <c r="G556" s="463"/>
      <c r="H556" s="462"/>
      <c r="I556" s="510">
        <v>138348</v>
      </c>
      <c r="J556" s="1503"/>
    </row>
    <row r="557" spans="1:239" s="485" customFormat="1" ht="45" customHeight="1">
      <c r="A557" s="1473"/>
      <c r="B557" s="1475"/>
      <c r="C557" s="1477"/>
      <c r="D557" s="458" t="s">
        <v>1742</v>
      </c>
      <c r="E557" s="459"/>
      <c r="F557" s="460"/>
      <c r="G557" s="463"/>
      <c r="H557" s="462"/>
      <c r="I557" s="510">
        <v>16080</v>
      </c>
      <c r="J557" s="1503"/>
    </row>
    <row r="558" spans="1:239" s="485" customFormat="1" ht="45" customHeight="1">
      <c r="A558" s="1473"/>
      <c r="B558" s="1475"/>
      <c r="C558" s="1477"/>
      <c r="D558" s="458" t="s">
        <v>1342</v>
      </c>
      <c r="E558" s="459"/>
      <c r="F558" s="460"/>
      <c r="G558" s="468"/>
      <c r="H558" s="462"/>
      <c r="I558" s="510">
        <v>154428</v>
      </c>
      <c r="J558" s="1504"/>
    </row>
    <row r="559" spans="1:239" s="489" customFormat="1" ht="75" hidden="1" customHeight="1">
      <c r="A559" s="1466">
        <v>3</v>
      </c>
      <c r="B559" s="1466" t="s">
        <v>168</v>
      </c>
      <c r="C559" s="1433" t="s">
        <v>1312</v>
      </c>
      <c r="D559" s="1474" t="s">
        <v>2091</v>
      </c>
      <c r="E559" s="1474" t="s">
        <v>2092</v>
      </c>
      <c r="F559" s="1474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467"/>
      <c r="B560" s="1467"/>
      <c r="C560" s="1485"/>
      <c r="D560" s="1466"/>
      <c r="E560" s="1474"/>
      <c r="F560" s="1474"/>
      <c r="G560" s="473">
        <v>174</v>
      </c>
      <c r="H560" s="487">
        <v>189.9</v>
      </c>
      <c r="I560" s="490">
        <v>33042.6</v>
      </c>
      <c r="J560" s="1505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467"/>
      <c r="B561" s="1467"/>
      <c r="C561" s="1485"/>
      <c r="D561" s="1466"/>
      <c r="E561" s="1474"/>
      <c r="F561" s="1474"/>
      <c r="G561" s="473">
        <v>33</v>
      </c>
      <c r="H561" s="487">
        <v>249.07</v>
      </c>
      <c r="I561" s="491">
        <v>8219.31</v>
      </c>
      <c r="J561" s="1506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467"/>
      <c r="B562" s="1467"/>
      <c r="C562" s="1485"/>
      <c r="D562" s="1466"/>
      <c r="E562" s="1474"/>
      <c r="F562" s="1474"/>
      <c r="G562" s="473">
        <v>174</v>
      </c>
      <c r="H562" s="487">
        <v>150</v>
      </c>
      <c r="I562" s="491">
        <v>26100</v>
      </c>
      <c r="J562" s="1506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467"/>
      <c r="B563" s="1467"/>
      <c r="C563" s="1485"/>
      <c r="D563" s="1466"/>
      <c r="E563" s="1474"/>
      <c r="F563" s="1474"/>
      <c r="G563" s="473">
        <v>174</v>
      </c>
      <c r="H563" s="487">
        <v>241.011494252874</v>
      </c>
      <c r="I563" s="491">
        <v>41936.000000000102</v>
      </c>
      <c r="J563" s="1506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467"/>
      <c r="B564" s="1467"/>
      <c r="C564" s="1485"/>
      <c r="D564" s="1466"/>
      <c r="E564" s="1474"/>
      <c r="F564" s="1474"/>
      <c r="G564" s="473">
        <v>19.8</v>
      </c>
      <c r="H564" s="487">
        <v>47.5</v>
      </c>
      <c r="I564" s="491">
        <v>940.5</v>
      </c>
      <c r="J564" s="1506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467"/>
      <c r="B565" s="1467"/>
      <c r="C565" s="1485"/>
      <c r="D565" s="1466"/>
      <c r="E565" s="1474"/>
      <c r="F565" s="1474"/>
      <c r="G565" s="473">
        <v>1</v>
      </c>
      <c r="H565" s="487">
        <v>1835</v>
      </c>
      <c r="I565" s="491">
        <v>1835</v>
      </c>
      <c r="J565" s="1506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467"/>
      <c r="B566" s="1467"/>
      <c r="C566" s="1485"/>
      <c r="D566" s="1466"/>
      <c r="E566" s="1474"/>
      <c r="F566" s="1474"/>
      <c r="G566" s="492">
        <v>174</v>
      </c>
      <c r="H566" s="493">
        <v>225.6</v>
      </c>
      <c r="I566" s="494">
        <v>39254.400000000001</v>
      </c>
      <c r="J566" s="1506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467"/>
      <c r="B567" s="1467"/>
      <c r="C567" s="1485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506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467"/>
      <c r="B568" s="1467"/>
      <c r="C568" s="1485"/>
      <c r="D568" s="459" t="s">
        <v>1332</v>
      </c>
      <c r="E568" s="465"/>
      <c r="F568" s="465"/>
      <c r="G568" s="469"/>
      <c r="H568" s="496"/>
      <c r="I568" s="523">
        <v>669537.96965166798</v>
      </c>
      <c r="J568" s="1506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467"/>
      <c r="B569" s="1467"/>
      <c r="C569" s="1485"/>
      <c r="D569" s="459" t="s">
        <v>1334</v>
      </c>
      <c r="E569" s="465"/>
      <c r="F569" s="465"/>
      <c r="G569" s="473"/>
      <c r="H569" s="487"/>
      <c r="I569" s="526">
        <v>80344.556358200207</v>
      </c>
      <c r="J569" s="1506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478"/>
      <c r="B570" s="1478"/>
      <c r="C570" s="1434"/>
      <c r="D570" s="459" t="s">
        <v>1342</v>
      </c>
      <c r="E570" s="465"/>
      <c r="F570" s="465"/>
      <c r="G570" s="467"/>
      <c r="H570" s="497"/>
      <c r="I570" s="522">
        <v>749882.52600986802</v>
      </c>
      <c r="J570" s="1507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439">
        <v>1</v>
      </c>
      <c r="B572" s="1433" t="s">
        <v>228</v>
      </c>
      <c r="C572" s="1439" t="s">
        <v>1312</v>
      </c>
      <c r="D572" s="1436" t="s">
        <v>1684</v>
      </c>
      <c r="E572" s="1466" t="s">
        <v>2096</v>
      </c>
      <c r="F572" s="1436" t="s">
        <v>1315</v>
      </c>
      <c r="G572" s="467">
        <v>17.010000000000002</v>
      </c>
      <c r="H572" s="457">
        <v>2500</v>
      </c>
      <c r="I572" s="527">
        <v>42525</v>
      </c>
      <c r="J572" s="1505">
        <f>ROUND(I577*0.9,0)</f>
        <v>497621</v>
      </c>
    </row>
    <row r="573" spans="1:239" s="485" customFormat="1">
      <c r="A573" s="1440"/>
      <c r="B573" s="1485"/>
      <c r="C573" s="1440"/>
      <c r="D573" s="1438"/>
      <c r="E573" s="1478"/>
      <c r="F573" s="1438"/>
      <c r="G573" s="467">
        <v>1</v>
      </c>
      <c r="H573" s="457">
        <v>2347</v>
      </c>
      <c r="I573" s="527">
        <v>2347</v>
      </c>
      <c r="J573" s="1506"/>
    </row>
    <row r="574" spans="1:239" s="485" customFormat="1" ht="108">
      <c r="A574" s="1440"/>
      <c r="B574" s="1485"/>
      <c r="C574" s="1440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506"/>
    </row>
    <row r="575" spans="1:239" s="485" customFormat="1">
      <c r="A575" s="1470"/>
      <c r="B575" s="1486"/>
      <c r="C575" s="1470"/>
      <c r="D575" s="458" t="s">
        <v>1332</v>
      </c>
      <c r="E575" s="459"/>
      <c r="F575" s="460"/>
      <c r="G575" s="463"/>
      <c r="H575" s="462"/>
      <c r="I575" s="510">
        <v>493672</v>
      </c>
      <c r="J575" s="1506"/>
    </row>
    <row r="576" spans="1:239" s="485" customFormat="1">
      <c r="A576" s="1470"/>
      <c r="B576" s="1486"/>
      <c r="C576" s="1470"/>
      <c r="D576" s="458" t="s">
        <v>1742</v>
      </c>
      <c r="E576" s="459"/>
      <c r="F576" s="460"/>
      <c r="G576" s="463"/>
      <c r="H576" s="462"/>
      <c r="I576" s="510">
        <v>59240.639999999999</v>
      </c>
      <c r="J576" s="1506"/>
    </row>
    <row r="577" spans="1:10" s="485" customFormat="1">
      <c r="A577" s="1471"/>
      <c r="B577" s="1487"/>
      <c r="C577" s="1471"/>
      <c r="D577" s="458" t="s">
        <v>1342</v>
      </c>
      <c r="E577" s="459"/>
      <c r="F577" s="460"/>
      <c r="G577" s="463"/>
      <c r="H577" s="462"/>
      <c r="I577" s="510">
        <v>552912.64000000001</v>
      </c>
      <c r="J577" s="1507"/>
    </row>
    <row r="578" spans="1:10" s="483" customFormat="1">
      <c r="A578" s="1439">
        <v>2</v>
      </c>
      <c r="B578" s="1433" t="s">
        <v>1015</v>
      </c>
      <c r="C578" s="1439" t="s">
        <v>1312</v>
      </c>
      <c r="D578" s="1436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505">
        <f>ROUND(I583*0.8,0)</f>
        <v>27172</v>
      </c>
    </row>
    <row r="579" spans="1:10" s="483" customFormat="1" ht="72">
      <c r="A579" s="1440"/>
      <c r="B579" s="1485"/>
      <c r="C579" s="1440"/>
      <c r="D579" s="1437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503"/>
    </row>
    <row r="580" spans="1:10" s="483" customFormat="1" ht="48">
      <c r="A580" s="1440"/>
      <c r="B580" s="1485"/>
      <c r="C580" s="1440"/>
      <c r="D580" s="1438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503"/>
    </row>
    <row r="581" spans="1:10" s="485" customFormat="1">
      <c r="A581" s="1470"/>
      <c r="B581" s="1486"/>
      <c r="C581" s="1470"/>
      <c r="D581" s="458" t="s">
        <v>1332</v>
      </c>
      <c r="E581" s="459"/>
      <c r="F581" s="460"/>
      <c r="G581" s="461"/>
      <c r="H581" s="462"/>
      <c r="I581" s="510">
        <v>30326.240000000002</v>
      </c>
      <c r="J581" s="1503"/>
    </row>
    <row r="582" spans="1:10" s="485" customFormat="1">
      <c r="A582" s="1470"/>
      <c r="B582" s="1486"/>
      <c r="C582" s="1470"/>
      <c r="D582" s="458" t="s">
        <v>1742</v>
      </c>
      <c r="E582" s="459"/>
      <c r="F582" s="460"/>
      <c r="G582" s="463"/>
      <c r="H582" s="462"/>
      <c r="I582" s="510">
        <v>3639.1487999999999</v>
      </c>
      <c r="J582" s="1503"/>
    </row>
    <row r="583" spans="1:10" s="485" customFormat="1">
      <c r="A583" s="1471"/>
      <c r="B583" s="1487"/>
      <c r="C583" s="1471"/>
      <c r="D583" s="458" t="s">
        <v>1342</v>
      </c>
      <c r="E583" s="459"/>
      <c r="F583" s="460"/>
      <c r="G583" s="463"/>
      <c r="H583" s="462"/>
      <c r="I583" s="510">
        <v>33965.388800000001</v>
      </c>
      <c r="J583" s="1504"/>
    </row>
    <row r="584" spans="1:10" s="483" customFormat="1">
      <c r="A584" s="1439">
        <v>3</v>
      </c>
      <c r="B584" s="1433" t="s">
        <v>2101</v>
      </c>
      <c r="C584" s="1439" t="s">
        <v>1312</v>
      </c>
      <c r="D584" s="1436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505">
        <f>ROUND(I591*0.8,0)</f>
        <v>316866</v>
      </c>
    </row>
    <row r="585" spans="1:10" s="483" customFormat="1">
      <c r="A585" s="1440"/>
      <c r="B585" s="1485"/>
      <c r="C585" s="1440"/>
      <c r="D585" s="1437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503"/>
    </row>
    <row r="586" spans="1:10" s="483" customFormat="1">
      <c r="A586" s="1440"/>
      <c r="B586" s="1485"/>
      <c r="C586" s="1440"/>
      <c r="D586" s="1437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503"/>
    </row>
    <row r="587" spans="1:10" s="483" customFormat="1">
      <c r="A587" s="1440"/>
      <c r="B587" s="1485"/>
      <c r="C587" s="1440"/>
      <c r="D587" s="1438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503"/>
    </row>
    <row r="588" spans="1:10" s="485" customFormat="1">
      <c r="A588" s="1470"/>
      <c r="B588" s="1486"/>
      <c r="C588" s="1470"/>
      <c r="D588" s="458" t="s">
        <v>1332</v>
      </c>
      <c r="E588" s="459"/>
      <c r="F588" s="460"/>
      <c r="G588" s="463"/>
      <c r="H588" s="462"/>
      <c r="I588" s="510">
        <v>347216.06</v>
      </c>
      <c r="J588" s="1503"/>
    </row>
    <row r="589" spans="1:10" s="485" customFormat="1">
      <c r="A589" s="1470"/>
      <c r="B589" s="1486"/>
      <c r="C589" s="1470"/>
      <c r="D589" s="458" t="s">
        <v>1742</v>
      </c>
      <c r="E589" s="459"/>
      <c r="F589" s="460"/>
      <c r="G589" s="463"/>
      <c r="H589" s="462"/>
      <c r="I589" s="510">
        <v>41665.927199999998</v>
      </c>
      <c r="J589" s="1503"/>
    </row>
    <row r="590" spans="1:10" s="483" customFormat="1">
      <c r="A590" s="1440"/>
      <c r="B590" s="1485"/>
      <c r="C590" s="1440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503"/>
    </row>
    <row r="591" spans="1:10" s="485" customFormat="1">
      <c r="A591" s="1471"/>
      <c r="B591" s="1487"/>
      <c r="C591" s="1471"/>
      <c r="D591" s="458" t="s">
        <v>1342</v>
      </c>
      <c r="E591" s="459"/>
      <c r="F591" s="460"/>
      <c r="G591" s="468"/>
      <c r="H591" s="462"/>
      <c r="I591" s="510">
        <v>396081.98719999997</v>
      </c>
      <c r="J591" s="1504"/>
    </row>
    <row r="592" spans="1:10" s="483" customFormat="1">
      <c r="A592" s="1436">
        <v>4</v>
      </c>
      <c r="B592" s="1433" t="s">
        <v>1012</v>
      </c>
      <c r="C592" s="1439" t="s">
        <v>1312</v>
      </c>
      <c r="D592" s="1436" t="s">
        <v>1684</v>
      </c>
      <c r="E592" s="1466" t="s">
        <v>2105</v>
      </c>
      <c r="F592" s="1436" t="s">
        <v>1315</v>
      </c>
      <c r="G592" s="469">
        <v>135</v>
      </c>
      <c r="H592" s="457">
        <v>222.3</v>
      </c>
      <c r="I592" s="527">
        <v>30010.5</v>
      </c>
      <c r="J592" s="1505">
        <f>ROUND(I600*0.8,0)</f>
        <v>234838</v>
      </c>
    </row>
    <row r="593" spans="1:10" s="483" customFormat="1">
      <c r="A593" s="1437"/>
      <c r="B593" s="1485"/>
      <c r="C593" s="1440"/>
      <c r="D593" s="1437"/>
      <c r="E593" s="1467"/>
      <c r="F593" s="1437"/>
      <c r="G593" s="467">
        <v>135</v>
      </c>
      <c r="H593" s="457">
        <v>97</v>
      </c>
      <c r="I593" s="527">
        <v>13095</v>
      </c>
      <c r="J593" s="1503"/>
    </row>
    <row r="594" spans="1:10" s="483" customFormat="1">
      <c r="A594" s="1437"/>
      <c r="B594" s="1485"/>
      <c r="C594" s="1440"/>
      <c r="D594" s="1437"/>
      <c r="E594" s="1467"/>
      <c r="F594" s="1437"/>
      <c r="G594" s="467">
        <v>249.48</v>
      </c>
      <c r="H594" s="457">
        <v>245.25</v>
      </c>
      <c r="I594" s="527">
        <v>61184.97</v>
      </c>
      <c r="J594" s="1503"/>
    </row>
    <row r="595" spans="1:10" s="483" customFormat="1">
      <c r="A595" s="1437"/>
      <c r="B595" s="1485"/>
      <c r="C595" s="1440"/>
      <c r="D595" s="1437"/>
      <c r="E595" s="1467"/>
      <c r="F595" s="1437"/>
      <c r="G595" s="467">
        <v>135</v>
      </c>
      <c r="H595" s="457">
        <v>225.6</v>
      </c>
      <c r="I595" s="527">
        <v>30456</v>
      </c>
      <c r="J595" s="1503"/>
    </row>
    <row r="596" spans="1:10" s="483" customFormat="1">
      <c r="A596" s="1437"/>
      <c r="B596" s="1485"/>
      <c r="C596" s="1440"/>
      <c r="D596" s="1437"/>
      <c r="E596" s="1467"/>
      <c r="F596" s="1437"/>
      <c r="G596" s="467">
        <v>1</v>
      </c>
      <c r="H596" s="457">
        <v>14850</v>
      </c>
      <c r="I596" s="527">
        <v>14850</v>
      </c>
      <c r="J596" s="1503"/>
    </row>
    <row r="597" spans="1:10" s="483" customFormat="1">
      <c r="A597" s="1437"/>
      <c r="B597" s="1485"/>
      <c r="C597" s="1440"/>
      <c r="D597" s="1438"/>
      <c r="E597" s="1478"/>
      <c r="F597" s="1438"/>
      <c r="G597" s="467">
        <v>90</v>
      </c>
      <c r="H597" s="457">
        <v>1250</v>
      </c>
      <c r="I597" s="527">
        <v>112500</v>
      </c>
      <c r="J597" s="1503"/>
    </row>
    <row r="598" spans="1:10" s="485" customFormat="1">
      <c r="A598" s="1464"/>
      <c r="B598" s="1486"/>
      <c r="C598" s="1470"/>
      <c r="D598" s="458" t="s">
        <v>1332</v>
      </c>
      <c r="E598" s="459"/>
      <c r="F598" s="460"/>
      <c r="G598" s="461"/>
      <c r="H598" s="462"/>
      <c r="I598" s="510">
        <v>262096.47</v>
      </c>
      <c r="J598" s="1503"/>
    </row>
    <row r="599" spans="1:10" s="485" customFormat="1">
      <c r="A599" s="1464"/>
      <c r="B599" s="1486"/>
      <c r="C599" s="1470"/>
      <c r="D599" s="458" t="s">
        <v>1742</v>
      </c>
      <c r="E599" s="459"/>
      <c r="F599" s="460"/>
      <c r="G599" s="463"/>
      <c r="H599" s="462"/>
      <c r="I599" s="510">
        <v>31451.576400000002</v>
      </c>
      <c r="J599" s="1503"/>
    </row>
    <row r="600" spans="1:10" s="485" customFormat="1">
      <c r="A600" s="1465"/>
      <c r="B600" s="1487"/>
      <c r="C600" s="1471"/>
      <c r="D600" s="458" t="s">
        <v>1342</v>
      </c>
      <c r="E600" s="459"/>
      <c r="F600" s="460"/>
      <c r="G600" s="477"/>
      <c r="H600" s="462"/>
      <c r="I600" s="510">
        <v>293548.04639999999</v>
      </c>
      <c r="J600" s="1504"/>
    </row>
    <row r="601" spans="1:10" s="483" customFormat="1">
      <c r="A601" s="1439">
        <v>5</v>
      </c>
      <c r="B601" s="1433" t="s">
        <v>2106</v>
      </c>
      <c r="C601" s="1439" t="s">
        <v>1312</v>
      </c>
      <c r="D601" s="1436" t="s">
        <v>1684</v>
      </c>
      <c r="E601" s="1466" t="s">
        <v>2107</v>
      </c>
      <c r="F601" s="1436" t="s">
        <v>1315</v>
      </c>
      <c r="G601" s="469">
        <v>240</v>
      </c>
      <c r="H601" s="457">
        <v>222.3</v>
      </c>
      <c r="I601" s="527">
        <v>53352</v>
      </c>
      <c r="J601" s="1505">
        <f>ROUND(I609*0.8,0)</f>
        <v>408377</v>
      </c>
    </row>
    <row r="602" spans="1:10" s="483" customFormat="1">
      <c r="A602" s="1440"/>
      <c r="B602" s="1485"/>
      <c r="C602" s="1440"/>
      <c r="D602" s="1437"/>
      <c r="E602" s="1467"/>
      <c r="F602" s="1437"/>
      <c r="G602" s="467">
        <v>240</v>
      </c>
      <c r="H602" s="457">
        <v>97</v>
      </c>
      <c r="I602" s="527">
        <v>23280</v>
      </c>
      <c r="J602" s="1503"/>
    </row>
    <row r="603" spans="1:10" s="483" customFormat="1">
      <c r="A603" s="1440"/>
      <c r="B603" s="1485"/>
      <c r="C603" s="1440"/>
      <c r="D603" s="1437"/>
      <c r="E603" s="1467"/>
      <c r="F603" s="1437"/>
      <c r="G603" s="467">
        <v>517.44000000000005</v>
      </c>
      <c r="H603" s="457">
        <v>245.25</v>
      </c>
      <c r="I603" s="527">
        <v>126902.16</v>
      </c>
      <c r="J603" s="1503"/>
    </row>
    <row r="604" spans="1:10" s="483" customFormat="1">
      <c r="A604" s="1440"/>
      <c r="B604" s="1485"/>
      <c r="C604" s="1440"/>
      <c r="D604" s="1437"/>
      <c r="E604" s="1467"/>
      <c r="F604" s="1437"/>
      <c r="G604" s="467">
        <v>240</v>
      </c>
      <c r="H604" s="457">
        <v>225.6</v>
      </c>
      <c r="I604" s="527">
        <v>54144</v>
      </c>
      <c r="J604" s="1503"/>
    </row>
    <row r="605" spans="1:10" s="483" customFormat="1">
      <c r="A605" s="1440"/>
      <c r="B605" s="1485"/>
      <c r="C605" s="1440"/>
      <c r="D605" s="1437"/>
      <c r="E605" s="1467"/>
      <c r="F605" s="1437"/>
      <c r="G605" s="467">
        <v>1</v>
      </c>
      <c r="H605" s="457">
        <v>23100</v>
      </c>
      <c r="I605" s="527">
        <v>23100</v>
      </c>
      <c r="J605" s="1503"/>
    </row>
    <row r="606" spans="1:10" s="483" customFormat="1">
      <c r="A606" s="1440"/>
      <c r="B606" s="1485"/>
      <c r="C606" s="1440"/>
      <c r="D606" s="1438"/>
      <c r="E606" s="1478"/>
      <c r="F606" s="1438"/>
      <c r="G606" s="500">
        <v>140</v>
      </c>
      <c r="H606" s="457">
        <v>1250</v>
      </c>
      <c r="I606" s="527">
        <v>175000</v>
      </c>
      <c r="J606" s="1503"/>
    </row>
    <row r="607" spans="1:10" s="485" customFormat="1">
      <c r="A607" s="1470"/>
      <c r="B607" s="1486"/>
      <c r="C607" s="1470"/>
      <c r="D607" s="458" t="s">
        <v>1332</v>
      </c>
      <c r="E607" s="459"/>
      <c r="F607" s="460"/>
      <c r="G607" s="463"/>
      <c r="H607" s="462"/>
      <c r="I607" s="510">
        <v>455778.16</v>
      </c>
      <c r="J607" s="1503"/>
    </row>
    <row r="608" spans="1:10" s="485" customFormat="1">
      <c r="A608" s="1470"/>
      <c r="B608" s="1486"/>
      <c r="C608" s="1470"/>
      <c r="D608" s="458" t="s">
        <v>1742</v>
      </c>
      <c r="E608" s="459"/>
      <c r="F608" s="460"/>
      <c r="G608" s="463"/>
      <c r="H608" s="462"/>
      <c r="I608" s="510">
        <v>54693.379200000003</v>
      </c>
      <c r="J608" s="1503"/>
    </row>
    <row r="609" spans="1:10" s="485" customFormat="1">
      <c r="A609" s="1471"/>
      <c r="B609" s="1487"/>
      <c r="C609" s="1471"/>
      <c r="D609" s="458" t="s">
        <v>1342</v>
      </c>
      <c r="E609" s="459"/>
      <c r="F609" s="460"/>
      <c r="G609" s="468"/>
      <c r="H609" s="462"/>
      <c r="I609" s="510">
        <v>510471.5392</v>
      </c>
      <c r="J609" s="1504"/>
    </row>
    <row r="610" spans="1:10" s="483" customFormat="1" ht="36">
      <c r="A610" s="1437">
        <v>6</v>
      </c>
      <c r="B610" s="1467" t="s">
        <v>542</v>
      </c>
      <c r="C610" s="1440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505">
        <f>ROUND(I614*0.8,0)</f>
        <v>335808</v>
      </c>
    </row>
    <row r="611" spans="1:10" s="485" customFormat="1">
      <c r="A611" s="1464"/>
      <c r="B611" s="1468"/>
      <c r="C611" s="1470"/>
      <c r="D611" s="458" t="s">
        <v>1332</v>
      </c>
      <c r="E611" s="459"/>
      <c r="F611" s="460"/>
      <c r="G611" s="463"/>
      <c r="H611" s="462"/>
      <c r="I611" s="510">
        <v>348000</v>
      </c>
      <c r="J611" s="1503"/>
    </row>
    <row r="612" spans="1:10" s="485" customFormat="1">
      <c r="A612" s="1464"/>
      <c r="B612" s="1468"/>
      <c r="C612" s="1470"/>
      <c r="D612" s="458" t="s">
        <v>1742</v>
      </c>
      <c r="E612" s="459"/>
      <c r="F612" s="460"/>
      <c r="G612" s="463"/>
      <c r="H612" s="462"/>
      <c r="I612" s="510">
        <v>41760</v>
      </c>
      <c r="J612" s="1503"/>
    </row>
    <row r="613" spans="1:10" s="483" customFormat="1">
      <c r="A613" s="1437"/>
      <c r="B613" s="1467"/>
      <c r="C613" s="1440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503"/>
    </row>
    <row r="614" spans="1:10" s="485" customFormat="1">
      <c r="A614" s="1465"/>
      <c r="B614" s="1469"/>
      <c r="C614" s="1471"/>
      <c r="D614" s="458" t="s">
        <v>1342</v>
      </c>
      <c r="E614" s="459"/>
      <c r="F614" s="460"/>
      <c r="G614" s="468"/>
      <c r="H614" s="462"/>
      <c r="I614" s="510">
        <v>419760</v>
      </c>
      <c r="J614" s="1504"/>
    </row>
    <row r="615" spans="1:10" s="483" customFormat="1">
      <c r="A615" s="1472">
        <v>7</v>
      </c>
      <c r="B615" s="1474" t="s">
        <v>2110</v>
      </c>
      <c r="C615" s="1476" t="s">
        <v>2111</v>
      </c>
      <c r="D615" s="1436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505">
        <f>ROUND(I621*0.8,0)</f>
        <v>45330</v>
      </c>
    </row>
    <row r="616" spans="1:10" s="483" customFormat="1">
      <c r="A616" s="1472"/>
      <c r="B616" s="1474"/>
      <c r="C616" s="1476"/>
      <c r="D616" s="1437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503"/>
    </row>
    <row r="617" spans="1:10" s="483" customFormat="1">
      <c r="A617" s="1472"/>
      <c r="B617" s="1474"/>
      <c r="C617" s="1476"/>
      <c r="D617" s="1438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503"/>
    </row>
    <row r="618" spans="1:10" s="485" customFormat="1">
      <c r="A618" s="1473"/>
      <c r="B618" s="1475"/>
      <c r="C618" s="1477"/>
      <c r="D618" s="458" t="s">
        <v>1332</v>
      </c>
      <c r="E618" s="459"/>
      <c r="F618" s="460"/>
      <c r="G618" s="463"/>
      <c r="H618" s="462"/>
      <c r="I618" s="510">
        <v>42556</v>
      </c>
      <c r="J618" s="1503"/>
    </row>
    <row r="619" spans="1:10" s="485" customFormat="1">
      <c r="A619" s="1473"/>
      <c r="B619" s="1475"/>
      <c r="C619" s="1477"/>
      <c r="D619" s="458" t="s">
        <v>1742</v>
      </c>
      <c r="E619" s="459"/>
      <c r="F619" s="460"/>
      <c r="G619" s="463"/>
      <c r="H619" s="462"/>
      <c r="I619" s="510">
        <v>5106.72</v>
      </c>
      <c r="J619" s="1503"/>
    </row>
    <row r="620" spans="1:10" s="483" customFormat="1">
      <c r="A620" s="1472"/>
      <c r="B620" s="1474"/>
      <c r="C620" s="1476"/>
      <c r="D620" s="1488" t="s">
        <v>1336</v>
      </c>
      <c r="E620" s="1488"/>
      <c r="F620" s="466" t="s">
        <v>1689</v>
      </c>
      <c r="G620" s="467">
        <v>10</v>
      </c>
      <c r="H620" s="457">
        <v>900</v>
      </c>
      <c r="I620" s="527">
        <v>9000</v>
      </c>
      <c r="J620" s="1503"/>
    </row>
    <row r="621" spans="1:10" s="485" customFormat="1">
      <c r="A621" s="1473"/>
      <c r="B621" s="1475"/>
      <c r="C621" s="1477"/>
      <c r="D621" s="458" t="s">
        <v>1342</v>
      </c>
      <c r="E621" s="459"/>
      <c r="F621" s="460"/>
      <c r="G621" s="468"/>
      <c r="H621" s="462"/>
      <c r="I621" s="510">
        <v>56662.720000000001</v>
      </c>
      <c r="J621" s="1504"/>
    </row>
    <row r="622" spans="1:10" s="483" customFormat="1">
      <c r="A622" s="1439">
        <v>8</v>
      </c>
      <c r="B622" s="1433" t="s">
        <v>1014</v>
      </c>
      <c r="C622" s="1439" t="s">
        <v>1312</v>
      </c>
      <c r="D622" s="1436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505">
        <f>ROUND(I629*0.8,0)</f>
        <v>74766</v>
      </c>
    </row>
    <row r="623" spans="1:10" s="483" customFormat="1">
      <c r="A623" s="1440"/>
      <c r="B623" s="1485"/>
      <c r="C623" s="1440"/>
      <c r="D623" s="1437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503"/>
    </row>
    <row r="624" spans="1:10" s="483" customFormat="1">
      <c r="A624" s="1440"/>
      <c r="B624" s="1485"/>
      <c r="C624" s="1440"/>
      <c r="D624" s="1437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503"/>
    </row>
    <row r="625" spans="1:10" s="483" customFormat="1">
      <c r="A625" s="1440"/>
      <c r="B625" s="1485"/>
      <c r="C625" s="1440"/>
      <c r="D625" s="1437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503"/>
    </row>
    <row r="626" spans="1:10" s="483" customFormat="1" ht="48">
      <c r="A626" s="1440"/>
      <c r="B626" s="1485"/>
      <c r="C626" s="1440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503"/>
    </row>
    <row r="627" spans="1:10" s="485" customFormat="1">
      <c r="A627" s="1470"/>
      <c r="B627" s="1486"/>
      <c r="C627" s="1470"/>
      <c r="D627" s="458" t="s">
        <v>1332</v>
      </c>
      <c r="E627" s="459"/>
      <c r="F627" s="460"/>
      <c r="G627" s="463"/>
      <c r="H627" s="462"/>
      <c r="I627" s="510">
        <v>83443.820000000007</v>
      </c>
      <c r="J627" s="1503"/>
    </row>
    <row r="628" spans="1:10" s="485" customFormat="1">
      <c r="A628" s="1470"/>
      <c r="B628" s="1486"/>
      <c r="C628" s="1470"/>
      <c r="D628" s="458" t="s">
        <v>1742</v>
      </c>
      <c r="E628" s="459"/>
      <c r="F628" s="460"/>
      <c r="G628" s="463"/>
      <c r="H628" s="462"/>
      <c r="I628" s="510">
        <v>10013.258400000001</v>
      </c>
      <c r="J628" s="1503"/>
    </row>
    <row r="629" spans="1:10" s="485" customFormat="1">
      <c r="A629" s="1471"/>
      <c r="B629" s="1487"/>
      <c r="C629" s="1471"/>
      <c r="D629" s="458" t="s">
        <v>1342</v>
      </c>
      <c r="E629" s="459"/>
      <c r="F629" s="460"/>
      <c r="G629" s="468"/>
      <c r="H629" s="462"/>
      <c r="I629" s="510">
        <v>93457.078399999999</v>
      </c>
      <c r="J629" s="1504"/>
    </row>
    <row r="630" spans="1:10" s="483" customFormat="1">
      <c r="A630" s="1439">
        <v>9</v>
      </c>
      <c r="B630" s="1433" t="s">
        <v>2121</v>
      </c>
      <c r="C630" s="1439" t="s">
        <v>1312</v>
      </c>
      <c r="D630" s="1436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505">
        <f>ROUND(I637*0.8,0)</f>
        <v>99918</v>
      </c>
    </row>
    <row r="631" spans="1:10" s="483" customFormat="1">
      <c r="A631" s="1440"/>
      <c r="B631" s="1485"/>
      <c r="C631" s="1440"/>
      <c r="D631" s="1437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503"/>
    </row>
    <row r="632" spans="1:10" s="483" customFormat="1">
      <c r="A632" s="1440"/>
      <c r="B632" s="1485"/>
      <c r="C632" s="1440"/>
      <c r="D632" s="1437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503"/>
    </row>
    <row r="633" spans="1:10" s="483" customFormat="1">
      <c r="A633" s="1440"/>
      <c r="B633" s="1485"/>
      <c r="C633" s="1440"/>
      <c r="D633" s="1437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503"/>
    </row>
    <row r="634" spans="1:10" s="483" customFormat="1" ht="48">
      <c r="A634" s="1440"/>
      <c r="B634" s="1485"/>
      <c r="C634" s="1440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503"/>
    </row>
    <row r="635" spans="1:10" s="485" customFormat="1">
      <c r="A635" s="1470"/>
      <c r="B635" s="1486"/>
      <c r="C635" s="1470"/>
      <c r="D635" s="458" t="s">
        <v>1332</v>
      </c>
      <c r="E635" s="459"/>
      <c r="F635" s="460"/>
      <c r="G635" s="463"/>
      <c r="H635" s="462"/>
      <c r="I635" s="510">
        <v>111515.7</v>
      </c>
      <c r="J635" s="1503"/>
    </row>
    <row r="636" spans="1:10" s="485" customFormat="1">
      <c r="A636" s="1470"/>
      <c r="B636" s="1486"/>
      <c r="C636" s="1470"/>
      <c r="D636" s="458" t="s">
        <v>1742</v>
      </c>
      <c r="E636" s="459"/>
      <c r="F636" s="460"/>
      <c r="G636" s="463"/>
      <c r="H636" s="462"/>
      <c r="I636" s="510">
        <v>13381.884</v>
      </c>
      <c r="J636" s="1503"/>
    </row>
    <row r="637" spans="1:10" s="485" customFormat="1">
      <c r="A637" s="1471"/>
      <c r="B637" s="1487"/>
      <c r="C637" s="1471"/>
      <c r="D637" s="458" t="s">
        <v>1342</v>
      </c>
      <c r="E637" s="459"/>
      <c r="F637" s="460"/>
      <c r="G637" s="468"/>
      <c r="H637" s="462"/>
      <c r="I637" s="510">
        <v>124897.584</v>
      </c>
      <c r="J637" s="1504"/>
    </row>
    <row r="638" spans="1:10" s="483" customFormat="1">
      <c r="A638" s="1472">
        <v>10</v>
      </c>
      <c r="B638" s="1474" t="s">
        <v>233</v>
      </c>
      <c r="C638" s="1476" t="s">
        <v>1312</v>
      </c>
      <c r="D638" s="1436" t="s">
        <v>1684</v>
      </c>
      <c r="E638" s="1466" t="s">
        <v>2123</v>
      </c>
      <c r="F638" s="1436" t="s">
        <v>1315</v>
      </c>
      <c r="G638" s="470">
        <v>322.32</v>
      </c>
      <c r="H638" s="457">
        <v>222.3</v>
      </c>
      <c r="I638" s="527">
        <v>71651.736000000004</v>
      </c>
      <c r="J638" s="1505">
        <f>ROUND(I653*0.9,0)</f>
        <v>1752482</v>
      </c>
    </row>
    <row r="639" spans="1:10" s="483" customFormat="1">
      <c r="A639" s="1472"/>
      <c r="B639" s="1474"/>
      <c r="C639" s="1476"/>
      <c r="D639" s="1437"/>
      <c r="E639" s="1467"/>
      <c r="F639" s="1437"/>
      <c r="G639" s="470">
        <v>309.95999999999998</v>
      </c>
      <c r="H639" s="457">
        <v>150</v>
      </c>
      <c r="I639" s="527">
        <v>46494</v>
      </c>
      <c r="J639" s="1503"/>
    </row>
    <row r="640" spans="1:10" s="483" customFormat="1">
      <c r="A640" s="1472"/>
      <c r="B640" s="1474"/>
      <c r="C640" s="1476"/>
      <c r="D640" s="1437"/>
      <c r="E640" s="1467"/>
      <c r="F640" s="1437"/>
      <c r="G640" s="470">
        <v>402</v>
      </c>
      <c r="H640" s="457">
        <v>245.25</v>
      </c>
      <c r="I640" s="527">
        <v>98590.5</v>
      </c>
      <c r="J640" s="1503"/>
    </row>
    <row r="641" spans="1:10" s="483" customFormat="1">
      <c r="A641" s="1472"/>
      <c r="B641" s="1474"/>
      <c r="C641" s="1476"/>
      <c r="D641" s="1437"/>
      <c r="E641" s="1467"/>
      <c r="F641" s="1437"/>
      <c r="G641" s="470">
        <v>322.32</v>
      </c>
      <c r="H641" s="457">
        <v>225.6</v>
      </c>
      <c r="I641" s="527">
        <v>72715.392000000007</v>
      </c>
      <c r="J641" s="1503"/>
    </row>
    <row r="642" spans="1:10" s="483" customFormat="1">
      <c r="A642" s="1472"/>
      <c r="B642" s="1474"/>
      <c r="C642" s="1476"/>
      <c r="D642" s="1437"/>
      <c r="E642" s="1467"/>
      <c r="F642" s="1437"/>
      <c r="G642" s="470">
        <v>1</v>
      </c>
      <c r="H642" s="457">
        <v>91238.399999999994</v>
      </c>
      <c r="I642" s="527">
        <v>91238.399999999994</v>
      </c>
      <c r="J642" s="1503"/>
    </row>
    <row r="643" spans="1:10" s="483" customFormat="1">
      <c r="A643" s="1472"/>
      <c r="B643" s="1474"/>
      <c r="C643" s="1476"/>
      <c r="D643" s="1438"/>
      <c r="E643" s="1478"/>
      <c r="F643" s="1438"/>
      <c r="G643" s="470">
        <v>56</v>
      </c>
      <c r="H643" s="457">
        <v>1250</v>
      </c>
      <c r="I643" s="527">
        <v>70000</v>
      </c>
      <c r="J643" s="1503"/>
    </row>
    <row r="644" spans="1:10" s="483" customFormat="1">
      <c r="A644" s="1472"/>
      <c r="B644" s="1474"/>
      <c r="C644" s="1476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503"/>
    </row>
    <row r="645" spans="1:10" s="483" customFormat="1">
      <c r="A645" s="1472"/>
      <c r="B645" s="1474"/>
      <c r="C645" s="1476"/>
      <c r="D645" s="1436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503"/>
    </row>
    <row r="646" spans="1:10" s="483" customFormat="1">
      <c r="A646" s="1472"/>
      <c r="B646" s="1474"/>
      <c r="C646" s="1476"/>
      <c r="D646" s="1437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503"/>
    </row>
    <row r="647" spans="1:10" s="483" customFormat="1">
      <c r="A647" s="1472"/>
      <c r="B647" s="1474"/>
      <c r="C647" s="1476"/>
      <c r="D647" s="1437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503"/>
    </row>
    <row r="648" spans="1:10" s="483" customFormat="1">
      <c r="A648" s="1472"/>
      <c r="B648" s="1474"/>
      <c r="C648" s="1476"/>
      <c r="D648" s="1437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503"/>
    </row>
    <row r="649" spans="1:10" s="483" customFormat="1">
      <c r="A649" s="1472"/>
      <c r="B649" s="1474"/>
      <c r="C649" s="1476"/>
      <c r="D649" s="1438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503"/>
    </row>
    <row r="650" spans="1:10" s="485" customFormat="1">
      <c r="A650" s="1473"/>
      <c r="B650" s="1475"/>
      <c r="C650" s="1477"/>
      <c r="D650" s="458" t="s">
        <v>1332</v>
      </c>
      <c r="E650" s="459"/>
      <c r="F650" s="460"/>
      <c r="G650" s="463"/>
      <c r="H650" s="462"/>
      <c r="I650" s="510">
        <v>1697457.054</v>
      </c>
      <c r="J650" s="1503"/>
    </row>
    <row r="651" spans="1:10" s="485" customFormat="1">
      <c r="A651" s="1473"/>
      <c r="B651" s="1475"/>
      <c r="C651" s="1477"/>
      <c r="D651" s="458" t="s">
        <v>1742</v>
      </c>
      <c r="E651" s="459"/>
      <c r="F651" s="460"/>
      <c r="G651" s="463"/>
      <c r="H651" s="462"/>
      <c r="I651" s="510">
        <v>169745.70540000001</v>
      </c>
      <c r="J651" s="1503"/>
    </row>
    <row r="652" spans="1:10" s="483" customFormat="1" ht="24">
      <c r="A652" s="1472"/>
      <c r="B652" s="1474"/>
      <c r="C652" s="1476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503"/>
    </row>
    <row r="653" spans="1:10" s="485" customFormat="1">
      <c r="A653" s="1473"/>
      <c r="B653" s="1475"/>
      <c r="C653" s="1477"/>
      <c r="D653" s="458" t="s">
        <v>1342</v>
      </c>
      <c r="E653" s="459"/>
      <c r="F653" s="460"/>
      <c r="G653" s="463"/>
      <c r="H653" s="462"/>
      <c r="I653" s="510">
        <v>1947202.7594000001</v>
      </c>
      <c r="J653" s="1504"/>
    </row>
    <row r="654" spans="1:10" s="483" customFormat="1" ht="36">
      <c r="A654" s="1476">
        <v>11</v>
      </c>
      <c r="B654" s="1489" t="s">
        <v>234</v>
      </c>
      <c r="C654" s="1476" t="s">
        <v>1312</v>
      </c>
      <c r="D654" s="1472" t="s">
        <v>1684</v>
      </c>
      <c r="E654" s="465" t="s">
        <v>2129</v>
      </c>
      <c r="F654" s="466" t="s">
        <v>1315</v>
      </c>
      <c r="G654" s="1476">
        <v>2534</v>
      </c>
      <c r="H654" s="1481">
        <v>310</v>
      </c>
      <c r="I654" s="1455">
        <v>785540</v>
      </c>
      <c r="J654" s="1505">
        <f>ROUND(I661*0.9,0)</f>
        <v>900471</v>
      </c>
    </row>
    <row r="655" spans="1:10" s="483" customFormat="1" ht="24">
      <c r="A655" s="1476"/>
      <c r="B655" s="1489"/>
      <c r="C655" s="1476"/>
      <c r="D655" s="1472"/>
      <c r="E655" s="465" t="s">
        <v>2130</v>
      </c>
      <c r="F655" s="466" t="s">
        <v>1315</v>
      </c>
      <c r="G655" s="1476"/>
      <c r="H655" s="1481"/>
      <c r="I655" s="1455"/>
      <c r="J655" s="1503"/>
    </row>
    <row r="656" spans="1:10" s="483" customFormat="1" ht="60">
      <c r="A656" s="1476"/>
      <c r="B656" s="1489"/>
      <c r="C656" s="1476"/>
      <c r="D656" s="1472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503"/>
    </row>
    <row r="657" spans="1:10" s="483" customFormat="1" ht="60">
      <c r="A657" s="1476"/>
      <c r="B657" s="1489"/>
      <c r="C657" s="1476"/>
      <c r="D657" s="1472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503"/>
    </row>
    <row r="658" spans="1:10" s="483" customFormat="1">
      <c r="A658" s="1476"/>
      <c r="B658" s="1489"/>
      <c r="C658" s="1476"/>
      <c r="D658" s="1472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503"/>
    </row>
    <row r="659" spans="1:10" s="485" customFormat="1">
      <c r="A659" s="1477"/>
      <c r="B659" s="1490"/>
      <c r="C659" s="1477"/>
      <c r="D659" s="458" t="s">
        <v>1332</v>
      </c>
      <c r="E659" s="459"/>
      <c r="F659" s="460"/>
      <c r="G659" s="463"/>
      <c r="H659" s="462"/>
      <c r="I659" s="510">
        <v>893324</v>
      </c>
      <c r="J659" s="1503"/>
    </row>
    <row r="660" spans="1:10" s="485" customFormat="1">
      <c r="A660" s="1477"/>
      <c r="B660" s="1490"/>
      <c r="C660" s="1477"/>
      <c r="D660" s="458" t="s">
        <v>1742</v>
      </c>
      <c r="E660" s="459"/>
      <c r="F660" s="460"/>
      <c r="G660" s="463"/>
      <c r="H660" s="462"/>
      <c r="I660" s="510">
        <v>107198.88</v>
      </c>
      <c r="J660" s="1503"/>
    </row>
    <row r="661" spans="1:10" s="485" customFormat="1">
      <c r="A661" s="1477"/>
      <c r="B661" s="1490"/>
      <c r="C661" s="1477"/>
      <c r="D661" s="458" t="s">
        <v>1342</v>
      </c>
      <c r="E661" s="459"/>
      <c r="F661" s="460"/>
      <c r="G661" s="463"/>
      <c r="H661" s="462"/>
      <c r="I661" s="510">
        <v>1000522.88</v>
      </c>
      <c r="J661" s="1504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508" t="s">
        <v>1343</v>
      </c>
      <c r="B1" s="1508"/>
      <c r="C1" s="1508"/>
      <c r="D1" s="1508"/>
      <c r="E1" s="1508"/>
      <c r="F1" s="1508"/>
      <c r="G1" s="1508"/>
      <c r="H1" s="1508"/>
      <c r="I1" s="1508"/>
      <c r="J1" s="1508"/>
      <c r="K1" s="1508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509">
        <v>1</v>
      </c>
      <c r="B3" s="1510" t="s">
        <v>246</v>
      </c>
      <c r="C3" s="1510" t="s">
        <v>1344</v>
      </c>
      <c r="D3" s="1512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509"/>
      <c r="B4" s="1510"/>
      <c r="C4" s="1510"/>
      <c r="D4" s="1512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509"/>
      <c r="B5" s="1510"/>
      <c r="C5" s="1510"/>
      <c r="D5" s="1512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509"/>
      <c r="B6" s="1510"/>
      <c r="C6" s="1510"/>
      <c r="D6" s="1512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509"/>
      <c r="B7" s="1510"/>
      <c r="C7" s="1510"/>
      <c r="D7" s="1512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509"/>
      <c r="B8" s="1510"/>
      <c r="C8" s="1510"/>
      <c r="D8" s="1512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509"/>
      <c r="B9" s="1510"/>
      <c r="C9" s="1510"/>
      <c r="D9" s="1512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509"/>
      <c r="B10" s="1510"/>
      <c r="C10" s="1510"/>
      <c r="D10" s="1512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509"/>
      <c r="B11" s="1510"/>
      <c r="C11" s="1510"/>
      <c r="D11" s="1512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509"/>
      <c r="B12" s="1510"/>
      <c r="C12" s="1510"/>
      <c r="D12" s="1512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509"/>
      <c r="B13" s="1510"/>
      <c r="C13" s="1510"/>
      <c r="D13" s="1512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509"/>
      <c r="B14" s="1510"/>
      <c r="C14" s="1510"/>
      <c r="D14" s="1512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509"/>
      <c r="B15" s="1510"/>
      <c r="C15" s="1510"/>
      <c r="D15" s="1512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509"/>
      <c r="B16" s="1510"/>
      <c r="C16" s="1510"/>
      <c r="D16" s="1512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509"/>
      <c r="B17" s="1510"/>
      <c r="C17" s="1510"/>
      <c r="D17" s="1512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509"/>
      <c r="B18" s="1510"/>
      <c r="C18" s="1510"/>
      <c r="D18" s="1512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509"/>
      <c r="B19" s="1510"/>
      <c r="C19" s="1510"/>
      <c r="D19" s="1512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509"/>
      <c r="B20" s="1510"/>
      <c r="C20" s="1510"/>
      <c r="D20" s="1512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509"/>
      <c r="B21" s="1510"/>
      <c r="C21" s="1510"/>
      <c r="D21" s="1512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509"/>
      <c r="B22" s="1510"/>
      <c r="C22" s="1510"/>
      <c r="D22" s="1512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509"/>
      <c r="B23" s="1510"/>
      <c r="C23" s="1510"/>
      <c r="D23" s="1512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509"/>
      <c r="B24" s="1510"/>
      <c r="C24" s="1510"/>
      <c r="D24" s="1512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509"/>
      <c r="B25" s="1510"/>
      <c r="C25" s="1510"/>
      <c r="D25" s="1512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509"/>
      <c r="B26" s="1510"/>
      <c r="C26" s="1510"/>
      <c r="D26" s="1512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509"/>
      <c r="B27" s="1511"/>
      <c r="C27" s="1511"/>
      <c r="D27" s="1512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508" t="s">
        <v>1302</v>
      </c>
      <c r="B1" s="1508"/>
      <c r="C1" s="1508"/>
      <c r="D1" s="1508"/>
      <c r="E1" s="1508"/>
      <c r="F1" s="1508"/>
      <c r="G1" s="1508"/>
      <c r="H1" s="1508"/>
      <c r="I1" s="1508"/>
      <c r="J1" s="1508"/>
      <c r="K1" s="1508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509">
        <v>1</v>
      </c>
      <c r="B3" s="1510" t="s">
        <v>1020</v>
      </c>
      <c r="C3" s="1510" t="s">
        <v>1311</v>
      </c>
      <c r="D3" s="1512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509"/>
      <c r="B4" s="1510"/>
      <c r="C4" s="1510"/>
      <c r="D4" s="1512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509"/>
      <c r="B5" s="1510"/>
      <c r="C5" s="1510"/>
      <c r="D5" s="1512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509"/>
      <c r="B6" s="1510"/>
      <c r="C6" s="1510"/>
      <c r="D6" s="1512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509"/>
      <c r="B7" s="1510"/>
      <c r="C7" s="1510"/>
      <c r="D7" s="1512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509"/>
      <c r="B8" s="1510"/>
      <c r="C8" s="1510"/>
      <c r="D8" s="1512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509"/>
      <c r="B9" s="1510"/>
      <c r="C9" s="1510"/>
      <c r="D9" s="1512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509"/>
      <c r="B10" s="1510"/>
      <c r="C10" s="1510"/>
      <c r="D10" s="1512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509"/>
      <c r="B11" s="1510"/>
      <c r="C11" s="1510"/>
      <c r="D11" s="1512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509"/>
      <c r="B12" s="1510"/>
      <c r="C12" s="1510"/>
      <c r="D12" s="1512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509"/>
      <c r="B13" s="1510"/>
      <c r="C13" s="1510"/>
      <c r="D13" s="1512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509"/>
      <c r="B14" s="1510"/>
      <c r="C14" s="1510"/>
      <c r="D14" s="1512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509"/>
      <c r="B15" s="1510"/>
      <c r="C15" s="1510"/>
      <c r="D15" s="1512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509"/>
      <c r="B16" s="1510"/>
      <c r="C16" s="1510"/>
      <c r="D16" s="1512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509"/>
      <c r="B17" s="1510"/>
      <c r="C17" s="1510"/>
      <c r="D17" s="1512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509"/>
      <c r="B18" s="1511"/>
      <c r="C18" s="1511"/>
      <c r="D18" s="1512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530" t="s">
        <v>1389</v>
      </c>
      <c r="B1" s="1530"/>
      <c r="C1" s="1530"/>
      <c r="D1" s="1530"/>
      <c r="E1" s="1530"/>
      <c r="F1" s="1530"/>
      <c r="G1" s="1530"/>
      <c r="H1" s="1530"/>
      <c r="I1" s="1530"/>
      <c r="J1" s="1530"/>
      <c r="K1" s="1530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531">
        <v>536351</v>
      </c>
      <c r="G21" s="1531">
        <v>535292.01</v>
      </c>
      <c r="H21" s="1531">
        <f>37641+17667+16500+5580+6164+2000</f>
        <v>85552</v>
      </c>
      <c r="I21" s="1531">
        <f t="shared" si="5"/>
        <v>620844.01</v>
      </c>
      <c r="J21" s="1531">
        <f>538883+84612</f>
        <v>623495</v>
      </c>
      <c r="K21" s="1531">
        <f t="shared" si="6"/>
        <v>-2650.9899999999907</v>
      </c>
      <c r="L21" s="1519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532"/>
      <c r="G22" s="1532"/>
      <c r="H22" s="1532"/>
      <c r="I22" s="1532"/>
      <c r="J22" s="1532"/>
      <c r="K22" s="1532"/>
      <c r="L22" s="1520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521">
        <v>1223655</v>
      </c>
      <c r="E24" s="1521">
        <v>1038978</v>
      </c>
      <c r="F24" s="1524">
        <v>1032617</v>
      </c>
      <c r="G24" s="1524">
        <v>1024383.77</v>
      </c>
      <c r="H24" s="1524">
        <v>166111</v>
      </c>
      <c r="I24" s="1524">
        <f t="shared" ref="I24:I29" si="9">G24+H24</f>
        <v>1190494.77</v>
      </c>
      <c r="J24" s="1524">
        <f>220184+978924</f>
        <v>1199108</v>
      </c>
      <c r="K24" s="1524">
        <f>I24-J24</f>
        <v>-8613.2299999999814</v>
      </c>
      <c r="L24" s="1527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522"/>
      <c r="E25" s="1522"/>
      <c r="F25" s="1525"/>
      <c r="G25" s="1525"/>
      <c r="H25" s="1525"/>
      <c r="I25" s="1525"/>
      <c r="J25" s="1525"/>
      <c r="K25" s="1525"/>
      <c r="L25" s="1528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522"/>
      <c r="E26" s="1522"/>
      <c r="F26" s="1525"/>
      <c r="G26" s="1525"/>
      <c r="H26" s="1525"/>
      <c r="I26" s="1525"/>
      <c r="J26" s="1525"/>
      <c r="K26" s="1525"/>
      <c r="L26" s="1528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523"/>
      <c r="E27" s="1523"/>
      <c r="F27" s="1526"/>
      <c r="G27" s="1526"/>
      <c r="H27" s="1526"/>
      <c r="I27" s="1526"/>
      <c r="J27" s="1526"/>
      <c r="K27" s="1526"/>
      <c r="L27" s="1529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513">
        <v>1726329.6</v>
      </c>
      <c r="E34" s="1513">
        <v>1514580</v>
      </c>
      <c r="F34" s="1513">
        <v>1497650.24</v>
      </c>
      <c r="G34" s="1513">
        <v>1496858</v>
      </c>
      <c r="H34" s="1513">
        <v>165131</v>
      </c>
      <c r="I34" s="1513">
        <v>1661898</v>
      </c>
      <c r="J34" s="1515">
        <v>1697229.6</v>
      </c>
      <c r="K34" s="1517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514"/>
      <c r="E35" s="1514"/>
      <c r="F35" s="1514"/>
      <c r="G35" s="1514"/>
      <c r="H35" s="1514"/>
      <c r="I35" s="1514"/>
      <c r="J35" s="1516"/>
      <c r="K35" s="1518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533" t="s">
        <v>2382</v>
      </c>
      <c r="B1" s="1534"/>
      <c r="C1" s="1534"/>
      <c r="D1" s="1534"/>
      <c r="E1" s="1534"/>
      <c r="F1" s="1534"/>
      <c r="G1" s="1534"/>
      <c r="H1" s="1534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356" t="s">
        <v>828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</row>
    <row r="2" spans="1:11" ht="24.75" customHeight="1">
      <c r="A2" s="1358" t="s">
        <v>12</v>
      </c>
      <c r="B2" s="1358" t="s">
        <v>13</v>
      </c>
      <c r="C2" s="1358" t="s">
        <v>14</v>
      </c>
      <c r="D2" s="1358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358" t="s">
        <v>17</v>
      </c>
      <c r="K2" s="1358" t="s">
        <v>18</v>
      </c>
    </row>
    <row r="3" spans="1:11" ht="15" customHeight="1">
      <c r="A3" s="1359"/>
      <c r="B3" s="1359"/>
      <c r="C3" s="1359"/>
      <c r="D3" s="1359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359"/>
      <c r="K3" s="1359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F7" sqref="F7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35" t="s">
        <v>2867</v>
      </c>
      <c r="B1" s="1535"/>
      <c r="C1" s="1535"/>
      <c r="D1" s="1535"/>
      <c r="E1" s="1535"/>
      <c r="F1" s="1535"/>
      <c r="G1" s="1535"/>
      <c r="H1" s="1535"/>
      <c r="I1" s="1535"/>
      <c r="J1" s="1535"/>
      <c r="K1" s="1535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70" t="s">
        <v>2051</v>
      </c>
      <c r="B3" s="970" t="s">
        <v>1001</v>
      </c>
      <c r="C3" s="971" t="s">
        <v>1030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-50</v>
      </c>
      <c r="J3" s="974">
        <f t="shared" ref="J3:J14" si="0">H3*I3</f>
        <v>-20000</v>
      </c>
      <c r="K3" s="970"/>
    </row>
    <row r="4" spans="1:11" ht="20.100000000000001" customHeight="1" outlineLevel="2">
      <c r="A4" s="970" t="s">
        <v>2051</v>
      </c>
      <c r="B4" s="970" t="s">
        <v>1001</v>
      </c>
      <c r="C4" s="971" t="s">
        <v>1030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-1</v>
      </c>
      <c r="J4" s="974">
        <f t="shared" si="0"/>
        <v>-2000</v>
      </c>
      <c r="K4" s="970"/>
    </row>
    <row r="5" spans="1:11" ht="20.100000000000001" customHeight="1" outlineLevel="2">
      <c r="A5" s="970" t="s">
        <v>2051</v>
      </c>
      <c r="B5" s="970" t="s">
        <v>1001</v>
      </c>
      <c r="C5" s="971" t="s">
        <v>1030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-1</v>
      </c>
      <c r="J5" s="974">
        <f t="shared" si="0"/>
        <v>-3500</v>
      </c>
      <c r="K5" s="970"/>
    </row>
    <row r="6" spans="1:11" ht="20.100000000000001" customHeight="1" outlineLevel="2">
      <c r="A6" s="970" t="s">
        <v>2051</v>
      </c>
      <c r="B6" s="970" t="s">
        <v>1001</v>
      </c>
      <c r="C6" s="971" t="s">
        <v>1030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-1</v>
      </c>
      <c r="J6" s="974">
        <f t="shared" si="0"/>
        <v>-1100</v>
      </c>
      <c r="K6" s="970"/>
    </row>
    <row r="7" spans="1:11" ht="20.100000000000001" customHeight="1" outlineLevel="2">
      <c r="A7" s="970" t="s">
        <v>2051</v>
      </c>
      <c r="B7" s="970" t="s">
        <v>1001</v>
      </c>
      <c r="C7" s="971" t="s">
        <v>1030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-4</v>
      </c>
      <c r="J7" s="974">
        <f t="shared" si="0"/>
        <v>-6400</v>
      </c>
      <c r="K7" s="970"/>
    </row>
    <row r="8" spans="1:11" ht="20.100000000000001" customHeight="1" outlineLevel="2">
      <c r="A8" s="970" t="s">
        <v>2051</v>
      </c>
      <c r="B8" s="970" t="s">
        <v>1001</v>
      </c>
      <c r="C8" s="971" t="s">
        <v>1030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-2</v>
      </c>
      <c r="J8" s="974">
        <f t="shared" si="0"/>
        <v>-1400</v>
      </c>
      <c r="K8" s="970"/>
    </row>
    <row r="9" spans="1:11" ht="20.100000000000001" customHeight="1" outlineLevel="2">
      <c r="A9" s="970" t="s">
        <v>2051</v>
      </c>
      <c r="B9" s="970" t="s">
        <v>1001</v>
      </c>
      <c r="C9" s="971" t="s">
        <v>1030</v>
      </c>
      <c r="D9" s="972" t="s">
        <v>2456</v>
      </c>
      <c r="E9" s="971" t="s">
        <v>2468</v>
      </c>
      <c r="F9" s="975" t="s">
        <v>2483</v>
      </c>
      <c r="G9" s="970"/>
      <c r="H9" s="973">
        <v>18000</v>
      </c>
      <c r="I9" s="970">
        <v>-1</v>
      </c>
      <c r="J9" s="974">
        <f t="shared" si="0"/>
        <v>-18000</v>
      </c>
      <c r="K9" s="970"/>
    </row>
    <row r="10" spans="1:11" ht="20.100000000000001" customHeight="1" outlineLevel="2">
      <c r="A10" s="970" t="s">
        <v>2051</v>
      </c>
      <c r="B10" s="970" t="s">
        <v>1001</v>
      </c>
      <c r="C10" s="971" t="s">
        <v>1030</v>
      </c>
      <c r="D10" s="972" t="s">
        <v>2456</v>
      </c>
      <c r="E10" s="976" t="s">
        <v>2465</v>
      </c>
      <c r="F10" s="975" t="s">
        <v>2480</v>
      </c>
      <c r="G10" s="970"/>
      <c r="H10" s="973">
        <v>6000</v>
      </c>
      <c r="I10" s="970">
        <v>-4</v>
      </c>
      <c r="J10" s="974">
        <f t="shared" si="0"/>
        <v>-24000</v>
      </c>
      <c r="K10" s="970"/>
    </row>
    <row r="11" spans="1:11" ht="20.100000000000001" customHeight="1" outlineLevel="2">
      <c r="A11" s="970" t="s">
        <v>2051</v>
      </c>
      <c r="B11" s="970" t="s">
        <v>1001</v>
      </c>
      <c r="C11" s="971" t="s">
        <v>1030</v>
      </c>
      <c r="D11" s="972" t="s">
        <v>2456</v>
      </c>
      <c r="E11" s="975" t="s">
        <v>2466</v>
      </c>
      <c r="F11" s="975" t="s">
        <v>2481</v>
      </c>
      <c r="G11" s="970"/>
      <c r="H11" s="973">
        <v>7000</v>
      </c>
      <c r="I11" s="970">
        <v>-2</v>
      </c>
      <c r="J11" s="974">
        <f t="shared" si="0"/>
        <v>-14000</v>
      </c>
      <c r="K11" s="970"/>
    </row>
    <row r="12" spans="1:11" ht="20.100000000000001" customHeight="1" outlineLevel="1">
      <c r="A12" s="964" t="s">
        <v>945</v>
      </c>
      <c r="B12" s="970"/>
      <c r="C12" s="971"/>
      <c r="D12" s="972"/>
      <c r="E12" s="975"/>
      <c r="F12" s="975"/>
      <c r="G12" s="970"/>
      <c r="H12" s="973"/>
      <c r="I12" s="970"/>
      <c r="J12" s="974">
        <f>SUBTOTAL(9,J3:J11)</f>
        <v>-90400</v>
      </c>
      <c r="K12" s="970"/>
    </row>
    <row r="13" spans="1:11" ht="20.100000000000001" customHeight="1" outlineLevel="2">
      <c r="A13" s="1143" t="s">
        <v>1449</v>
      </c>
      <c r="B13" s="1143" t="s">
        <v>994</v>
      </c>
      <c r="C13" s="1144" t="s">
        <v>1046</v>
      </c>
      <c r="D13" s="1145" t="s">
        <v>2456</v>
      </c>
      <c r="E13" s="1144" t="s">
        <v>2466</v>
      </c>
      <c r="F13" s="1144" t="s">
        <v>2969</v>
      </c>
      <c r="G13" s="1143"/>
      <c r="H13" s="1146">
        <v>7500</v>
      </c>
      <c r="I13" s="1143">
        <v>6</v>
      </c>
      <c r="J13" s="1147">
        <f t="shared" si="0"/>
        <v>45000</v>
      </c>
      <c r="K13" s="1148"/>
    </row>
    <row r="14" spans="1:11" ht="20.100000000000001" customHeight="1" outlineLevel="2">
      <c r="A14" s="1143" t="s">
        <v>1449</v>
      </c>
      <c r="B14" s="1143" t="s">
        <v>994</v>
      </c>
      <c r="C14" s="1144" t="s">
        <v>1046</v>
      </c>
      <c r="D14" s="1145" t="s">
        <v>2456</v>
      </c>
      <c r="E14" s="1144" t="s">
        <v>2466</v>
      </c>
      <c r="F14" s="1144" t="s">
        <v>2970</v>
      </c>
      <c r="G14" s="1143"/>
      <c r="H14" s="1146">
        <v>12000</v>
      </c>
      <c r="I14" s="1143">
        <v>6</v>
      </c>
      <c r="J14" s="1147">
        <f t="shared" si="0"/>
        <v>72000</v>
      </c>
      <c r="K14" s="1148"/>
    </row>
    <row r="15" spans="1:11" ht="20.100000000000001" customHeight="1" outlineLevel="1">
      <c r="A15" s="1149" t="s">
        <v>950</v>
      </c>
      <c r="B15" s="1143"/>
      <c r="C15" s="1144"/>
      <c r="D15" s="1145"/>
      <c r="E15" s="1144"/>
      <c r="F15" s="1144"/>
      <c r="G15" s="1143"/>
      <c r="H15" s="1146"/>
      <c r="I15" s="1143"/>
      <c r="J15" s="1147">
        <f>SUBTOTAL(9,J13:J14)</f>
        <v>117000</v>
      </c>
      <c r="K15" s="1148"/>
    </row>
    <row r="16" spans="1:11" ht="20.100000000000001" customHeight="1">
      <c r="A16" s="1149" t="s">
        <v>252</v>
      </c>
      <c r="B16" s="1143"/>
      <c r="C16" s="1144"/>
      <c r="D16" s="1145"/>
      <c r="E16" s="1144"/>
      <c r="F16" s="1144"/>
      <c r="G16" s="1143"/>
      <c r="H16" s="1146"/>
      <c r="I16" s="1143"/>
      <c r="J16" s="1147">
        <f>SUBTOTAL(9,J3:J14)</f>
        <v>26600</v>
      </c>
      <c r="K16" s="1148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35" t="s">
        <v>2867</v>
      </c>
      <c r="B1" s="1535"/>
      <c r="C1" s="1535"/>
      <c r="D1" s="1535"/>
      <c r="E1" s="1535"/>
      <c r="F1" s="1535"/>
      <c r="G1" s="1535"/>
      <c r="H1" s="1535"/>
      <c r="I1" s="1535"/>
      <c r="J1" s="1535"/>
      <c r="K1" s="1535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552" t="s">
        <v>2948</v>
      </c>
      <c r="B1" s="1396"/>
      <c r="C1" s="1396"/>
      <c r="D1" s="1396"/>
      <c r="E1" s="1396"/>
      <c r="F1" s="1396"/>
      <c r="G1" s="1553"/>
      <c r="H1" s="1553"/>
      <c r="I1" s="1554"/>
      <c r="J1" s="1553"/>
      <c r="K1" s="1555"/>
      <c r="L1" s="1396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556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557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557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558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536">
        <v>300000</v>
      </c>
      <c r="I42" s="1549">
        <v>1</v>
      </c>
      <c r="J42" s="1536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537"/>
      <c r="I43" s="1550"/>
      <c r="J43" s="1537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538"/>
      <c r="I44" s="1551"/>
      <c r="J44" s="1538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536">
        <v>13100</v>
      </c>
      <c r="I58" s="1549">
        <v>1</v>
      </c>
      <c r="J58" s="1536">
        <f>H58*I58</f>
        <v>13100</v>
      </c>
      <c r="K58" s="1556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537"/>
      <c r="I59" s="1550"/>
      <c r="J59" s="1537"/>
      <c r="K59" s="1557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537"/>
      <c r="I60" s="1550"/>
      <c r="J60" s="1537"/>
      <c r="K60" s="1557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537"/>
      <c r="I61" s="1550"/>
      <c r="J61" s="1537"/>
      <c r="K61" s="1557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538"/>
      <c r="I62" s="1551"/>
      <c r="J62" s="1538"/>
      <c r="K62" s="1558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536">
        <v>13200</v>
      </c>
      <c r="I71" s="1549">
        <v>1</v>
      </c>
      <c r="J71" s="1536">
        <v>13200</v>
      </c>
      <c r="K71" s="1556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537"/>
      <c r="I72" s="1550"/>
      <c r="J72" s="1537"/>
      <c r="K72" s="1557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537"/>
      <c r="I73" s="1550"/>
      <c r="J73" s="1537"/>
      <c r="K73" s="1557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537"/>
      <c r="I74" s="1550"/>
      <c r="J74" s="1537"/>
      <c r="K74" s="1557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537"/>
      <c r="I75" s="1550"/>
      <c r="J75" s="1537"/>
      <c r="K75" s="1557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537"/>
      <c r="I76" s="1550"/>
      <c r="J76" s="1537"/>
      <c r="K76" s="1557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537"/>
      <c r="I77" s="1550"/>
      <c r="J77" s="1537"/>
      <c r="K77" s="1557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543">
        <v>7700</v>
      </c>
      <c r="I80" s="1545">
        <v>1</v>
      </c>
      <c r="J80" s="1543">
        <f>H80</f>
        <v>7700</v>
      </c>
      <c r="K80" s="1547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544"/>
      <c r="I81" s="1546"/>
      <c r="J81" s="1544"/>
      <c r="K81" s="1548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544"/>
      <c r="I82" s="1546"/>
      <c r="J82" s="1544"/>
      <c r="K82" s="1548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544"/>
      <c r="I83" s="1546"/>
      <c r="J83" s="1544"/>
      <c r="K83" s="1548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544"/>
      <c r="I84" s="1546"/>
      <c r="J84" s="1544"/>
      <c r="K84" s="1548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544"/>
      <c r="I85" s="1546"/>
      <c r="J85" s="1544"/>
      <c r="K85" s="1548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544"/>
      <c r="I86" s="1546"/>
      <c r="J86" s="1544"/>
      <c r="K86" s="1548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544"/>
      <c r="I87" s="1546"/>
      <c r="J87" s="1544"/>
      <c r="K87" s="1548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536">
        <v>39600</v>
      </c>
      <c r="I90" s="1549">
        <v>1</v>
      </c>
      <c r="J90" s="1536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537"/>
      <c r="I91" s="1550"/>
      <c r="J91" s="1537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537"/>
      <c r="I92" s="1550"/>
      <c r="J92" s="1537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537"/>
      <c r="I93" s="1550"/>
      <c r="J93" s="1537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537"/>
      <c r="I94" s="1550"/>
      <c r="J94" s="1537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537"/>
      <c r="I95" s="1550"/>
      <c r="J95" s="1537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538"/>
      <c r="I96" s="1551"/>
      <c r="J96" s="1538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536">
        <v>22600</v>
      </c>
      <c r="I99" s="1549">
        <v>1</v>
      </c>
      <c r="J99" s="1536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537"/>
      <c r="I100" s="1550"/>
      <c r="J100" s="1537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537"/>
      <c r="I101" s="1550"/>
      <c r="J101" s="1537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538"/>
      <c r="I102" s="1551"/>
      <c r="J102" s="1538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539" t="s">
        <v>2851</v>
      </c>
      <c r="D168" s="1542"/>
      <c r="E168" s="1105"/>
      <c r="F168" s="1539" t="s">
        <v>2852</v>
      </c>
      <c r="G168" s="1540"/>
      <c r="H168" s="1540"/>
      <c r="I168" s="1541"/>
      <c r="J168" s="1540"/>
      <c r="K168" s="1540"/>
      <c r="L168" s="1542"/>
    </row>
    <row r="169" spans="1:15">
      <c r="A169" s="547"/>
    </row>
  </sheetData>
  <mergeCells count="25"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560" t="s">
        <v>2853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2"/>
      <c r="O1" s="1562"/>
    </row>
    <row r="2" spans="1:15">
      <c r="A2" s="1563" t="s">
        <v>1330</v>
      </c>
      <c r="B2" s="1563" t="s">
        <v>2494</v>
      </c>
      <c r="C2" s="1565" t="s">
        <v>2495</v>
      </c>
      <c r="D2" s="1565" t="s">
        <v>980</v>
      </c>
      <c r="E2" s="1567" t="s">
        <v>2496</v>
      </c>
      <c r="F2" s="1567"/>
      <c r="G2" s="1567"/>
      <c r="H2" s="1567" t="s">
        <v>2497</v>
      </c>
      <c r="I2" s="1567"/>
      <c r="J2" s="1567"/>
      <c r="K2" s="877" t="s">
        <v>1308</v>
      </c>
      <c r="L2" s="877" t="s">
        <v>2498</v>
      </c>
      <c r="M2" s="1566" t="s">
        <v>2499</v>
      </c>
      <c r="N2" s="878"/>
      <c r="O2" s="1566" t="s">
        <v>2712</v>
      </c>
    </row>
    <row r="3" spans="1:15" ht="24">
      <c r="A3" s="1563"/>
      <c r="B3" s="1564"/>
      <c r="C3" s="1566"/>
      <c r="D3" s="1566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568"/>
      <c r="N3" s="878"/>
      <c r="O3" s="1568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559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559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570" t="s">
        <v>2855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1"/>
    </row>
    <row r="2" spans="1:13" ht="24.95" customHeight="1">
      <c r="A2" s="1572" t="s">
        <v>12</v>
      </c>
      <c r="B2" s="1573" t="s">
        <v>2495</v>
      </c>
      <c r="C2" s="1573" t="s">
        <v>980</v>
      </c>
      <c r="D2" s="1575" t="s">
        <v>2559</v>
      </c>
      <c r="E2" s="1575"/>
      <c r="F2" s="1575"/>
      <c r="G2" s="1575" t="s">
        <v>2560</v>
      </c>
      <c r="H2" s="1575"/>
      <c r="I2" s="1575"/>
      <c r="J2" s="751" t="s">
        <v>1308</v>
      </c>
      <c r="K2" s="751" t="s">
        <v>2561</v>
      </c>
      <c r="L2" s="1576" t="s">
        <v>2499</v>
      </c>
      <c r="M2" s="1577" t="s">
        <v>2712</v>
      </c>
    </row>
    <row r="3" spans="1:13" ht="18" customHeight="1">
      <c r="A3" s="1572"/>
      <c r="B3" s="1574"/>
      <c r="C3" s="1574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576"/>
      <c r="M3" s="1578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569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569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570" t="s">
        <v>2854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62"/>
    </row>
    <row r="2" spans="1:13" ht="24.95" customHeight="1">
      <c r="A2" s="1572" t="s">
        <v>12</v>
      </c>
      <c r="B2" s="1573" t="s">
        <v>2495</v>
      </c>
      <c r="C2" s="1573" t="s">
        <v>980</v>
      </c>
      <c r="D2" s="1575" t="s">
        <v>2559</v>
      </c>
      <c r="E2" s="1575"/>
      <c r="F2" s="1575"/>
      <c r="G2" s="1575" t="s">
        <v>2560</v>
      </c>
      <c r="H2" s="1575"/>
      <c r="I2" s="1575"/>
      <c r="J2" s="751" t="s">
        <v>1308</v>
      </c>
      <c r="K2" s="751" t="s">
        <v>2561</v>
      </c>
      <c r="L2" s="1576" t="s">
        <v>2499</v>
      </c>
      <c r="M2" s="1572" t="s">
        <v>2712</v>
      </c>
    </row>
    <row r="3" spans="1:13" ht="35.1" customHeight="1">
      <c r="A3" s="1572"/>
      <c r="B3" s="1574"/>
      <c r="C3" s="1574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576"/>
      <c r="M3" s="1579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569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569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582" t="s">
        <v>2856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384"/>
      <c r="M1" s="1384"/>
      <c r="N1" s="1384"/>
      <c r="O1" s="1384"/>
    </row>
    <row r="2" spans="1:15" s="814" customFormat="1" ht="23.25" customHeight="1">
      <c r="A2" s="1584" t="s">
        <v>12</v>
      </c>
      <c r="B2" s="1581" t="s">
        <v>2638</v>
      </c>
      <c r="C2" s="1581" t="s">
        <v>1</v>
      </c>
      <c r="D2" s="1584" t="s">
        <v>2639</v>
      </c>
      <c r="E2" s="1584"/>
      <c r="F2" s="1584"/>
      <c r="G2" s="1585" t="s">
        <v>2640</v>
      </c>
      <c r="H2" s="1585"/>
      <c r="I2" s="1585"/>
      <c r="J2" s="257" t="s">
        <v>2641</v>
      </c>
      <c r="K2" s="1585" t="s">
        <v>18</v>
      </c>
      <c r="L2" s="795"/>
      <c r="M2" s="795"/>
      <c r="N2" s="795"/>
      <c r="O2" s="1585" t="s">
        <v>2712</v>
      </c>
    </row>
    <row r="3" spans="1:15" s="818" customFormat="1" ht="23.25" customHeight="1">
      <c r="A3" s="1584"/>
      <c r="B3" s="1581"/>
      <c r="C3" s="1581"/>
      <c r="D3" s="1580" t="s">
        <v>1244</v>
      </c>
      <c r="E3" s="1581" t="s">
        <v>2501</v>
      </c>
      <c r="F3" s="815" t="s">
        <v>2642</v>
      </c>
      <c r="G3" s="1580" t="s">
        <v>1244</v>
      </c>
      <c r="H3" s="1581" t="s">
        <v>2597</v>
      </c>
      <c r="I3" s="870" t="s">
        <v>2642</v>
      </c>
      <c r="J3" s="816" t="s">
        <v>2643</v>
      </c>
      <c r="K3" s="1585"/>
      <c r="L3" s="817"/>
      <c r="M3" s="817"/>
      <c r="N3" s="817"/>
      <c r="O3" s="1585"/>
    </row>
    <row r="4" spans="1:15" s="818" customFormat="1" ht="23.25" customHeight="1">
      <c r="A4" s="1584"/>
      <c r="B4" s="1581"/>
      <c r="C4" s="1581"/>
      <c r="D4" s="1580"/>
      <c r="E4" s="1581"/>
      <c r="F4" s="815" t="s">
        <v>2644</v>
      </c>
      <c r="G4" s="1580"/>
      <c r="H4" s="1581"/>
      <c r="I4" s="870" t="s">
        <v>2645</v>
      </c>
      <c r="J4" s="816" t="s">
        <v>2644</v>
      </c>
      <c r="K4" s="1585"/>
      <c r="L4" s="817"/>
      <c r="M4" s="817"/>
      <c r="N4" s="817"/>
      <c r="O4" s="1585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426" t="s">
        <v>2729</v>
      </c>
      <c r="B1" s="1427"/>
      <c r="C1" s="1427"/>
      <c r="D1" s="1427"/>
      <c r="E1" s="1427"/>
      <c r="F1" s="1427"/>
      <c r="G1" s="1427"/>
      <c r="H1" s="1427"/>
      <c r="I1" s="1427"/>
      <c r="J1" s="1587"/>
    </row>
    <row r="2" spans="1:10" ht="20.100000000000001" customHeight="1">
      <c r="A2" s="1586" t="s">
        <v>12</v>
      </c>
      <c r="B2" s="1586" t="s">
        <v>1303</v>
      </c>
      <c r="C2" s="1586" t="s">
        <v>1305</v>
      </c>
      <c r="D2" s="1586" t="s">
        <v>1306</v>
      </c>
      <c r="E2" s="1588" t="s">
        <v>1307</v>
      </c>
      <c r="F2" s="1586" t="s">
        <v>1</v>
      </c>
      <c r="G2" s="1591" t="s">
        <v>1683</v>
      </c>
      <c r="H2" s="1591"/>
      <c r="I2" s="1592"/>
      <c r="J2" s="1586" t="s">
        <v>2751</v>
      </c>
    </row>
    <row r="3" spans="1:10" ht="20.100000000000001" customHeight="1">
      <c r="A3" s="1586"/>
      <c r="B3" s="1586"/>
      <c r="C3" s="1586"/>
      <c r="D3" s="1586"/>
      <c r="E3" s="1588"/>
      <c r="F3" s="1586"/>
      <c r="G3" s="995" t="s">
        <v>1308</v>
      </c>
      <c r="H3" s="947" t="s">
        <v>1309</v>
      </c>
      <c r="I3" s="996" t="s">
        <v>1310</v>
      </c>
      <c r="J3" s="1586"/>
    </row>
    <row r="4" spans="1:10" s="170" customFormat="1" ht="20.100000000000001" customHeight="1">
      <c r="A4" s="1588">
        <v>1</v>
      </c>
      <c r="B4" s="1588" t="s">
        <v>2730</v>
      </c>
      <c r="C4" s="1589" t="s">
        <v>1312</v>
      </c>
      <c r="D4" s="1590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588"/>
      <c r="B5" s="1588"/>
      <c r="C5" s="1589"/>
      <c r="D5" s="1590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588"/>
      <c r="B6" s="1588"/>
      <c r="C6" s="1589"/>
      <c r="D6" s="1590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588"/>
      <c r="B7" s="1588"/>
      <c r="C7" s="1589"/>
      <c r="D7" s="1590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588"/>
      <c r="B8" s="1588"/>
      <c r="C8" s="1589"/>
      <c r="D8" s="1590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588"/>
      <c r="B9" s="1588"/>
      <c r="C9" s="1589"/>
      <c r="D9" s="1590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588"/>
      <c r="B10" s="1588"/>
      <c r="C10" s="1589"/>
      <c r="D10" s="1590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588"/>
      <c r="B11" s="1588"/>
      <c r="C11" s="1589"/>
      <c r="D11" s="1590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588"/>
      <c r="B12" s="1588"/>
      <c r="C12" s="1589"/>
      <c r="D12" s="1590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588"/>
      <c r="B13" s="1588"/>
      <c r="C13" s="1589"/>
      <c r="D13" s="1590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588"/>
      <c r="B14" s="1588"/>
      <c r="C14" s="1589"/>
      <c r="D14" s="1590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588"/>
      <c r="B15" s="1588"/>
      <c r="C15" s="1589"/>
      <c r="D15" s="1590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588"/>
      <c r="B16" s="1588"/>
      <c r="C16" s="1589"/>
      <c r="D16" s="1590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588"/>
      <c r="B17" s="1588"/>
      <c r="C17" s="1589"/>
      <c r="D17" s="1590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588"/>
      <c r="B18" s="1588"/>
      <c r="C18" s="1589"/>
      <c r="D18" s="1590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588"/>
      <c r="B19" s="1588"/>
      <c r="C19" s="1589"/>
      <c r="D19" s="1590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588"/>
      <c r="B20" s="1588"/>
      <c r="C20" s="1589"/>
      <c r="D20" s="1590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588"/>
      <c r="B21" s="1588"/>
      <c r="C21" s="1589"/>
      <c r="D21" s="1590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588"/>
      <c r="B22" s="1588"/>
      <c r="C22" s="1589"/>
      <c r="D22" s="1590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588"/>
      <c r="B23" s="1588"/>
      <c r="C23" s="1589"/>
      <c r="D23" s="1590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588"/>
      <c r="B24" s="1588"/>
      <c r="C24" s="1589"/>
      <c r="D24" s="1590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588"/>
      <c r="B25" s="1588"/>
      <c r="C25" s="1589"/>
      <c r="D25" s="1590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588"/>
      <c r="B26" s="1588"/>
      <c r="C26" s="1589"/>
      <c r="D26" s="1590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588"/>
      <c r="B27" s="1588"/>
      <c r="C27" s="1589"/>
      <c r="D27" s="1590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588"/>
      <c r="B28" s="1588"/>
      <c r="C28" s="1589"/>
      <c r="D28" s="1590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588"/>
      <c r="B29" s="1588"/>
      <c r="C29" s="1589"/>
      <c r="D29" s="1590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588"/>
      <c r="B30" s="1588"/>
      <c r="C30" s="1589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588"/>
      <c r="B31" s="1588"/>
      <c r="C31" s="1589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588"/>
      <c r="B32" s="1588"/>
      <c r="C32" s="1589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588"/>
      <c r="B33" s="1588"/>
      <c r="C33" s="1589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593" t="s">
        <v>2713</v>
      </c>
      <c r="B1" s="1594"/>
      <c r="C1" s="1594"/>
      <c r="D1" s="1594"/>
      <c r="E1" s="1594"/>
      <c r="F1" s="1594"/>
      <c r="G1" s="1594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595" t="s">
        <v>2720</v>
      </c>
      <c r="B1" s="1595"/>
      <c r="C1" s="1595"/>
      <c r="D1" s="1595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356" t="s">
        <v>829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  <c r="L1" s="1357"/>
      <c r="M1" s="1357"/>
      <c r="N1" s="1357"/>
      <c r="O1" s="1357"/>
      <c r="P1" s="1357"/>
      <c r="Q1" s="1357"/>
      <c r="R1" s="1357"/>
      <c r="S1" s="1357"/>
      <c r="T1" s="1357"/>
      <c r="U1" s="1357"/>
      <c r="V1" s="1357"/>
      <c r="W1" s="1357"/>
      <c r="X1" s="1357"/>
      <c r="Y1" s="1357"/>
    </row>
    <row r="2" spans="1:25" ht="24.95" customHeight="1">
      <c r="A2" s="1358" t="s">
        <v>12</v>
      </c>
      <c r="B2" s="1358" t="s">
        <v>13</v>
      </c>
      <c r="C2" s="1358" t="s">
        <v>14</v>
      </c>
      <c r="D2" s="1358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358" t="s">
        <v>17</v>
      </c>
    </row>
    <row r="3" spans="1:25" ht="24.95" customHeight="1">
      <c r="A3" s="1359"/>
      <c r="B3" s="1359"/>
      <c r="C3" s="1359"/>
      <c r="D3" s="1359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359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4" sqref="A4:XFD4"/>
    </sheetView>
  </sheetViews>
  <sheetFormatPr defaultColWidth="9" defaultRowHeight="13.5"/>
  <cols>
    <col min="1" max="1" width="17.5" style="1157" customWidth="1"/>
    <col min="2" max="2" width="7.875" style="1157" customWidth="1"/>
    <col min="3" max="3" width="9.5" style="1157" customWidth="1"/>
    <col min="4" max="4" width="13.75" style="1158" customWidth="1"/>
    <col min="5" max="5" width="33.5" style="1158" customWidth="1"/>
    <col min="6" max="6" width="31.25" style="1158" customWidth="1"/>
    <col min="7" max="7" width="6.375" style="1158" customWidth="1"/>
    <col min="8" max="8" width="11.375" style="1158" customWidth="1"/>
    <col min="9" max="9" width="13.5" style="1158" customWidth="1"/>
    <col min="10" max="10" width="12.75" style="1159" bestFit="1" customWidth="1"/>
    <col min="11" max="16384" width="9" style="1156"/>
  </cols>
  <sheetData>
    <row r="1" spans="1:10" s="1150" customFormat="1" ht="39.75" customHeight="1">
      <c r="A1" s="1596" t="s">
        <v>2977</v>
      </c>
      <c r="B1" s="1597"/>
      <c r="C1" s="1596"/>
      <c r="D1" s="1596"/>
      <c r="E1" s="1596"/>
      <c r="F1" s="1596"/>
      <c r="G1" s="1596"/>
      <c r="H1" s="1596"/>
      <c r="I1" s="1596"/>
    </row>
    <row r="2" spans="1:10" s="1153" customFormat="1" ht="39.950000000000003" customHeight="1">
      <c r="A2" s="1151" t="s">
        <v>632</v>
      </c>
      <c r="B2" s="1151" t="s">
        <v>631</v>
      </c>
      <c r="C2" s="1151" t="s">
        <v>2971</v>
      </c>
      <c r="D2" s="1152" t="s">
        <v>13</v>
      </c>
      <c r="E2" s="1152" t="s">
        <v>1242</v>
      </c>
      <c r="F2" s="1152" t="s">
        <v>1243</v>
      </c>
      <c r="G2" s="1151" t="s">
        <v>1244</v>
      </c>
      <c r="H2" s="1151" t="s">
        <v>1245</v>
      </c>
      <c r="I2" s="1151" t="s">
        <v>1246</v>
      </c>
    </row>
    <row r="3" spans="1:10" ht="39.950000000000003" customHeight="1">
      <c r="A3" s="1154" t="s">
        <v>2975</v>
      </c>
      <c r="B3" s="1154" t="s">
        <v>1239</v>
      </c>
      <c r="C3" s="1154" t="s">
        <v>2973</v>
      </c>
      <c r="D3" s="1154" t="s">
        <v>2974</v>
      </c>
      <c r="E3" s="1176" t="s">
        <v>2976</v>
      </c>
      <c r="F3" s="1176" t="s">
        <v>2976</v>
      </c>
      <c r="G3" s="1154">
        <v>1</v>
      </c>
      <c r="H3" s="1154">
        <v>1200000</v>
      </c>
      <c r="I3" s="1155">
        <f>G3*H3</f>
        <v>1200000</v>
      </c>
      <c r="J3" s="1156"/>
    </row>
    <row r="4" spans="1:10" ht="39.950000000000003" customHeight="1">
      <c r="A4" s="1160" t="s">
        <v>267</v>
      </c>
      <c r="B4" s="1160"/>
      <c r="C4" s="1160"/>
      <c r="D4" s="1161"/>
      <c r="E4" s="1161"/>
      <c r="F4" s="1161"/>
      <c r="G4" s="1161"/>
      <c r="H4" s="1161"/>
      <c r="I4" s="1155">
        <f>SUM(I3:I3)</f>
        <v>1200000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topLeftCell="A34" workbookViewId="0">
      <selection activeCell="I27" sqref="I27"/>
    </sheetView>
  </sheetViews>
  <sheetFormatPr defaultColWidth="9" defaultRowHeight="13.5" outlineLevelRow="2"/>
  <cols>
    <col min="1" max="1" width="32.375" style="1173" customWidth="1"/>
    <col min="2" max="2" width="11.25" style="1175" customWidth="1"/>
    <col min="3" max="3" width="9.5" style="1173" customWidth="1"/>
    <col min="4" max="4" width="9.875" style="1173" customWidth="1"/>
    <col min="5" max="5" width="31.125" style="1174" customWidth="1"/>
    <col min="6" max="6" width="31" style="1174" customWidth="1"/>
    <col min="7" max="7" width="5.25" style="1174" customWidth="1"/>
    <col min="8" max="8" width="11.875" style="1174" customWidth="1"/>
    <col min="9" max="9" width="11.625" style="1174" customWidth="1"/>
    <col min="10" max="10" width="23" style="1174" customWidth="1"/>
    <col min="11" max="16384" width="9" style="1174"/>
  </cols>
  <sheetData>
    <row r="1" spans="1:9" s="1162" customFormat="1" ht="22.5">
      <c r="A1" s="1598" t="s">
        <v>2978</v>
      </c>
      <c r="B1" s="1598"/>
      <c r="C1" s="1598"/>
      <c r="D1" s="1598"/>
      <c r="E1" s="1599"/>
      <c r="F1" s="1599"/>
      <c r="G1" s="1599"/>
      <c r="H1" s="1599"/>
      <c r="I1" s="1599"/>
    </row>
    <row r="2" spans="1:9" s="1165" customFormat="1" ht="38.1" customHeight="1">
      <c r="A2" s="1163" t="s">
        <v>2979</v>
      </c>
      <c r="B2" s="1164" t="s">
        <v>631</v>
      </c>
      <c r="C2" s="1163" t="s">
        <v>982</v>
      </c>
      <c r="D2" s="1163" t="s">
        <v>2980</v>
      </c>
      <c r="E2" s="1164" t="s">
        <v>1242</v>
      </c>
      <c r="F2" s="1164" t="s">
        <v>1243</v>
      </c>
      <c r="G2" s="1164" t="s">
        <v>1244</v>
      </c>
      <c r="H2" s="1164" t="s">
        <v>1245</v>
      </c>
      <c r="I2" s="1164" t="s">
        <v>1246</v>
      </c>
    </row>
    <row r="3" spans="1:9" s="1165" customFormat="1" ht="38.1" customHeight="1">
      <c r="A3" s="1166" t="s">
        <v>223</v>
      </c>
      <c r="B3" s="1167" t="s">
        <v>10</v>
      </c>
      <c r="C3" s="1166" t="s">
        <v>998</v>
      </c>
      <c r="D3" s="1168" t="s">
        <v>2973</v>
      </c>
      <c r="E3" s="1166" t="s">
        <v>2981</v>
      </c>
      <c r="F3" s="1166" t="s">
        <v>2982</v>
      </c>
      <c r="G3" s="1166">
        <v>1</v>
      </c>
      <c r="H3" s="1169">
        <v>185000</v>
      </c>
      <c r="I3" s="1169">
        <v>185000</v>
      </c>
    </row>
    <row r="4" spans="1:9" s="1165" customFormat="1" ht="38.1" customHeight="1">
      <c r="A4" s="1166"/>
      <c r="B4" s="1164" t="s">
        <v>262</v>
      </c>
      <c r="C4" s="1166"/>
      <c r="D4" s="1168"/>
      <c r="E4" s="1166"/>
      <c r="F4" s="1166"/>
      <c r="G4" s="1166"/>
      <c r="H4" s="1169"/>
      <c r="I4" s="1169">
        <f>SUBTOTAL(9,I3:I3)</f>
        <v>185000</v>
      </c>
    </row>
    <row r="5" spans="1:9" s="1165" customFormat="1" ht="38.1" customHeight="1">
      <c r="A5" s="1168" t="s">
        <v>1040</v>
      </c>
      <c r="B5" s="1169" t="s">
        <v>8</v>
      </c>
      <c r="C5" s="1168" t="s">
        <v>2983</v>
      </c>
      <c r="D5" s="1168" t="s">
        <v>2973</v>
      </c>
      <c r="E5" s="1166" t="s">
        <v>2984</v>
      </c>
      <c r="F5" s="1166" t="s">
        <v>2985</v>
      </c>
      <c r="G5" s="1166">
        <v>1</v>
      </c>
      <c r="H5" s="1169">
        <v>100000</v>
      </c>
      <c r="I5" s="1169">
        <v>100000</v>
      </c>
    </row>
    <row r="6" spans="1:9" s="1165" customFormat="1" ht="38.1" customHeight="1">
      <c r="A6" s="1168" t="s">
        <v>1040</v>
      </c>
      <c r="B6" s="1169" t="s">
        <v>8</v>
      </c>
      <c r="C6" s="1168" t="s">
        <v>2983</v>
      </c>
      <c r="D6" s="1168" t="s">
        <v>2973</v>
      </c>
      <c r="E6" s="1166" t="s">
        <v>2986</v>
      </c>
      <c r="F6" s="1166" t="s">
        <v>2987</v>
      </c>
      <c r="G6" s="1166">
        <v>1</v>
      </c>
      <c r="H6" s="1166">
        <v>150000</v>
      </c>
      <c r="I6" s="1169">
        <v>150000</v>
      </c>
    </row>
    <row r="7" spans="1:9" s="1165" customFormat="1" ht="38.1" customHeight="1">
      <c r="A7" s="1168"/>
      <c r="B7" s="1170" t="s">
        <v>260</v>
      </c>
      <c r="C7" s="1168"/>
      <c r="D7" s="1168"/>
      <c r="E7" s="1166"/>
      <c r="F7" s="1166"/>
      <c r="G7" s="1166"/>
      <c r="H7" s="1166"/>
      <c r="I7" s="1169">
        <f>SUBTOTAL(9,I5:I6)</f>
        <v>250000</v>
      </c>
    </row>
    <row r="8" spans="1:9" s="1165" customFormat="1" ht="38.1" customHeight="1">
      <c r="A8" s="1168" t="s">
        <v>1032</v>
      </c>
      <c r="B8" s="1169" t="s">
        <v>7</v>
      </c>
      <c r="C8" s="1168" t="s">
        <v>998</v>
      </c>
      <c r="D8" s="1168" t="s">
        <v>2973</v>
      </c>
      <c r="E8" s="1166" t="s">
        <v>2986</v>
      </c>
      <c r="F8" s="1166" t="s">
        <v>2987</v>
      </c>
      <c r="G8" s="1166">
        <v>1</v>
      </c>
      <c r="H8" s="1166">
        <v>150000</v>
      </c>
      <c r="I8" s="1169">
        <v>150000</v>
      </c>
    </row>
    <row r="9" spans="1:9" s="1165" customFormat="1" ht="38.1" customHeight="1">
      <c r="A9" s="1168" t="s">
        <v>1032</v>
      </c>
      <c r="B9" s="1169" t="s">
        <v>7</v>
      </c>
      <c r="C9" s="1168" t="s">
        <v>998</v>
      </c>
      <c r="D9" s="1168" t="s">
        <v>2973</v>
      </c>
      <c r="E9" s="1168" t="s">
        <v>2988</v>
      </c>
      <c r="F9" s="1168" t="s">
        <v>2982</v>
      </c>
      <c r="G9" s="1166">
        <v>1</v>
      </c>
      <c r="H9" s="1166">
        <v>135000</v>
      </c>
      <c r="I9" s="1169">
        <v>135000</v>
      </c>
    </row>
    <row r="10" spans="1:9" s="1165" customFormat="1" ht="38.1" customHeight="1">
      <c r="A10" s="1168" t="s">
        <v>1030</v>
      </c>
      <c r="B10" s="1169" t="s">
        <v>7</v>
      </c>
      <c r="C10" s="1168" t="s">
        <v>1001</v>
      </c>
      <c r="D10" s="1168" t="s">
        <v>2973</v>
      </c>
      <c r="E10" s="1166" t="s">
        <v>2986</v>
      </c>
      <c r="F10" s="1166" t="s">
        <v>2987</v>
      </c>
      <c r="G10" s="1166">
        <v>1</v>
      </c>
      <c r="H10" s="1166">
        <v>150000</v>
      </c>
      <c r="I10" s="1169">
        <v>150000</v>
      </c>
    </row>
    <row r="11" spans="1:9" s="1165" customFormat="1" ht="38.1" customHeight="1">
      <c r="A11" s="1168"/>
      <c r="B11" s="1170" t="s">
        <v>259</v>
      </c>
      <c r="C11" s="1168"/>
      <c r="D11" s="1168"/>
      <c r="E11" s="1166"/>
      <c r="F11" s="1166"/>
      <c r="G11" s="1166"/>
      <c r="H11" s="1166"/>
      <c r="I11" s="1169">
        <f>SUBTOTAL(9,I8:I10)</f>
        <v>435000</v>
      </c>
    </row>
    <row r="12" spans="1:9" s="1165" customFormat="1" ht="38.1" customHeight="1">
      <c r="A12" s="1168" t="s">
        <v>468</v>
      </c>
      <c r="B12" s="1169" t="s">
        <v>6</v>
      </c>
      <c r="C12" s="1168" t="s">
        <v>998</v>
      </c>
      <c r="D12" s="1168" t="s">
        <v>2973</v>
      </c>
      <c r="E12" s="1166" t="s">
        <v>2986</v>
      </c>
      <c r="F12" s="1166" t="s">
        <v>2987</v>
      </c>
      <c r="G12" s="1166">
        <v>1</v>
      </c>
      <c r="H12" s="1166">
        <v>150000</v>
      </c>
      <c r="I12" s="1169">
        <v>150000</v>
      </c>
    </row>
    <row r="13" spans="1:9" s="1165" customFormat="1" ht="38.1" customHeight="1">
      <c r="A13" s="1168" t="s">
        <v>1020</v>
      </c>
      <c r="B13" s="1169" t="s">
        <v>6</v>
      </c>
      <c r="C13" s="1168" t="s">
        <v>1001</v>
      </c>
      <c r="D13" s="1168" t="s">
        <v>2973</v>
      </c>
      <c r="E13" s="1166" t="s">
        <v>2986</v>
      </c>
      <c r="F13" s="1166" t="s">
        <v>2987</v>
      </c>
      <c r="G13" s="1166">
        <v>1</v>
      </c>
      <c r="H13" s="1166">
        <v>150000</v>
      </c>
      <c r="I13" s="1169">
        <v>150000</v>
      </c>
    </row>
    <row r="14" spans="1:9" s="1165" customFormat="1" ht="38.1" customHeight="1">
      <c r="A14" s="1168"/>
      <c r="B14" s="1170" t="s">
        <v>258</v>
      </c>
      <c r="C14" s="1168"/>
      <c r="D14" s="1168"/>
      <c r="E14" s="1166"/>
      <c r="F14" s="1166"/>
      <c r="G14" s="1166"/>
      <c r="H14" s="1166"/>
      <c r="I14" s="1169">
        <f>SUBTOTAL(9,I12:I13)</f>
        <v>300000</v>
      </c>
    </row>
    <row r="15" spans="1:9" s="1165" customFormat="1" ht="38.1" customHeight="1">
      <c r="A15" s="1166" t="s">
        <v>234</v>
      </c>
      <c r="B15" s="1166" t="s">
        <v>5</v>
      </c>
      <c r="C15" s="1168" t="s">
        <v>998</v>
      </c>
      <c r="D15" s="1168" t="s">
        <v>2973</v>
      </c>
      <c r="E15" s="1166" t="s">
        <v>2989</v>
      </c>
      <c r="F15" s="1166" t="s">
        <v>2990</v>
      </c>
      <c r="G15" s="1166">
        <v>1</v>
      </c>
      <c r="H15" s="1166">
        <v>100000</v>
      </c>
      <c r="I15" s="1169">
        <f>G15*H15</f>
        <v>100000</v>
      </c>
    </row>
    <row r="16" spans="1:9" s="1165" customFormat="1" ht="38.1" customHeight="1">
      <c r="A16" s="1166" t="s">
        <v>234</v>
      </c>
      <c r="B16" s="1166" t="s">
        <v>5</v>
      </c>
      <c r="C16" s="1168" t="s">
        <v>998</v>
      </c>
      <c r="D16" s="1168" t="s">
        <v>2973</v>
      </c>
      <c r="E16" s="1166" t="s">
        <v>2984</v>
      </c>
      <c r="F16" s="1166" t="s">
        <v>2985</v>
      </c>
      <c r="G16" s="1166">
        <v>1</v>
      </c>
      <c r="H16" s="1166">
        <v>100000</v>
      </c>
      <c r="I16" s="1169">
        <f>G16*H16</f>
        <v>100000</v>
      </c>
    </row>
    <row r="17" spans="1:40" s="1165" customFormat="1" ht="38.1" customHeight="1">
      <c r="A17" s="1168" t="s">
        <v>233</v>
      </c>
      <c r="B17" s="1168" t="s">
        <v>5</v>
      </c>
      <c r="C17" s="1168" t="s">
        <v>998</v>
      </c>
      <c r="D17" s="1168" t="s">
        <v>2973</v>
      </c>
      <c r="E17" s="1166" t="s">
        <v>2986</v>
      </c>
      <c r="F17" s="1166" t="s">
        <v>2987</v>
      </c>
      <c r="G17" s="1166">
        <v>1</v>
      </c>
      <c r="H17" s="1166">
        <v>150000</v>
      </c>
      <c r="I17" s="1169">
        <v>150000</v>
      </c>
    </row>
    <row r="18" spans="1:40" s="1165" customFormat="1" ht="38.1" customHeight="1">
      <c r="A18" s="1168" t="s">
        <v>229</v>
      </c>
      <c r="B18" s="1168" t="s">
        <v>5</v>
      </c>
      <c r="C18" s="1168" t="s">
        <v>1001</v>
      </c>
      <c r="D18" s="1168" t="s">
        <v>2973</v>
      </c>
      <c r="E18" s="1166" t="s">
        <v>2984</v>
      </c>
      <c r="F18" s="1166" t="s">
        <v>2985</v>
      </c>
      <c r="G18" s="1166">
        <v>1</v>
      </c>
      <c r="H18" s="1166">
        <v>100000</v>
      </c>
      <c r="I18" s="1169">
        <v>100000</v>
      </c>
    </row>
    <row r="19" spans="1:40" s="1165" customFormat="1" ht="38.1" customHeight="1">
      <c r="A19" s="1168"/>
      <c r="B19" s="1171" t="s">
        <v>257</v>
      </c>
      <c r="C19" s="1168"/>
      <c r="D19" s="1168"/>
      <c r="E19" s="1166"/>
      <c r="F19" s="1166"/>
      <c r="G19" s="1166"/>
      <c r="H19" s="1166"/>
      <c r="I19" s="1169">
        <f>SUBTOTAL(9,I15:I18)</f>
        <v>450000</v>
      </c>
    </row>
    <row r="20" spans="1:40" s="1165" customFormat="1" ht="38.1" customHeight="1">
      <c r="A20" s="1168" t="s">
        <v>237</v>
      </c>
      <c r="B20" s="1168" t="s">
        <v>4</v>
      </c>
      <c r="C20" s="1168" t="s">
        <v>1001</v>
      </c>
      <c r="D20" s="1166" t="s">
        <v>2973</v>
      </c>
      <c r="E20" s="1168" t="s">
        <v>2991</v>
      </c>
      <c r="F20" s="1168" t="s">
        <v>2992</v>
      </c>
      <c r="G20" s="1168">
        <v>1</v>
      </c>
      <c r="H20" s="1168">
        <v>70000</v>
      </c>
      <c r="I20" s="1169">
        <v>70000</v>
      </c>
    </row>
    <row r="21" spans="1:40" s="1165" customFormat="1" ht="38.1" customHeight="1">
      <c r="A21" s="1168" t="s">
        <v>241</v>
      </c>
      <c r="B21" s="1168" t="s">
        <v>4</v>
      </c>
      <c r="C21" s="1168" t="s">
        <v>998</v>
      </c>
      <c r="D21" s="1166" t="s">
        <v>2973</v>
      </c>
      <c r="E21" s="1168" t="s">
        <v>2991</v>
      </c>
      <c r="F21" s="1168" t="s">
        <v>2992</v>
      </c>
      <c r="G21" s="1168">
        <v>1</v>
      </c>
      <c r="H21" s="1168">
        <v>100000</v>
      </c>
      <c r="I21" s="1169">
        <v>100000</v>
      </c>
    </row>
    <row r="22" spans="1:40" s="1165" customFormat="1" ht="38.1" customHeight="1">
      <c r="A22" s="1168" t="s">
        <v>2993</v>
      </c>
      <c r="B22" s="1168" t="s">
        <v>4</v>
      </c>
      <c r="C22" s="1168" t="s">
        <v>1001</v>
      </c>
      <c r="D22" s="1168" t="s">
        <v>2972</v>
      </c>
      <c r="E22" s="1168" t="s">
        <v>2991</v>
      </c>
      <c r="F22" s="1168" t="s">
        <v>2992</v>
      </c>
      <c r="G22" s="1168">
        <v>1</v>
      </c>
      <c r="H22" s="1168">
        <v>90000</v>
      </c>
      <c r="I22" s="1169">
        <v>90000</v>
      </c>
    </row>
    <row r="23" spans="1:40" s="1165" customFormat="1" ht="38.1" customHeight="1">
      <c r="A23" s="1166" t="s">
        <v>2994</v>
      </c>
      <c r="B23" s="1166" t="s">
        <v>4</v>
      </c>
      <c r="C23" s="1166" t="s">
        <v>2995</v>
      </c>
      <c r="D23" s="1166" t="s">
        <v>2972</v>
      </c>
      <c r="E23" s="1166" t="s">
        <v>2996</v>
      </c>
      <c r="F23" s="1166" t="s">
        <v>2997</v>
      </c>
      <c r="G23" s="1166">
        <v>1</v>
      </c>
      <c r="H23" s="1166">
        <v>100000</v>
      </c>
      <c r="I23" s="1169">
        <v>100000</v>
      </c>
    </row>
    <row r="24" spans="1:40" s="1165" customFormat="1" ht="38.1" customHeight="1" outlineLevel="2">
      <c r="A24" s="1166" t="s">
        <v>2994</v>
      </c>
      <c r="B24" s="1166" t="s">
        <v>4</v>
      </c>
      <c r="C24" s="1166" t="s">
        <v>2995</v>
      </c>
      <c r="D24" s="1166" t="s">
        <v>2972</v>
      </c>
      <c r="E24" s="1166" t="s">
        <v>2998</v>
      </c>
      <c r="F24" s="1166" t="s">
        <v>2982</v>
      </c>
      <c r="G24" s="1166">
        <v>1</v>
      </c>
      <c r="H24" s="1166">
        <v>120000</v>
      </c>
      <c r="I24" s="1169">
        <v>120000</v>
      </c>
    </row>
    <row r="25" spans="1:40" s="1172" customFormat="1" ht="38.1" customHeight="1" outlineLevel="2">
      <c r="A25" s="1168" t="s">
        <v>237</v>
      </c>
      <c r="B25" s="1166" t="s">
        <v>4</v>
      </c>
      <c r="C25" s="1168" t="s">
        <v>1001</v>
      </c>
      <c r="D25" s="1168" t="s">
        <v>2973</v>
      </c>
      <c r="E25" s="1166" t="s">
        <v>2984</v>
      </c>
      <c r="F25" s="1166" t="s">
        <v>2985</v>
      </c>
      <c r="G25" s="1166">
        <v>1</v>
      </c>
      <c r="H25" s="1166">
        <v>100000</v>
      </c>
      <c r="I25" s="1169">
        <v>100000</v>
      </c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5"/>
      <c r="Z25" s="1165"/>
      <c r="AA25" s="1165"/>
      <c r="AB25" s="1165"/>
      <c r="AC25" s="1165"/>
      <c r="AD25" s="1165"/>
      <c r="AE25" s="1165"/>
      <c r="AF25" s="1165"/>
      <c r="AG25" s="1165"/>
      <c r="AH25" s="1165"/>
      <c r="AI25" s="1165"/>
      <c r="AJ25" s="1165"/>
      <c r="AK25" s="1165"/>
      <c r="AL25" s="1165"/>
      <c r="AM25" s="1165"/>
      <c r="AN25" s="1165"/>
    </row>
    <row r="26" spans="1:40" s="1165" customFormat="1" ht="38.1" customHeight="1">
      <c r="A26" s="1166" t="s">
        <v>2993</v>
      </c>
      <c r="B26" s="1166" t="s">
        <v>4</v>
      </c>
      <c r="C26" s="1166" t="s">
        <v>1001</v>
      </c>
      <c r="D26" s="1166" t="s">
        <v>2972</v>
      </c>
      <c r="E26" s="1166" t="s">
        <v>2981</v>
      </c>
      <c r="F26" s="1166" t="s">
        <v>2982</v>
      </c>
      <c r="G26" s="1166">
        <v>1</v>
      </c>
      <c r="H26" s="1166">
        <v>185000</v>
      </c>
      <c r="I26" s="1169">
        <v>185000</v>
      </c>
    </row>
    <row r="27" spans="1:40" s="1165" customFormat="1" ht="38.1" customHeight="1">
      <c r="A27" s="1166" t="s">
        <v>237</v>
      </c>
      <c r="B27" s="1166" t="s">
        <v>4</v>
      </c>
      <c r="C27" s="1166" t="s">
        <v>1001</v>
      </c>
      <c r="D27" s="1166" t="s">
        <v>2973</v>
      </c>
      <c r="E27" s="1166" t="s">
        <v>2981</v>
      </c>
      <c r="F27" s="1166" t="s">
        <v>2982</v>
      </c>
      <c r="G27" s="1166">
        <v>1</v>
      </c>
      <c r="H27" s="1166">
        <v>180000</v>
      </c>
      <c r="I27" s="1169">
        <v>180000</v>
      </c>
    </row>
    <row r="28" spans="1:40" s="1165" customFormat="1" ht="38.1" customHeight="1">
      <c r="A28" s="1166" t="s">
        <v>241</v>
      </c>
      <c r="B28" s="1166" t="s">
        <v>4</v>
      </c>
      <c r="C28" s="1166" t="s">
        <v>998</v>
      </c>
      <c r="D28" s="1166" t="s">
        <v>2973</v>
      </c>
      <c r="E28" s="1166" t="s">
        <v>2981</v>
      </c>
      <c r="F28" s="1166" t="s">
        <v>2982</v>
      </c>
      <c r="G28" s="1166">
        <v>1</v>
      </c>
      <c r="H28" s="1166">
        <v>365000</v>
      </c>
      <c r="I28" s="1169">
        <v>365000</v>
      </c>
    </row>
    <row r="29" spans="1:40" s="1165" customFormat="1" ht="38.1" customHeight="1">
      <c r="A29" s="1166" t="s">
        <v>241</v>
      </c>
      <c r="B29" s="1166" t="s">
        <v>4</v>
      </c>
      <c r="C29" s="1166" t="s">
        <v>998</v>
      </c>
      <c r="D29" s="1166" t="s">
        <v>2973</v>
      </c>
      <c r="E29" s="1166" t="s">
        <v>2986</v>
      </c>
      <c r="F29" s="1166" t="s">
        <v>2987</v>
      </c>
      <c r="G29" s="1166">
        <v>1</v>
      </c>
      <c r="H29" s="1166">
        <v>150000</v>
      </c>
      <c r="I29" s="1169">
        <v>150000</v>
      </c>
    </row>
    <row r="30" spans="1:40" s="1165" customFormat="1" ht="38.1" customHeight="1">
      <c r="A30" s="1166"/>
      <c r="B30" s="1163" t="s">
        <v>256</v>
      </c>
      <c r="C30" s="1166"/>
      <c r="D30" s="1166"/>
      <c r="E30" s="1166"/>
      <c r="F30" s="1166"/>
      <c r="G30" s="1166"/>
      <c r="H30" s="1166"/>
      <c r="I30" s="1169">
        <f>SUBTOTAL(9,I20:I29)</f>
        <v>1460000</v>
      </c>
    </row>
    <row r="31" spans="1:40" s="1165" customFormat="1" ht="38.1" customHeight="1">
      <c r="A31" s="1168" t="s">
        <v>249</v>
      </c>
      <c r="B31" s="1168" t="s">
        <v>9</v>
      </c>
      <c r="C31" s="1168" t="s">
        <v>998</v>
      </c>
      <c r="D31" s="1168" t="s">
        <v>2973</v>
      </c>
      <c r="E31" s="1168" t="s">
        <v>2991</v>
      </c>
      <c r="F31" s="1168" t="s">
        <v>2992</v>
      </c>
      <c r="G31" s="1168">
        <v>1</v>
      </c>
      <c r="H31" s="1168">
        <v>50000</v>
      </c>
      <c r="I31" s="1169">
        <f t="shared" ref="I31" si="0">G31*H31</f>
        <v>50000</v>
      </c>
    </row>
    <row r="32" spans="1:40" s="1165" customFormat="1" ht="38.1" customHeight="1">
      <c r="A32" s="1168" t="s">
        <v>247</v>
      </c>
      <c r="B32" s="1168" t="s">
        <v>9</v>
      </c>
      <c r="C32" s="1168" t="s">
        <v>1001</v>
      </c>
      <c r="D32" s="1168" t="s">
        <v>2973</v>
      </c>
      <c r="E32" s="1168" t="s">
        <v>2988</v>
      </c>
      <c r="F32" s="1168" t="s">
        <v>2982</v>
      </c>
      <c r="G32" s="1168">
        <v>1</v>
      </c>
      <c r="H32" s="1168">
        <v>150000</v>
      </c>
      <c r="I32" s="1169">
        <v>150000</v>
      </c>
    </row>
    <row r="33" spans="1:9" s="1165" customFormat="1" ht="38.1" customHeight="1">
      <c r="A33" s="1168" t="s">
        <v>725</v>
      </c>
      <c r="B33" s="1168" t="s">
        <v>9</v>
      </c>
      <c r="C33" s="1168" t="s">
        <v>998</v>
      </c>
      <c r="D33" s="1168" t="s">
        <v>2973</v>
      </c>
      <c r="E33" s="1168" t="s">
        <v>2988</v>
      </c>
      <c r="F33" s="1168" t="s">
        <v>2982</v>
      </c>
      <c r="G33" s="1168">
        <v>1</v>
      </c>
      <c r="H33" s="1168">
        <v>135000</v>
      </c>
      <c r="I33" s="1169">
        <v>135000</v>
      </c>
    </row>
    <row r="34" spans="1:9" s="1165" customFormat="1" ht="38.1" customHeight="1">
      <c r="A34" s="1168" t="s">
        <v>248</v>
      </c>
      <c r="B34" s="1168" t="s">
        <v>9</v>
      </c>
      <c r="C34" s="1168" t="s">
        <v>2983</v>
      </c>
      <c r="D34" s="1168" t="s">
        <v>2973</v>
      </c>
      <c r="E34" s="1168" t="s">
        <v>2988</v>
      </c>
      <c r="F34" s="1168" t="s">
        <v>2982</v>
      </c>
      <c r="G34" s="1168">
        <v>1</v>
      </c>
      <c r="H34" s="1168">
        <v>285000</v>
      </c>
      <c r="I34" s="1169">
        <v>285000</v>
      </c>
    </row>
    <row r="35" spans="1:9" s="1165" customFormat="1" ht="38.1" customHeight="1">
      <c r="A35" s="1168" t="s">
        <v>249</v>
      </c>
      <c r="B35" s="1168" t="s">
        <v>9</v>
      </c>
      <c r="C35" s="1168" t="s">
        <v>998</v>
      </c>
      <c r="D35" s="1168" t="s">
        <v>2973</v>
      </c>
      <c r="E35" s="1168" t="s">
        <v>2999</v>
      </c>
      <c r="F35" s="1168" t="s">
        <v>2982</v>
      </c>
      <c r="G35" s="1168">
        <v>1</v>
      </c>
      <c r="H35" s="1168">
        <v>315000</v>
      </c>
      <c r="I35" s="1169">
        <v>315000</v>
      </c>
    </row>
    <row r="36" spans="1:9" s="1165" customFormat="1" ht="38.1" customHeight="1">
      <c r="A36" s="1168" t="s">
        <v>250</v>
      </c>
      <c r="B36" s="1168" t="s">
        <v>9</v>
      </c>
      <c r="C36" s="1168" t="s">
        <v>998</v>
      </c>
      <c r="D36" s="1168" t="s">
        <v>2973</v>
      </c>
      <c r="E36" s="1168" t="s">
        <v>2986</v>
      </c>
      <c r="F36" s="1168" t="s">
        <v>2987</v>
      </c>
      <c r="G36" s="1168">
        <v>1</v>
      </c>
      <c r="H36" s="1168">
        <v>150000</v>
      </c>
      <c r="I36" s="1169">
        <v>150000</v>
      </c>
    </row>
    <row r="37" spans="1:9" s="1165" customFormat="1" ht="38.1" customHeight="1">
      <c r="A37" s="1168" t="s">
        <v>249</v>
      </c>
      <c r="B37" s="1168" t="s">
        <v>9</v>
      </c>
      <c r="C37" s="1168" t="s">
        <v>998</v>
      </c>
      <c r="D37" s="1168" t="s">
        <v>2973</v>
      </c>
      <c r="E37" s="1168" t="s">
        <v>2986</v>
      </c>
      <c r="F37" s="1168" t="s">
        <v>2987</v>
      </c>
      <c r="G37" s="1168">
        <v>1</v>
      </c>
      <c r="H37" s="1168">
        <v>150000</v>
      </c>
      <c r="I37" s="1169">
        <v>150000</v>
      </c>
    </row>
    <row r="38" spans="1:9" s="1165" customFormat="1" ht="38.1" customHeight="1">
      <c r="A38" s="1168"/>
      <c r="B38" s="1171" t="s">
        <v>261</v>
      </c>
      <c r="C38" s="1168"/>
      <c r="D38" s="1168"/>
      <c r="E38" s="1168"/>
      <c r="F38" s="1168"/>
      <c r="G38" s="1168"/>
      <c r="H38" s="1168"/>
      <c r="I38" s="1169">
        <f>SUBTOTAL(9,I31:I37)</f>
        <v>1235000</v>
      </c>
    </row>
    <row r="39" spans="1:9" s="1165" customFormat="1" ht="38.1" customHeight="1">
      <c r="A39" s="1168"/>
      <c r="B39" s="1171" t="s">
        <v>252</v>
      </c>
      <c r="C39" s="1168"/>
      <c r="D39" s="1168"/>
      <c r="E39" s="1168"/>
      <c r="F39" s="1168"/>
      <c r="G39" s="1168"/>
      <c r="H39" s="1168"/>
      <c r="I39" s="1169">
        <f>I38+I30+I19+I14+I11+I7+I4</f>
        <v>4315000</v>
      </c>
    </row>
    <row r="40" spans="1:9">
      <c r="B40" s="1174"/>
    </row>
    <row r="41" spans="1:9">
      <c r="B41" s="1174"/>
    </row>
    <row r="42" spans="1:9">
      <c r="B42" s="1174"/>
    </row>
    <row r="43" spans="1:9">
      <c r="B43" s="1174"/>
    </row>
    <row r="44" spans="1:9">
      <c r="B44" s="1174"/>
    </row>
    <row r="45" spans="1:9">
      <c r="B45" s="1174"/>
    </row>
    <row r="46" spans="1:9">
      <c r="B46" s="1174"/>
    </row>
    <row r="47" spans="1:9">
      <c r="B47" s="1174"/>
    </row>
    <row r="48" spans="1:9">
      <c r="B48" s="1174"/>
    </row>
    <row r="49" spans="2:2">
      <c r="B49" s="1174"/>
    </row>
    <row r="50" spans="2:2">
      <c r="B50" s="1174"/>
    </row>
    <row r="51" spans="2:2">
      <c r="B51" s="1174"/>
    </row>
    <row r="52" spans="2:2">
      <c r="B52" s="1174"/>
    </row>
  </sheetData>
  <autoFilter ref="A2:AN39"/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B1" workbookViewId="0">
      <pane xSplit="3" ySplit="4" topLeftCell="E5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0" style="21" hidden="1" customWidth="1"/>
    <col min="2" max="2" width="32.375" style="3" customWidth="1"/>
    <col min="3" max="3" width="13.25" style="3" hidden="1" customWidth="1"/>
    <col min="4" max="4" width="0.125" style="1293" hidden="1" customWidth="1"/>
    <col min="5" max="13" width="13.625" style="3" customWidth="1"/>
    <col min="14" max="14" width="15" style="3" customWidth="1"/>
    <col min="15" max="15" width="15.625" style="3" hidden="1" customWidth="1"/>
    <col min="16" max="16" width="15" style="23" customWidth="1"/>
    <col min="17" max="17" width="14.25" style="3" customWidth="1"/>
    <col min="18" max="18" width="17" style="3" customWidth="1"/>
    <col min="19" max="16384" width="9" style="3"/>
  </cols>
  <sheetData>
    <row r="1" spans="1:17" ht="24.95" customHeight="1">
      <c r="A1" s="1361" t="s">
        <v>3077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604"/>
      <c r="Q1" s="1604"/>
    </row>
    <row r="2" spans="1:17" ht="20.100000000000001" customHeight="1">
      <c r="A2" s="1292"/>
      <c r="B2" s="1292"/>
      <c r="C2" s="1292"/>
      <c r="D2" s="1292"/>
      <c r="E2" s="1292"/>
      <c r="F2" s="1292"/>
      <c r="G2" s="1292"/>
      <c r="H2" s="1292"/>
      <c r="I2" s="1292"/>
      <c r="J2" s="1292"/>
      <c r="K2" s="1292"/>
      <c r="L2" s="1292"/>
      <c r="M2" s="1292"/>
      <c r="O2" s="1184" t="s">
        <v>3000</v>
      </c>
      <c r="Q2" s="1252" t="s">
        <v>3000</v>
      </c>
    </row>
    <row r="3" spans="1:17" s="1200" customFormat="1" ht="18" customHeight="1">
      <c r="A3" s="1605" t="s">
        <v>12</v>
      </c>
      <c r="B3" s="1605" t="s">
        <v>13</v>
      </c>
      <c r="C3" s="1605" t="s">
        <v>14</v>
      </c>
      <c r="D3" s="1605" t="s">
        <v>15</v>
      </c>
      <c r="E3" s="1600" t="s">
        <v>2727</v>
      </c>
      <c r="F3" s="1600" t="s">
        <v>2376</v>
      </c>
      <c r="G3" s="1600" t="s">
        <v>2721</v>
      </c>
      <c r="H3" s="1600" t="s">
        <v>2725</v>
      </c>
      <c r="I3" s="1600" t="s">
        <v>1663</v>
      </c>
      <c r="J3" s="1600" t="s">
        <v>1662</v>
      </c>
      <c r="K3" s="1600" t="s">
        <v>1661</v>
      </c>
      <c r="L3" s="1600" t="s">
        <v>1665</v>
      </c>
      <c r="M3" s="1600" t="s">
        <v>2722</v>
      </c>
      <c r="N3" s="1600" t="s">
        <v>17</v>
      </c>
      <c r="O3" s="1600" t="s">
        <v>18</v>
      </c>
      <c r="P3" s="1603" t="s">
        <v>3079</v>
      </c>
      <c r="Q3" s="1603" t="s">
        <v>3080</v>
      </c>
    </row>
    <row r="4" spans="1:17" s="1200" customFormat="1" ht="18" customHeight="1">
      <c r="A4" s="1606"/>
      <c r="B4" s="1606"/>
      <c r="C4" s="1606"/>
      <c r="D4" s="1606"/>
      <c r="E4" s="1602"/>
      <c r="F4" s="1602" t="s">
        <v>460</v>
      </c>
      <c r="G4" s="1602" t="s">
        <v>460</v>
      </c>
      <c r="H4" s="1602" t="s">
        <v>3071</v>
      </c>
      <c r="I4" s="1602" t="s">
        <v>3083</v>
      </c>
      <c r="J4" s="1602"/>
      <c r="K4" s="1602"/>
      <c r="L4" s="1602"/>
      <c r="M4" s="1602"/>
      <c r="N4" s="1601"/>
      <c r="O4" s="1601"/>
      <c r="P4" s="1603"/>
      <c r="Q4" s="1603"/>
    </row>
    <row r="5" spans="1:17" ht="18" customHeight="1">
      <c r="A5" s="66" t="s">
        <v>19</v>
      </c>
      <c r="B5" s="61" t="s">
        <v>20</v>
      </c>
      <c r="C5" s="61"/>
      <c r="D5" s="62" t="s">
        <v>21</v>
      </c>
      <c r="E5" s="1201">
        <f>莘庄基本支出调整!J5</f>
        <v>66233604.25</v>
      </c>
      <c r="F5" s="1201">
        <f>吴泾基本支出调整!J5</f>
        <v>41172941.670000002</v>
      </c>
      <c r="G5" s="1201">
        <f>七宝基本支出调整!Y5</f>
        <v>455124067.59000015</v>
      </c>
      <c r="H5" s="1201">
        <f>浦江基本支出调整!X5</f>
        <v>282675304.35000002</v>
      </c>
      <c r="I5" s="1201">
        <f>梅陇基本支出调整!U5</f>
        <v>236038157.57999998</v>
      </c>
      <c r="J5" s="1201">
        <f>马桥基本支出调整!Q5</f>
        <v>179423093.32999998</v>
      </c>
      <c r="K5" s="1201">
        <f>华漕基本支出调整!N5</f>
        <v>159729533.29999998</v>
      </c>
      <c r="L5" s="1201">
        <f>颛桥基本支出调整!T5</f>
        <v>265486324.84000003</v>
      </c>
      <c r="M5" s="1201">
        <f>虹桥基本支出调整!P5</f>
        <v>144104747.44999999</v>
      </c>
      <c r="N5" s="1201">
        <f>E5+F5+G5+H5+I5+J5+K5+L5+M5</f>
        <v>1829987774.3599999</v>
      </c>
      <c r="O5" s="1202"/>
      <c r="P5" s="1203">
        <v>3094829226.2199998</v>
      </c>
      <c r="Q5" s="1203">
        <f>N5-P5</f>
        <v>-1264841451.8599999</v>
      </c>
    </row>
    <row r="6" spans="1:17" ht="18" customHeight="1">
      <c r="A6" s="66" t="s">
        <v>22</v>
      </c>
      <c r="B6" s="61" t="s">
        <v>0</v>
      </c>
      <c r="C6" s="61"/>
      <c r="D6" s="62" t="s">
        <v>21</v>
      </c>
      <c r="E6" s="1185">
        <f>莘庄基本支出调整!J6</f>
        <v>47522033.140000001</v>
      </c>
      <c r="F6" s="1185">
        <f>吴泾基本支出调整!J6</f>
        <v>28949676.799999997</v>
      </c>
      <c r="G6" s="1185">
        <f>七宝基本支出调整!Y6</f>
        <v>328391312.5200001</v>
      </c>
      <c r="H6" s="1185">
        <f>浦江基本支出调整!X6</f>
        <v>194956451.55000001</v>
      </c>
      <c r="I6" s="1185">
        <f>梅陇基本支出调整!U6</f>
        <v>169162649.49000001</v>
      </c>
      <c r="J6" s="1185">
        <f>马桥基本支出调整!Q6</f>
        <v>129301337.13</v>
      </c>
      <c r="K6" s="1185">
        <f>华漕基本支出调整!N6</f>
        <v>111365377.67999999</v>
      </c>
      <c r="L6" s="1185">
        <f>颛桥基本支出调整!T6</f>
        <v>189908369.37</v>
      </c>
      <c r="M6" s="1185">
        <f>虹桥基本支出调整!P6</f>
        <v>103414650.75</v>
      </c>
      <c r="N6" s="1185">
        <f t="shared" ref="N6:N69" si="0">E6+F6+G6+H6+I6+J6+K6+L6+M6</f>
        <v>1302971858.4300001</v>
      </c>
      <c r="O6" s="62"/>
      <c r="P6" s="1203">
        <v>2579941027.0599999</v>
      </c>
      <c r="Q6" s="1203">
        <f t="shared" ref="Q6:Q69" si="1">N6-P6</f>
        <v>-1276969168.6299999</v>
      </c>
    </row>
    <row r="7" spans="1:17" ht="18" customHeight="1">
      <c r="A7" s="66" t="s">
        <v>23</v>
      </c>
      <c r="B7" s="61" t="s">
        <v>24</v>
      </c>
      <c r="C7" s="61"/>
      <c r="D7" s="62" t="s">
        <v>21</v>
      </c>
      <c r="E7" s="1185">
        <f>莘庄基本支出调整!J7</f>
        <v>15237517</v>
      </c>
      <c r="F7" s="1185">
        <f>吴泾基本支出调整!J7</f>
        <v>9456359.129999999</v>
      </c>
      <c r="G7" s="1185">
        <f>七宝基本支出调整!Y7</f>
        <v>102836563.05</v>
      </c>
      <c r="H7" s="1185">
        <f>浦江基本支出调整!X7</f>
        <v>57492848.259999998</v>
      </c>
      <c r="I7" s="1185">
        <f>梅陇基本支出调整!U7</f>
        <v>52928123.799999997</v>
      </c>
      <c r="J7" s="1185">
        <f>马桥基本支出调整!Q7</f>
        <v>39311268.460000001</v>
      </c>
      <c r="K7" s="1185">
        <f>华漕基本支出调整!N7</f>
        <v>36250360</v>
      </c>
      <c r="L7" s="1185">
        <f>颛桥基本支出调整!T7</f>
        <v>57781802.18</v>
      </c>
      <c r="M7" s="1185">
        <f>虹桥基本支出调整!P7</f>
        <v>32955750</v>
      </c>
      <c r="N7" s="1185">
        <f t="shared" si="0"/>
        <v>404250591.88</v>
      </c>
      <c r="O7" s="62"/>
      <c r="P7" s="1203">
        <v>335795502.43000001</v>
      </c>
      <c r="Q7" s="1203">
        <f t="shared" si="1"/>
        <v>68455089.449999988</v>
      </c>
    </row>
    <row r="8" spans="1:17" ht="18" customHeight="1">
      <c r="A8" s="66" t="s">
        <v>25</v>
      </c>
      <c r="B8" s="61" t="s">
        <v>26</v>
      </c>
      <c r="C8" s="61" t="s">
        <v>27</v>
      </c>
      <c r="D8" s="62" t="s">
        <v>28</v>
      </c>
      <c r="E8" s="1185">
        <f>莘庄基本支出调整!J8</f>
        <v>8355787</v>
      </c>
      <c r="F8" s="1185">
        <f>吴泾基本支出调整!J8</f>
        <v>5234064.24</v>
      </c>
      <c r="G8" s="1185">
        <f>七宝基本支出调整!Y8</f>
        <v>57963060.279999994</v>
      </c>
      <c r="H8" s="1185">
        <f>浦江基本支出调整!X8</f>
        <v>34694155.200000003</v>
      </c>
      <c r="I8" s="1185">
        <f>梅陇基本支出调整!U8</f>
        <v>29179475.199999999</v>
      </c>
      <c r="J8" s="1185">
        <f>马桥基本支出调整!Q8</f>
        <v>22056049.600000001</v>
      </c>
      <c r="K8" s="1185">
        <f>华漕基本支出调整!N8</f>
        <v>19106849</v>
      </c>
      <c r="L8" s="1185">
        <f>颛桥基本支出调整!T8</f>
        <v>32335510.879999999</v>
      </c>
      <c r="M8" s="1185">
        <f>虹桥基本支出调整!P8</f>
        <v>17704035</v>
      </c>
      <c r="N8" s="1185">
        <f t="shared" si="0"/>
        <v>226628986.39999998</v>
      </c>
      <c r="O8" s="1192"/>
      <c r="P8" s="1203">
        <v>192771165.61000001</v>
      </c>
      <c r="Q8" s="1203">
        <f t="shared" si="1"/>
        <v>33857820.789999962</v>
      </c>
    </row>
    <row r="9" spans="1:17" ht="18" customHeight="1">
      <c r="A9" s="66" t="s">
        <v>29</v>
      </c>
      <c r="B9" s="61" t="s">
        <v>30</v>
      </c>
      <c r="C9" s="61" t="s">
        <v>27</v>
      </c>
      <c r="D9" s="62" t="s">
        <v>28</v>
      </c>
      <c r="E9" s="1185">
        <f>莘庄基本支出调整!J9</f>
        <v>6881729.9999999991</v>
      </c>
      <c r="F9" s="1185">
        <f>吴泾基本支出调整!J9</f>
        <v>4222294.8899999997</v>
      </c>
      <c r="G9" s="1185">
        <f>七宝基本支出调整!Y9</f>
        <v>44873502.770000003</v>
      </c>
      <c r="H9" s="1185">
        <f>浦江基本支出调整!X9</f>
        <v>22798693.059999999</v>
      </c>
      <c r="I9" s="1185">
        <f>梅陇基本支出调整!U9</f>
        <v>23748648.600000001</v>
      </c>
      <c r="J9" s="1185">
        <f>马桥基本支出调整!Q9</f>
        <v>17255218.859999999</v>
      </c>
      <c r="K9" s="1185">
        <f>华漕基本支出调整!N9</f>
        <v>17143511</v>
      </c>
      <c r="L9" s="1185">
        <f>颛桥基本支出调整!T9</f>
        <v>25446291.300000001</v>
      </c>
      <c r="M9" s="1185">
        <f>虹桥基本支出调整!P9</f>
        <v>15251715</v>
      </c>
      <c r="N9" s="1185">
        <f t="shared" si="0"/>
        <v>177621605.48000002</v>
      </c>
      <c r="O9" s="62"/>
      <c r="P9" s="1203">
        <v>143024336.81999999</v>
      </c>
      <c r="Q9" s="1203">
        <f t="shared" si="1"/>
        <v>34597268.660000026</v>
      </c>
    </row>
    <row r="10" spans="1:17" ht="18" customHeight="1">
      <c r="A10" s="66" t="s">
        <v>31</v>
      </c>
      <c r="B10" s="61" t="s">
        <v>32</v>
      </c>
      <c r="C10" s="61"/>
      <c r="D10" s="62" t="s">
        <v>21</v>
      </c>
      <c r="E10" s="1185">
        <f>莘庄基本支出调整!J10</f>
        <v>1408256</v>
      </c>
      <c r="F10" s="1185">
        <f>吴泾基本支出调整!J10</f>
        <v>874984</v>
      </c>
      <c r="G10" s="1185">
        <f>七宝基本支出调整!Y10</f>
        <v>9554442</v>
      </c>
      <c r="H10" s="1185">
        <f>浦江基本支出调整!X10</f>
        <v>5865357.4699999997</v>
      </c>
      <c r="I10" s="1185">
        <f>梅陇基本支出调整!U10</f>
        <v>4894740.5999999996</v>
      </c>
      <c r="J10" s="1185">
        <f>马桥基本支出调整!Q10</f>
        <v>3753801</v>
      </c>
      <c r="K10" s="1185">
        <f>华漕基本支出调整!N10</f>
        <v>3166421</v>
      </c>
      <c r="L10" s="1185">
        <f>颛桥基本支出调整!T10</f>
        <v>5464148.4000000004</v>
      </c>
      <c r="M10" s="1185">
        <f>虹桥基本支出调整!P10</f>
        <v>2884113</v>
      </c>
      <c r="N10" s="1185">
        <f t="shared" si="0"/>
        <v>37866263.469999999</v>
      </c>
      <c r="O10" s="62"/>
      <c r="P10" s="1203">
        <v>39034144.200000003</v>
      </c>
      <c r="Q10" s="1203">
        <f t="shared" si="1"/>
        <v>-1167880.7300000042</v>
      </c>
    </row>
    <row r="11" spans="1:17" ht="18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5">
        <f>莘庄基本支出调整!J11</f>
        <v>26656</v>
      </c>
      <c r="F11" s="1185">
        <f>吴泾基本支出调整!J11</f>
        <v>11924</v>
      </c>
      <c r="G11" s="1185">
        <f>七宝基本支出调整!Y11</f>
        <v>121504</v>
      </c>
      <c r="H11" s="1185">
        <f>浦江基本支出调整!X11</f>
        <v>83342.850000000006</v>
      </c>
      <c r="I11" s="1185">
        <f>梅陇基本支出调整!U11</f>
        <v>85100.6</v>
      </c>
      <c r="J11" s="1185">
        <f>马桥基本支出调整!Q11</f>
        <v>50828</v>
      </c>
      <c r="K11" s="1185">
        <f>华漕基本支出调整!N11</f>
        <v>62221</v>
      </c>
      <c r="L11" s="1185">
        <f>颛桥基本支出调整!T11</f>
        <v>75008.399999999994</v>
      </c>
      <c r="M11" s="1185">
        <f>虹桥基本支出调整!P11</f>
        <v>43913</v>
      </c>
      <c r="N11" s="1185">
        <f t="shared" si="0"/>
        <v>560497.85</v>
      </c>
      <c r="O11" s="62"/>
      <c r="P11" s="1203">
        <v>1123744.2</v>
      </c>
      <c r="Q11" s="1203">
        <f t="shared" si="1"/>
        <v>-563246.35</v>
      </c>
    </row>
    <row r="12" spans="1:17" ht="18" customHeight="1">
      <c r="A12" s="66" t="s">
        <v>35</v>
      </c>
      <c r="B12" s="61" t="s">
        <v>36</v>
      </c>
      <c r="C12" s="61"/>
      <c r="D12" s="62" t="s">
        <v>21</v>
      </c>
      <c r="E12" s="1185">
        <f>莘庄基本支出调整!J12</f>
        <v>1381600</v>
      </c>
      <c r="F12" s="1185">
        <f>吴泾基本支出调整!J12</f>
        <v>863060</v>
      </c>
      <c r="G12" s="1185">
        <f>七宝基本支出调整!Y12</f>
        <v>9432938</v>
      </c>
      <c r="H12" s="1185">
        <f>浦江基本支出调整!X12</f>
        <v>5782014.6200000001</v>
      </c>
      <c r="I12" s="1185">
        <f>梅陇基本支出调整!U12</f>
        <v>4809640</v>
      </c>
      <c r="J12" s="1185">
        <f>马桥基本支出调整!Q12</f>
        <v>3702973</v>
      </c>
      <c r="K12" s="1185">
        <f>华漕基本支出调整!N12</f>
        <v>3104200</v>
      </c>
      <c r="L12" s="1185">
        <f>颛桥基本支出调整!T12</f>
        <v>5389140</v>
      </c>
      <c r="M12" s="1185">
        <f>虹桥基本支出调整!P12</f>
        <v>2840200</v>
      </c>
      <c r="N12" s="1185">
        <f t="shared" si="0"/>
        <v>37305765.620000005</v>
      </c>
      <c r="O12" s="62"/>
      <c r="P12" s="1203">
        <v>37910400</v>
      </c>
      <c r="Q12" s="1203">
        <f t="shared" si="1"/>
        <v>-604634.37999999523</v>
      </c>
    </row>
    <row r="13" spans="1:17" ht="18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5">
        <f>莘庄基本支出调整!J13</f>
        <v>1381600</v>
      </c>
      <c r="F13" s="1185">
        <f>吴泾基本支出调整!J13</f>
        <v>863060</v>
      </c>
      <c r="G13" s="1185">
        <f>七宝基本支出调整!Y13</f>
        <v>9432938</v>
      </c>
      <c r="H13" s="1185">
        <f>浦江基本支出调整!X13</f>
        <v>5782014.6200000001</v>
      </c>
      <c r="I13" s="1185">
        <f>梅陇基本支出调整!U13</f>
        <v>4809640</v>
      </c>
      <c r="J13" s="1185">
        <f>马桥基本支出调整!Q13</f>
        <v>3702973</v>
      </c>
      <c r="K13" s="1185">
        <f>华漕基本支出调整!N13</f>
        <v>3104200</v>
      </c>
      <c r="L13" s="1185">
        <f>颛桥基本支出调整!T13</f>
        <v>5389140</v>
      </c>
      <c r="M13" s="1185">
        <f>虹桥基本支出调整!P13</f>
        <v>2840200</v>
      </c>
      <c r="N13" s="1185">
        <f t="shared" si="0"/>
        <v>37305765.620000005</v>
      </c>
      <c r="O13" s="62"/>
      <c r="P13" s="1203">
        <v>37910400</v>
      </c>
      <c r="Q13" s="1203">
        <f t="shared" si="1"/>
        <v>-604634.37999999523</v>
      </c>
    </row>
    <row r="14" spans="1:17" ht="18" customHeight="1">
      <c r="A14" s="66" t="s">
        <v>39</v>
      </c>
      <c r="B14" s="61" t="s">
        <v>40</v>
      </c>
      <c r="C14" s="61"/>
      <c r="D14" s="62" t="s">
        <v>41</v>
      </c>
      <c r="E14" s="1185">
        <f>莘庄基本支出调整!J14</f>
        <v>483403.03</v>
      </c>
      <c r="F14" s="1185">
        <f>吴泾基本支出调整!J14</f>
        <v>314919.84999999998</v>
      </c>
      <c r="G14" s="1185">
        <f>七宝基本支出调整!Y14</f>
        <v>3529525.5300000007</v>
      </c>
      <c r="H14" s="1185">
        <f>浦江基本支出调整!X14</f>
        <v>2012604.2000000004</v>
      </c>
      <c r="I14" s="1185">
        <f>梅陇基本支出调整!U14</f>
        <v>1773036.7600000002</v>
      </c>
      <c r="J14" s="1185">
        <f>马桥基本支出调整!Q14</f>
        <v>1369673.7399999998</v>
      </c>
      <c r="K14" s="1185">
        <f>华漕基本支出调整!N14</f>
        <v>1136261.51</v>
      </c>
      <c r="L14" s="1185">
        <f>颛桥基本支出调整!T14</f>
        <v>1968837.4799999997</v>
      </c>
      <c r="M14" s="1185">
        <f>虹桥基本支出调整!P14</f>
        <v>1114998</v>
      </c>
      <c r="N14" s="1185">
        <f t="shared" si="0"/>
        <v>13703260.100000001</v>
      </c>
      <c r="O14" s="62"/>
      <c r="P14" s="1203">
        <v>17295818.120000001</v>
      </c>
      <c r="Q14" s="1203">
        <f t="shared" si="1"/>
        <v>-3592558.0199999996</v>
      </c>
    </row>
    <row r="15" spans="1:17" ht="18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5">
        <f>莘庄基本支出调整!J15</f>
        <v>163008.27000000002</v>
      </c>
      <c r="F15" s="1185">
        <f>吴泾基本支出调整!J15</f>
        <v>122435.65</v>
      </c>
      <c r="G15" s="1185">
        <f>七宝基本支出调整!Y15</f>
        <v>1355899.71</v>
      </c>
      <c r="H15" s="1185">
        <f>浦江基本支出调整!X15</f>
        <v>688457.2699999999</v>
      </c>
      <c r="I15" s="1185">
        <f>梅陇基本支出调整!U15</f>
        <v>668510.58999999985</v>
      </c>
      <c r="J15" s="1185">
        <f>马桥基本支出调整!Q15</f>
        <v>504679.43</v>
      </c>
      <c r="K15" s="1185">
        <f>华漕基本支出调整!N15</f>
        <v>421940.47000000003</v>
      </c>
      <c r="L15" s="1185">
        <f>颛桥基本支出调整!T15</f>
        <v>716917.42</v>
      </c>
      <c r="M15" s="1185">
        <f>虹桥基本支出调整!P15</f>
        <v>432358</v>
      </c>
      <c r="N15" s="1185">
        <f t="shared" si="0"/>
        <v>5074206.8100000005</v>
      </c>
      <c r="O15" s="62"/>
      <c r="P15" s="1203">
        <v>8647909.0600000005</v>
      </c>
      <c r="Q15" s="1203">
        <f t="shared" si="1"/>
        <v>-3573702.25</v>
      </c>
    </row>
    <row r="16" spans="1:17" ht="18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5">
        <f>莘庄基本支出调整!J16</f>
        <v>320394.76</v>
      </c>
      <c r="F16" s="1185">
        <f>吴泾基本支出调整!J16</f>
        <v>192484.2</v>
      </c>
      <c r="G16" s="1185">
        <f>七宝基本支出调整!Y16</f>
        <v>2173625.8200000003</v>
      </c>
      <c r="H16" s="1185">
        <f>浦江基本支出调整!X16</f>
        <v>1324146.93</v>
      </c>
      <c r="I16" s="1185">
        <f>梅陇基本支出调整!U16</f>
        <v>1104526.17</v>
      </c>
      <c r="J16" s="1185">
        <f>马桥基本支出调整!Q16</f>
        <v>864994.31</v>
      </c>
      <c r="K16" s="1185">
        <f>华漕基本支出调整!N16</f>
        <v>714321.03999999992</v>
      </c>
      <c r="L16" s="1185">
        <f>颛桥基本支出调整!T16</f>
        <v>1251920.0599999998</v>
      </c>
      <c r="M16" s="1185">
        <f>虹桥基本支出调整!P16</f>
        <v>682640</v>
      </c>
      <c r="N16" s="1185">
        <f t="shared" si="0"/>
        <v>8629053.2899999991</v>
      </c>
      <c r="O16" s="62"/>
      <c r="P16" s="1203">
        <v>8647909.0600000005</v>
      </c>
      <c r="Q16" s="1203">
        <f t="shared" si="1"/>
        <v>-18855.770000001416</v>
      </c>
    </row>
    <row r="17" spans="1:17" ht="18" customHeight="1">
      <c r="A17" s="66" t="s">
        <v>46</v>
      </c>
      <c r="B17" s="61" t="s">
        <v>47</v>
      </c>
      <c r="C17" s="61"/>
      <c r="D17" s="62" t="s">
        <v>21</v>
      </c>
      <c r="E17" s="1185">
        <f>莘庄基本支出调整!J17</f>
        <v>4112995</v>
      </c>
      <c r="F17" s="1185">
        <f>吴泾基本支出调整!J17</f>
        <v>2459248.5</v>
      </c>
      <c r="G17" s="1185">
        <f>七宝基本支出调整!Y17</f>
        <v>33505983.5</v>
      </c>
      <c r="H17" s="1185">
        <f>浦江基本支出调整!X17</f>
        <v>21695597.879999999</v>
      </c>
      <c r="I17" s="1185">
        <f>梅陇基本支出调整!U17</f>
        <v>18244749.5</v>
      </c>
      <c r="J17" s="1185">
        <f>马桥基本支出调整!Q17</f>
        <v>13655902.25</v>
      </c>
      <c r="K17" s="1185">
        <f>华漕基本支出调整!N17</f>
        <v>11998007.25</v>
      </c>
      <c r="L17" s="1185">
        <f>颛桥基本支出调整!T17</f>
        <v>20965235.5</v>
      </c>
      <c r="M17" s="1185">
        <f>虹桥基本支出调整!P17</f>
        <v>10927125.75</v>
      </c>
      <c r="N17" s="1185">
        <f t="shared" si="0"/>
        <v>137564845.13</v>
      </c>
      <c r="O17" s="62"/>
      <c r="P17" s="1203">
        <v>1426799564</v>
      </c>
      <c r="Q17" s="1203">
        <f t="shared" si="1"/>
        <v>-1289234718.8699999</v>
      </c>
    </row>
    <row r="18" spans="1:17" ht="18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5">
        <f>莘庄基本支出调整!J18</f>
        <v>0</v>
      </c>
      <c r="F18" s="1185">
        <f>吴泾基本支出调整!J18</f>
        <v>0</v>
      </c>
      <c r="G18" s="1185">
        <f>七宝基本支出调整!Y18</f>
        <v>0</v>
      </c>
      <c r="H18" s="1185">
        <f>浦江基本支出调整!X18</f>
        <v>0</v>
      </c>
      <c r="I18" s="1185">
        <f>梅陇基本支出调整!U18</f>
        <v>0</v>
      </c>
      <c r="J18" s="1185">
        <f>马桥基本支出调整!Q18</f>
        <v>0</v>
      </c>
      <c r="K18" s="1185">
        <f>华漕基本支出调整!N18</f>
        <v>0</v>
      </c>
      <c r="L18" s="1185">
        <f>颛桥基本支出调整!T18</f>
        <v>0</v>
      </c>
      <c r="M18" s="1185">
        <f>虹桥基本支出调整!P18</f>
        <v>0</v>
      </c>
      <c r="N18" s="1185">
        <f t="shared" si="0"/>
        <v>0</v>
      </c>
      <c r="O18" s="62"/>
      <c r="P18" s="1203">
        <v>1302432625</v>
      </c>
      <c r="Q18" s="1203">
        <f t="shared" si="1"/>
        <v>-1302432625</v>
      </c>
    </row>
    <row r="19" spans="1:17" ht="18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5">
        <f>莘庄基本支出调整!J19</f>
        <v>1248335</v>
      </c>
      <c r="F19" s="1185">
        <f>吴泾基本支出调整!J19</f>
        <v>914212</v>
      </c>
      <c r="G19" s="1185">
        <f>七宝基本支出调整!Y19</f>
        <v>6530525</v>
      </c>
      <c r="H19" s="1185">
        <f>浦江基本支出调整!X19</f>
        <v>5030108</v>
      </c>
      <c r="I19" s="1185">
        <f>梅陇基本支出调整!U19</f>
        <v>5006176</v>
      </c>
      <c r="J19" s="1185">
        <f>马桥基本支出调整!Q19</f>
        <v>3409578</v>
      </c>
      <c r="K19" s="1185">
        <f>华漕基本支出调整!N19</f>
        <v>2880596</v>
      </c>
      <c r="L19" s="1185">
        <f>颛桥基本支出调整!T19</f>
        <v>5321781</v>
      </c>
      <c r="M19" s="1185">
        <f>虹桥基本支出调整!P19</f>
        <v>2846043</v>
      </c>
      <c r="N19" s="1185">
        <f t="shared" si="0"/>
        <v>33187354</v>
      </c>
      <c r="O19" s="62"/>
      <c r="P19" s="1203">
        <v>30776939</v>
      </c>
      <c r="Q19" s="1203">
        <f t="shared" si="1"/>
        <v>2410415</v>
      </c>
    </row>
    <row r="20" spans="1:17" ht="18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5">
        <f>莘庄基本支出调整!J20</f>
        <v>1535500</v>
      </c>
      <c r="F20" s="1185">
        <f>吴泾基本支出调整!J20</f>
        <v>990500</v>
      </c>
      <c r="G20" s="1185">
        <f>七宝基本支出调整!Y20</f>
        <v>10830000</v>
      </c>
      <c r="H20" s="1185">
        <f>浦江基本支出调整!X20</f>
        <v>6599816</v>
      </c>
      <c r="I20" s="1185">
        <f>梅陇基本支出调整!U20</f>
        <v>5527000</v>
      </c>
      <c r="J20" s="1185">
        <f>马桥基本支出调整!Q20</f>
        <v>4280956</v>
      </c>
      <c r="K20" s="1185">
        <f>华漕基本支出调整!N20</f>
        <v>3534000</v>
      </c>
      <c r="L20" s="1185">
        <f>颛桥基本支出调整!T20</f>
        <v>6211171</v>
      </c>
      <c r="M20" s="1185">
        <f>虹桥基本支出调整!P20</f>
        <v>3251500</v>
      </c>
      <c r="N20" s="1185">
        <f t="shared" si="0"/>
        <v>42760443</v>
      </c>
      <c r="O20" s="62"/>
      <c r="P20" s="1203">
        <v>43080000</v>
      </c>
      <c r="Q20" s="1203">
        <f t="shared" si="1"/>
        <v>-319557</v>
      </c>
    </row>
    <row r="21" spans="1:17" ht="18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5">
        <f>莘庄基本支出调整!J21</f>
        <v>1329160</v>
      </c>
      <c r="F21" s="1185">
        <f>吴泾基本支出调整!J21</f>
        <v>554536.5</v>
      </c>
      <c r="G21" s="1185">
        <f>七宝基本支出调整!Y21</f>
        <v>16145458.5</v>
      </c>
      <c r="H21" s="1185">
        <f>浦江基本支出调整!X21</f>
        <v>10065673.880000001</v>
      </c>
      <c r="I21" s="1185">
        <f>梅陇基本支出调整!U21</f>
        <v>7711573.5</v>
      </c>
      <c r="J21" s="1185">
        <f>马桥基本支出调整!Q21</f>
        <v>5965368.25</v>
      </c>
      <c r="K21" s="1185">
        <f>华漕基本支出调整!N21</f>
        <v>5583411.25</v>
      </c>
      <c r="L21" s="1185">
        <f>颛桥基本支出调整!T21</f>
        <v>9432283.5</v>
      </c>
      <c r="M21" s="1185">
        <f>虹桥基本支出调整!P21</f>
        <v>4829582.75</v>
      </c>
      <c r="N21" s="1201">
        <f t="shared" si="0"/>
        <v>61617048.130000003</v>
      </c>
      <c r="O21" s="62"/>
      <c r="P21" s="1203">
        <v>50510000</v>
      </c>
      <c r="Q21" s="1203">
        <f t="shared" si="1"/>
        <v>11107048.130000003</v>
      </c>
    </row>
    <row r="22" spans="1:17" ht="18" customHeight="1">
      <c r="A22" s="66" t="s">
        <v>58</v>
      </c>
      <c r="B22" s="61" t="s">
        <v>59</v>
      </c>
      <c r="C22" s="61"/>
      <c r="D22" s="62" t="s">
        <v>21</v>
      </c>
      <c r="E22" s="1185">
        <f>莘庄基本支出调整!J22</f>
        <v>6425090.2599999998</v>
      </c>
      <c r="F22" s="1185">
        <f>吴泾基本支出调整!J22</f>
        <v>3911072.2800000003</v>
      </c>
      <c r="G22" s="1185">
        <f>七宝基本支出调整!Y22</f>
        <v>43414378.119999997</v>
      </c>
      <c r="H22" s="1185">
        <f>浦江基本支出调整!X22</f>
        <v>25997947.100000001</v>
      </c>
      <c r="I22" s="1185">
        <f>梅陇基本支出调整!U22</f>
        <v>22433445.199999999</v>
      </c>
      <c r="J22" s="1185">
        <f>马桥基本支出调整!Q22</f>
        <v>17399259.769999996</v>
      </c>
      <c r="K22" s="1185">
        <f>华漕基本支出调整!N22</f>
        <v>14306105.469999997</v>
      </c>
      <c r="L22" s="1185">
        <f>颛桥基本支出调整!T22</f>
        <v>25309817.470000003</v>
      </c>
      <c r="M22" s="1185">
        <f>虹桥基本支出调整!P22</f>
        <v>13576635</v>
      </c>
      <c r="N22" s="1185">
        <f t="shared" si="0"/>
        <v>172773750.66999999</v>
      </c>
      <c r="O22" s="62"/>
      <c r="P22" s="1203">
        <v>224845635.87</v>
      </c>
      <c r="Q22" s="1203">
        <f t="shared" si="1"/>
        <v>-52071885.200000018</v>
      </c>
    </row>
    <row r="23" spans="1:17" ht="18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5">
        <f>莘庄基本支出调整!J23</f>
        <v>5766431.4900000002</v>
      </c>
      <c r="F23" s="1185">
        <f>吴泾基本支出调整!J23</f>
        <v>3443792.2800000003</v>
      </c>
      <c r="G23" s="1185">
        <f>七宝基本支出调整!Y23</f>
        <v>39135882.600000009</v>
      </c>
      <c r="H23" s="1185">
        <f>浦江基本支出调整!X23</f>
        <v>23664852.100000001</v>
      </c>
      <c r="I23" s="1185">
        <f>梅陇基本支出调整!U23</f>
        <v>19881154.060000002</v>
      </c>
      <c r="J23" s="1185">
        <f>马桥基本支出调整!Q23</f>
        <v>15577622.419999998</v>
      </c>
      <c r="K23" s="1185">
        <f>华漕基本支出调整!N23</f>
        <v>12856798.170000002</v>
      </c>
      <c r="L23" s="1185">
        <f>颛桥基本支出调整!T23</f>
        <v>22782899.199999999</v>
      </c>
      <c r="M23" s="1185">
        <f>虹桥基本支出调整!P23</f>
        <v>12263895</v>
      </c>
      <c r="N23" s="1185">
        <f t="shared" si="0"/>
        <v>155373327.31999999</v>
      </c>
      <c r="O23" s="62"/>
      <c r="P23" s="1203">
        <v>155662363.28999999</v>
      </c>
      <c r="Q23" s="1203">
        <f t="shared" si="1"/>
        <v>-289035.96999999881</v>
      </c>
    </row>
    <row r="24" spans="1:17" ht="18" customHeight="1">
      <c r="A24" s="66" t="s">
        <v>62</v>
      </c>
      <c r="B24" s="61" t="s">
        <v>3073</v>
      </c>
      <c r="C24" s="61"/>
      <c r="D24" s="62" t="s">
        <v>43</v>
      </c>
      <c r="E24" s="1185">
        <f>莘庄基本支出调整!J24</f>
        <v>658658.77</v>
      </c>
      <c r="F24" s="1185">
        <f>吴泾基本支出调整!J24</f>
        <v>467280</v>
      </c>
      <c r="G24" s="1185">
        <f>七宝基本支出调整!Y24</f>
        <v>4278495.5200000005</v>
      </c>
      <c r="H24" s="1185">
        <f>浦江基本支出调整!X24</f>
        <v>2333095</v>
      </c>
      <c r="I24" s="1185">
        <f>梅陇基本支出调整!U24</f>
        <v>2552291.14</v>
      </c>
      <c r="J24" s="1185">
        <f>马桥基本支出调整!Q24</f>
        <v>1821637.35</v>
      </c>
      <c r="K24" s="1185">
        <f>华漕基本支出调整!N24</f>
        <v>1449307.3</v>
      </c>
      <c r="L24" s="1185">
        <f>颛桥基本支出调整!T24</f>
        <v>2526918.27</v>
      </c>
      <c r="M24" s="1185">
        <f>虹桥基本支出调整!P24</f>
        <v>1312740</v>
      </c>
      <c r="N24" s="1185">
        <f t="shared" si="0"/>
        <v>17400423.350000001</v>
      </c>
      <c r="O24" s="62"/>
      <c r="P24" s="1203">
        <v>69183272.580000013</v>
      </c>
      <c r="Q24" s="1203">
        <f t="shared" si="1"/>
        <v>-51782849.230000012</v>
      </c>
    </row>
    <row r="25" spans="1:17" ht="18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5">
        <f>莘庄基本支出调整!J25</f>
        <v>48208.770000000004</v>
      </c>
      <c r="F25" s="1185">
        <f>吴泾基本支出调整!J25</f>
        <v>29500</v>
      </c>
      <c r="G25" s="1185">
        <f>七宝基本支出调整!Y25</f>
        <v>323680.95000000007</v>
      </c>
      <c r="H25" s="1185">
        <f>浦江基本支出调整!X25</f>
        <v>11200</v>
      </c>
      <c r="I25" s="1185">
        <f>梅陇基本支出调整!U25</f>
        <v>299836.14</v>
      </c>
      <c r="J25" s="1185">
        <f>马桥基本支出调整!Q25</f>
        <v>176657.34999999998</v>
      </c>
      <c r="K25" s="1185">
        <f>华漕基本支出调整!N25</f>
        <v>55442.3</v>
      </c>
      <c r="L25" s="1185">
        <f>颛桥基本支出调整!T25</f>
        <v>329153.26999999996</v>
      </c>
      <c r="M25" s="1185">
        <f>虹桥基本支出调整!P25</f>
        <v>5600</v>
      </c>
      <c r="N25" s="1185">
        <f t="shared" si="0"/>
        <v>1279278.78</v>
      </c>
      <c r="O25" s="62"/>
      <c r="P25" s="1203">
        <v>34591636.290000007</v>
      </c>
      <c r="Q25" s="1203">
        <f t="shared" si="1"/>
        <v>-33312357.510000005</v>
      </c>
    </row>
    <row r="26" spans="1:17" ht="18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5">
        <f>莘庄基本支出调整!J26</f>
        <v>610450</v>
      </c>
      <c r="F26" s="1185">
        <f>吴泾基本支出调整!J26</f>
        <v>437780</v>
      </c>
      <c r="G26" s="1185">
        <f>七宝基本支出调整!Y26</f>
        <v>3954814.57</v>
      </c>
      <c r="H26" s="1185">
        <f>浦江基本支出调整!X26</f>
        <v>2321895</v>
      </c>
      <c r="I26" s="1185">
        <f>梅陇基本支出调整!U26</f>
        <v>2252455</v>
      </c>
      <c r="J26" s="1185">
        <f>马桥基本支出调整!Q26</f>
        <v>1644980</v>
      </c>
      <c r="K26" s="1185">
        <f>华漕基本支出调整!N26</f>
        <v>1393865</v>
      </c>
      <c r="L26" s="1185">
        <f>颛桥基本支出调整!T26</f>
        <v>2197765</v>
      </c>
      <c r="M26" s="1185">
        <f>虹桥基本支出调整!P26</f>
        <v>1307140</v>
      </c>
      <c r="N26" s="1185">
        <f t="shared" si="0"/>
        <v>16121144.57</v>
      </c>
      <c r="O26" s="62"/>
      <c r="P26" s="1203">
        <v>34591636.290000007</v>
      </c>
      <c r="Q26" s="1203">
        <f t="shared" si="1"/>
        <v>-18470491.720000006</v>
      </c>
    </row>
    <row r="27" spans="1:17" ht="18" customHeight="1">
      <c r="A27" s="66" t="s">
        <v>66</v>
      </c>
      <c r="B27" s="61" t="s">
        <v>67</v>
      </c>
      <c r="C27" s="61"/>
      <c r="D27" s="62" t="s">
        <v>21</v>
      </c>
      <c r="E27" s="1185">
        <f>莘庄基本支出调整!J27</f>
        <v>10252396.559999999</v>
      </c>
      <c r="F27" s="1185">
        <f>吴泾基本支出调整!J27</f>
        <v>6113245.7599999998</v>
      </c>
      <c r="G27" s="1185">
        <f>七宝基本支出调整!Y27</f>
        <v>69521515.100000009</v>
      </c>
      <c r="H27" s="1185">
        <f>浦江基本支出调整!X27</f>
        <v>42013153.269999996</v>
      </c>
      <c r="I27" s="1185">
        <f>梅陇基本支出调整!U27</f>
        <v>35344210.299999997</v>
      </c>
      <c r="J27" s="1185">
        <f>马桥基本支出调整!Q27</f>
        <v>27679190.260000002</v>
      </c>
      <c r="K27" s="1185">
        <f>华漕基本支出调整!N27</f>
        <v>22863797.859999999</v>
      </c>
      <c r="L27" s="1185">
        <f>颛桥基本支出调整!T27</f>
        <v>40218448.159999996</v>
      </c>
      <c r="M27" s="1185">
        <f>虹桥基本支出调整!P27</f>
        <v>21542300</v>
      </c>
      <c r="N27" s="1185">
        <f t="shared" si="0"/>
        <v>275548257.26999998</v>
      </c>
      <c r="O27" s="62"/>
      <c r="P27" s="118">
        <v>276733090.28999996</v>
      </c>
      <c r="Q27" s="1203">
        <f t="shared" si="1"/>
        <v>-1184833.0199999809</v>
      </c>
    </row>
    <row r="28" spans="1:17" ht="18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5">
        <f>莘庄基本支出调整!J28</f>
        <v>10252396.559999999</v>
      </c>
      <c r="F28" s="1185">
        <f>吴泾基本支出调整!J28</f>
        <v>6113245.7599999998</v>
      </c>
      <c r="G28" s="1185">
        <f>七宝基本支出调整!Y28</f>
        <v>69521515.100000009</v>
      </c>
      <c r="H28" s="1185">
        <f>浦江基本支出调整!X28</f>
        <v>42013153.269999996</v>
      </c>
      <c r="I28" s="1185">
        <f>梅陇基本支出调整!U28</f>
        <v>35344210.299999997</v>
      </c>
      <c r="J28" s="1185">
        <f>马桥基本支出调整!Q28</f>
        <v>27679190.260000002</v>
      </c>
      <c r="K28" s="1185">
        <f>华漕基本支出调整!N28</f>
        <v>22863797.859999999</v>
      </c>
      <c r="L28" s="1185">
        <f>颛桥基本支出调整!T28</f>
        <v>40218448.159999996</v>
      </c>
      <c r="M28" s="1185">
        <f>虹桥基本支出调整!P28</f>
        <v>21542300</v>
      </c>
      <c r="N28" s="1185">
        <f t="shared" si="0"/>
        <v>275548257.26999998</v>
      </c>
      <c r="O28" s="62"/>
      <c r="P28" s="118">
        <v>276733090.28999996</v>
      </c>
      <c r="Q28" s="1203">
        <f t="shared" si="1"/>
        <v>-1184833.0199999809</v>
      </c>
    </row>
    <row r="29" spans="1:17" ht="18" customHeight="1">
      <c r="A29" s="66" t="s">
        <v>71</v>
      </c>
      <c r="B29" s="61" t="s">
        <v>72</v>
      </c>
      <c r="C29" s="61"/>
      <c r="D29" s="62" t="s">
        <v>21</v>
      </c>
      <c r="E29" s="1185">
        <f>莘庄基本支出调整!J29</f>
        <v>5080472.29</v>
      </c>
      <c r="F29" s="1185">
        <f>吴泾基本支出调整!J29</f>
        <v>3064623.28</v>
      </c>
      <c r="G29" s="1185">
        <f>七宝基本支出调整!Y29</f>
        <v>34847887.219999999</v>
      </c>
      <c r="H29" s="1185">
        <f>浦江基本支出调整!X29</f>
        <v>21171533.460000001</v>
      </c>
      <c r="I29" s="1185">
        <f>梅陇基本支出调整!U29</f>
        <v>17792054.329999998</v>
      </c>
      <c r="J29" s="1185">
        <f>马桥基本支出调整!Q29</f>
        <v>13804865.649999999</v>
      </c>
      <c r="K29" s="1185">
        <f>华漕基本支出调整!N29</f>
        <v>11425206.590000002</v>
      </c>
      <c r="L29" s="1185">
        <f>颛桥基本支出调整!T29</f>
        <v>20176107.18</v>
      </c>
      <c r="M29" s="1185">
        <f>虹桥基本支出调整!P29</f>
        <v>10800539</v>
      </c>
      <c r="N29" s="1185">
        <f t="shared" si="0"/>
        <v>138163289</v>
      </c>
      <c r="O29" s="62"/>
      <c r="P29" s="118">
        <v>138366545.15000001</v>
      </c>
      <c r="Q29" s="1203">
        <f t="shared" si="1"/>
        <v>-203256.15000000596</v>
      </c>
    </row>
    <row r="30" spans="1:17" ht="18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5">
        <f>莘庄基本支出调整!J30</f>
        <v>5080472.29</v>
      </c>
      <c r="F30" s="1185">
        <f>吴泾基本支出调整!J30</f>
        <v>3064623.28</v>
      </c>
      <c r="G30" s="1185">
        <f>七宝基本支出调整!Y30</f>
        <v>34847887.219999999</v>
      </c>
      <c r="H30" s="1185">
        <f>浦江基本支出调整!X30</f>
        <v>21171533.460000001</v>
      </c>
      <c r="I30" s="1185">
        <f>梅陇基本支出调整!U30</f>
        <v>17792054.329999998</v>
      </c>
      <c r="J30" s="1185">
        <f>马桥基本支出调整!Q30</f>
        <v>13804865.649999999</v>
      </c>
      <c r="K30" s="1185">
        <f>华漕基本支出调整!N30</f>
        <v>11425206.590000002</v>
      </c>
      <c r="L30" s="1185">
        <f>颛桥基本支出调整!T30</f>
        <v>20176107.18</v>
      </c>
      <c r="M30" s="1185">
        <f>虹桥基本支出调整!P30</f>
        <v>10800539</v>
      </c>
      <c r="N30" s="1185">
        <f t="shared" si="0"/>
        <v>138163289</v>
      </c>
      <c r="O30" s="62"/>
      <c r="P30" s="118">
        <v>138366545.15000001</v>
      </c>
      <c r="Q30" s="1203">
        <f t="shared" si="1"/>
        <v>-203256.15000000596</v>
      </c>
    </row>
    <row r="31" spans="1:17" ht="18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5">
        <f>莘庄基本支出调整!J31</f>
        <v>4428403</v>
      </c>
      <c r="F31" s="1185">
        <f>吴泾基本支出调整!J31</f>
        <v>2698224</v>
      </c>
      <c r="G31" s="1185">
        <f>七宝基本支出调整!Y31</f>
        <v>30510018</v>
      </c>
      <c r="H31" s="1185">
        <f>浦江基本支出调整!X31</f>
        <v>18339909.91</v>
      </c>
      <c r="I31" s="1185">
        <f>梅陇基本支出调整!U31</f>
        <v>15429789</v>
      </c>
      <c r="J31" s="1185">
        <f>马桥基本支出调整!Q31</f>
        <v>12083376</v>
      </c>
      <c r="K31" s="1185">
        <f>华漕基本支出调整!N31</f>
        <v>10014218</v>
      </c>
      <c r="L31" s="1185">
        <f>颛桥基本支出调整!T31</f>
        <v>17635473</v>
      </c>
      <c r="M31" s="1185">
        <f>虹桥基本支出调整!P31</f>
        <v>9409690</v>
      </c>
      <c r="N31" s="1185">
        <f t="shared" si="0"/>
        <v>120549100.91</v>
      </c>
      <c r="O31" s="62"/>
      <c r="P31" s="118">
        <v>121070727</v>
      </c>
      <c r="Q31" s="1203">
        <f t="shared" si="1"/>
        <v>-521626.09000000358</v>
      </c>
    </row>
    <row r="32" spans="1:17" ht="18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5">
        <f>莘庄基本支出调整!J32</f>
        <v>93500</v>
      </c>
      <c r="F32" s="1185">
        <f>吴泾基本支出调整!J32</f>
        <v>57000</v>
      </c>
      <c r="G32" s="1185">
        <f>七宝基本支出调整!Y32</f>
        <v>671000</v>
      </c>
      <c r="H32" s="1185">
        <f>浦江基本支出调整!X32</f>
        <v>367500</v>
      </c>
      <c r="I32" s="1185">
        <f>梅陇基本支出调整!U32</f>
        <v>322500</v>
      </c>
      <c r="J32" s="1185">
        <f>马桥基本支出调整!Q32</f>
        <v>244000</v>
      </c>
      <c r="K32" s="1185">
        <f>华漕基本支出调整!N32</f>
        <v>205000</v>
      </c>
      <c r="L32" s="1185">
        <f>颛桥基本支出调整!T32</f>
        <v>388500</v>
      </c>
      <c r="M32" s="1185">
        <f>虹桥基本支出调整!P32</f>
        <v>203500</v>
      </c>
      <c r="N32" s="1185">
        <f t="shared" si="0"/>
        <v>2552500</v>
      </c>
      <c r="O32" s="62"/>
      <c r="P32" s="118">
        <v>0</v>
      </c>
      <c r="Q32" s="1203">
        <f t="shared" si="1"/>
        <v>2552500</v>
      </c>
    </row>
    <row r="33" spans="1:18" ht="18" customHeight="1">
      <c r="A33" s="66" t="s">
        <v>83</v>
      </c>
      <c r="B33" s="61" t="s">
        <v>84</v>
      </c>
      <c r="C33" s="61"/>
      <c r="D33" s="62" t="s">
        <v>21</v>
      </c>
      <c r="E33" s="1185">
        <f>莘庄基本支出调整!J33</f>
        <v>2120680</v>
      </c>
      <c r="F33" s="1185">
        <f>吴泾基本支出调整!J33</f>
        <v>1609640</v>
      </c>
      <c r="G33" s="1185">
        <f>七宝基本支出调整!Y33</f>
        <v>11121524.039999999</v>
      </c>
      <c r="H33" s="1185">
        <f>浦江基本支出调整!X33</f>
        <v>7651745</v>
      </c>
      <c r="I33" s="1185">
        <f>梅陇基本支出调整!U33</f>
        <v>8021505</v>
      </c>
      <c r="J33" s="1185">
        <f>马桥基本支出调整!Q33</f>
        <v>4398300</v>
      </c>
      <c r="K33" s="1185">
        <f>华漕基本支出调整!N33</f>
        <v>8063905</v>
      </c>
      <c r="L33" s="1185">
        <f>颛桥基本支出调整!T33</f>
        <v>6703035</v>
      </c>
      <c r="M33" s="1185">
        <f>虹桥基本支出调整!P33</f>
        <v>6771055</v>
      </c>
      <c r="N33" s="1185">
        <f t="shared" si="0"/>
        <v>56461389.039999999</v>
      </c>
      <c r="O33" s="62"/>
      <c r="P33" s="1203">
        <v>55185794.200000003</v>
      </c>
      <c r="Q33" s="1203">
        <f t="shared" si="1"/>
        <v>1275594.8399999961</v>
      </c>
    </row>
    <row r="34" spans="1:18" ht="18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莘庄基本支出调整!J34</f>
        <v>2109700</v>
      </c>
      <c r="F34" s="1185">
        <f>吴泾基本支出调整!J34</f>
        <v>1599410</v>
      </c>
      <c r="G34" s="1185">
        <f>七宝基本支出调整!Y34</f>
        <v>11042684.039999999</v>
      </c>
      <c r="H34" s="1185">
        <f>浦江基本支出调整!X34</f>
        <v>7623875</v>
      </c>
      <c r="I34" s="1185">
        <f>梅陇基本支出调整!U34</f>
        <v>7975215</v>
      </c>
      <c r="J34" s="1185">
        <f>马桥基本支出调整!Q34</f>
        <v>4378510</v>
      </c>
      <c r="K34" s="1185">
        <f>华漕基本支出调整!N34</f>
        <v>8044315</v>
      </c>
      <c r="L34" s="1185">
        <f>颛桥基本支出调整!T34</f>
        <v>6664635</v>
      </c>
      <c r="M34" s="1185">
        <f>虹桥基本支出调整!P34</f>
        <v>6750155</v>
      </c>
      <c r="N34" s="1185">
        <f t="shared" si="0"/>
        <v>56188499.039999999</v>
      </c>
      <c r="O34" s="62"/>
      <c r="P34" s="1203">
        <v>54863264.200000003</v>
      </c>
      <c r="Q34" s="1203">
        <f t="shared" si="1"/>
        <v>1325234.8399999961</v>
      </c>
    </row>
    <row r="35" spans="1:18" ht="18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5">
        <f>莘庄基本支出调整!J35</f>
        <v>2109700</v>
      </c>
      <c r="F35" s="1185">
        <f>吴泾基本支出调整!J35</f>
        <v>1599410</v>
      </c>
      <c r="G35" s="1185">
        <f>七宝基本支出调整!Y35</f>
        <v>11042684.039999999</v>
      </c>
      <c r="H35" s="1185">
        <f>浦江基本支出调整!X35</f>
        <v>7623875</v>
      </c>
      <c r="I35" s="1185">
        <f>梅陇基本支出调整!U35</f>
        <v>7975215</v>
      </c>
      <c r="J35" s="1185">
        <f>马桥基本支出调整!Q35</f>
        <v>4378510</v>
      </c>
      <c r="K35" s="1185">
        <f>华漕基本支出调整!N35</f>
        <v>8044315</v>
      </c>
      <c r="L35" s="1185">
        <f>颛桥基本支出调整!T35</f>
        <v>6664635</v>
      </c>
      <c r="M35" s="1185">
        <f>虹桥基本支出调整!P35</f>
        <v>6750155</v>
      </c>
      <c r="N35" s="1185">
        <f t="shared" si="0"/>
        <v>56188499.039999999</v>
      </c>
      <c r="O35" s="62"/>
      <c r="P35" s="1203">
        <v>54863264.200000003</v>
      </c>
      <c r="Q35" s="1203">
        <f t="shared" si="1"/>
        <v>1325234.8399999961</v>
      </c>
    </row>
    <row r="36" spans="1:18" ht="18" customHeight="1">
      <c r="A36" s="66" t="s">
        <v>91</v>
      </c>
      <c r="B36" s="61" t="s">
        <v>92</v>
      </c>
      <c r="C36" s="61"/>
      <c r="D36" s="62" t="s">
        <v>21</v>
      </c>
      <c r="E36" s="1185">
        <f>莘庄基本支出调整!J36</f>
        <v>10980</v>
      </c>
      <c r="F36" s="1185">
        <f>吴泾基本支出调整!J36</f>
        <v>10230</v>
      </c>
      <c r="G36" s="1185">
        <f>七宝基本支出调整!Y36</f>
        <v>78840</v>
      </c>
      <c r="H36" s="1185">
        <f>浦江基本支出调整!X36</f>
        <v>27870</v>
      </c>
      <c r="I36" s="1185">
        <f>梅陇基本支出调整!U36</f>
        <v>46290</v>
      </c>
      <c r="J36" s="1185">
        <f>马桥基本支出调整!Q36</f>
        <v>19790</v>
      </c>
      <c r="K36" s="1185">
        <f>华漕基本支出调整!N36</f>
        <v>19590</v>
      </c>
      <c r="L36" s="1185">
        <f>颛桥基本支出调整!T36</f>
        <v>38400</v>
      </c>
      <c r="M36" s="1185">
        <f>虹桥基本支出调整!P36</f>
        <v>20900</v>
      </c>
      <c r="N36" s="1185">
        <f t="shared" si="0"/>
        <v>272890</v>
      </c>
      <c r="O36" s="62"/>
      <c r="P36" s="1203">
        <v>322530</v>
      </c>
      <c r="Q36" s="1203">
        <f t="shared" si="1"/>
        <v>-49640</v>
      </c>
    </row>
    <row r="37" spans="1:18" ht="18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5">
        <f>莘庄基本支出调整!J37</f>
        <v>10980</v>
      </c>
      <c r="F37" s="1185">
        <f>吴泾基本支出调整!J37</f>
        <v>10230</v>
      </c>
      <c r="G37" s="1185">
        <f>七宝基本支出调整!Y37</f>
        <v>78840</v>
      </c>
      <c r="H37" s="1185">
        <f>浦江基本支出调整!X37</f>
        <v>27870</v>
      </c>
      <c r="I37" s="1185">
        <f>梅陇基本支出调整!U37</f>
        <v>46290</v>
      </c>
      <c r="J37" s="1185">
        <f>马桥基本支出调整!Q37</f>
        <v>19790</v>
      </c>
      <c r="K37" s="1185">
        <f>华漕基本支出调整!N37</f>
        <v>19590</v>
      </c>
      <c r="L37" s="1185">
        <f>颛桥基本支出调整!T37</f>
        <v>38400</v>
      </c>
      <c r="M37" s="1185">
        <f>虹桥基本支出调整!P37</f>
        <v>20900</v>
      </c>
      <c r="N37" s="1185">
        <f t="shared" si="0"/>
        <v>272890</v>
      </c>
      <c r="O37" s="62"/>
      <c r="P37" s="1203">
        <v>322530</v>
      </c>
      <c r="Q37" s="1203">
        <f t="shared" si="1"/>
        <v>-49640</v>
      </c>
    </row>
    <row r="38" spans="1:18" ht="18" customHeight="1">
      <c r="A38" s="66" t="s">
        <v>95</v>
      </c>
      <c r="B38" s="61" t="s">
        <v>3002</v>
      </c>
      <c r="C38" s="61"/>
      <c r="D38" s="62" t="s">
        <v>21</v>
      </c>
      <c r="E38" s="1185">
        <f>莘庄基本支出调整!J38</f>
        <v>0</v>
      </c>
      <c r="F38" s="1185">
        <f>吴泾基本支出调整!J38</f>
        <v>0</v>
      </c>
      <c r="G38" s="1185">
        <f>七宝基本支出调整!Y38</f>
        <v>0</v>
      </c>
      <c r="H38" s="1185">
        <f>浦江基本支出调整!X38</f>
        <v>0</v>
      </c>
      <c r="I38" s="1185">
        <f>梅陇基本支出调整!U38</f>
        <v>0</v>
      </c>
      <c r="J38" s="1185">
        <f>马桥基本支出调整!Q38</f>
        <v>0</v>
      </c>
      <c r="K38" s="1185">
        <f>华漕基本支出调整!N38</f>
        <v>0</v>
      </c>
      <c r="L38" s="1185">
        <f>颛桥基本支出调整!T38</f>
        <v>0</v>
      </c>
      <c r="M38" s="1185">
        <f>虹桥基本支出调整!P38</f>
        <v>0</v>
      </c>
      <c r="N38" s="1185">
        <f t="shared" si="0"/>
        <v>0</v>
      </c>
      <c r="O38" s="62"/>
      <c r="P38" s="1203"/>
      <c r="Q38" s="1203">
        <f t="shared" si="1"/>
        <v>0</v>
      </c>
    </row>
    <row r="39" spans="1:18" ht="18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5">
        <f>莘庄基本支出调整!J39</f>
        <v>0</v>
      </c>
      <c r="F39" s="1185">
        <f>吴泾基本支出调整!J39</f>
        <v>0</v>
      </c>
      <c r="G39" s="1185">
        <f>七宝基本支出调整!Y39</f>
        <v>0</v>
      </c>
      <c r="H39" s="1185">
        <f>浦江基本支出调整!X39</f>
        <v>0</v>
      </c>
      <c r="I39" s="1185">
        <f>梅陇基本支出调整!U39</f>
        <v>0</v>
      </c>
      <c r="J39" s="1185">
        <f>马桥基本支出调整!Q39</f>
        <v>0</v>
      </c>
      <c r="K39" s="1185">
        <f>华漕基本支出调整!N39</f>
        <v>0</v>
      </c>
      <c r="L39" s="1185">
        <f>颛桥基本支出调整!T39</f>
        <v>0</v>
      </c>
      <c r="M39" s="1185">
        <f>虹桥基本支出调整!P39</f>
        <v>0</v>
      </c>
      <c r="N39" s="1185">
        <f t="shared" si="0"/>
        <v>0</v>
      </c>
      <c r="O39" s="62"/>
      <c r="P39" s="1203"/>
      <c r="Q39" s="1203">
        <f t="shared" si="1"/>
        <v>0</v>
      </c>
    </row>
    <row r="40" spans="1:18" ht="18" customHeight="1">
      <c r="A40" s="66" t="s">
        <v>97</v>
      </c>
      <c r="B40" s="61" t="s">
        <v>98</v>
      </c>
      <c r="C40" s="61"/>
      <c r="D40" s="62" t="s">
        <v>21</v>
      </c>
      <c r="E40" s="1185">
        <f>莘庄基本支出调整!J40</f>
        <v>16590891.109999999</v>
      </c>
      <c r="F40" s="1185">
        <f>吴泾基本支出调整!J40</f>
        <v>10613624.870000001</v>
      </c>
      <c r="G40" s="1185">
        <f>七宝基本支出调整!Y40</f>
        <v>115611231.03</v>
      </c>
      <c r="H40" s="1185">
        <f>浦江基本支出调整!X40</f>
        <v>80067107.799999982</v>
      </c>
      <c r="I40" s="1185">
        <f>梅陇基本支出调整!U40</f>
        <v>58854003.089999989</v>
      </c>
      <c r="J40" s="1185">
        <f>马桥基本支出调整!Q40</f>
        <v>45723456.20000001</v>
      </c>
      <c r="K40" s="1185">
        <f>华漕基本支出调整!N40</f>
        <v>40300250.619999997</v>
      </c>
      <c r="L40" s="1185">
        <f>颛桥基本支出调整!T40</f>
        <v>68874920.469999984</v>
      </c>
      <c r="M40" s="1185">
        <f>虹桥基本支出调整!P40</f>
        <v>33919041.700000003</v>
      </c>
      <c r="N40" s="1185">
        <f t="shared" si="0"/>
        <v>470554526.88999993</v>
      </c>
      <c r="O40" s="62"/>
      <c r="P40" s="1203">
        <v>459702404.95999992</v>
      </c>
      <c r="Q40" s="1203">
        <f t="shared" si="1"/>
        <v>10852121.930000007</v>
      </c>
    </row>
    <row r="41" spans="1:18" ht="18" customHeight="1">
      <c r="A41" s="66" t="s">
        <v>99</v>
      </c>
      <c r="B41" s="61" t="s">
        <v>100</v>
      </c>
      <c r="C41" s="61"/>
      <c r="D41" s="62" t="s">
        <v>101</v>
      </c>
      <c r="E41" s="1185">
        <f>莘庄基本支出调整!J41</f>
        <v>12190650</v>
      </c>
      <c r="F41" s="1185">
        <f>吴泾基本支出调整!J41</f>
        <v>7892520</v>
      </c>
      <c r="G41" s="1185">
        <f>七宝基本支出调整!Y41</f>
        <v>90091585</v>
      </c>
      <c r="H41" s="1185">
        <f>浦江基本支出调整!X41</f>
        <v>61230120</v>
      </c>
      <c r="I41" s="1185">
        <f>梅陇基本支出调整!U41</f>
        <v>44171135</v>
      </c>
      <c r="J41" s="1185">
        <f>马桥基本支出调整!Q41</f>
        <v>34619640</v>
      </c>
      <c r="K41" s="1185">
        <f>华漕基本支出调整!N41</f>
        <v>30576945</v>
      </c>
      <c r="L41" s="1185">
        <f>颛桥基本支出调整!T41</f>
        <v>52551630</v>
      </c>
      <c r="M41" s="1185">
        <f>虹桥基本支出调整!P41</f>
        <v>24804920</v>
      </c>
      <c r="N41" s="1185">
        <f t="shared" si="0"/>
        <v>358129145</v>
      </c>
      <c r="O41" s="62"/>
      <c r="P41" s="1203">
        <v>346105720</v>
      </c>
      <c r="Q41" s="1203">
        <f t="shared" si="1"/>
        <v>12023425</v>
      </c>
      <c r="R41" s="3" t="s">
        <v>3351</v>
      </c>
    </row>
    <row r="42" spans="1:18" ht="18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5">
        <f>莘庄基本支出调整!J42</f>
        <v>516572.5</v>
      </c>
      <c r="F42" s="1185">
        <f>吴泾基本支出调整!J42</f>
        <v>373755.5</v>
      </c>
      <c r="G42" s="1185">
        <f>七宝基本支出调整!Y42</f>
        <v>4382528.75</v>
      </c>
      <c r="H42" s="1185">
        <f>浦江基本支出调整!X42</f>
        <v>3006093.5</v>
      </c>
      <c r="I42" s="1185">
        <f>梅陇基本支出调整!U42</f>
        <v>2019833.5</v>
      </c>
      <c r="J42" s="1185">
        <f>马桥基本支出调整!Q42</f>
        <v>1694588.5</v>
      </c>
      <c r="K42" s="1185">
        <f>华漕基本支出调整!N42</f>
        <v>1444834.75</v>
      </c>
      <c r="L42" s="1185">
        <f>颛桥基本支出调整!T42</f>
        <v>2538564</v>
      </c>
      <c r="M42" s="1185">
        <f>虹桥基本支出调整!P42</f>
        <v>1101833</v>
      </c>
      <c r="N42" s="1185">
        <f t="shared" si="0"/>
        <v>17078604</v>
      </c>
      <c r="O42" s="62"/>
      <c r="P42" s="1203">
        <v>16572055.5</v>
      </c>
      <c r="Q42" s="1203">
        <f t="shared" si="1"/>
        <v>506548.5</v>
      </c>
      <c r="R42" s="3" t="s">
        <v>3352</v>
      </c>
    </row>
    <row r="43" spans="1:18" ht="18" customHeight="1">
      <c r="A43" s="66" t="s">
        <v>106</v>
      </c>
      <c r="B43" s="61" t="s">
        <v>107</v>
      </c>
      <c r="C43" s="61"/>
      <c r="D43" s="62"/>
      <c r="E43" s="1185">
        <f>莘庄基本支出调整!J43</f>
        <v>108400</v>
      </c>
      <c r="F43" s="1185">
        <f>吴泾基本支出调整!J43</f>
        <v>67200</v>
      </c>
      <c r="G43" s="1185">
        <f>七宝基本支出调整!Y43</f>
        <v>722066.32999999984</v>
      </c>
      <c r="H43" s="1185">
        <f>浦江基本支出调整!X43</f>
        <v>444030</v>
      </c>
      <c r="I43" s="1185">
        <f>梅陇基本支出调整!U43</f>
        <v>371200</v>
      </c>
      <c r="J43" s="1185">
        <f>马桥基本支出调整!Q43</f>
        <v>184800</v>
      </c>
      <c r="K43" s="1185">
        <f>华漕基本支出调整!N43</f>
        <v>236560</v>
      </c>
      <c r="L43" s="1185">
        <f>颛桥基本支出调整!T43</f>
        <v>417200</v>
      </c>
      <c r="M43" s="1185">
        <f>虹桥基本支出调整!P43</f>
        <v>103120</v>
      </c>
      <c r="N43" s="1185">
        <f t="shared" si="0"/>
        <v>2654576.33</v>
      </c>
      <c r="O43" s="62"/>
      <c r="P43" s="1203">
        <v>2872000</v>
      </c>
      <c r="Q43" s="1203">
        <f t="shared" si="1"/>
        <v>-217423.66999999993</v>
      </c>
    </row>
    <row r="44" spans="1:18" ht="18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5">
        <f>莘庄基本支出调整!J44</f>
        <v>108400</v>
      </c>
      <c r="F44" s="1185">
        <f>吴泾基本支出调整!J44</f>
        <v>67200</v>
      </c>
      <c r="G44" s="1185">
        <f>七宝基本支出调整!Y44</f>
        <v>722066.32999999984</v>
      </c>
      <c r="H44" s="1185">
        <f>浦江基本支出调整!X44</f>
        <v>444030</v>
      </c>
      <c r="I44" s="1185">
        <f>梅陇基本支出调整!U44</f>
        <v>371200</v>
      </c>
      <c r="J44" s="1185">
        <f>马桥基本支出调整!Q44</f>
        <v>184800</v>
      </c>
      <c r="K44" s="1185">
        <f>华漕基本支出调整!N44</f>
        <v>236560</v>
      </c>
      <c r="L44" s="1185">
        <f>颛桥基本支出调整!T44</f>
        <v>417200</v>
      </c>
      <c r="M44" s="1185">
        <f>虹桥基本支出调整!P44</f>
        <v>103120</v>
      </c>
      <c r="N44" s="1185">
        <f t="shared" si="0"/>
        <v>2654576.33</v>
      </c>
      <c r="O44" s="62"/>
      <c r="P44" s="1203">
        <v>2872000</v>
      </c>
      <c r="Q44" s="1203">
        <f t="shared" si="1"/>
        <v>-217423.66999999993</v>
      </c>
    </row>
    <row r="45" spans="1:18" ht="18" customHeight="1">
      <c r="A45" s="66" t="s">
        <v>111</v>
      </c>
      <c r="B45" s="61" t="s">
        <v>112</v>
      </c>
      <c r="C45" s="61"/>
      <c r="D45" s="62" t="s">
        <v>21</v>
      </c>
      <c r="E45" s="1185">
        <f>莘庄基本支出调整!J45</f>
        <v>939108.89999999991</v>
      </c>
      <c r="F45" s="1185">
        <f>吴泾基本支出调整!J45</f>
        <v>515843.7</v>
      </c>
      <c r="G45" s="1185">
        <f>七宝基本支出调整!Y45</f>
        <v>3763958.6999999997</v>
      </c>
      <c r="H45" s="1185">
        <f>浦江基本支出调整!X45</f>
        <v>4323328.5</v>
      </c>
      <c r="I45" s="1185">
        <f>梅陇基本支出调整!U45</f>
        <v>2795699.85</v>
      </c>
      <c r="J45" s="1185">
        <f>马桥基本支出调整!Q45</f>
        <v>2190618.9</v>
      </c>
      <c r="K45" s="1185">
        <f>华漕基本支出调整!N45</f>
        <v>1303461.6999999997</v>
      </c>
      <c r="L45" s="1185">
        <f>颛桥基本支出调整!T45</f>
        <v>3178825.5</v>
      </c>
      <c r="M45" s="1185">
        <f>虹桥基本支出调整!P45</f>
        <v>1602590.3000000003</v>
      </c>
      <c r="N45" s="1185">
        <f t="shared" si="0"/>
        <v>20613436.050000001</v>
      </c>
      <c r="O45" s="62"/>
      <c r="P45" s="1203">
        <v>20807685.149999999</v>
      </c>
      <c r="Q45" s="1203">
        <f t="shared" si="1"/>
        <v>-194249.09999999776</v>
      </c>
    </row>
    <row r="46" spans="1:18" ht="18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5">
        <f>莘庄基本支出调整!J46</f>
        <v>939108.89999999991</v>
      </c>
      <c r="F46" s="1185">
        <f>吴泾基本支出调整!J46</f>
        <v>515843.7</v>
      </c>
      <c r="G46" s="1185">
        <f>七宝基本支出调整!Y46</f>
        <v>3763958.6999999997</v>
      </c>
      <c r="H46" s="1185">
        <f>浦江基本支出调整!X46</f>
        <v>4323328.5</v>
      </c>
      <c r="I46" s="1185">
        <f>梅陇基本支出调整!U46</f>
        <v>2795699.85</v>
      </c>
      <c r="J46" s="1185">
        <f>马桥基本支出调整!Q46</f>
        <v>2190618.9</v>
      </c>
      <c r="K46" s="1185">
        <f>华漕基本支出调整!N46</f>
        <v>1303461.6999999997</v>
      </c>
      <c r="L46" s="1185">
        <f>颛桥基本支出调整!T46</f>
        <v>3178825.5</v>
      </c>
      <c r="M46" s="1185">
        <f>虹桥基本支出调整!P46</f>
        <v>1602590.3000000003</v>
      </c>
      <c r="N46" s="1185">
        <f t="shared" si="0"/>
        <v>20613436.050000001</v>
      </c>
      <c r="O46" s="62"/>
      <c r="P46" s="1203">
        <v>20807685.149999999</v>
      </c>
      <c r="Q46" s="1203">
        <f t="shared" si="1"/>
        <v>-194249.09999999776</v>
      </c>
    </row>
    <row r="47" spans="1:18" ht="18" customHeight="1">
      <c r="A47" s="66" t="s">
        <v>116</v>
      </c>
      <c r="B47" s="61" t="s">
        <v>117</v>
      </c>
      <c r="C47" s="61"/>
      <c r="D47" s="62" t="s">
        <v>21</v>
      </c>
      <c r="E47" s="1185">
        <f>莘庄基本支出调整!J47</f>
        <v>246346.23999999999</v>
      </c>
      <c r="F47" s="1185">
        <f>吴泾基本支出调整!J47</f>
        <v>136040</v>
      </c>
      <c r="G47" s="1185">
        <f>七宝基本支出调整!Y47</f>
        <v>943045.20000000007</v>
      </c>
      <c r="H47" s="1185">
        <f>浦江基本支出调整!X47</f>
        <v>1330764.7200000002</v>
      </c>
      <c r="I47" s="1185">
        <f>梅陇基本支出调整!U47</f>
        <v>727845.6</v>
      </c>
      <c r="J47" s="1185">
        <f>马桥基本支出调整!Q47</f>
        <v>634052.4</v>
      </c>
      <c r="K47" s="1185">
        <f>华漕基本支出调整!N47</f>
        <v>541983.80000000005</v>
      </c>
      <c r="L47" s="1185">
        <f>颛桥基本支出调整!T47</f>
        <v>1018414.4</v>
      </c>
      <c r="M47" s="1185">
        <f>虹桥基本支出调整!P47</f>
        <v>363458.4</v>
      </c>
      <c r="N47" s="1185">
        <f t="shared" si="0"/>
        <v>5941950.7600000007</v>
      </c>
      <c r="O47" s="62"/>
      <c r="P47" s="1203">
        <v>5987783.5200000014</v>
      </c>
      <c r="Q47" s="1203">
        <f t="shared" si="1"/>
        <v>-45832.760000000708</v>
      </c>
    </row>
    <row r="48" spans="1:18" ht="18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5">
        <f>莘庄基本支出调整!J48</f>
        <v>246346.23999999999</v>
      </c>
      <c r="F48" s="1185">
        <f>吴泾基本支出调整!J48</f>
        <v>136040</v>
      </c>
      <c r="G48" s="1185">
        <f>七宝基本支出调整!Y48</f>
        <v>943045.20000000007</v>
      </c>
      <c r="H48" s="1185">
        <f>浦江基本支出调整!X48</f>
        <v>1330764.7200000002</v>
      </c>
      <c r="I48" s="1185">
        <f>梅陇基本支出调整!U48</f>
        <v>727845.6</v>
      </c>
      <c r="J48" s="1185">
        <f>马桥基本支出调整!Q48</f>
        <v>634052.4</v>
      </c>
      <c r="K48" s="1185">
        <f>华漕基本支出调整!N48</f>
        <v>541983.80000000005</v>
      </c>
      <c r="L48" s="1185">
        <f>颛桥基本支出调整!T48</f>
        <v>1018414.4</v>
      </c>
      <c r="M48" s="1185">
        <f>虹桥基本支出调整!P48</f>
        <v>363458.4</v>
      </c>
      <c r="N48" s="1185">
        <f t="shared" si="0"/>
        <v>5941950.7600000007</v>
      </c>
      <c r="O48" s="62"/>
      <c r="P48" s="1203">
        <v>5987783.5200000014</v>
      </c>
      <c r="Q48" s="1203">
        <f t="shared" si="1"/>
        <v>-45832.760000000708</v>
      </c>
    </row>
    <row r="49" spans="1:17" ht="18" customHeight="1">
      <c r="A49" s="66" t="s">
        <v>121</v>
      </c>
      <c r="B49" s="61" t="s">
        <v>210</v>
      </c>
      <c r="C49" s="61"/>
      <c r="D49" s="62" t="s">
        <v>21</v>
      </c>
      <c r="E49" s="1185">
        <f>莘庄基本支出调整!J49</f>
        <v>1655520</v>
      </c>
      <c r="F49" s="1185">
        <f>吴泾基本支出调整!J49</f>
        <v>1088640</v>
      </c>
      <c r="G49" s="1185">
        <f>七宝基本支出调整!Y49</f>
        <v>10511640</v>
      </c>
      <c r="H49" s="1185">
        <f>浦江基本支出调整!X49</f>
        <v>6565320</v>
      </c>
      <c r="I49" s="1185">
        <f>梅陇基本支出调整!U49</f>
        <v>5825520</v>
      </c>
      <c r="J49" s="1185">
        <f>马桥基本支出调整!Q49</f>
        <v>4140720</v>
      </c>
      <c r="K49" s="1185">
        <f>华漕基本支出调整!N49</f>
        <v>4352040</v>
      </c>
      <c r="L49" s="1185">
        <f>颛桥基本支出调整!T49</f>
        <v>6064200</v>
      </c>
      <c r="M49" s="1185">
        <f>虹桥基本支出调整!P49</f>
        <v>3952800</v>
      </c>
      <c r="N49" s="1185">
        <f t="shared" si="0"/>
        <v>44156400</v>
      </c>
      <c r="O49" s="62"/>
      <c r="P49" s="1203">
        <v>43973280</v>
      </c>
      <c r="Q49" s="1203">
        <f t="shared" si="1"/>
        <v>183120</v>
      </c>
    </row>
    <row r="50" spans="1:17" ht="18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5">
        <f>莘庄基本支出调整!J50</f>
        <v>1144440</v>
      </c>
      <c r="F50" s="1185">
        <f>吴泾基本支出调整!J50</f>
        <v>716040</v>
      </c>
      <c r="G50" s="1185">
        <f>七宝基本支出调整!Y50</f>
        <v>7798320</v>
      </c>
      <c r="H50" s="1185">
        <f>浦江基本支出调整!X50</f>
        <v>4753080</v>
      </c>
      <c r="I50" s="1185">
        <f>梅陇基本支出调整!U50</f>
        <v>3988080</v>
      </c>
      <c r="J50" s="1185">
        <f>马桥基本支出调整!Q50</f>
        <v>3082320</v>
      </c>
      <c r="K50" s="1185">
        <f>华漕基本支出调整!N50</f>
        <v>2551680</v>
      </c>
      <c r="L50" s="1185">
        <f>颛桥基本支出调整!T50</f>
        <v>4472280</v>
      </c>
      <c r="M50" s="1185">
        <f>虹桥基本支出调整!P50</f>
        <v>2316600</v>
      </c>
      <c r="N50" s="1185">
        <f t="shared" si="0"/>
        <v>30822840</v>
      </c>
      <c r="O50" s="62"/>
      <c r="P50" s="1203">
        <v>31017600</v>
      </c>
      <c r="Q50" s="1203">
        <f t="shared" si="1"/>
        <v>-194760</v>
      </c>
    </row>
    <row r="51" spans="1:17" ht="18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5">
        <f>莘庄基本支出调整!J51</f>
        <v>511080</v>
      </c>
      <c r="F51" s="1185">
        <f>吴泾基本支出调整!J51</f>
        <v>372600</v>
      </c>
      <c r="G51" s="1185">
        <f>七宝基本支出调整!Y51</f>
        <v>2713320</v>
      </c>
      <c r="H51" s="1185">
        <f>浦江基本支出调整!X51</f>
        <v>1812240</v>
      </c>
      <c r="I51" s="1185">
        <f>梅陇基本支出调整!U51</f>
        <v>1837440</v>
      </c>
      <c r="J51" s="1185">
        <f>马桥基本支出调整!Q51</f>
        <v>1058400</v>
      </c>
      <c r="K51" s="1185">
        <f>华漕基本支出调整!N51</f>
        <v>1800360</v>
      </c>
      <c r="L51" s="1185">
        <f>颛桥基本支出调整!T51</f>
        <v>1591920</v>
      </c>
      <c r="M51" s="1185">
        <f>虹桥基本支出调整!P51</f>
        <v>1636200</v>
      </c>
      <c r="N51" s="1185">
        <f t="shared" si="0"/>
        <v>13333560</v>
      </c>
      <c r="O51" s="62"/>
      <c r="P51" s="1203">
        <v>12955680</v>
      </c>
      <c r="Q51" s="1203">
        <f t="shared" si="1"/>
        <v>377880</v>
      </c>
    </row>
    <row r="52" spans="1:17" ht="18" customHeight="1">
      <c r="A52" s="66" t="s">
        <v>126</v>
      </c>
      <c r="B52" s="61" t="s">
        <v>214</v>
      </c>
      <c r="C52" s="61"/>
      <c r="D52" s="62" t="s">
        <v>21</v>
      </c>
      <c r="E52" s="1185">
        <f>莘庄基本支出调整!J52</f>
        <v>1267995.98</v>
      </c>
      <c r="F52" s="1185">
        <f>吴泾基本支出调整!J52</f>
        <v>787596.57</v>
      </c>
      <c r="G52" s="1185">
        <f>七宝基本支出调整!Y52</f>
        <v>8714205.1600000039</v>
      </c>
      <c r="H52" s="1185">
        <f>浦江基本支出调整!X52</f>
        <v>5316528.58</v>
      </c>
      <c r="I52" s="1185">
        <f>梅陇基本支出调整!U52</f>
        <v>4445528.3099999996</v>
      </c>
      <c r="J52" s="1185">
        <f>马桥基本支出调整!Q52</f>
        <v>3449469.9000000004</v>
      </c>
      <c r="K52" s="1185">
        <f>华漕基本支出调整!N52</f>
        <v>2865482.1500000004</v>
      </c>
      <c r="L52" s="1185">
        <f>颛桥基本支出调整!T52</f>
        <v>5038706.5699999994</v>
      </c>
      <c r="M52" s="1185">
        <f>虹桥基本支出调整!P52</f>
        <v>2731203</v>
      </c>
      <c r="N52" s="1185">
        <f t="shared" si="0"/>
        <v>34616716.220000006</v>
      </c>
      <c r="O52" s="62"/>
      <c r="P52" s="1203">
        <v>34591636.290000007</v>
      </c>
      <c r="Q52" s="1203">
        <f t="shared" si="1"/>
        <v>25079.929999999702</v>
      </c>
    </row>
    <row r="53" spans="1:17" ht="18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5">
        <f>莘庄基本支出调整!J53</f>
        <v>1267995.98</v>
      </c>
      <c r="F53" s="1185">
        <f>吴泾基本支出调整!J53</f>
        <v>787596.57</v>
      </c>
      <c r="G53" s="1185">
        <f>七宝基本支出调整!Y53</f>
        <v>8714205.1600000039</v>
      </c>
      <c r="H53" s="1185">
        <f>浦江基本支出调整!X53</f>
        <v>5316528.58</v>
      </c>
      <c r="I53" s="1185">
        <f>梅陇基本支出调整!U53</f>
        <v>4445528.3099999996</v>
      </c>
      <c r="J53" s="1185">
        <f>马桥基本支出调整!Q53</f>
        <v>3449469.9000000004</v>
      </c>
      <c r="K53" s="1185">
        <f>华漕基本支出调整!N53</f>
        <v>2865482.1500000004</v>
      </c>
      <c r="L53" s="1185">
        <f>颛桥基本支出调整!T53</f>
        <v>5038706.5699999994</v>
      </c>
      <c r="M53" s="1185">
        <f>虹桥基本支出调整!P53</f>
        <v>2731203</v>
      </c>
      <c r="N53" s="1185">
        <f t="shared" si="0"/>
        <v>34616716.220000006</v>
      </c>
      <c r="O53" s="62"/>
      <c r="P53" s="1203">
        <v>34591636.290000007</v>
      </c>
      <c r="Q53" s="1203">
        <f t="shared" si="1"/>
        <v>25079.929999999702</v>
      </c>
    </row>
    <row r="54" spans="1:17" ht="18" customHeight="1">
      <c r="A54" s="66" t="s">
        <v>130</v>
      </c>
      <c r="B54" s="61" t="s">
        <v>215</v>
      </c>
      <c r="C54" s="61"/>
      <c r="D54" s="62" t="s">
        <v>21</v>
      </c>
      <c r="E54" s="1185">
        <f>莘庄基本支出调整!J54</f>
        <v>48580.490000000005</v>
      </c>
      <c r="F54" s="1185">
        <f>吴泾基本支出调整!J54</f>
        <v>30000</v>
      </c>
      <c r="G54" s="1185">
        <f>七宝基本支出调整!Y54</f>
        <v>181996.31</v>
      </c>
      <c r="H54" s="1185">
        <f>浦江基本支出调整!X54</f>
        <v>239000</v>
      </c>
      <c r="I54" s="1185">
        <f>梅陇基本支出调整!U54</f>
        <v>132924.32999999999</v>
      </c>
      <c r="J54" s="1185">
        <f>马桥基本支出调整!Q54</f>
        <v>85000</v>
      </c>
      <c r="K54" s="1185">
        <f>华漕基本支出调整!N54</f>
        <v>61157.97</v>
      </c>
      <c r="L54" s="1185">
        <f>颛桥基本支出调整!T54</f>
        <v>220174</v>
      </c>
      <c r="M54" s="1185">
        <f>虹桥基本支出调整!P54</f>
        <v>122550</v>
      </c>
      <c r="N54" s="1185">
        <f t="shared" si="0"/>
        <v>1121383.1000000001</v>
      </c>
      <c r="O54" s="62"/>
      <c r="P54" s="1203">
        <v>1626000</v>
      </c>
      <c r="Q54" s="1203">
        <f t="shared" si="1"/>
        <v>-504616.89999999991</v>
      </c>
    </row>
    <row r="55" spans="1:17" ht="18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5">
        <f>莘庄基本支出调整!J55</f>
        <v>48580.490000000005</v>
      </c>
      <c r="F55" s="1185">
        <f>吴泾基本支出调整!J55</f>
        <v>30000</v>
      </c>
      <c r="G55" s="1185">
        <f>七宝基本支出调整!Y55</f>
        <v>181996.31</v>
      </c>
      <c r="H55" s="1185">
        <f>浦江基本支出调整!X55</f>
        <v>239000</v>
      </c>
      <c r="I55" s="1185">
        <f>梅陇基本支出调整!U55</f>
        <v>132924.32999999999</v>
      </c>
      <c r="J55" s="1185">
        <f>马桥基本支出调整!Q55</f>
        <v>85000</v>
      </c>
      <c r="K55" s="1185">
        <f>华漕基本支出调整!N55</f>
        <v>61157.97</v>
      </c>
      <c r="L55" s="1185">
        <f>颛桥基本支出调整!T55</f>
        <v>220174</v>
      </c>
      <c r="M55" s="1185">
        <f>虹桥基本支出调整!P55</f>
        <v>122550</v>
      </c>
      <c r="N55" s="1185">
        <f t="shared" si="0"/>
        <v>1121383.1000000001</v>
      </c>
      <c r="O55" s="62"/>
      <c r="P55" s="1203">
        <v>1626000</v>
      </c>
      <c r="Q55" s="1203">
        <f t="shared" si="1"/>
        <v>-504616.89999999991</v>
      </c>
    </row>
    <row r="56" spans="1:17" ht="18" customHeight="1">
      <c r="A56" s="66" t="s">
        <v>134</v>
      </c>
      <c r="B56" s="61" t="s">
        <v>3006</v>
      </c>
      <c r="C56" s="61"/>
      <c r="D56" s="62" t="s">
        <v>21</v>
      </c>
      <c r="E56" s="1185">
        <f>莘庄基本支出调整!J56</f>
        <v>56289.5</v>
      </c>
      <c r="F56" s="1185">
        <f>吴泾基本支出调整!J56</f>
        <v>45350</v>
      </c>
      <c r="G56" s="1185">
        <f>七宝基本支出调整!Y56</f>
        <v>326734.33</v>
      </c>
      <c r="H56" s="1185">
        <f>浦江基本支出调整!X56</f>
        <v>270016</v>
      </c>
      <c r="I56" s="1185">
        <f>梅陇基本支出调整!U56</f>
        <v>225550</v>
      </c>
      <c r="J56" s="1185">
        <f>马桥基本支出调整!Q56</f>
        <v>143155</v>
      </c>
      <c r="K56" s="1185">
        <f>华漕基本支出调整!N56</f>
        <v>184020</v>
      </c>
      <c r="L56" s="1185">
        <f>颛桥基本支出调整!T56</f>
        <v>200570</v>
      </c>
      <c r="M56" s="1185">
        <f>虹桥基本支出调整!P56</f>
        <v>175400</v>
      </c>
      <c r="N56" s="1185">
        <f t="shared" si="0"/>
        <v>1627084.83</v>
      </c>
      <c r="O56" s="62"/>
      <c r="P56" s="1203">
        <f>P57+P59</f>
        <v>1641300</v>
      </c>
      <c r="Q56" s="1203">
        <f t="shared" si="1"/>
        <v>-14215.169999999925</v>
      </c>
    </row>
    <row r="57" spans="1:17" ht="18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莘庄基本支出调整!J57</f>
        <v>47220</v>
      </c>
      <c r="F57" s="1185">
        <f>吴泾基本支出调整!J57</f>
        <v>34800</v>
      </c>
      <c r="G57" s="1185">
        <f>七宝基本支出调整!Y57</f>
        <v>251234.33</v>
      </c>
      <c r="H57" s="1185">
        <f>浦江基本支出调整!X57</f>
        <v>168166</v>
      </c>
      <c r="I57" s="1185">
        <f>梅陇基本支出调整!U57</f>
        <v>171600</v>
      </c>
      <c r="J57" s="1185">
        <f>马桥基本支出调整!Q57</f>
        <v>98680</v>
      </c>
      <c r="K57" s="1185">
        <f>华漕基本支出调整!N57</f>
        <v>167000</v>
      </c>
      <c r="L57" s="1185">
        <f>颛桥基本支出调整!T57</f>
        <v>149600</v>
      </c>
      <c r="M57" s="1185">
        <f>虹桥基本支出调整!P57</f>
        <v>149600</v>
      </c>
      <c r="N57" s="1185">
        <f t="shared" si="0"/>
        <v>1237900.33</v>
      </c>
      <c r="O57" s="62"/>
      <c r="P57" s="1203">
        <v>1199600</v>
      </c>
      <c r="Q57" s="1203">
        <f t="shared" si="1"/>
        <v>38300.330000000075</v>
      </c>
    </row>
    <row r="58" spans="1:17" ht="18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5">
        <f>莘庄基本支出调整!J58</f>
        <v>47220</v>
      </c>
      <c r="F58" s="1185">
        <f>吴泾基本支出调整!J58</f>
        <v>34800</v>
      </c>
      <c r="G58" s="1185">
        <f>七宝基本支出调整!Y58</f>
        <v>251234.33</v>
      </c>
      <c r="H58" s="1185">
        <f>浦江基本支出调整!X58</f>
        <v>168166</v>
      </c>
      <c r="I58" s="1185">
        <f>梅陇基本支出调整!U58</f>
        <v>171600</v>
      </c>
      <c r="J58" s="1185">
        <f>马桥基本支出调整!Q58</f>
        <v>98680</v>
      </c>
      <c r="K58" s="1185">
        <f>华漕基本支出调整!N58</f>
        <v>167000</v>
      </c>
      <c r="L58" s="1185">
        <f>颛桥基本支出调整!T58</f>
        <v>149600</v>
      </c>
      <c r="M58" s="1185">
        <f>虹桥基本支出调整!P58</f>
        <v>149600</v>
      </c>
      <c r="N58" s="1185">
        <f t="shared" si="0"/>
        <v>1237900.33</v>
      </c>
      <c r="O58" s="62"/>
      <c r="P58" s="1203">
        <v>1199600</v>
      </c>
      <c r="Q58" s="1203">
        <f t="shared" si="1"/>
        <v>38300.330000000075</v>
      </c>
    </row>
    <row r="59" spans="1:17" ht="18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5">
        <f>莘庄基本支出调整!J59</f>
        <v>9069.5</v>
      </c>
      <c r="F59" s="1185">
        <f>吴泾基本支出调整!J59</f>
        <v>10550</v>
      </c>
      <c r="G59" s="1185">
        <f>七宝基本支出调整!Y59</f>
        <v>75500</v>
      </c>
      <c r="H59" s="1185">
        <f>浦江基本支出调整!X59</f>
        <v>101850</v>
      </c>
      <c r="I59" s="1185">
        <f>梅陇基本支出调整!U59</f>
        <v>53950</v>
      </c>
      <c r="J59" s="1185">
        <f>马桥基本支出调整!Q59</f>
        <v>44475</v>
      </c>
      <c r="K59" s="1185">
        <f>华漕基本支出调整!N59</f>
        <v>17020</v>
      </c>
      <c r="L59" s="1185">
        <f>颛桥基本支出调整!T59</f>
        <v>50970</v>
      </c>
      <c r="M59" s="1185">
        <f>虹桥基本支出调整!P59</f>
        <v>25800</v>
      </c>
      <c r="N59" s="1185">
        <f t="shared" si="0"/>
        <v>389184.5</v>
      </c>
      <c r="O59" s="62"/>
      <c r="P59" s="1203">
        <v>441700</v>
      </c>
      <c r="Q59" s="1203">
        <f t="shared" si="1"/>
        <v>-52515.5</v>
      </c>
    </row>
    <row r="60" spans="1:17" ht="18" customHeight="1">
      <c r="A60" s="66" t="s">
        <v>141</v>
      </c>
      <c r="B60" s="61" t="s">
        <v>3009</v>
      </c>
      <c r="C60" s="61"/>
      <c r="D60" s="62" t="s">
        <v>21</v>
      </c>
      <c r="E60" s="1185">
        <f>莘庄基本支出调整!J60</f>
        <v>78000</v>
      </c>
      <c r="F60" s="1185">
        <f>吴泾基本支出调整!J60</f>
        <v>50434.6</v>
      </c>
      <c r="G60" s="1185">
        <f>七宝基本支出调整!Y60</f>
        <v>356000</v>
      </c>
      <c r="H60" s="1185">
        <f>浦江基本支出调整!X60</f>
        <v>348000</v>
      </c>
      <c r="I60" s="1185">
        <f>梅陇基本支出调整!U60</f>
        <v>158600</v>
      </c>
      <c r="J60" s="1185">
        <f>马桥基本支出调整!Q60</f>
        <v>276000</v>
      </c>
      <c r="K60" s="1185">
        <f>华漕基本支出调整!N60</f>
        <v>178600</v>
      </c>
      <c r="L60" s="1185">
        <f>颛桥基本支出调整!T60</f>
        <v>185200</v>
      </c>
      <c r="M60" s="1185">
        <f>虹桥基本支出调整!P60</f>
        <v>63000</v>
      </c>
      <c r="N60" s="1185">
        <f t="shared" si="0"/>
        <v>1693834.6</v>
      </c>
      <c r="O60" s="62"/>
      <c r="P60" s="1203">
        <v>2097000</v>
      </c>
      <c r="Q60" s="1203">
        <f t="shared" si="1"/>
        <v>-403165.39999999991</v>
      </c>
    </row>
    <row r="61" spans="1:17" ht="18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5">
        <f>莘庄基本支出调整!J61</f>
        <v>78000</v>
      </c>
      <c r="F61" s="1185">
        <f>吴泾基本支出调整!J61</f>
        <v>50434.6</v>
      </c>
      <c r="G61" s="1185">
        <f>七宝基本支出调整!Y61</f>
        <v>356000</v>
      </c>
      <c r="H61" s="1185">
        <f>浦江基本支出调整!X61</f>
        <v>348000</v>
      </c>
      <c r="I61" s="1185">
        <f>梅陇基本支出调整!U61</f>
        <v>158600</v>
      </c>
      <c r="J61" s="1185">
        <f>马桥基本支出调整!Q61</f>
        <v>276000</v>
      </c>
      <c r="K61" s="1185">
        <f>华漕基本支出调整!N61</f>
        <v>178600</v>
      </c>
      <c r="L61" s="1185">
        <f>颛桥基本支出调整!T61</f>
        <v>185200</v>
      </c>
      <c r="M61" s="1185">
        <f>虹桥基本支出调整!P61</f>
        <v>63000</v>
      </c>
      <c r="N61" s="1185">
        <f t="shared" si="0"/>
        <v>1693834.6</v>
      </c>
      <c r="O61" s="1187"/>
      <c r="P61" s="1203">
        <v>2097000</v>
      </c>
      <c r="Q61" s="1203">
        <f t="shared" si="1"/>
        <v>-403165.39999999991</v>
      </c>
    </row>
    <row r="62" spans="1:17" ht="18" customHeight="1" thickTop="1">
      <c r="A62" s="66" t="s">
        <v>144</v>
      </c>
      <c r="B62" s="1197" t="s">
        <v>145</v>
      </c>
      <c r="C62" s="1197"/>
      <c r="D62" s="19"/>
      <c r="E62" s="1185">
        <f>莘庄基本支出调整!J62</f>
        <v>0</v>
      </c>
      <c r="F62" s="1185">
        <f>吴泾基本支出调整!J62</f>
        <v>0</v>
      </c>
      <c r="G62" s="1185">
        <f>七宝基本支出调整!Y62</f>
        <v>0</v>
      </c>
      <c r="H62" s="1185">
        <f>浦江基本支出调整!X62</f>
        <v>0</v>
      </c>
      <c r="I62" s="1185">
        <f>梅陇基本支出调整!U62</f>
        <v>0</v>
      </c>
      <c r="J62" s="1185">
        <f>马桥基本支出调整!Q62</f>
        <v>0</v>
      </c>
      <c r="K62" s="1185">
        <f>华漕基本支出调整!N62</f>
        <v>0</v>
      </c>
      <c r="L62" s="1185">
        <f>颛桥基本支出调整!T62</f>
        <v>0</v>
      </c>
      <c r="M62" s="1185">
        <f>虹桥基本支出调整!P62</f>
        <v>0</v>
      </c>
      <c r="N62" s="1185">
        <f t="shared" si="0"/>
        <v>0</v>
      </c>
      <c r="O62" s="1189"/>
      <c r="P62" s="1203"/>
      <c r="Q62" s="1203">
        <f t="shared" si="1"/>
        <v>0</v>
      </c>
    </row>
    <row r="63" spans="1:17" ht="18" customHeight="1">
      <c r="A63" s="66" t="s">
        <v>146</v>
      </c>
      <c r="B63" s="61" t="s">
        <v>147</v>
      </c>
      <c r="C63" s="61"/>
      <c r="D63" s="62" t="s">
        <v>3010</v>
      </c>
      <c r="E63" s="1185">
        <f>莘庄基本支出调整!J63</f>
        <v>268</v>
      </c>
      <c r="F63" s="1185">
        <f>吴泾基本支出调整!J63</f>
        <v>166</v>
      </c>
      <c r="G63" s="1185">
        <f>七宝基本支出调整!Y63</f>
        <v>1805</v>
      </c>
      <c r="H63" s="1185">
        <f>浦江基本支出调整!X63</f>
        <v>1120</v>
      </c>
      <c r="I63" s="1185">
        <f>梅陇基本支出调整!U63</f>
        <v>924</v>
      </c>
      <c r="J63" s="1185">
        <f>马桥基本支出调整!Q63</f>
        <v>721</v>
      </c>
      <c r="K63" s="1185">
        <f>华漕基本支出调整!N63</f>
        <v>600</v>
      </c>
      <c r="L63" s="1185">
        <f>颛桥基本支出调整!T63</f>
        <v>1043</v>
      </c>
      <c r="M63" s="1185">
        <f>虹桥基本支出调整!P63</f>
        <v>532</v>
      </c>
      <c r="N63" s="1204">
        <f t="shared" si="0"/>
        <v>7179</v>
      </c>
      <c r="O63" s="1205"/>
      <c r="P63" s="1203">
        <v>7180</v>
      </c>
      <c r="Q63" s="1203">
        <f t="shared" si="1"/>
        <v>-1</v>
      </c>
    </row>
    <row r="64" spans="1:17" ht="18" customHeight="1">
      <c r="A64" s="66" t="s">
        <v>148</v>
      </c>
      <c r="B64" s="1199" t="s">
        <v>149</v>
      </c>
      <c r="C64" s="1199"/>
      <c r="D64" s="62"/>
      <c r="E64" s="1185">
        <f>莘庄基本支出调整!J64</f>
        <v>61</v>
      </c>
      <c r="F64" s="1185">
        <f>吴泾基本支出调整!J64</f>
        <v>0</v>
      </c>
      <c r="G64" s="1185">
        <f>七宝基本支出调整!Y64</f>
        <v>641</v>
      </c>
      <c r="H64" s="1185">
        <f>浦江基本支出调整!X64</f>
        <v>355</v>
      </c>
      <c r="I64" s="1185">
        <f>梅陇基本支出调整!U64</f>
        <v>292</v>
      </c>
      <c r="J64" s="1185">
        <f>马桥基本支出调整!Q64</f>
        <v>206</v>
      </c>
      <c r="K64" s="1185">
        <f>华漕基本支出调整!N64</f>
        <v>190</v>
      </c>
      <c r="L64" s="1185">
        <f>颛桥基本支出调整!T64</f>
        <v>332</v>
      </c>
      <c r="M64" s="1185">
        <f>虹桥基本支出调整!P64</f>
        <v>164</v>
      </c>
      <c r="N64" s="1204">
        <f t="shared" si="0"/>
        <v>2241</v>
      </c>
      <c r="O64" s="1205"/>
      <c r="P64" s="1203">
        <v>2199</v>
      </c>
      <c r="Q64" s="1203">
        <f t="shared" si="1"/>
        <v>42</v>
      </c>
    </row>
    <row r="65" spans="1:17" ht="18" customHeight="1">
      <c r="A65" s="66" t="s">
        <v>150</v>
      </c>
      <c r="B65" s="1199" t="s">
        <v>151</v>
      </c>
      <c r="C65" s="1199"/>
      <c r="D65" s="62"/>
      <c r="E65" s="1185">
        <f>莘庄基本支出调整!J65</f>
        <v>62</v>
      </c>
      <c r="F65" s="1185">
        <f>吴泾基本支出调整!J65</f>
        <v>65</v>
      </c>
      <c r="G65" s="1185">
        <f>七宝基本支出调整!Y65</f>
        <v>766</v>
      </c>
      <c r="H65" s="1185">
        <f>浦江基本支出调整!X65</f>
        <v>429</v>
      </c>
      <c r="I65" s="1185">
        <f>梅陇基本支出调整!U65</f>
        <v>304</v>
      </c>
      <c r="J65" s="1185">
        <f>马桥基本支出调整!Q65</f>
        <v>307</v>
      </c>
      <c r="K65" s="1185">
        <f>华漕基本支出调整!N65</f>
        <v>216</v>
      </c>
      <c r="L65" s="1185">
        <f>颛桥基本支出调整!T65</f>
        <v>467</v>
      </c>
      <c r="M65" s="1185">
        <f>虹桥基本支出调整!P65</f>
        <v>192</v>
      </c>
      <c r="N65" s="1204">
        <f t="shared" si="0"/>
        <v>2808</v>
      </c>
      <c r="O65" s="1205"/>
      <c r="P65" s="1203">
        <v>2852</v>
      </c>
      <c r="Q65" s="1203">
        <f t="shared" si="1"/>
        <v>-44</v>
      </c>
    </row>
    <row r="66" spans="1:17" ht="18" customHeight="1">
      <c r="A66" s="66" t="s">
        <v>152</v>
      </c>
      <c r="B66" s="1199" t="s">
        <v>153</v>
      </c>
      <c r="C66" s="1199"/>
      <c r="D66" s="62"/>
      <c r="E66" s="1185">
        <f>莘庄基本支出调整!J66</f>
        <v>139</v>
      </c>
      <c r="F66" s="1185">
        <f>吴泾基本支出调整!J66</f>
        <v>98</v>
      </c>
      <c r="G66" s="1185">
        <f>七宝基本支出调整!Y66</f>
        <v>391</v>
      </c>
      <c r="H66" s="1185">
        <f>浦江基本支出调整!X66</f>
        <v>330</v>
      </c>
      <c r="I66" s="1185">
        <f>梅陇基本支出调整!U66</f>
        <v>324</v>
      </c>
      <c r="J66" s="1185">
        <f>马桥基本支出调整!Q66</f>
        <v>198</v>
      </c>
      <c r="K66" s="1185">
        <f>华漕基本支出调整!N66</f>
        <v>187</v>
      </c>
      <c r="L66" s="1185">
        <f>颛桥基本支出调整!T66</f>
        <v>239</v>
      </c>
      <c r="M66" s="1185">
        <f>虹桥基本支出调整!P66</f>
        <v>172</v>
      </c>
      <c r="N66" s="1204">
        <f t="shared" si="0"/>
        <v>2078</v>
      </c>
      <c r="O66" s="1205"/>
      <c r="P66" s="1203">
        <v>2079</v>
      </c>
      <c r="Q66" s="1203">
        <f t="shared" si="1"/>
        <v>-1</v>
      </c>
    </row>
    <row r="67" spans="1:17" ht="18" customHeight="1">
      <c r="A67" s="66" t="s">
        <v>154</v>
      </c>
      <c r="B67" s="1199" t="s">
        <v>155</v>
      </c>
      <c r="C67" s="1199"/>
      <c r="D67" s="62"/>
      <c r="E67" s="1185">
        <f>莘庄基本支出调整!J67</f>
        <v>6</v>
      </c>
      <c r="F67" s="1185">
        <f>吴泾基本支出调整!J67</f>
        <v>3</v>
      </c>
      <c r="G67" s="1185">
        <f>七宝基本支出调整!Y67</f>
        <v>7</v>
      </c>
      <c r="H67" s="1185">
        <f>浦江基本支出调整!X67</f>
        <v>6</v>
      </c>
      <c r="I67" s="1185">
        <f>梅陇基本支出调整!U67</f>
        <v>4</v>
      </c>
      <c r="J67" s="1185">
        <f>马桥基本支出调整!Q67</f>
        <v>10</v>
      </c>
      <c r="K67" s="1185">
        <f>华漕基本支出调整!N67</f>
        <v>7</v>
      </c>
      <c r="L67" s="1185">
        <f>颛桥基本支出调整!T67</f>
        <v>5</v>
      </c>
      <c r="M67" s="1185">
        <f>虹桥基本支出调整!P67</f>
        <v>4</v>
      </c>
      <c r="N67" s="1204">
        <f t="shared" si="0"/>
        <v>52</v>
      </c>
      <c r="O67" s="1205"/>
      <c r="P67" s="1203">
        <v>50</v>
      </c>
      <c r="Q67" s="1203">
        <f t="shared" si="1"/>
        <v>2</v>
      </c>
    </row>
    <row r="68" spans="1:17" ht="18" customHeight="1">
      <c r="A68" s="66" t="s">
        <v>156</v>
      </c>
      <c r="B68" s="61" t="s">
        <v>157</v>
      </c>
      <c r="C68" s="61"/>
      <c r="D68" s="62" t="s">
        <v>3051</v>
      </c>
      <c r="E68" s="1185">
        <f>莘庄基本支出调整!J68</f>
        <v>3159</v>
      </c>
      <c r="F68" s="1185">
        <f>吴泾基本支出调整!J68</f>
        <v>2553</v>
      </c>
      <c r="G68" s="1185">
        <f>七宝基本支出调整!Y68</f>
        <v>25772</v>
      </c>
      <c r="H68" s="1185">
        <f>浦江基本支出调整!X68</f>
        <v>18508</v>
      </c>
      <c r="I68" s="1185">
        <f>梅陇基本支出调整!U68</f>
        <v>12169</v>
      </c>
      <c r="J68" s="1185">
        <f>马桥基本支出调整!Q68</f>
        <v>10282</v>
      </c>
      <c r="K68" s="1185">
        <f>华漕基本支出调整!N68</f>
        <v>8859</v>
      </c>
      <c r="L68" s="1185">
        <f>颛桥基本支出调整!T68</f>
        <v>15321</v>
      </c>
      <c r="M68" s="1185">
        <f>虹桥基本支出调整!P68</f>
        <v>6467</v>
      </c>
      <c r="N68" s="1204">
        <f t="shared" si="0"/>
        <v>103090</v>
      </c>
      <c r="O68" s="1205"/>
      <c r="P68" s="1203">
        <v>99160</v>
      </c>
      <c r="Q68" s="1203">
        <f t="shared" si="1"/>
        <v>3930</v>
      </c>
    </row>
    <row r="69" spans="1:17" ht="18" customHeight="1">
      <c r="A69" s="66" t="s">
        <v>158</v>
      </c>
      <c r="B69" s="1199" t="s">
        <v>149</v>
      </c>
      <c r="C69" s="1199"/>
      <c r="D69" s="62"/>
      <c r="E69" s="1185">
        <f>莘庄基本支出调整!J69</f>
        <v>986</v>
      </c>
      <c r="F69" s="1185">
        <f>吴泾基本支出调整!J69</f>
        <v>0</v>
      </c>
      <c r="G69" s="1185">
        <f>七宝基本支出调整!Y69</f>
        <v>9597</v>
      </c>
      <c r="H69" s="1185">
        <f>浦江基本支出调整!X69</f>
        <v>5581</v>
      </c>
      <c r="I69" s="1185">
        <f>梅陇基本支出调整!U69</f>
        <v>4349</v>
      </c>
      <c r="J69" s="1185">
        <f>马桥基本支出调整!Q69</f>
        <v>3165</v>
      </c>
      <c r="K69" s="1185">
        <f>华漕基本支出调整!N69</f>
        <v>2902</v>
      </c>
      <c r="L69" s="1185">
        <f>颛桥基本支出调整!T69</f>
        <v>5194</v>
      </c>
      <c r="M69" s="1185">
        <f>虹桥基本支出调整!P69</f>
        <v>2229</v>
      </c>
      <c r="N69" s="1204">
        <f t="shared" si="0"/>
        <v>34003</v>
      </c>
      <c r="O69" s="1205"/>
      <c r="P69" s="1203">
        <v>30739</v>
      </c>
      <c r="Q69" s="1203">
        <f t="shared" si="1"/>
        <v>3264</v>
      </c>
    </row>
    <row r="70" spans="1:17" ht="18" customHeight="1">
      <c r="A70" s="66" t="s">
        <v>159</v>
      </c>
      <c r="B70" s="1199" t="s">
        <v>151</v>
      </c>
      <c r="C70" s="1199"/>
      <c r="D70" s="62"/>
      <c r="E70" s="1185">
        <f>莘庄基本支出调整!J70</f>
        <v>770</v>
      </c>
      <c r="F70" s="1185">
        <f>吴泾基本支出调整!J70</f>
        <v>1195</v>
      </c>
      <c r="G70" s="1185">
        <f>七宝基本支出调整!Y70</f>
        <v>12408</v>
      </c>
      <c r="H70" s="1185">
        <f>浦江基本支出调整!X70</f>
        <v>8299</v>
      </c>
      <c r="I70" s="1185">
        <f>梅陇基本支出调整!U70</f>
        <v>4387</v>
      </c>
      <c r="J70" s="1185">
        <f>马桥基本支出调整!Q70</f>
        <v>4730</v>
      </c>
      <c r="K70" s="1185">
        <f>华漕基本支出调整!N70</f>
        <v>3818</v>
      </c>
      <c r="L70" s="1185">
        <f>颛桥基本支出调整!T70</f>
        <v>7402</v>
      </c>
      <c r="M70" s="1185">
        <f>虹桥基本支出调整!P70</f>
        <v>2813</v>
      </c>
      <c r="N70" s="1204">
        <f t="shared" ref="N70:N75" si="2">E70+F70+G70+H70+I70+J70+K70+L70+M70</f>
        <v>45822</v>
      </c>
      <c r="O70" s="1205"/>
      <c r="P70" s="1203">
        <v>44652</v>
      </c>
      <c r="Q70" s="1203">
        <f t="shared" ref="Q70:Q75" si="3">N70-P70</f>
        <v>1170</v>
      </c>
    </row>
    <row r="71" spans="1:17" ht="18" customHeight="1">
      <c r="A71" s="66" t="s">
        <v>160</v>
      </c>
      <c r="B71" s="1199" t="s">
        <v>153</v>
      </c>
      <c r="C71" s="1199"/>
      <c r="D71" s="62"/>
      <c r="E71" s="1185">
        <f>莘庄基本支出调整!J71</f>
        <v>1403</v>
      </c>
      <c r="F71" s="1185">
        <f>吴泾基本支出调整!J71</f>
        <v>1358</v>
      </c>
      <c r="G71" s="1185">
        <f>七宝基本支出调整!Y71</f>
        <v>3767</v>
      </c>
      <c r="H71" s="1185">
        <f>浦江基本支出调整!X71</f>
        <v>4628</v>
      </c>
      <c r="I71" s="1185">
        <f>梅陇基本支出调整!U71</f>
        <v>3433</v>
      </c>
      <c r="J71" s="1185">
        <f>马桥基本支出调整!Q71</f>
        <v>2387</v>
      </c>
      <c r="K71" s="1185">
        <f>华漕基本支出调整!N71</f>
        <v>2139</v>
      </c>
      <c r="L71" s="1185">
        <f>颛桥基本支出调整!T71</f>
        <v>2725</v>
      </c>
      <c r="M71" s="1185">
        <f>虹桥基本支出调整!P71</f>
        <v>1425</v>
      </c>
      <c r="N71" s="1204">
        <f t="shared" si="2"/>
        <v>23265</v>
      </c>
      <c r="O71" s="1205"/>
      <c r="P71" s="1203">
        <v>23769</v>
      </c>
      <c r="Q71" s="1203">
        <f t="shared" si="3"/>
        <v>-504</v>
      </c>
    </row>
    <row r="72" spans="1:17" ht="18" customHeight="1">
      <c r="A72" s="66" t="s">
        <v>161</v>
      </c>
      <c r="B72" s="1199" t="s">
        <v>155</v>
      </c>
      <c r="C72" s="1199"/>
      <c r="D72" s="62"/>
      <c r="E72" s="1185">
        <f>莘庄基本支出调整!J72</f>
        <v>0</v>
      </c>
      <c r="F72" s="1185">
        <f>吴泾基本支出调整!J72</f>
        <v>0</v>
      </c>
      <c r="G72" s="1185">
        <f>七宝基本支出调整!Y72</f>
        <v>0</v>
      </c>
      <c r="H72" s="1185">
        <f>浦江基本支出调整!X72</f>
        <v>0</v>
      </c>
      <c r="I72" s="1185">
        <f>梅陇基本支出调整!U72</f>
        <v>0</v>
      </c>
      <c r="J72" s="1185">
        <f>马桥基本支出调整!Q72</f>
        <v>0</v>
      </c>
      <c r="K72" s="1185">
        <f>华漕基本支出调整!N72</f>
        <v>0</v>
      </c>
      <c r="L72" s="1185">
        <f>颛桥基本支出调整!T72</f>
        <v>0</v>
      </c>
      <c r="M72" s="1185">
        <f>虹桥基本支出调整!P72</f>
        <v>0</v>
      </c>
      <c r="N72" s="1204">
        <f t="shared" si="2"/>
        <v>0</v>
      </c>
      <c r="O72" s="1205"/>
      <c r="P72" s="1203">
        <v>0</v>
      </c>
      <c r="Q72" s="1203">
        <f t="shared" si="3"/>
        <v>0</v>
      </c>
    </row>
    <row r="73" spans="1:17" ht="18" customHeight="1">
      <c r="A73" s="66" t="s">
        <v>162</v>
      </c>
      <c r="B73" s="61" t="s">
        <v>218</v>
      </c>
      <c r="C73" s="61"/>
      <c r="D73" s="62"/>
      <c r="E73" s="1185">
        <f>莘庄基本支出调整!J73</f>
        <v>120</v>
      </c>
      <c r="F73" s="1185">
        <f>吴泾基本支出调整!J73</f>
        <v>87</v>
      </c>
      <c r="G73" s="1185">
        <f>七宝基本支出调整!Y73</f>
        <v>647</v>
      </c>
      <c r="H73" s="1185">
        <f>浦江基本支出调整!X73</f>
        <v>420</v>
      </c>
      <c r="I73" s="1185">
        <f>梅陇基本支出调整!U73</f>
        <v>428</v>
      </c>
      <c r="J73" s="1185">
        <f>马桥基本支出调整!Q73</f>
        <v>248</v>
      </c>
      <c r="K73" s="1185">
        <f>华漕基本支出调整!N73</f>
        <v>422</v>
      </c>
      <c r="L73" s="1185">
        <f>颛桥基本支出调整!T73</f>
        <v>372</v>
      </c>
      <c r="M73" s="1185">
        <f>虹桥基本支出调整!P73</f>
        <v>377</v>
      </c>
      <c r="N73" s="1204">
        <f t="shared" si="2"/>
        <v>3121</v>
      </c>
      <c r="O73" s="1205"/>
      <c r="P73" s="1203">
        <v>2999</v>
      </c>
      <c r="Q73" s="1203">
        <f t="shared" si="3"/>
        <v>122</v>
      </c>
    </row>
    <row r="74" spans="1:17" ht="18" customHeight="1">
      <c r="A74" s="66" t="s">
        <v>3011</v>
      </c>
      <c r="B74" s="1199" t="s">
        <v>219</v>
      </c>
      <c r="C74" s="1199"/>
      <c r="D74" s="67"/>
      <c r="E74" s="1185">
        <f>莘庄基本支出调整!J74</f>
        <v>62607.26</v>
      </c>
      <c r="F74" s="1185">
        <f>吴泾基本支出调整!J74</f>
        <v>34389.58</v>
      </c>
      <c r="G74" s="1185">
        <f>七宝基本支出调整!Y74</f>
        <v>250930.58000000002</v>
      </c>
      <c r="H74" s="1185">
        <f>浦江基本支出调整!X74</f>
        <v>288221.89999999997</v>
      </c>
      <c r="I74" s="1185">
        <f>梅陇基本支出调整!U74</f>
        <v>186379.99</v>
      </c>
      <c r="J74" s="1185">
        <f>马桥基本支出调整!Q74</f>
        <v>146041.25999999998</v>
      </c>
      <c r="K74" s="1185">
        <f>华漕基本支出调整!N74</f>
        <v>99214.64</v>
      </c>
      <c r="L74" s="1185">
        <f>颛桥基本支出调整!T74</f>
        <v>211921.69999999998</v>
      </c>
      <c r="M74" s="1185">
        <f>虹桥基本支出调整!P74</f>
        <v>115756.08</v>
      </c>
      <c r="N74" s="1185">
        <f t="shared" si="2"/>
        <v>1395462.99</v>
      </c>
      <c r="O74" s="62"/>
      <c r="P74" s="1203">
        <v>1387179.0099999998</v>
      </c>
      <c r="Q74" s="1203">
        <f t="shared" si="3"/>
        <v>8283.9800000002142</v>
      </c>
    </row>
    <row r="75" spans="1:17" ht="18" customHeight="1">
      <c r="A75" s="66" t="s">
        <v>3012</v>
      </c>
      <c r="B75" s="1199" t="s">
        <v>220</v>
      </c>
      <c r="C75" s="1199"/>
      <c r="D75" s="67"/>
      <c r="E75" s="1185">
        <f>莘庄基本支出调整!J75</f>
        <v>30803</v>
      </c>
      <c r="F75" s="1185">
        <f>吴泾基本支出调整!J75</f>
        <v>20436</v>
      </c>
      <c r="G75" s="1185">
        <f>七宝基本支出调整!Y75</f>
        <v>117880.65000000001</v>
      </c>
      <c r="H75" s="1185">
        <f>浦江基本支出调整!X75</f>
        <v>166345.59000000003</v>
      </c>
      <c r="I75" s="1185">
        <f>梅陇基本支出调整!U75</f>
        <v>90980.7</v>
      </c>
      <c r="J75" s="1185">
        <f>马桥基本支出调整!Q75</f>
        <v>79296.3</v>
      </c>
      <c r="K75" s="1185">
        <f>华漕基本支出调整!N75</f>
        <v>70407.600000000006</v>
      </c>
      <c r="L75" s="1185">
        <f>颛桥基本支出调整!T75</f>
        <v>127301.8</v>
      </c>
      <c r="M75" s="1185">
        <f>虹桥基本支出调整!P75</f>
        <v>45483.759999999995</v>
      </c>
      <c r="N75" s="1185">
        <f t="shared" si="2"/>
        <v>748935.40000000014</v>
      </c>
      <c r="O75" s="62"/>
      <c r="P75" s="1203">
        <v>748472.94000000018</v>
      </c>
      <c r="Q75" s="1203">
        <f t="shared" si="3"/>
        <v>462.45999999996275</v>
      </c>
    </row>
    <row r="80" spans="1:17">
      <c r="E80" s="24">
        <f>E22+E27+E29+E31+E34</f>
        <v>28296062.109999999</v>
      </c>
      <c r="F80" s="24">
        <f t="shared" ref="F80:N80" si="4">F22+F27+F29+F31+F34</f>
        <v>17386575.32</v>
      </c>
      <c r="G80" s="24">
        <f t="shared" si="4"/>
        <v>189336482.47999999</v>
      </c>
      <c r="H80" s="24">
        <f t="shared" si="4"/>
        <v>115146418.74000001</v>
      </c>
      <c r="I80" s="24">
        <f t="shared" si="4"/>
        <v>98974713.829999998</v>
      </c>
      <c r="J80" s="24">
        <f t="shared" si="4"/>
        <v>75345201.680000007</v>
      </c>
      <c r="K80" s="24">
        <f t="shared" si="4"/>
        <v>66653642.920000002</v>
      </c>
      <c r="L80" s="24">
        <f t="shared" si="4"/>
        <v>110004480.81</v>
      </c>
      <c r="M80" s="24">
        <f t="shared" si="4"/>
        <v>62079319</v>
      </c>
      <c r="N80" s="24">
        <f t="shared" si="4"/>
        <v>763222896.88999987</v>
      </c>
    </row>
  </sheetData>
  <protectedRanges>
    <protectedRange password="E9C1" sqref="D31 C32 A6:D7 B8:D30 B33:D75 A8:A75 A3:O5 E6:O75" name="区域1_1"/>
    <protectedRange password="E9C1" sqref="B31:C31 B32" name="区域1_1_1"/>
    <protectedRange password="E9C1" sqref="D32" name="区域1_2"/>
    <protectedRange password="E9C1" sqref="P27:P32" name="区域1_1_2"/>
  </protectedRanges>
  <mergeCells count="18">
    <mergeCell ref="Q3:Q4"/>
    <mergeCell ref="A1:Q1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N3:N4"/>
    <mergeCell ref="O3:O4"/>
    <mergeCell ref="E3:E4"/>
    <mergeCell ref="F3:F4"/>
    <mergeCell ref="G3:G4"/>
    <mergeCell ref="P3:P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第 &amp;P 页，共 &amp;N 页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B1" workbookViewId="0">
      <selection activeCell="B1" sqref="A1:XFD1048576"/>
    </sheetView>
  </sheetViews>
  <sheetFormatPr defaultRowHeight="11.25"/>
  <cols>
    <col min="1" max="1" width="0" style="21" hidden="1" customWidth="1"/>
    <col min="2" max="2" width="41.5" style="3" customWidth="1"/>
    <col min="3" max="3" width="11.5" style="3" hidden="1" customWidth="1"/>
    <col min="4" max="4" width="15.625" style="1178" hidden="1" customWidth="1"/>
    <col min="5" max="5" width="21.5" style="3" customWidth="1"/>
    <col min="6" max="6" width="20.125" style="3" customWidth="1"/>
    <col min="7" max="7" width="19.625" style="3" customWidth="1"/>
    <col min="8" max="8" width="18.875" style="3" customWidth="1"/>
    <col min="9" max="9" width="19.75" style="3" customWidth="1"/>
    <col min="10" max="10" width="17.875" style="3" customWidth="1"/>
    <col min="11" max="11" width="15.625" style="3" hidden="1" customWidth="1"/>
    <col min="12" max="16384" width="9" style="3"/>
  </cols>
  <sheetData>
    <row r="1" spans="1:13" ht="24.95" customHeight="1">
      <c r="A1" s="1361" t="s">
        <v>3013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52" t="s">
        <v>3242</v>
      </c>
      <c r="K2" s="1184" t="s">
        <v>3000</v>
      </c>
    </row>
    <row r="3" spans="1:13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191" t="s">
        <v>271</v>
      </c>
      <c r="F3" s="1191" t="s">
        <v>264</v>
      </c>
      <c r="G3" s="1191" t="s">
        <v>272</v>
      </c>
      <c r="H3" s="1191" t="s">
        <v>273</v>
      </c>
      <c r="I3" s="1191" t="s">
        <v>274</v>
      </c>
      <c r="J3" s="1610" t="s">
        <v>17</v>
      </c>
      <c r="K3" s="1610" t="s">
        <v>18</v>
      </c>
    </row>
    <row r="4" spans="1:13" ht="24.95" customHeight="1">
      <c r="A4" s="1609"/>
      <c r="B4" s="1609"/>
      <c r="C4" s="1609"/>
      <c r="D4" s="1609"/>
      <c r="E4" s="1191" t="s">
        <v>460</v>
      </c>
      <c r="F4" s="1191" t="s">
        <v>460</v>
      </c>
      <c r="G4" s="1191" t="s">
        <v>460</v>
      </c>
      <c r="H4" s="1191" t="s">
        <v>3071</v>
      </c>
      <c r="I4" s="1191" t="s">
        <v>2371</v>
      </c>
      <c r="J4" s="1611"/>
      <c r="K4" s="1611"/>
    </row>
    <row r="5" spans="1:13" ht="15" customHeight="1">
      <c r="A5" s="66" t="s">
        <v>19</v>
      </c>
      <c r="B5" s="61" t="s">
        <v>20</v>
      </c>
      <c r="C5" s="61"/>
      <c r="D5" s="62" t="s">
        <v>21</v>
      </c>
      <c r="E5" s="1185">
        <f>E6+E33+E40</f>
        <v>9723685.5700000003</v>
      </c>
      <c r="F5" s="1185">
        <f>F6+F33+F40</f>
        <v>6539448.8900000006</v>
      </c>
      <c r="G5" s="1185">
        <f>G6+G33+G40</f>
        <v>13783707.98</v>
      </c>
      <c r="H5" s="1185">
        <f>H6+H33+H40</f>
        <v>1466698.5099999998</v>
      </c>
      <c r="I5" s="1185">
        <f>I6+I33+I40</f>
        <v>34720063.299999997</v>
      </c>
      <c r="J5" s="1185">
        <f t="shared" ref="J5:J68" si="0">SUM(E5:I5)</f>
        <v>66233604.25</v>
      </c>
      <c r="K5" s="62"/>
    </row>
    <row r="6" spans="1:13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7218533.1500000004</v>
      </c>
      <c r="F6" s="1185">
        <f>F7+F10+F14+F17+F22+F27+F29+F31+F32</f>
        <v>4255833.04</v>
      </c>
      <c r="G6" s="1185">
        <f>G7+G10+G14+G17+G22+G27+G29+G31+G32</f>
        <v>10449864.52</v>
      </c>
      <c r="H6" s="1185">
        <f>H7+H10+H14+H17+H22+H27+H29+H31+H32</f>
        <v>1124804.43</v>
      </c>
      <c r="I6" s="1185">
        <f>I7+I10+I14+I17+I22+I27+I29+I31+I32</f>
        <v>24472998</v>
      </c>
      <c r="J6" s="1185">
        <f t="shared" si="0"/>
        <v>47522033.140000001</v>
      </c>
      <c r="K6" s="62"/>
      <c r="L6" s="1607"/>
    </row>
    <row r="7" spans="1:13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2308437</v>
      </c>
      <c r="F7" s="1185">
        <f>F8+F9</f>
        <v>1440096</v>
      </c>
      <c r="G7" s="1185">
        <f>G8+G9</f>
        <v>3493766</v>
      </c>
      <c r="H7" s="1185">
        <f>H8+H9</f>
        <v>395772</v>
      </c>
      <c r="I7" s="1185">
        <f>I8+I9</f>
        <v>7599445.9999999991</v>
      </c>
      <c r="J7" s="1185">
        <f t="shared" si="0"/>
        <v>15237517</v>
      </c>
      <c r="K7" s="62"/>
      <c r="L7" s="1607"/>
    </row>
    <row r="8" spans="1:13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1374750</v>
      </c>
      <c r="F8" s="1180">
        <v>874073</v>
      </c>
      <c r="G8" s="1180">
        <v>1983038</v>
      </c>
      <c r="H8" s="1180">
        <v>191628</v>
      </c>
      <c r="I8" s="1180">
        <v>3932298</v>
      </c>
      <c r="J8" s="1185">
        <f t="shared" si="0"/>
        <v>8355787</v>
      </c>
      <c r="K8" s="1192"/>
      <c r="L8" s="1607"/>
    </row>
    <row r="9" spans="1:13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933687</v>
      </c>
      <c r="F9" s="1180">
        <v>566023</v>
      </c>
      <c r="G9" s="1180">
        <v>1510728</v>
      </c>
      <c r="H9" s="1180">
        <v>204144</v>
      </c>
      <c r="I9" s="1180">
        <v>3667147.9999999991</v>
      </c>
      <c r="J9" s="1185">
        <f t="shared" si="0"/>
        <v>6881729.9999999991</v>
      </c>
      <c r="K9" s="62"/>
      <c r="L9" s="1607"/>
    </row>
    <row r="10" spans="1:13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237141</v>
      </c>
      <c r="F10" s="1185">
        <f>F11+F12</f>
        <v>152652</v>
      </c>
      <c r="G10" s="1185">
        <f>G11+G12</f>
        <v>332924</v>
      </c>
      <c r="H10" s="1185">
        <f>H11+H12</f>
        <v>32196</v>
      </c>
      <c r="I10" s="1185">
        <f>I11+I12</f>
        <v>653343</v>
      </c>
      <c r="J10" s="1185">
        <f t="shared" si="0"/>
        <v>1408256</v>
      </c>
      <c r="K10" s="62"/>
      <c r="L10" s="1607"/>
    </row>
    <row r="11" spans="1:13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2621</v>
      </c>
      <c r="F11" s="1180">
        <v>1732</v>
      </c>
      <c r="G11" s="1180">
        <v>4684</v>
      </c>
      <c r="H11" s="1180">
        <v>516</v>
      </c>
      <c r="I11" s="1180">
        <v>17103</v>
      </c>
      <c r="J11" s="1185">
        <f t="shared" si="0"/>
        <v>26656</v>
      </c>
      <c r="K11" s="62"/>
      <c r="L11" s="1607"/>
    </row>
    <row r="12" spans="1:13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234520</v>
      </c>
      <c r="F12" s="1185">
        <f>F13</f>
        <v>150920</v>
      </c>
      <c r="G12" s="1185">
        <f>G13</f>
        <v>328240</v>
      </c>
      <c r="H12" s="1185">
        <f>H13</f>
        <v>31680</v>
      </c>
      <c r="I12" s="1185">
        <f>I13</f>
        <v>636240</v>
      </c>
      <c r="J12" s="1185">
        <f t="shared" si="0"/>
        <v>1381600</v>
      </c>
      <c r="K12" s="62"/>
      <c r="L12" s="1607"/>
    </row>
    <row r="13" spans="1:13" ht="1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234520</v>
      </c>
      <c r="F13" s="1180">
        <v>150920</v>
      </c>
      <c r="G13" s="1180">
        <v>328240</v>
      </c>
      <c r="H13" s="1180">
        <v>31680</v>
      </c>
      <c r="I13" s="1180">
        <v>636240</v>
      </c>
      <c r="J13" s="1185">
        <f t="shared" si="0"/>
        <v>1381600</v>
      </c>
      <c r="K13" s="62"/>
      <c r="L13" s="1607"/>
    </row>
    <row r="14" spans="1:13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80516.67</v>
      </c>
      <c r="F14" s="1185">
        <f>F15+F16</f>
        <v>48388.880000000005</v>
      </c>
      <c r="G14" s="1185">
        <f>G15+G16</f>
        <v>113581.61</v>
      </c>
      <c r="H14" s="1185">
        <f>H15+H16</f>
        <v>12877.869999999999</v>
      </c>
      <c r="I14" s="1185">
        <f>I15+I16</f>
        <v>228038</v>
      </c>
      <c r="J14" s="1185">
        <f t="shared" si="0"/>
        <v>483403.03</v>
      </c>
      <c r="K14" s="62"/>
      <c r="L14" s="1607"/>
    </row>
    <row r="15" spans="1:13" ht="1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31094.76</v>
      </c>
      <c r="F15" s="1180">
        <v>18701.88</v>
      </c>
      <c r="G15" s="1180">
        <v>43865.919999999998</v>
      </c>
      <c r="H15" s="1180">
        <v>4974.71</v>
      </c>
      <c r="I15" s="1180">
        <v>64371</v>
      </c>
      <c r="J15" s="1185">
        <f t="shared" si="0"/>
        <v>163008.27000000002</v>
      </c>
      <c r="K15" s="62"/>
      <c r="L15" s="1607"/>
      <c r="M15" s="24"/>
    </row>
    <row r="16" spans="1:13" ht="1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49421.91</v>
      </c>
      <c r="F16" s="1180">
        <v>29687</v>
      </c>
      <c r="G16" s="1180">
        <v>69715.69</v>
      </c>
      <c r="H16" s="1180">
        <v>7903.16</v>
      </c>
      <c r="I16" s="1180">
        <v>163667</v>
      </c>
      <c r="J16" s="1185">
        <f t="shared" si="0"/>
        <v>320394.76</v>
      </c>
      <c r="K16" s="62"/>
      <c r="L16" s="1607"/>
      <c r="M16" s="24"/>
    </row>
    <row r="17" spans="1:15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528124</v>
      </c>
      <c r="F17" s="1185">
        <f>F18+F19+F20+F21</f>
        <v>171500</v>
      </c>
      <c r="G17" s="1185">
        <f>G18+G19+G20+G21</f>
        <v>765157</v>
      </c>
      <c r="H17" s="1185">
        <f>H18+H19+H20+H21</f>
        <v>36000</v>
      </c>
      <c r="I17" s="1185">
        <f>I18+I19+I20+I21</f>
        <v>2612214</v>
      </c>
      <c r="J17" s="1185">
        <f t="shared" si="0"/>
        <v>4112995</v>
      </c>
      <c r="K17" s="62"/>
      <c r="L17" s="1607"/>
    </row>
    <row r="18" spans="1:15" ht="1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5">
        <f t="shared" si="0"/>
        <v>0</v>
      </c>
      <c r="K18" s="62"/>
      <c r="L18" s="1607"/>
    </row>
    <row r="19" spans="1:15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247624</v>
      </c>
      <c r="F19" s="1180"/>
      <c r="G19" s="1180">
        <v>385157</v>
      </c>
      <c r="H19" s="1180"/>
      <c r="I19" s="1180">
        <v>615554</v>
      </c>
      <c r="J19" s="1185">
        <f t="shared" si="0"/>
        <v>1248335</v>
      </c>
      <c r="K19" s="62"/>
      <c r="L19" s="1607"/>
    </row>
    <row r="20" spans="1:15" ht="1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280500</v>
      </c>
      <c r="F20" s="1180">
        <v>171500</v>
      </c>
      <c r="G20" s="1180">
        <v>380000</v>
      </c>
      <c r="H20" s="1180">
        <v>36000</v>
      </c>
      <c r="I20" s="1180">
        <v>667500</v>
      </c>
      <c r="J20" s="1185">
        <f t="shared" si="0"/>
        <v>1535500</v>
      </c>
      <c r="K20" s="62"/>
      <c r="L20" s="1607"/>
    </row>
    <row r="21" spans="1:15" ht="1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/>
      <c r="F21" s="1180"/>
      <c r="G21" s="1180"/>
      <c r="H21" s="1180"/>
      <c r="I21" s="1180">
        <v>1329160</v>
      </c>
      <c r="J21" s="1185">
        <f t="shared" si="0"/>
        <v>1329160</v>
      </c>
      <c r="K21" s="62"/>
      <c r="L21" s="1607"/>
    </row>
    <row r="22" spans="1:15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984268.75</v>
      </c>
      <c r="F22" s="1185">
        <f>F23+F24</f>
        <v>588756.04</v>
      </c>
      <c r="G22" s="1185">
        <f>G23+G24</f>
        <v>1397223.59</v>
      </c>
      <c r="H22" s="1185">
        <f>H23+H24</f>
        <v>156172.88</v>
      </c>
      <c r="I22" s="1185">
        <f>I23+I24</f>
        <v>3298669</v>
      </c>
      <c r="J22" s="1185">
        <f t="shared" si="0"/>
        <v>6425090.2599999998</v>
      </c>
      <c r="K22" s="62"/>
      <c r="L22" s="1607"/>
    </row>
    <row r="23" spans="1:15" ht="1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889588.75</v>
      </c>
      <c r="F23" s="1180">
        <v>534351.04</v>
      </c>
      <c r="G23" s="1180">
        <v>1254854.82</v>
      </c>
      <c r="H23" s="1180">
        <v>142252.88</v>
      </c>
      <c r="I23" s="1180">
        <v>2945384</v>
      </c>
      <c r="J23" s="1185">
        <f t="shared" si="0"/>
        <v>5766431.4900000002</v>
      </c>
      <c r="K23" s="62"/>
      <c r="L23" s="1607"/>
      <c r="M23" s="24"/>
    </row>
    <row r="24" spans="1:15" ht="1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94680</v>
      </c>
      <c r="F24" s="1185">
        <f>F25+F26</f>
        <v>54405</v>
      </c>
      <c r="G24" s="1185">
        <f>G25+G26</f>
        <v>142368.76999999999</v>
      </c>
      <c r="H24" s="1185">
        <f>H25+H26</f>
        <v>13920</v>
      </c>
      <c r="I24" s="1185">
        <f>I25+I26</f>
        <v>353285</v>
      </c>
      <c r="J24" s="1185">
        <f t="shared" si="0"/>
        <v>658658.77</v>
      </c>
      <c r="K24" s="62"/>
      <c r="L24" s="1607"/>
    </row>
    <row r="25" spans="1:15" ht="1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1660</v>
      </c>
      <c r="F25" s="1180"/>
      <c r="G25" s="1180">
        <v>5548.77</v>
      </c>
      <c r="H25" s="1180"/>
      <c r="I25" s="1180">
        <v>41000</v>
      </c>
      <c r="J25" s="1185">
        <f t="shared" si="0"/>
        <v>48208.770000000004</v>
      </c>
      <c r="K25" s="62"/>
      <c r="L25" s="1607"/>
    </row>
    <row r="26" spans="1:15" ht="1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93020</v>
      </c>
      <c r="F26" s="1180">
        <v>54405</v>
      </c>
      <c r="G26" s="1180">
        <v>136820</v>
      </c>
      <c r="H26" s="1180">
        <v>13920</v>
      </c>
      <c r="I26" s="1180">
        <v>312285</v>
      </c>
      <c r="J26" s="1185">
        <f t="shared" si="0"/>
        <v>610450</v>
      </c>
      <c r="K26" s="62"/>
      <c r="L26" s="1607"/>
    </row>
    <row r="27" spans="1:15" ht="15" customHeight="1">
      <c r="A27" s="66" t="s">
        <v>66</v>
      </c>
      <c r="B27" s="61" t="s">
        <v>67</v>
      </c>
      <c r="C27" s="61"/>
      <c r="D27" s="62" t="s">
        <v>21</v>
      </c>
      <c r="E27" s="1185">
        <f>E28</f>
        <v>1581490.48</v>
      </c>
      <c r="F27" s="1185">
        <f>F28</f>
        <v>949954.08</v>
      </c>
      <c r="G27" s="1185">
        <f>G28</f>
        <v>2230846.88</v>
      </c>
      <c r="H27" s="1185">
        <f>H28</f>
        <v>252893.12</v>
      </c>
      <c r="I27" s="1185">
        <f>I28</f>
        <v>5237212</v>
      </c>
      <c r="J27" s="1185">
        <f t="shared" si="0"/>
        <v>10252396.559999999</v>
      </c>
      <c r="K27" s="62"/>
      <c r="L27" s="1607"/>
    </row>
    <row r="28" spans="1:15" ht="1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1581490.48</v>
      </c>
      <c r="F28" s="1180">
        <v>949954.08</v>
      </c>
      <c r="G28" s="1180">
        <v>2230846.88</v>
      </c>
      <c r="H28" s="1180">
        <v>252893.12</v>
      </c>
      <c r="I28" s="1180">
        <v>5237212</v>
      </c>
      <c r="J28" s="1185">
        <f t="shared" si="0"/>
        <v>10252396.559999999</v>
      </c>
      <c r="K28" s="62"/>
      <c r="L28" s="1607"/>
      <c r="M28" s="24"/>
      <c r="O28" s="1193"/>
    </row>
    <row r="29" spans="1:15" ht="15" customHeight="1">
      <c r="A29" s="66" t="s">
        <v>71</v>
      </c>
      <c r="B29" s="61" t="s">
        <v>72</v>
      </c>
      <c r="C29" s="61"/>
      <c r="D29" s="62" t="s">
        <v>21</v>
      </c>
      <c r="E29" s="1185">
        <f>E30</f>
        <v>790745.25</v>
      </c>
      <c r="F29" s="1185">
        <f>F30</f>
        <v>474977.04</v>
      </c>
      <c r="G29" s="1185">
        <f>G30</f>
        <v>1115423.44</v>
      </c>
      <c r="H29" s="1185">
        <f>H30</f>
        <v>126446.56</v>
      </c>
      <c r="I29" s="1185">
        <f>I30</f>
        <v>2572880</v>
      </c>
      <c r="J29" s="1185">
        <f t="shared" si="0"/>
        <v>5080472.29</v>
      </c>
      <c r="K29" s="62"/>
      <c r="L29" s="1607"/>
    </row>
    <row r="30" spans="1:15" ht="1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790745.25</v>
      </c>
      <c r="F30" s="1180">
        <v>474977.04</v>
      </c>
      <c r="G30" s="1180">
        <f>1378983.29-263559.85</f>
        <v>1115423.44</v>
      </c>
      <c r="H30" s="1180">
        <v>126446.56</v>
      </c>
      <c r="I30" s="1180">
        <v>2572880</v>
      </c>
      <c r="J30" s="1185">
        <f t="shared" si="0"/>
        <v>5080472.29</v>
      </c>
      <c r="K30" s="62"/>
      <c r="L30" s="1607"/>
      <c r="M30" s="24"/>
    </row>
    <row r="31" spans="1:15" ht="1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690810</v>
      </c>
      <c r="F31" s="1180">
        <v>422009</v>
      </c>
      <c r="G31" s="1180">
        <v>974942</v>
      </c>
      <c r="H31" s="1180">
        <v>110946</v>
      </c>
      <c r="I31" s="1180">
        <v>2229696</v>
      </c>
      <c r="J31" s="1185">
        <f t="shared" si="0"/>
        <v>4428403</v>
      </c>
      <c r="K31" s="62"/>
      <c r="L31" s="1607"/>
      <c r="M31" s="24"/>
    </row>
    <row r="32" spans="1:15" ht="1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17000</v>
      </c>
      <c r="F32" s="1180">
        <v>7500</v>
      </c>
      <c r="G32" s="1180">
        <v>26000</v>
      </c>
      <c r="H32" s="1180">
        <v>1500</v>
      </c>
      <c r="I32" s="1180">
        <v>41500</v>
      </c>
      <c r="J32" s="1185">
        <f t="shared" si="0"/>
        <v>93500</v>
      </c>
      <c r="K32" s="62"/>
      <c r="L32" s="1607"/>
    </row>
    <row r="33" spans="1:11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26390</v>
      </c>
      <c r="F33" s="1185">
        <f>F34+F36+F38</f>
        <v>1890</v>
      </c>
      <c r="G33" s="1185">
        <f>G34+G36+G38</f>
        <v>237090</v>
      </c>
      <c r="H33" s="1185">
        <f>H34+H36+H38</f>
        <v>55620</v>
      </c>
      <c r="I33" s="1185">
        <f>I34+I36+I38</f>
        <v>1799690</v>
      </c>
      <c r="J33" s="1185">
        <f t="shared" si="0"/>
        <v>2120680</v>
      </c>
      <c r="K33" s="62"/>
    </row>
    <row r="34" spans="1:11" ht="1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23870</v>
      </c>
      <c r="F34" s="1185">
        <f>F35</f>
        <v>0</v>
      </c>
      <c r="G34" s="1185">
        <f>G35</f>
        <v>233280</v>
      </c>
      <c r="H34" s="1185">
        <f>H35</f>
        <v>55620</v>
      </c>
      <c r="I34" s="1185">
        <f>I35</f>
        <v>1796930</v>
      </c>
      <c r="J34" s="1185">
        <f t="shared" si="0"/>
        <v>2109700</v>
      </c>
      <c r="K34" s="62"/>
    </row>
    <row r="35" spans="1:11" ht="1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23870</v>
      </c>
      <c r="F35" s="1180"/>
      <c r="G35" s="1180">
        <v>233280</v>
      </c>
      <c r="H35" s="1180">
        <v>55620</v>
      </c>
      <c r="I35" s="1180">
        <v>1796930</v>
      </c>
      <c r="J35" s="1185">
        <f t="shared" si="0"/>
        <v>2109700</v>
      </c>
      <c r="K35" s="62"/>
    </row>
    <row r="36" spans="1:11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2520</v>
      </c>
      <c r="F36" s="1185">
        <f>F37</f>
        <v>1890</v>
      </c>
      <c r="G36" s="1185">
        <f>G37</f>
        <v>3810</v>
      </c>
      <c r="H36" s="1185">
        <f>H37</f>
        <v>0</v>
      </c>
      <c r="I36" s="1185">
        <f>I37</f>
        <v>2760</v>
      </c>
      <c r="J36" s="1185">
        <f t="shared" si="0"/>
        <v>10980</v>
      </c>
      <c r="K36" s="62"/>
    </row>
    <row r="37" spans="1:11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2520</v>
      </c>
      <c r="F37" s="1180">
        <v>1890</v>
      </c>
      <c r="G37" s="1180">
        <v>3810</v>
      </c>
      <c r="H37" s="1180"/>
      <c r="I37" s="1180">
        <v>2760</v>
      </c>
      <c r="J37" s="1185">
        <f t="shared" si="0"/>
        <v>10980</v>
      </c>
      <c r="K37" s="62"/>
    </row>
    <row r="38" spans="1:11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>F39</f>
        <v>0</v>
      </c>
      <c r="G38" s="1185">
        <f>G39</f>
        <v>0</v>
      </c>
      <c r="H38" s="1185">
        <f>H39</f>
        <v>0</v>
      </c>
      <c r="I38" s="1185">
        <f>I39</f>
        <v>0</v>
      </c>
      <c r="J38" s="1185">
        <f t="shared" si="0"/>
        <v>0</v>
      </c>
      <c r="K38" s="62"/>
    </row>
    <row r="39" spans="1:11" ht="1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>
        <v>0</v>
      </c>
      <c r="F39" s="1180"/>
      <c r="G39" s="1180"/>
      <c r="H39" s="1180"/>
      <c r="I39" s="1180"/>
      <c r="J39" s="1185">
        <f t="shared" si="0"/>
        <v>0</v>
      </c>
      <c r="K39" s="62"/>
    </row>
    <row r="40" spans="1:11" ht="15" customHeight="1">
      <c r="A40" s="66" t="s">
        <v>97</v>
      </c>
      <c r="B40" s="61" t="s">
        <v>98</v>
      </c>
      <c r="C40" s="61"/>
      <c r="D40" s="62" t="s">
        <v>21</v>
      </c>
      <c r="E40" s="1185">
        <f>E41+E43+E45+E47+E49+E52+E54+E56+E60</f>
        <v>2478762.42</v>
      </c>
      <c r="F40" s="1185">
        <f>F41+F43+F45+F47+F49+F52+F54+F56+F60</f>
        <v>2281725.85</v>
      </c>
      <c r="G40" s="1185">
        <f>G41+G43+G45+G47+G49+G52+G54+G56+G60</f>
        <v>3096753.46</v>
      </c>
      <c r="H40" s="1185">
        <f>H41+H43+H45+H47+H49+H52+H54+H56+H60</f>
        <v>286274.07999999996</v>
      </c>
      <c r="I40" s="1185">
        <f>I41+I43+I45+I47+I49+I52+I54+I56+I60</f>
        <v>8447375.3000000007</v>
      </c>
      <c r="J40" s="1185">
        <f t="shared" si="0"/>
        <v>16590891.109999999</v>
      </c>
      <c r="K40" s="62"/>
    </row>
    <row r="41" spans="1:11" ht="15" customHeight="1">
      <c r="A41" s="66" t="s">
        <v>99</v>
      </c>
      <c r="B41" s="61" t="s">
        <v>100</v>
      </c>
      <c r="C41" s="61"/>
      <c r="D41" s="62" t="s">
        <v>101</v>
      </c>
      <c r="E41" s="1180">
        <v>1884690</v>
      </c>
      <c r="F41" s="1180">
        <v>1716000</v>
      </c>
      <c r="G41" s="1180">
        <v>2261940</v>
      </c>
      <c r="H41" s="1180">
        <f>134400</f>
        <v>134400</v>
      </c>
      <c r="I41" s="1180">
        <v>6193620</v>
      </c>
      <c r="J41" s="1185">
        <f t="shared" si="0"/>
        <v>12190650</v>
      </c>
      <c r="K41" s="62"/>
    </row>
    <row r="42" spans="1:11" ht="1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v>67565</v>
      </c>
      <c r="F42" s="1180">
        <v>45974.5</v>
      </c>
      <c r="G42" s="1180">
        <v>86632</v>
      </c>
      <c r="H42" s="1180">
        <v>6720</v>
      </c>
      <c r="I42" s="1180">
        <v>309681</v>
      </c>
      <c r="J42" s="1185">
        <f t="shared" si="0"/>
        <v>516572.5</v>
      </c>
      <c r="K42" s="62"/>
    </row>
    <row r="43" spans="1:11" ht="15" customHeight="1">
      <c r="A43" s="66" t="s">
        <v>106</v>
      </c>
      <c r="B43" s="61" t="s">
        <v>107</v>
      </c>
      <c r="C43" s="61"/>
      <c r="D43" s="62"/>
      <c r="E43" s="1185">
        <f>E44</f>
        <v>18400</v>
      </c>
      <c r="F43" s="1185">
        <f>F44</f>
        <v>12400</v>
      </c>
      <c r="G43" s="1185">
        <f>G44</f>
        <v>26000</v>
      </c>
      <c r="H43" s="1185">
        <f>H44</f>
        <v>2400</v>
      </c>
      <c r="I43" s="1185">
        <f>I44</f>
        <v>49200</v>
      </c>
      <c r="J43" s="1185">
        <f t="shared" si="0"/>
        <v>108400</v>
      </c>
      <c r="K43" s="62"/>
    </row>
    <row r="44" spans="1:11" ht="1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v>18400</v>
      </c>
      <c r="F44" s="1180">
        <v>12400</v>
      </c>
      <c r="G44" s="1180">
        <v>26000</v>
      </c>
      <c r="H44" s="1180">
        <v>2400</v>
      </c>
      <c r="I44" s="1180">
        <v>49200</v>
      </c>
      <c r="J44" s="1185">
        <f t="shared" si="0"/>
        <v>108400</v>
      </c>
      <c r="K44" s="62"/>
    </row>
    <row r="45" spans="1:11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102155.85</v>
      </c>
      <c r="F45" s="1185">
        <f>F46</f>
        <v>223595.85</v>
      </c>
      <c r="G45" s="1185">
        <f>G46</f>
        <v>133698.9</v>
      </c>
      <c r="H45" s="1185">
        <f>H46</f>
        <v>54900</v>
      </c>
      <c r="I45" s="1185">
        <f>I46</f>
        <v>424758.3</v>
      </c>
      <c r="J45" s="1185">
        <f t="shared" si="0"/>
        <v>939108.89999999991</v>
      </c>
      <c r="K45" s="62"/>
    </row>
    <row r="46" spans="1:11" ht="1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94">
        <f>E74*15</f>
        <v>102155.85</v>
      </c>
      <c r="F46" s="1194">
        <v>223595.85</v>
      </c>
      <c r="G46" s="1194">
        <v>133698.9</v>
      </c>
      <c r="H46" s="1194">
        <v>54900</v>
      </c>
      <c r="I46" s="1194">
        <v>424758.3</v>
      </c>
      <c r="J46" s="1195">
        <f t="shared" si="0"/>
        <v>939108.89999999991</v>
      </c>
      <c r="K46" s="62"/>
    </row>
    <row r="47" spans="1:11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26976</v>
      </c>
      <c r="F47" s="1185">
        <f>F48</f>
        <v>52576</v>
      </c>
      <c r="G47" s="1185">
        <f>G48</f>
        <v>26120</v>
      </c>
      <c r="H47" s="1185">
        <f>H48</f>
        <v>21522.240000000002</v>
      </c>
      <c r="I47" s="1185">
        <f>I48</f>
        <v>119152</v>
      </c>
      <c r="J47" s="1185">
        <f t="shared" si="0"/>
        <v>246346.23999999999</v>
      </c>
      <c r="K47" s="62"/>
    </row>
    <row r="48" spans="1:11" ht="1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E75*8</f>
        <v>26976</v>
      </c>
      <c r="F48" s="1180">
        <v>52576</v>
      </c>
      <c r="G48" s="1180">
        <v>26120</v>
      </c>
      <c r="H48" s="1180">
        <v>21522.240000000002</v>
      </c>
      <c r="I48" s="1180">
        <v>119152</v>
      </c>
      <c r="J48" s="1185">
        <f t="shared" si="0"/>
        <v>246346.23999999999</v>
      </c>
      <c r="K48" s="62"/>
    </row>
    <row r="49" spans="1:11" ht="1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209880</v>
      </c>
      <c r="F49" s="1185">
        <f>F50+F51</f>
        <v>123480</v>
      </c>
      <c r="G49" s="1185">
        <f>G50+G51</f>
        <v>334080</v>
      </c>
      <c r="H49" s="1185">
        <f>H50+H51</f>
        <v>33720</v>
      </c>
      <c r="I49" s="1185">
        <f>I50+I51</f>
        <v>954360</v>
      </c>
      <c r="J49" s="1185">
        <f t="shared" si="0"/>
        <v>1655520</v>
      </c>
      <c r="K49" s="62"/>
    </row>
    <row r="50" spans="1:11" ht="1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v>201960</v>
      </c>
      <c r="F50" s="1180">
        <v>123480</v>
      </c>
      <c r="G50" s="1180">
        <v>273600</v>
      </c>
      <c r="H50" s="1180">
        <v>25920</v>
      </c>
      <c r="I50" s="1180">
        <v>519480</v>
      </c>
      <c r="J50" s="1185">
        <f t="shared" si="0"/>
        <v>1144440</v>
      </c>
      <c r="K50" s="62"/>
    </row>
    <row r="51" spans="1:11" ht="1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v>7920</v>
      </c>
      <c r="F51" s="1180"/>
      <c r="G51" s="1180">
        <v>60480</v>
      </c>
      <c r="H51" s="1180">
        <v>7800</v>
      </c>
      <c r="I51" s="1180">
        <v>434880</v>
      </c>
      <c r="J51" s="1185">
        <f t="shared" si="0"/>
        <v>511080</v>
      </c>
      <c r="K51" s="62"/>
    </row>
    <row r="52" spans="1:11" ht="1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200660.57</v>
      </c>
      <c r="F52" s="1185">
        <f>F53</f>
        <v>120574</v>
      </c>
      <c r="G52" s="1185">
        <f>G53</f>
        <v>281564.57</v>
      </c>
      <c r="H52" s="1185">
        <f>H53</f>
        <v>34911.839999999997</v>
      </c>
      <c r="I52" s="1185">
        <f>I53</f>
        <v>630285</v>
      </c>
      <c r="J52" s="1185">
        <f t="shared" si="0"/>
        <v>1267995.98</v>
      </c>
      <c r="K52" s="62"/>
    </row>
    <row r="53" spans="1:11" ht="1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0">
        <v>200660.57</v>
      </c>
      <c r="F53" s="1180">
        <v>120574</v>
      </c>
      <c r="G53" s="1180">
        <v>281564.57</v>
      </c>
      <c r="H53" s="1180">
        <v>34911.839999999997</v>
      </c>
      <c r="I53" s="1180">
        <v>630285</v>
      </c>
      <c r="J53" s="1185">
        <f t="shared" si="0"/>
        <v>1267995.98</v>
      </c>
      <c r="K53" s="62"/>
    </row>
    <row r="54" spans="1:11" ht="1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0</v>
      </c>
      <c r="F54" s="1185">
        <f>F55</f>
        <v>0</v>
      </c>
      <c r="G54" s="1185">
        <f>G55</f>
        <v>16580.490000000002</v>
      </c>
      <c r="H54" s="1185">
        <f>H55</f>
        <v>0</v>
      </c>
      <c r="I54" s="1185">
        <f>I55</f>
        <v>32000</v>
      </c>
      <c r="J54" s="1185">
        <f t="shared" si="0"/>
        <v>48580.490000000005</v>
      </c>
      <c r="K54" s="62"/>
    </row>
    <row r="55" spans="1:11" ht="1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/>
      <c r="F55" s="1180"/>
      <c r="G55" s="1180">
        <v>16580.490000000002</v>
      </c>
      <c r="H55" s="1180"/>
      <c r="I55" s="1180">
        <v>32000</v>
      </c>
      <c r="J55" s="1185">
        <f t="shared" si="0"/>
        <v>48580.490000000005</v>
      </c>
      <c r="K55" s="62"/>
    </row>
    <row r="56" spans="1:11" ht="1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4000</v>
      </c>
      <c r="F56" s="1185">
        <f>F57+F59</f>
        <v>1100</v>
      </c>
      <c r="G56" s="1185">
        <f>G57+G59</f>
        <v>6769.5</v>
      </c>
      <c r="H56" s="1185">
        <f>H57+H59</f>
        <v>420</v>
      </c>
      <c r="I56" s="1185">
        <f>I57+I59</f>
        <v>44000</v>
      </c>
      <c r="J56" s="1185">
        <f t="shared" si="0"/>
        <v>56289.5</v>
      </c>
      <c r="K56" s="62"/>
    </row>
    <row r="57" spans="1:11" ht="1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800</v>
      </c>
      <c r="F57" s="1185">
        <f>F58</f>
        <v>0</v>
      </c>
      <c r="G57" s="1185">
        <f>G58</f>
        <v>5600</v>
      </c>
      <c r="H57" s="1185">
        <f>H58</f>
        <v>420</v>
      </c>
      <c r="I57" s="1185">
        <f>I58</f>
        <v>40400</v>
      </c>
      <c r="J57" s="1185">
        <f t="shared" si="0"/>
        <v>47220</v>
      </c>
      <c r="K57" s="62"/>
    </row>
    <row r="58" spans="1:11" ht="1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800</v>
      </c>
      <c r="F58" s="1180"/>
      <c r="G58" s="1180">
        <v>5600</v>
      </c>
      <c r="H58" s="1180">
        <v>420</v>
      </c>
      <c r="I58" s="1180">
        <v>40400</v>
      </c>
      <c r="J58" s="1185">
        <f t="shared" si="0"/>
        <v>47220</v>
      </c>
      <c r="K58" s="62"/>
    </row>
    <row r="59" spans="1:11" ht="1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3200</v>
      </c>
      <c r="F59" s="1186">
        <v>1100</v>
      </c>
      <c r="G59" s="1186">
        <v>1169.5</v>
      </c>
      <c r="H59" s="1186"/>
      <c r="I59" s="1186">
        <v>3600</v>
      </c>
      <c r="J59" s="1185">
        <f t="shared" si="0"/>
        <v>9069.5</v>
      </c>
      <c r="K59" s="62"/>
    </row>
    <row r="60" spans="1:11" ht="1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32000</v>
      </c>
      <c r="F60" s="1185">
        <f>F61</f>
        <v>32000</v>
      </c>
      <c r="G60" s="1185">
        <f>G61</f>
        <v>10000</v>
      </c>
      <c r="H60" s="1185">
        <f>H61</f>
        <v>4000</v>
      </c>
      <c r="I60" s="1185">
        <f>I61</f>
        <v>0</v>
      </c>
      <c r="J60" s="1185">
        <f t="shared" si="0"/>
        <v>78000</v>
      </c>
      <c r="K60" s="62"/>
    </row>
    <row r="61" spans="1:11" ht="1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>
        <v>32000</v>
      </c>
      <c r="F61" s="1179">
        <v>32000</v>
      </c>
      <c r="G61" s="1179">
        <v>10000</v>
      </c>
      <c r="H61" s="1179">
        <v>4000</v>
      </c>
      <c r="I61" s="1179"/>
      <c r="J61" s="1185">
        <f t="shared" si="0"/>
        <v>78000</v>
      </c>
      <c r="K61" s="1187"/>
    </row>
    <row r="62" spans="1:11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5">
        <f t="shared" si="0"/>
        <v>0</v>
      </c>
      <c r="K62" s="1189"/>
    </row>
    <row r="63" spans="1:11" ht="1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46</v>
      </c>
      <c r="F63" s="1198">
        <f>F64+F65+F66+F67</f>
        <v>31</v>
      </c>
      <c r="G63" s="1198">
        <f>G64+G65+G66+G67</f>
        <v>62</v>
      </c>
      <c r="H63" s="1198">
        <f>H64+H65+H66+H67</f>
        <v>6</v>
      </c>
      <c r="I63" s="1198">
        <f>I64+I65+I66+I67</f>
        <v>123</v>
      </c>
      <c r="J63" s="1198">
        <f t="shared" si="0"/>
        <v>268</v>
      </c>
      <c r="K63" s="62"/>
    </row>
    <row r="64" spans="1:11" ht="15" customHeight="1">
      <c r="A64" s="66" t="s">
        <v>148</v>
      </c>
      <c r="B64" s="1199" t="s">
        <v>149</v>
      </c>
      <c r="C64" s="1199"/>
      <c r="D64" s="62"/>
      <c r="E64" s="1190"/>
      <c r="F64" s="1190"/>
      <c r="G64" s="1190"/>
      <c r="H64" s="1190"/>
      <c r="I64" s="1190">
        <v>61</v>
      </c>
      <c r="J64" s="1198">
        <f t="shared" si="0"/>
        <v>61</v>
      </c>
      <c r="K64" s="62"/>
    </row>
    <row r="65" spans="1:11" ht="1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62</v>
      </c>
      <c r="J65" s="1198">
        <f t="shared" si="0"/>
        <v>62</v>
      </c>
      <c r="K65" s="62"/>
    </row>
    <row r="66" spans="1:11" ht="15" customHeight="1">
      <c r="A66" s="66" t="s">
        <v>152</v>
      </c>
      <c r="B66" s="1199" t="s">
        <v>153</v>
      </c>
      <c r="C66" s="1199"/>
      <c r="D66" s="62"/>
      <c r="E66" s="1190">
        <v>46</v>
      </c>
      <c r="F66" s="1190">
        <v>31</v>
      </c>
      <c r="G66" s="1190">
        <v>62</v>
      </c>
      <c r="H66" s="1190"/>
      <c r="I66" s="1190"/>
      <c r="J66" s="1198">
        <f t="shared" si="0"/>
        <v>139</v>
      </c>
      <c r="K66" s="62"/>
    </row>
    <row r="67" spans="1:11" ht="1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>
        <v>6</v>
      </c>
      <c r="I67" s="1190"/>
      <c r="J67" s="1198">
        <f t="shared" si="0"/>
        <v>6</v>
      </c>
      <c r="K67" s="62"/>
    </row>
    <row r="68" spans="1:11" ht="1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434</v>
      </c>
      <c r="F68" s="1198">
        <f>F69+F70+F71+F72</f>
        <v>397</v>
      </c>
      <c r="G68" s="1198">
        <f>G69+G70+G71+G72</f>
        <v>572</v>
      </c>
      <c r="H68" s="1198">
        <f>H69+H70+H71+H72</f>
        <v>0</v>
      </c>
      <c r="I68" s="1198">
        <f>I69+I70+I71+I72</f>
        <v>1756</v>
      </c>
      <c r="J68" s="1198">
        <f t="shared" si="0"/>
        <v>3159</v>
      </c>
      <c r="K68" s="62"/>
    </row>
    <row r="69" spans="1:11" ht="15" customHeight="1">
      <c r="A69" s="66" t="s">
        <v>158</v>
      </c>
      <c r="B69" s="1199" t="s">
        <v>149</v>
      </c>
      <c r="C69" s="1199"/>
      <c r="D69" s="62"/>
      <c r="E69" s="1190"/>
      <c r="F69" s="1190"/>
      <c r="G69" s="1190"/>
      <c r="H69" s="1190"/>
      <c r="I69" s="1190">
        <v>986</v>
      </c>
      <c r="J69" s="1198">
        <f t="shared" ref="J69:J75" si="1">SUM(E69:I69)</f>
        <v>986</v>
      </c>
      <c r="K69" s="62"/>
    </row>
    <row r="70" spans="1:11" ht="1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770</v>
      </c>
      <c r="J70" s="1198">
        <f t="shared" si="1"/>
        <v>770</v>
      </c>
      <c r="K70" s="62"/>
    </row>
    <row r="71" spans="1:11" ht="15" customHeight="1">
      <c r="A71" s="66" t="s">
        <v>160</v>
      </c>
      <c r="B71" s="1199" t="s">
        <v>153</v>
      </c>
      <c r="C71" s="1199"/>
      <c r="D71" s="62"/>
      <c r="E71" s="1190">
        <v>434</v>
      </c>
      <c r="F71" s="1190">
        <v>397</v>
      </c>
      <c r="G71" s="1190">
        <v>572</v>
      </c>
      <c r="H71" s="1190"/>
      <c r="I71" s="1190"/>
      <c r="J71" s="1198">
        <f t="shared" si="1"/>
        <v>1403</v>
      </c>
      <c r="K71" s="62"/>
    </row>
    <row r="72" spans="1:11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8">
        <f t="shared" si="1"/>
        <v>0</v>
      </c>
      <c r="K72" s="62"/>
    </row>
    <row r="73" spans="1:11" ht="15" customHeight="1">
      <c r="A73" s="66" t="s">
        <v>162</v>
      </c>
      <c r="B73" s="61" t="s">
        <v>218</v>
      </c>
      <c r="C73" s="61"/>
      <c r="D73" s="62"/>
      <c r="E73" s="1190">
        <v>2</v>
      </c>
      <c r="F73" s="1190"/>
      <c r="G73" s="1190">
        <v>14</v>
      </c>
      <c r="H73" s="1190">
        <v>3</v>
      </c>
      <c r="I73" s="1190">
        <v>101</v>
      </c>
      <c r="J73" s="1198">
        <f t="shared" si="1"/>
        <v>120</v>
      </c>
      <c r="K73" s="62"/>
    </row>
    <row r="74" spans="1:11" ht="15" customHeight="1">
      <c r="A74" s="66" t="s">
        <v>3011</v>
      </c>
      <c r="B74" s="1199" t="s">
        <v>219</v>
      </c>
      <c r="C74" s="1199"/>
      <c r="D74" s="67"/>
      <c r="E74" s="1180">
        <v>6810.39</v>
      </c>
      <c r="F74" s="1180">
        <v>14906.39</v>
      </c>
      <c r="G74" s="1180">
        <v>8913.26</v>
      </c>
      <c r="H74" s="1180">
        <v>3660</v>
      </c>
      <c r="I74" s="1180">
        <v>28317.22</v>
      </c>
      <c r="J74" s="1185">
        <f t="shared" si="1"/>
        <v>62607.26</v>
      </c>
      <c r="K74" s="62"/>
    </row>
    <row r="75" spans="1:11" ht="15" customHeight="1">
      <c r="A75" s="66" t="s">
        <v>3012</v>
      </c>
      <c r="B75" s="1199" t="s">
        <v>220</v>
      </c>
      <c r="C75" s="1199"/>
      <c r="D75" s="67"/>
      <c r="E75" s="1180">
        <v>3372</v>
      </c>
      <c r="F75" s="1180">
        <v>6572</v>
      </c>
      <c r="G75" s="1180">
        <v>3265</v>
      </c>
      <c r="H75" s="1180">
        <v>2700</v>
      </c>
      <c r="I75" s="1180">
        <v>14894</v>
      </c>
      <c r="J75" s="1185">
        <f t="shared" si="1"/>
        <v>30803</v>
      </c>
      <c r="K75" s="62"/>
    </row>
    <row r="76" spans="1:11">
      <c r="E76" s="24"/>
      <c r="F76" s="24"/>
      <c r="G76" s="24"/>
      <c r="H76" s="24"/>
      <c r="I76" s="24"/>
      <c r="J76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8">
    <mergeCell ref="L6:L32"/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B1" workbookViewId="0">
      <selection activeCell="B54" sqref="A1:XFD1048576"/>
    </sheetView>
  </sheetViews>
  <sheetFormatPr defaultRowHeight="11.25"/>
  <cols>
    <col min="1" max="1" width="6.125" style="21" hidden="1" customWidth="1"/>
    <col min="2" max="2" width="34.625" style="3" customWidth="1"/>
    <col min="3" max="3" width="0" style="3" hidden="1" customWidth="1"/>
    <col min="4" max="4" width="0" style="1178" hidden="1" customWidth="1"/>
    <col min="5" max="5" width="17.375" style="3" customWidth="1"/>
    <col min="6" max="6" width="18.125" style="3" customWidth="1"/>
    <col min="7" max="7" width="16.625" style="3" customWidth="1"/>
    <col min="8" max="8" width="15.875" style="3" customWidth="1"/>
    <col min="9" max="9" width="16.375" style="3" customWidth="1"/>
    <col min="10" max="10" width="15.625" style="3" customWidth="1"/>
    <col min="11" max="11" width="15.625" style="3" hidden="1" customWidth="1"/>
    <col min="12" max="16384" width="9" style="3"/>
  </cols>
  <sheetData>
    <row r="1" spans="1:13" ht="24.95" customHeight="1">
      <c r="A1" s="1361" t="s">
        <v>3014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52" t="s">
        <v>3242</v>
      </c>
      <c r="K2" s="1184" t="s">
        <v>3000</v>
      </c>
    </row>
    <row r="3" spans="1:13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191" t="s">
        <v>3015</v>
      </c>
      <c r="F3" s="1191" t="s">
        <v>3016</v>
      </c>
      <c r="G3" s="1191" t="s">
        <v>3017</v>
      </c>
      <c r="H3" s="1191" t="s">
        <v>3018</v>
      </c>
      <c r="I3" s="1191" t="s">
        <v>3019</v>
      </c>
      <c r="J3" s="1610" t="s">
        <v>17</v>
      </c>
      <c r="K3" s="1610" t="s">
        <v>18</v>
      </c>
    </row>
    <row r="4" spans="1:13" ht="24.95" customHeight="1">
      <c r="A4" s="1609"/>
      <c r="B4" s="1609"/>
      <c r="C4" s="1609"/>
      <c r="D4" s="1609"/>
      <c r="E4" s="1191" t="s">
        <v>463</v>
      </c>
      <c r="F4" s="1191" t="s">
        <v>460</v>
      </c>
      <c r="G4" s="1191" t="s">
        <v>460</v>
      </c>
      <c r="H4" s="1191" t="s">
        <v>460</v>
      </c>
      <c r="I4" s="1191" t="s">
        <v>3071</v>
      </c>
      <c r="J4" s="1611"/>
      <c r="K4" s="1611"/>
    </row>
    <row r="5" spans="1:13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I5" si="0">E6+E33+E40</f>
        <v>18536821.890000001</v>
      </c>
      <c r="F5" s="1185">
        <f t="shared" si="0"/>
        <v>1858427.27</v>
      </c>
      <c r="G5" s="1185">
        <f t="shared" si="0"/>
        <v>8637040.5700000003</v>
      </c>
      <c r="H5" s="1185">
        <f t="shared" si="0"/>
        <v>11344625.199999999</v>
      </c>
      <c r="I5" s="1185">
        <f t="shared" si="0"/>
        <v>796026.74</v>
      </c>
      <c r="J5" s="1201">
        <f t="shared" ref="J5:J36" si="1">SUM(E5:I5)</f>
        <v>41172941.670000002</v>
      </c>
      <c r="K5" s="62"/>
    </row>
    <row r="6" spans="1:13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12413314.029999999</v>
      </c>
      <c r="F6" s="1185">
        <f t="shared" ref="F6:I6" si="2">F7+F10+F14+F17+F22+F27+F29+F31+F32</f>
        <v>1261374.77</v>
      </c>
      <c r="G6" s="1185">
        <f t="shared" si="2"/>
        <v>6461508</v>
      </c>
      <c r="H6" s="1185">
        <f t="shared" si="2"/>
        <v>8175985</v>
      </c>
      <c r="I6" s="1185">
        <f t="shared" si="2"/>
        <v>637495</v>
      </c>
      <c r="J6" s="1201">
        <f t="shared" si="1"/>
        <v>28949676.799999997</v>
      </c>
      <c r="K6" s="62"/>
    </row>
    <row r="7" spans="1:13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4066264.13</v>
      </c>
      <c r="F7" s="1185">
        <f t="shared" ref="F7:I7" si="3">F8+F9</f>
        <v>491940</v>
      </c>
      <c r="G7" s="1185">
        <f t="shared" si="3"/>
        <v>2130000</v>
      </c>
      <c r="H7" s="1185">
        <f t="shared" si="3"/>
        <v>2550000</v>
      </c>
      <c r="I7" s="1185">
        <f t="shared" si="3"/>
        <v>218155</v>
      </c>
      <c r="J7" s="1201">
        <f t="shared" si="1"/>
        <v>9456359.129999999</v>
      </c>
      <c r="K7" s="62"/>
    </row>
    <row r="8" spans="1:13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2127451.2400000002</v>
      </c>
      <c r="F8" s="1180">
        <v>247866</v>
      </c>
      <c r="G8" s="1180">
        <v>1215000</v>
      </c>
      <c r="H8" s="1180">
        <f>1300000+250000</f>
        <v>1550000</v>
      </c>
      <c r="I8" s="1180">
        <v>93747</v>
      </c>
      <c r="J8" s="1201">
        <f t="shared" si="1"/>
        <v>5234064.24</v>
      </c>
      <c r="K8" s="1192"/>
    </row>
    <row r="9" spans="1:13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1938812.89</v>
      </c>
      <c r="F9" s="1180">
        <v>244074</v>
      </c>
      <c r="G9" s="1180">
        <v>915000</v>
      </c>
      <c r="H9" s="1180">
        <f>750000+250000</f>
        <v>1000000</v>
      </c>
      <c r="I9" s="1180">
        <v>124408</v>
      </c>
      <c r="J9" s="1201">
        <f t="shared" si="1"/>
        <v>4222294.8899999997</v>
      </c>
      <c r="K9" s="62"/>
    </row>
    <row r="10" spans="1:13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344132</v>
      </c>
      <c r="F10" s="1185">
        <f t="shared" ref="F10:I10" si="4">F11+F12</f>
        <v>40112</v>
      </c>
      <c r="G10" s="1185">
        <f t="shared" si="4"/>
        <v>201980</v>
      </c>
      <c r="H10" s="1185">
        <f t="shared" si="4"/>
        <v>272560</v>
      </c>
      <c r="I10" s="1185">
        <f t="shared" si="4"/>
        <v>16200</v>
      </c>
      <c r="J10" s="1201">
        <f t="shared" si="1"/>
        <v>874984</v>
      </c>
      <c r="K10" s="62"/>
    </row>
    <row r="11" spans="1:13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5332</v>
      </c>
      <c r="F11" s="1180">
        <f>732</f>
        <v>732</v>
      </c>
      <c r="G11" s="1180">
        <v>3100</v>
      </c>
      <c r="H11" s="1180">
        <f>2200+200</f>
        <v>2400</v>
      </c>
      <c r="I11" s="1180">
        <v>360</v>
      </c>
      <c r="J11" s="1201">
        <f t="shared" si="1"/>
        <v>11924</v>
      </c>
      <c r="K11" s="62"/>
    </row>
    <row r="12" spans="1:13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338800</v>
      </c>
      <c r="F12" s="1185">
        <f t="shared" ref="F12:I12" si="5">F13</f>
        <v>39380</v>
      </c>
      <c r="G12" s="1185">
        <f t="shared" si="5"/>
        <v>198880</v>
      </c>
      <c r="H12" s="1185">
        <f t="shared" si="5"/>
        <v>270160</v>
      </c>
      <c r="I12" s="1185">
        <f t="shared" si="5"/>
        <v>15840</v>
      </c>
      <c r="J12" s="1201">
        <f t="shared" si="1"/>
        <v>863060</v>
      </c>
      <c r="K12" s="62"/>
    </row>
    <row r="13" spans="1:13" ht="15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338800</v>
      </c>
      <c r="F13" s="1180">
        <v>39380</v>
      </c>
      <c r="G13" s="1180">
        <v>198880</v>
      </c>
      <c r="H13" s="1180">
        <f>269280+880</f>
        <v>270160</v>
      </c>
      <c r="I13" s="1180">
        <v>15840</v>
      </c>
      <c r="J13" s="1201">
        <f t="shared" si="1"/>
        <v>863060</v>
      </c>
      <c r="K13" s="62"/>
    </row>
    <row r="14" spans="1:13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127511</v>
      </c>
      <c r="F14" s="1185">
        <f t="shared" ref="F14:I14" si="6">F15+F16</f>
        <v>11008.85</v>
      </c>
      <c r="G14" s="1185">
        <f t="shared" si="6"/>
        <v>70500</v>
      </c>
      <c r="H14" s="1185">
        <f t="shared" si="6"/>
        <v>99000</v>
      </c>
      <c r="I14" s="1185">
        <f t="shared" si="6"/>
        <v>6900</v>
      </c>
      <c r="J14" s="1201">
        <f t="shared" si="1"/>
        <v>314919.84999999998</v>
      </c>
      <c r="K14" s="62"/>
    </row>
    <row r="15" spans="1:13" ht="15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49266</v>
      </c>
      <c r="F15" s="1180">
        <v>3069.65</v>
      </c>
      <c r="G15" s="1180">
        <v>27100</v>
      </c>
      <c r="H15" s="1180">
        <v>41000</v>
      </c>
      <c r="I15" s="1180">
        <v>2000</v>
      </c>
      <c r="J15" s="1201">
        <f t="shared" si="1"/>
        <v>122435.65</v>
      </c>
      <c r="K15" s="62"/>
      <c r="M15" s="23"/>
    </row>
    <row r="16" spans="1:13" ht="15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78245</v>
      </c>
      <c r="F16" s="1180">
        <v>7939.2</v>
      </c>
      <c r="G16" s="1180">
        <v>43400</v>
      </c>
      <c r="H16" s="1180">
        <v>58000</v>
      </c>
      <c r="I16" s="1180">
        <v>4900</v>
      </c>
      <c r="J16" s="1201">
        <f t="shared" si="1"/>
        <v>192484.2</v>
      </c>
      <c r="K16" s="62"/>
      <c r="M16" s="23"/>
    </row>
    <row r="17" spans="1:13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1315767.5</v>
      </c>
      <c r="F17" s="1185">
        <f t="shared" ref="F17:I17" si="7">F18+F19+F20+F21</f>
        <v>45000</v>
      </c>
      <c r="G17" s="1185">
        <f t="shared" si="7"/>
        <v>513716</v>
      </c>
      <c r="H17" s="1185">
        <f t="shared" si="7"/>
        <v>566765</v>
      </c>
      <c r="I17" s="1185">
        <f t="shared" si="7"/>
        <v>18000</v>
      </c>
      <c r="J17" s="1201">
        <f t="shared" si="1"/>
        <v>2459248.5</v>
      </c>
      <c r="K17" s="62"/>
    </row>
    <row r="18" spans="1:13" ht="15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201">
        <f t="shared" si="1"/>
        <v>0</v>
      </c>
      <c r="K18" s="62"/>
    </row>
    <row r="19" spans="1:13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374231</v>
      </c>
      <c r="F19" s="1180"/>
      <c r="G19" s="1180">
        <v>284216</v>
      </c>
      <c r="H19" s="1180">
        <v>255765</v>
      </c>
      <c r="I19" s="1180"/>
      <c r="J19" s="1201">
        <f t="shared" si="1"/>
        <v>914212</v>
      </c>
      <c r="K19" s="62"/>
    </row>
    <row r="20" spans="1:13" ht="15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387000</v>
      </c>
      <c r="F20" s="1180">
        <v>45000</v>
      </c>
      <c r="G20" s="1180">
        <v>229500</v>
      </c>
      <c r="H20" s="1180">
        <v>311000</v>
      </c>
      <c r="I20" s="1180">
        <v>18000</v>
      </c>
      <c r="J20" s="1201">
        <f t="shared" si="1"/>
        <v>990500</v>
      </c>
      <c r="K20" s="62"/>
    </row>
    <row r="21" spans="1:13" ht="15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554536.5</v>
      </c>
      <c r="F21" s="1180"/>
      <c r="G21" s="1180"/>
      <c r="H21" s="1180"/>
      <c r="I21" s="1180"/>
      <c r="J21" s="1201">
        <f t="shared" si="1"/>
        <v>554536.5</v>
      </c>
      <c r="K21" s="62"/>
    </row>
    <row r="22" spans="1:13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1676191</v>
      </c>
      <c r="F22" s="1185">
        <f t="shared" ref="F22:I22" si="8">F23+F24</f>
        <v>176601.28</v>
      </c>
      <c r="G22" s="1185">
        <f t="shared" si="8"/>
        <v>844480</v>
      </c>
      <c r="H22" s="1185">
        <f t="shared" si="8"/>
        <v>1125660</v>
      </c>
      <c r="I22" s="1185">
        <f t="shared" si="8"/>
        <v>88140</v>
      </c>
      <c r="J22" s="1201">
        <f t="shared" si="1"/>
        <v>3911072.2800000003</v>
      </c>
      <c r="K22" s="62"/>
    </row>
    <row r="23" spans="1:13" ht="15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1408391</v>
      </c>
      <c r="F23" s="1180">
        <f>23816.88*6</f>
        <v>142901.28</v>
      </c>
      <c r="G23" s="1180">
        <v>788300</v>
      </c>
      <c r="H23" s="1180">
        <v>1022000</v>
      </c>
      <c r="I23" s="1180">
        <v>82200</v>
      </c>
      <c r="J23" s="1201">
        <f t="shared" si="1"/>
        <v>3443792.2800000003</v>
      </c>
      <c r="K23" s="62"/>
      <c r="M23" s="23"/>
    </row>
    <row r="24" spans="1:13" ht="15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267800</v>
      </c>
      <c r="F24" s="1185">
        <f t="shared" ref="F24:H24" si="9">F25+F26</f>
        <v>33700</v>
      </c>
      <c r="G24" s="1185">
        <f t="shared" si="9"/>
        <v>56180</v>
      </c>
      <c r="H24" s="1185">
        <f t="shared" si="9"/>
        <v>103660</v>
      </c>
      <c r="I24" s="1185">
        <v>5940</v>
      </c>
      <c r="J24" s="1201">
        <f t="shared" si="1"/>
        <v>467280</v>
      </c>
      <c r="K24" s="62"/>
    </row>
    <row r="25" spans="1:13" ht="15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25000</v>
      </c>
      <c r="F25" s="1180">
        <v>700</v>
      </c>
      <c r="G25" s="1180">
        <v>1000</v>
      </c>
      <c r="H25" s="1180">
        <v>2800</v>
      </c>
      <c r="I25" s="1180"/>
      <c r="J25" s="1201">
        <f t="shared" si="1"/>
        <v>29500</v>
      </c>
      <c r="K25" s="62"/>
    </row>
    <row r="26" spans="1:13" ht="15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242800</v>
      </c>
      <c r="F26" s="1180">
        <f>3600+2700+26700</f>
        <v>33000</v>
      </c>
      <c r="G26" s="1180">
        <v>55180</v>
      </c>
      <c r="H26" s="1180">
        <v>100860</v>
      </c>
      <c r="I26" s="1180">
        <v>5940</v>
      </c>
      <c r="J26" s="1201">
        <f t="shared" si="1"/>
        <v>437780</v>
      </c>
      <c r="K26" s="62"/>
    </row>
    <row r="27" spans="1:13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I27" si="10">E28</f>
        <v>2503800</v>
      </c>
      <c r="F27" s="1185">
        <f t="shared" si="10"/>
        <v>254045.76</v>
      </c>
      <c r="G27" s="1185">
        <f t="shared" si="10"/>
        <v>1388400</v>
      </c>
      <c r="H27" s="1185">
        <f t="shared" si="10"/>
        <v>1820000</v>
      </c>
      <c r="I27" s="1185">
        <f t="shared" si="10"/>
        <v>147000</v>
      </c>
      <c r="J27" s="1201">
        <f t="shared" si="1"/>
        <v>6113245.7599999998</v>
      </c>
      <c r="K27" s="62"/>
    </row>
    <row r="28" spans="1:13" ht="15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2503800</v>
      </c>
      <c r="F28" s="1180">
        <v>254045.76</v>
      </c>
      <c r="G28" s="1180">
        <v>1388400</v>
      </c>
      <c r="H28" s="1180">
        <v>1820000</v>
      </c>
      <c r="I28" s="1180">
        <v>147000</v>
      </c>
      <c r="J28" s="1201">
        <f t="shared" si="1"/>
        <v>6113245.7599999998</v>
      </c>
      <c r="K28" s="62"/>
      <c r="M28" s="23"/>
    </row>
    <row r="29" spans="1:13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I29" si="11">E30</f>
        <v>1254812.3999999999</v>
      </c>
      <c r="F29" s="1185">
        <f t="shared" si="11"/>
        <v>127022.88</v>
      </c>
      <c r="G29" s="1185">
        <f t="shared" si="11"/>
        <v>694188</v>
      </c>
      <c r="H29" s="1185">
        <f t="shared" si="11"/>
        <v>910000</v>
      </c>
      <c r="I29" s="1185">
        <f t="shared" si="11"/>
        <v>78600</v>
      </c>
      <c r="J29" s="1201">
        <f t="shared" si="1"/>
        <v>3064623.28</v>
      </c>
      <c r="K29" s="62"/>
    </row>
    <row r="30" spans="1:13" ht="15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1254812.3999999999</v>
      </c>
      <c r="F30" s="1180">
        <v>127022.88</v>
      </c>
      <c r="G30" s="1180">
        <f>726600-32412</f>
        <v>694188</v>
      </c>
      <c r="H30" s="1180">
        <v>910000</v>
      </c>
      <c r="I30" s="1180">
        <v>78600</v>
      </c>
      <c r="J30" s="1201">
        <f t="shared" si="1"/>
        <v>3064623.28</v>
      </c>
      <c r="K30" s="62"/>
      <c r="M30" s="23"/>
    </row>
    <row r="31" spans="1:13" ht="15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1103336</v>
      </c>
      <c r="F31" s="1180">
        <v>111144</v>
      </c>
      <c r="G31" s="1180">
        <v>605744</v>
      </c>
      <c r="H31" s="1180">
        <v>815000</v>
      </c>
      <c r="I31" s="1180">
        <v>63000</v>
      </c>
      <c r="J31" s="1201">
        <f t="shared" si="1"/>
        <v>2698224</v>
      </c>
      <c r="K31" s="62"/>
      <c r="M31" s="23"/>
    </row>
    <row r="32" spans="1:13" ht="15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21500</v>
      </c>
      <c r="F32" s="1180">
        <v>4500</v>
      </c>
      <c r="G32" s="1180">
        <v>12500</v>
      </c>
      <c r="H32" s="1180">
        <v>17000</v>
      </c>
      <c r="I32" s="1180">
        <v>1500</v>
      </c>
      <c r="J32" s="1201">
        <f t="shared" si="1"/>
        <v>57000</v>
      </c>
      <c r="K32" s="62"/>
    </row>
    <row r="33" spans="1:11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1373790</v>
      </c>
      <c r="F33" s="1185">
        <f t="shared" ref="F33:I33" si="12">F34+F36+F38</f>
        <v>67710</v>
      </c>
      <c r="G33" s="1185">
        <f t="shared" si="12"/>
        <v>132040</v>
      </c>
      <c r="H33" s="1185">
        <f t="shared" si="12"/>
        <v>30600</v>
      </c>
      <c r="I33" s="1185">
        <f t="shared" si="12"/>
        <v>5500</v>
      </c>
      <c r="J33" s="1201">
        <f t="shared" si="1"/>
        <v>1609640</v>
      </c>
      <c r="K33" s="62"/>
    </row>
    <row r="34" spans="1:11" ht="15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1369440</v>
      </c>
      <c r="F34" s="1185">
        <f t="shared" ref="F34:I34" si="13">F35</f>
        <v>67170</v>
      </c>
      <c r="G34" s="1185">
        <f t="shared" si="13"/>
        <v>128500</v>
      </c>
      <c r="H34" s="1185">
        <f t="shared" si="13"/>
        <v>28800</v>
      </c>
      <c r="I34" s="1185">
        <f t="shared" si="13"/>
        <v>5500</v>
      </c>
      <c r="J34" s="1201">
        <f t="shared" si="1"/>
        <v>1599410</v>
      </c>
      <c r="K34" s="62"/>
    </row>
    <row r="35" spans="1:11" ht="15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1369440</v>
      </c>
      <c r="F35" s="1180">
        <v>67170</v>
      </c>
      <c r="G35" s="1180">
        <v>128500</v>
      </c>
      <c r="H35" s="1180">
        <f>2400*12</f>
        <v>28800</v>
      </c>
      <c r="I35" s="1180">
        <v>5500</v>
      </c>
      <c r="J35" s="1201">
        <f t="shared" si="1"/>
        <v>1599410</v>
      </c>
      <c r="K35" s="62"/>
    </row>
    <row r="36" spans="1:11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4350</v>
      </c>
      <c r="F36" s="1185">
        <f t="shared" ref="F36:I36" si="14">F37</f>
        <v>540</v>
      </c>
      <c r="G36" s="1185">
        <f t="shared" si="14"/>
        <v>3540</v>
      </c>
      <c r="H36" s="1185">
        <f t="shared" si="14"/>
        <v>1800</v>
      </c>
      <c r="I36" s="1185">
        <f t="shared" si="14"/>
        <v>0</v>
      </c>
      <c r="J36" s="1201">
        <f t="shared" si="1"/>
        <v>10230</v>
      </c>
      <c r="K36" s="62"/>
    </row>
    <row r="37" spans="1:11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4350</v>
      </c>
      <c r="F37" s="1180">
        <v>540</v>
      </c>
      <c r="G37" s="1180">
        <v>3540</v>
      </c>
      <c r="H37" s="1180">
        <v>1800</v>
      </c>
      <c r="I37" s="1180"/>
      <c r="J37" s="1201">
        <f t="shared" ref="J37:J68" si="15">SUM(E37:I37)</f>
        <v>10230</v>
      </c>
      <c r="K37" s="62"/>
    </row>
    <row r="38" spans="1:11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I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201">
        <f t="shared" si="15"/>
        <v>0</v>
      </c>
      <c r="K38" s="62"/>
    </row>
    <row r="39" spans="1:11" ht="15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201">
        <f t="shared" si="15"/>
        <v>0</v>
      </c>
      <c r="K39" s="62"/>
    </row>
    <row r="40" spans="1:11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I40" si="17">E41+E43+E45+E47+E49+E52+E54+E56+E60</f>
        <v>4749717.8600000003</v>
      </c>
      <c r="F40" s="1185">
        <f t="shared" si="17"/>
        <v>529342.5</v>
      </c>
      <c r="G40" s="1185">
        <f t="shared" si="17"/>
        <v>2043492.57</v>
      </c>
      <c r="H40" s="1185">
        <f t="shared" si="17"/>
        <v>3138040.2</v>
      </c>
      <c r="I40" s="1185">
        <f t="shared" si="17"/>
        <v>153031.74000000002</v>
      </c>
      <c r="J40" s="1201">
        <f t="shared" si="15"/>
        <v>10613624.870000001</v>
      </c>
      <c r="K40" s="62"/>
    </row>
    <row r="41" spans="1:11" ht="15.95" customHeight="1">
      <c r="A41" s="66" t="s">
        <v>99</v>
      </c>
      <c r="B41" s="61" t="s">
        <v>100</v>
      </c>
      <c r="C41" s="61"/>
      <c r="D41" s="62" t="s">
        <v>101</v>
      </c>
      <c r="E41" s="1180">
        <f>3210*1115</f>
        <v>3579150</v>
      </c>
      <c r="F41" s="1180">
        <f>2860*300/2</f>
        <v>429000</v>
      </c>
      <c r="G41" s="1180">
        <v>1507760</v>
      </c>
      <c r="H41" s="1180">
        <f>((394+422)/2+(357+422)/2)*2860+28560</f>
        <v>2309410</v>
      </c>
      <c r="I41" s="1180">
        <v>67200</v>
      </c>
      <c r="J41" s="1201">
        <f t="shared" si="15"/>
        <v>7892520</v>
      </c>
      <c r="K41" s="62"/>
    </row>
    <row r="42" spans="1:11" ht="15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E41*0.05</f>
        <v>178957.5</v>
      </c>
      <c r="F42" s="1180">
        <f>125/2*2860*0.05</f>
        <v>8937.5</v>
      </c>
      <c r="G42" s="1180">
        <v>70240</v>
      </c>
      <c r="H42" s="1180">
        <f>H41*5%</f>
        <v>115470.5</v>
      </c>
      <c r="I42" s="1180">
        <v>150</v>
      </c>
      <c r="J42" s="1201">
        <f t="shared" si="15"/>
        <v>373755.5</v>
      </c>
      <c r="K42" s="62"/>
    </row>
    <row r="43" spans="1:11" ht="15.95" customHeight="1">
      <c r="A43" s="66" t="s">
        <v>106</v>
      </c>
      <c r="B43" s="61" t="s">
        <v>107</v>
      </c>
      <c r="C43" s="61"/>
      <c r="D43" s="62"/>
      <c r="E43" s="1185">
        <f>E44</f>
        <v>26000</v>
      </c>
      <c r="F43" s="1185">
        <f t="shared" ref="F43:I43" si="18">F44</f>
        <v>3000</v>
      </c>
      <c r="G43" s="1185">
        <f t="shared" si="18"/>
        <v>15800</v>
      </c>
      <c r="H43" s="1185">
        <f t="shared" si="18"/>
        <v>21200</v>
      </c>
      <c r="I43" s="1185">
        <f t="shared" si="18"/>
        <v>1200</v>
      </c>
      <c r="J43" s="1201">
        <f t="shared" si="15"/>
        <v>67200</v>
      </c>
      <c r="K43" s="62"/>
    </row>
    <row r="44" spans="1:11" ht="15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65*400</f>
        <v>26000</v>
      </c>
      <c r="F44" s="1180">
        <f>15*400/2</f>
        <v>3000</v>
      </c>
      <c r="G44" s="1180">
        <v>15800</v>
      </c>
      <c r="H44" s="1180">
        <f>53*400</f>
        <v>21200</v>
      </c>
      <c r="I44" s="1180">
        <v>1200</v>
      </c>
      <c r="J44" s="1201">
        <f t="shared" si="15"/>
        <v>67200</v>
      </c>
      <c r="K44" s="62"/>
    </row>
    <row r="45" spans="1:11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136689</v>
      </c>
      <c r="F45" s="1185">
        <f t="shared" ref="F45:I45" si="19">F46</f>
        <v>11362.5</v>
      </c>
      <c r="G45" s="1185">
        <f t="shared" si="19"/>
        <v>98202</v>
      </c>
      <c r="H45" s="1185">
        <f t="shared" si="19"/>
        <v>224590.2</v>
      </c>
      <c r="I45" s="1185">
        <f t="shared" si="19"/>
        <v>45000</v>
      </c>
      <c r="J45" s="1201">
        <f t="shared" si="15"/>
        <v>515843.7</v>
      </c>
      <c r="K45" s="62"/>
    </row>
    <row r="46" spans="1:11" ht="15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E74*15</f>
        <v>136689</v>
      </c>
      <c r="F46" s="1180">
        <f>15*1515/2</f>
        <v>11362.5</v>
      </c>
      <c r="G46" s="1180">
        <v>98202</v>
      </c>
      <c r="H46" s="1180">
        <f>H74*15</f>
        <v>224590.2</v>
      </c>
      <c r="I46" s="1180">
        <v>45000</v>
      </c>
      <c r="J46" s="1201">
        <f t="shared" si="15"/>
        <v>515843.7</v>
      </c>
      <c r="K46" s="62"/>
    </row>
    <row r="47" spans="1:11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40000</v>
      </c>
      <c r="F47" s="1185">
        <f t="shared" ref="F47:I47" si="20">F48</f>
        <v>800</v>
      </c>
      <c r="G47" s="1185">
        <f t="shared" si="20"/>
        <v>28800</v>
      </c>
      <c r="H47" s="1185">
        <f t="shared" si="20"/>
        <v>66440</v>
      </c>
      <c r="I47" s="1185">
        <f t="shared" si="20"/>
        <v>0</v>
      </c>
      <c r="J47" s="1201">
        <f t="shared" si="15"/>
        <v>136040</v>
      </c>
      <c r="K47" s="62"/>
    </row>
    <row r="48" spans="1:11" ht="15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v>40000</v>
      </c>
      <c r="F48" s="1180">
        <f>200*8/2</f>
        <v>800</v>
      </c>
      <c r="G48" s="1180">
        <v>28800</v>
      </c>
      <c r="H48" s="1180">
        <f>H75*8</f>
        <v>66440</v>
      </c>
      <c r="I48" s="1180"/>
      <c r="J48" s="1201">
        <f t="shared" si="15"/>
        <v>136040</v>
      </c>
      <c r="K48" s="62"/>
    </row>
    <row r="49" spans="1:11" ht="15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591840</v>
      </c>
      <c r="F49" s="1185">
        <f t="shared" ref="F49:I49" si="21">F50+F51</f>
        <v>49680</v>
      </c>
      <c r="G49" s="1185">
        <f t="shared" si="21"/>
        <v>199080</v>
      </c>
      <c r="H49" s="1185">
        <f t="shared" si="21"/>
        <v>237600</v>
      </c>
      <c r="I49" s="1185">
        <f t="shared" si="21"/>
        <v>10440</v>
      </c>
      <c r="J49" s="1201">
        <f t="shared" si="15"/>
        <v>1088640</v>
      </c>
      <c r="K49" s="62"/>
    </row>
    <row r="50" spans="1:11" ht="15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65*4320</f>
        <v>280800</v>
      </c>
      <c r="F50" s="1180">
        <f>15*4320/2</f>
        <v>32400</v>
      </c>
      <c r="G50" s="1180">
        <v>165240</v>
      </c>
      <c r="H50" s="1180">
        <f>53*4320</f>
        <v>228960</v>
      </c>
      <c r="I50" s="1180">
        <v>8640</v>
      </c>
      <c r="J50" s="1201">
        <f t="shared" si="15"/>
        <v>716040</v>
      </c>
      <c r="K50" s="62"/>
    </row>
    <row r="51" spans="1:11" ht="15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72*4320</f>
        <v>311040</v>
      </c>
      <c r="F51" s="1180">
        <f>4320*8/2</f>
        <v>17280</v>
      </c>
      <c r="G51" s="1180">
        <v>33840</v>
      </c>
      <c r="H51" s="1180">
        <f>2*4320</f>
        <v>8640</v>
      </c>
      <c r="I51" s="1180">
        <v>1800</v>
      </c>
      <c r="J51" s="1201">
        <f t="shared" si="15"/>
        <v>372600</v>
      </c>
      <c r="K51" s="62"/>
    </row>
    <row r="52" spans="1:11" ht="15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315238.86</v>
      </c>
      <c r="F52" s="1185">
        <f t="shared" ref="F52:I52" si="22">F53</f>
        <v>33000</v>
      </c>
      <c r="G52" s="1185">
        <f t="shared" si="22"/>
        <v>178100.57</v>
      </c>
      <c r="H52" s="1185">
        <f t="shared" si="22"/>
        <v>240000</v>
      </c>
      <c r="I52" s="1185">
        <f t="shared" si="22"/>
        <v>21257.14</v>
      </c>
      <c r="J52" s="1201">
        <f t="shared" si="15"/>
        <v>787596.57</v>
      </c>
      <c r="K52" s="62"/>
    </row>
    <row r="53" spans="1:11" ht="15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06">
        <v>315238.86</v>
      </c>
      <c r="F53" s="1206">
        <f>66000/2</f>
        <v>33000</v>
      </c>
      <c r="G53" s="1206">
        <v>178100.57</v>
      </c>
      <c r="H53" s="1206">
        <v>240000</v>
      </c>
      <c r="I53" s="1206">
        <v>21257.14</v>
      </c>
      <c r="J53" s="1201">
        <f t="shared" si="15"/>
        <v>787596.57</v>
      </c>
      <c r="K53" s="62"/>
    </row>
    <row r="54" spans="1:11" ht="15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30000</v>
      </c>
      <c r="F54" s="1185">
        <f t="shared" ref="F54:I54" si="23">F55</f>
        <v>0</v>
      </c>
      <c r="G54" s="1185">
        <f t="shared" si="23"/>
        <v>0</v>
      </c>
      <c r="H54" s="1185">
        <f t="shared" si="23"/>
        <v>0</v>
      </c>
      <c r="I54" s="1185">
        <f t="shared" si="23"/>
        <v>0</v>
      </c>
      <c r="J54" s="1201">
        <f t="shared" si="15"/>
        <v>30000</v>
      </c>
      <c r="K54" s="62"/>
    </row>
    <row r="55" spans="1:11" ht="15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>
        <v>30000</v>
      </c>
      <c r="F55" s="1180"/>
      <c r="G55" s="1180"/>
      <c r="H55" s="1180"/>
      <c r="I55" s="1180"/>
      <c r="J55" s="1201">
        <f t="shared" si="15"/>
        <v>30000</v>
      </c>
      <c r="K55" s="62"/>
    </row>
    <row r="56" spans="1:11" ht="15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30800</v>
      </c>
      <c r="F56" s="1185">
        <f t="shared" ref="F56:I56" si="24">F57+F59</f>
        <v>1600</v>
      </c>
      <c r="G56" s="1185">
        <f t="shared" si="24"/>
        <v>5750</v>
      </c>
      <c r="H56" s="1185">
        <f t="shared" si="24"/>
        <v>6800</v>
      </c>
      <c r="I56" s="1185">
        <f t="shared" si="24"/>
        <v>400</v>
      </c>
      <c r="J56" s="1201">
        <f t="shared" si="15"/>
        <v>45350</v>
      </c>
      <c r="K56" s="62"/>
    </row>
    <row r="57" spans="1:11" ht="15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28800</v>
      </c>
      <c r="F57" s="1185">
        <f t="shared" ref="F57:I57" si="25">F58</f>
        <v>1600</v>
      </c>
      <c r="G57" s="1185">
        <f t="shared" si="25"/>
        <v>3200</v>
      </c>
      <c r="H57" s="1185">
        <f t="shared" si="25"/>
        <v>800</v>
      </c>
      <c r="I57" s="1185">
        <f t="shared" si="25"/>
        <v>400</v>
      </c>
      <c r="J57" s="1201">
        <f t="shared" si="15"/>
        <v>34800</v>
      </c>
      <c r="K57" s="62"/>
    </row>
    <row r="58" spans="1:11" ht="15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28800</v>
      </c>
      <c r="F58" s="1180">
        <f>400*8/2</f>
        <v>1600</v>
      </c>
      <c r="G58" s="1180">
        <v>3200</v>
      </c>
      <c r="H58" s="1180">
        <v>800</v>
      </c>
      <c r="I58" s="1180">
        <v>400</v>
      </c>
      <c r="J58" s="1201">
        <f t="shared" si="15"/>
        <v>34800</v>
      </c>
      <c r="K58" s="62"/>
    </row>
    <row r="59" spans="1:11" ht="15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2000</v>
      </c>
      <c r="F59" s="1186"/>
      <c r="G59" s="1186">
        <v>2550</v>
      </c>
      <c r="H59" s="1186">
        <v>6000</v>
      </c>
      <c r="I59" s="1186"/>
      <c r="J59" s="1201">
        <f t="shared" si="15"/>
        <v>10550</v>
      </c>
      <c r="K59" s="62"/>
    </row>
    <row r="60" spans="1:11" ht="15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I60" si="26">F61</f>
        <v>900</v>
      </c>
      <c r="G60" s="1185">
        <f t="shared" si="26"/>
        <v>10000</v>
      </c>
      <c r="H60" s="1185">
        <f t="shared" si="26"/>
        <v>32000</v>
      </c>
      <c r="I60" s="1185">
        <f t="shared" si="26"/>
        <v>7534.6</v>
      </c>
      <c r="J60" s="1201">
        <f t="shared" si="15"/>
        <v>50434.6</v>
      </c>
      <c r="K60" s="62"/>
    </row>
    <row r="61" spans="1:11" ht="15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>
        <v>900</v>
      </c>
      <c r="G61" s="1179">
        <v>10000</v>
      </c>
      <c r="H61" s="1179">
        <v>32000</v>
      </c>
      <c r="I61" s="1179">
        <v>7534.6</v>
      </c>
      <c r="J61" s="1201">
        <f t="shared" si="15"/>
        <v>50434.6</v>
      </c>
      <c r="K61" s="1187"/>
    </row>
    <row r="62" spans="1:11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201">
        <f t="shared" si="15"/>
        <v>0</v>
      </c>
      <c r="K62" s="1189"/>
    </row>
    <row r="63" spans="1:11" ht="15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65</v>
      </c>
      <c r="F63" s="1204">
        <f t="shared" ref="F63:H63" si="27">F64+F65+F66+F67</f>
        <v>0</v>
      </c>
      <c r="G63" s="1204">
        <f t="shared" si="27"/>
        <v>45</v>
      </c>
      <c r="H63" s="1204">
        <f t="shared" si="27"/>
        <v>53</v>
      </c>
      <c r="I63" s="1204">
        <v>3</v>
      </c>
      <c r="J63" s="1204">
        <f t="shared" si="15"/>
        <v>166</v>
      </c>
      <c r="K63" s="62"/>
    </row>
    <row r="64" spans="1:11" ht="15.95" customHeight="1">
      <c r="A64" s="66" t="s">
        <v>148</v>
      </c>
      <c r="B64" s="1199" t="s">
        <v>149</v>
      </c>
      <c r="C64" s="1199"/>
      <c r="D64" s="62"/>
      <c r="E64" s="1181"/>
      <c r="F64" s="1181"/>
      <c r="G64" s="1181"/>
      <c r="H64" s="1181"/>
      <c r="I64" s="1181"/>
      <c r="J64" s="1204">
        <f t="shared" si="15"/>
        <v>0</v>
      </c>
      <c r="K64" s="62"/>
    </row>
    <row r="65" spans="1:11" ht="15.95" customHeight="1">
      <c r="A65" s="66" t="s">
        <v>150</v>
      </c>
      <c r="B65" s="1199" t="s">
        <v>151</v>
      </c>
      <c r="C65" s="1199"/>
      <c r="D65" s="62"/>
      <c r="E65" s="1181">
        <v>65</v>
      </c>
      <c r="F65" s="1181"/>
      <c r="G65" s="1181"/>
      <c r="H65" s="1181"/>
      <c r="I65" s="1181"/>
      <c r="J65" s="1204">
        <f t="shared" si="15"/>
        <v>65</v>
      </c>
      <c r="K65" s="62"/>
    </row>
    <row r="66" spans="1:11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>
        <v>45</v>
      </c>
      <c r="H66" s="1181">
        <v>53</v>
      </c>
      <c r="I66" s="1181"/>
      <c r="J66" s="1204">
        <f t="shared" si="15"/>
        <v>98</v>
      </c>
      <c r="K66" s="62"/>
    </row>
    <row r="67" spans="1:11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>
        <v>3</v>
      </c>
      <c r="J67" s="1204">
        <f t="shared" si="15"/>
        <v>3</v>
      </c>
      <c r="K67" s="62"/>
    </row>
    <row r="68" spans="1:11" ht="15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1195</v>
      </c>
      <c r="F68" s="1204">
        <f t="shared" ref="F68:I68" si="28">F69+F70+F71+F72</f>
        <v>0</v>
      </c>
      <c r="G68" s="1204">
        <f t="shared" si="28"/>
        <v>514</v>
      </c>
      <c r="H68" s="1204">
        <f t="shared" si="28"/>
        <v>844</v>
      </c>
      <c r="I68" s="1204">
        <f t="shared" si="28"/>
        <v>0</v>
      </c>
      <c r="J68" s="1204">
        <f t="shared" si="15"/>
        <v>2553</v>
      </c>
      <c r="K68" s="62"/>
    </row>
    <row r="69" spans="1:11" ht="15.95" customHeight="1">
      <c r="A69" s="66" t="s">
        <v>158</v>
      </c>
      <c r="B69" s="1199" t="s">
        <v>149</v>
      </c>
      <c r="C69" s="1199"/>
      <c r="D69" s="62"/>
      <c r="E69" s="1181"/>
      <c r="F69" s="1181"/>
      <c r="G69" s="1181"/>
      <c r="H69" s="1181"/>
      <c r="I69" s="1181"/>
      <c r="J69" s="1204">
        <f t="shared" ref="J69:J75" si="29">SUM(E69:I69)</f>
        <v>0</v>
      </c>
      <c r="K69" s="62"/>
    </row>
    <row r="70" spans="1:11" ht="15.95" customHeight="1">
      <c r="A70" s="66" t="s">
        <v>159</v>
      </c>
      <c r="B70" s="1199" t="s">
        <v>151</v>
      </c>
      <c r="C70" s="1199"/>
      <c r="D70" s="62"/>
      <c r="E70" s="1181">
        <v>1195</v>
      </c>
      <c r="F70" s="1181"/>
      <c r="G70" s="1181"/>
      <c r="H70" s="1181"/>
      <c r="I70" s="1181"/>
      <c r="J70" s="1204">
        <f t="shared" si="29"/>
        <v>1195</v>
      </c>
      <c r="K70" s="62"/>
    </row>
    <row r="71" spans="1:11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>
        <v>514</v>
      </c>
      <c r="H71" s="1181">
        <v>844</v>
      </c>
      <c r="I71" s="1181"/>
      <c r="J71" s="1204">
        <f t="shared" si="29"/>
        <v>1358</v>
      </c>
      <c r="K71" s="62"/>
    </row>
    <row r="72" spans="1:11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204">
        <f t="shared" si="29"/>
        <v>0</v>
      </c>
      <c r="K72" s="62"/>
    </row>
    <row r="73" spans="1:11" ht="15.95" customHeight="1">
      <c r="A73" s="66" t="s">
        <v>162</v>
      </c>
      <c r="B73" s="61" t="s">
        <v>218</v>
      </c>
      <c r="C73" s="61"/>
      <c r="D73" s="62"/>
      <c r="E73" s="1181">
        <v>72</v>
      </c>
      <c r="F73" s="1181"/>
      <c r="G73" s="1181">
        <v>12</v>
      </c>
      <c r="H73" s="1181">
        <v>2</v>
      </c>
      <c r="I73" s="1181">
        <v>1</v>
      </c>
      <c r="J73" s="1204">
        <f t="shared" si="29"/>
        <v>87</v>
      </c>
      <c r="K73" s="62"/>
    </row>
    <row r="74" spans="1:11" ht="15.95" customHeight="1">
      <c r="A74" s="66" t="s">
        <v>3011</v>
      </c>
      <c r="B74" s="1199" t="s">
        <v>219</v>
      </c>
      <c r="C74" s="1199"/>
      <c r="D74" s="67"/>
      <c r="E74" s="1180">
        <f>6698.1+4829/2</f>
        <v>9112.6</v>
      </c>
      <c r="F74" s="1180"/>
      <c r="G74" s="1180">
        <v>7304.3</v>
      </c>
      <c r="H74" s="1180">
        <v>14972.68</v>
      </c>
      <c r="I74" s="1180">
        <v>3000</v>
      </c>
      <c r="J74" s="1201">
        <f t="shared" si="29"/>
        <v>34389.58</v>
      </c>
      <c r="K74" s="62"/>
    </row>
    <row r="75" spans="1:11" ht="15.95" customHeight="1">
      <c r="A75" s="66" t="s">
        <v>3012</v>
      </c>
      <c r="B75" s="1199" t="s">
        <v>220</v>
      </c>
      <c r="C75" s="1199"/>
      <c r="D75" s="67"/>
      <c r="E75" s="1180">
        <f>5066+730/2</f>
        <v>5431</v>
      </c>
      <c r="F75" s="1180"/>
      <c r="G75" s="1180">
        <v>3700</v>
      </c>
      <c r="H75" s="1180">
        <v>8305</v>
      </c>
      <c r="I75" s="1180">
        <v>3000</v>
      </c>
      <c r="J75" s="1201">
        <f t="shared" si="29"/>
        <v>20436</v>
      </c>
      <c r="K75" s="62"/>
    </row>
    <row r="79" spans="1:11">
      <c r="E79" s="24"/>
      <c r="F79" s="24"/>
      <c r="G79" s="24"/>
      <c r="H79" s="24"/>
      <c r="I79" s="24"/>
      <c r="J79" s="24"/>
      <c r="K79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7"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opLeftCell="B1" workbookViewId="0">
      <pane xSplit="3" ySplit="4" topLeftCell="I50" activePane="bottomRight" state="frozen"/>
      <selection activeCell="B1" sqref="B1"/>
      <selection pane="topRight" activeCell="E1" sqref="E1"/>
      <selection pane="bottomLeft" activeCell="B5" sqref="B5"/>
      <selection pane="bottomRight" activeCell="N2" sqref="N1:N1048576"/>
    </sheetView>
  </sheetViews>
  <sheetFormatPr defaultRowHeight="11.25"/>
  <cols>
    <col min="1" max="1" width="5.375" style="21" hidden="1" customWidth="1"/>
    <col min="2" max="2" width="14.75" style="3" customWidth="1"/>
    <col min="3" max="3" width="0" style="3" hidden="1" customWidth="1"/>
    <col min="4" max="4" width="0" style="1178" hidden="1" customWidth="1"/>
    <col min="5" max="5" width="11.875" style="3" customWidth="1"/>
    <col min="6" max="6" width="12" style="3" customWidth="1"/>
    <col min="7" max="7" width="11.875" style="3" customWidth="1"/>
    <col min="8" max="8" width="12.125" style="3" customWidth="1"/>
    <col min="9" max="9" width="11.75" style="3" customWidth="1"/>
    <col min="10" max="10" width="11.875" style="3" customWidth="1"/>
    <col min="11" max="11" width="12.25" style="3" customWidth="1"/>
    <col min="12" max="12" width="11.625" style="3" customWidth="1"/>
    <col min="13" max="13" width="12.25" style="3" customWidth="1"/>
    <col min="14" max="14" width="11.375" style="3" customWidth="1"/>
    <col min="15" max="15" width="12.375" style="3" customWidth="1"/>
    <col min="16" max="16" width="13.125" style="3" customWidth="1"/>
    <col min="17" max="17" width="11.125" style="3" customWidth="1"/>
    <col min="18" max="18" width="11.5" style="3" customWidth="1"/>
    <col min="19" max="19" width="11.125" style="3" customWidth="1"/>
    <col min="20" max="20" width="11.75" style="3" customWidth="1"/>
    <col min="21" max="21" width="12.625" style="3" customWidth="1"/>
    <col min="22" max="22" width="11.25" style="3" customWidth="1"/>
    <col min="23" max="23" width="12.125" style="3" customWidth="1"/>
    <col min="24" max="24" width="11.25" style="3" customWidth="1"/>
    <col min="25" max="25" width="12.875" style="3" customWidth="1"/>
    <col min="26" max="26" width="10.625" style="3" hidden="1" customWidth="1"/>
    <col min="27" max="27" width="9" style="3"/>
    <col min="28" max="28" width="9.75" style="3" bestFit="1" customWidth="1"/>
    <col min="29" max="16384" width="9" style="3"/>
  </cols>
  <sheetData>
    <row r="1" spans="1:28" ht="24.95" customHeight="1">
      <c r="A1" s="1361" t="s">
        <v>3052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1361"/>
      <c r="V1" s="1361"/>
      <c r="W1" s="1361"/>
      <c r="X1" s="1361"/>
      <c r="Y1" s="1361"/>
      <c r="Z1" s="1361"/>
    </row>
    <row r="2" spans="1:28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252" t="s">
        <v>3242</v>
      </c>
      <c r="Z2" s="1177"/>
    </row>
    <row r="3" spans="1:28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191" t="s">
        <v>3020</v>
      </c>
      <c r="F3" s="1191" t="s">
        <v>3021</v>
      </c>
      <c r="G3" s="1191" t="s">
        <v>1848</v>
      </c>
      <c r="H3" s="1191" t="s">
        <v>3022</v>
      </c>
      <c r="I3" s="1191" t="s">
        <v>3023</v>
      </c>
      <c r="J3" s="1191" t="s">
        <v>3024</v>
      </c>
      <c r="K3" s="1191" t="s">
        <v>3025</v>
      </c>
      <c r="L3" s="1191" t="s">
        <v>3026</v>
      </c>
      <c r="M3" s="1191" t="s">
        <v>3027</v>
      </c>
      <c r="N3" s="1191" t="s">
        <v>3028</v>
      </c>
      <c r="O3" s="1191" t="s">
        <v>3029</v>
      </c>
      <c r="P3" s="1191" t="s">
        <v>3030</v>
      </c>
      <c r="Q3" s="1191" t="s">
        <v>3031</v>
      </c>
      <c r="R3" s="1191" t="s">
        <v>3032</v>
      </c>
      <c r="S3" s="1191" t="s">
        <v>3033</v>
      </c>
      <c r="T3" s="1191" t="s">
        <v>3034</v>
      </c>
      <c r="U3" s="1191" t="s">
        <v>3035</v>
      </c>
      <c r="V3" s="1191" t="s">
        <v>3036</v>
      </c>
      <c r="W3" s="1191" t="s">
        <v>3037</v>
      </c>
      <c r="X3" s="1191" t="s">
        <v>3038</v>
      </c>
      <c r="Y3" s="1610" t="s">
        <v>17</v>
      </c>
      <c r="Z3" s="1610" t="s">
        <v>18</v>
      </c>
    </row>
    <row r="4" spans="1:28" ht="24.95" customHeight="1">
      <c r="A4" s="1612"/>
      <c r="B4" s="1612"/>
      <c r="C4" s="1612"/>
      <c r="D4" s="1612"/>
      <c r="E4" s="1191" t="s">
        <v>3084</v>
      </c>
      <c r="F4" s="1191" t="s">
        <v>3084</v>
      </c>
      <c r="G4" s="1191" t="s">
        <v>3084</v>
      </c>
      <c r="H4" s="1191" t="s">
        <v>3084</v>
      </c>
      <c r="I4" s="1191" t="s">
        <v>3085</v>
      </c>
      <c r="J4" s="1191" t="s">
        <v>3085</v>
      </c>
      <c r="K4" s="1191" t="s">
        <v>3085</v>
      </c>
      <c r="L4" s="1191" t="s">
        <v>3085</v>
      </c>
      <c r="M4" s="1191" t="s">
        <v>3085</v>
      </c>
      <c r="N4" s="1191" t="s">
        <v>3086</v>
      </c>
      <c r="O4" s="1191" t="s">
        <v>3086</v>
      </c>
      <c r="P4" s="1191" t="s">
        <v>3086</v>
      </c>
      <c r="Q4" s="1191" t="s">
        <v>3086</v>
      </c>
      <c r="R4" s="1191" t="s">
        <v>3086</v>
      </c>
      <c r="S4" s="1191" t="s">
        <v>3087</v>
      </c>
      <c r="T4" s="1191" t="s">
        <v>3086</v>
      </c>
      <c r="U4" s="1191" t="s">
        <v>3088</v>
      </c>
      <c r="V4" s="1191" t="s">
        <v>3086</v>
      </c>
      <c r="W4" s="1191" t="s">
        <v>3086</v>
      </c>
      <c r="X4" s="1191" t="s">
        <v>3086</v>
      </c>
      <c r="Y4" s="1611"/>
      <c r="Z4" s="1611"/>
    </row>
    <row r="5" spans="1:28" ht="21.95" customHeight="1">
      <c r="A5" s="66" t="s">
        <v>19</v>
      </c>
      <c r="B5" s="61" t="s">
        <v>20</v>
      </c>
      <c r="C5" s="61"/>
      <c r="D5" s="62" t="s">
        <v>21</v>
      </c>
      <c r="E5" s="1201">
        <f t="shared" ref="E5:X5" si="0">E6+E33+E40</f>
        <v>73841517.590000004</v>
      </c>
      <c r="F5" s="1201">
        <f t="shared" si="0"/>
        <v>25587150.079999998</v>
      </c>
      <c r="G5" s="1201">
        <f t="shared" si="0"/>
        <v>22986963.129999999</v>
      </c>
      <c r="H5" s="1201">
        <f t="shared" si="0"/>
        <v>28372261.07</v>
      </c>
      <c r="I5" s="1201">
        <f t="shared" si="0"/>
        <v>88540871.690000013</v>
      </c>
      <c r="J5" s="1201">
        <f t="shared" si="0"/>
        <v>14823228.369999999</v>
      </c>
      <c r="K5" s="1201">
        <f t="shared" si="0"/>
        <v>34402545.030000001</v>
      </c>
      <c r="L5" s="1201">
        <f t="shared" si="0"/>
        <v>14015099.5</v>
      </c>
      <c r="M5" s="1201">
        <f t="shared" si="0"/>
        <v>30843741.349999998</v>
      </c>
      <c r="N5" s="1201">
        <f t="shared" si="0"/>
        <v>9757850</v>
      </c>
      <c r="O5" s="1201">
        <f t="shared" si="0"/>
        <v>9726923.0099999998</v>
      </c>
      <c r="P5" s="1201">
        <f t="shared" si="0"/>
        <v>10125830.140000001</v>
      </c>
      <c r="Q5" s="1201">
        <f t="shared" si="0"/>
        <v>6113715.5500000007</v>
      </c>
      <c r="R5" s="1201">
        <f t="shared" si="0"/>
        <v>9259801.7899999991</v>
      </c>
      <c r="S5" s="1201">
        <f t="shared" si="0"/>
        <v>1782394.17</v>
      </c>
      <c r="T5" s="1201">
        <f t="shared" si="0"/>
        <v>9223492.910000002</v>
      </c>
      <c r="U5" s="1201">
        <f t="shared" si="0"/>
        <v>32768381.77</v>
      </c>
      <c r="V5" s="1201">
        <f t="shared" si="0"/>
        <v>4447063.04</v>
      </c>
      <c r="W5" s="1201">
        <f t="shared" si="0"/>
        <v>24061597.599999998</v>
      </c>
      <c r="X5" s="1201">
        <f t="shared" si="0"/>
        <v>4443639.8</v>
      </c>
      <c r="Y5" s="1201">
        <f t="shared" ref="Y5:Y68" si="1">SUM(E5:X5)</f>
        <v>455124067.59000015</v>
      </c>
      <c r="Z5" s="62"/>
    </row>
    <row r="6" spans="1:28" ht="21.95" customHeight="1">
      <c r="A6" s="66" t="s">
        <v>22</v>
      </c>
      <c r="B6" s="61" t="s">
        <v>0</v>
      </c>
      <c r="C6" s="61"/>
      <c r="D6" s="62" t="s">
        <v>21</v>
      </c>
      <c r="E6" s="1201">
        <f>E7+E10+E14+E17+E22+E27+E29+E31+E32</f>
        <v>53028811.399999999</v>
      </c>
      <c r="F6" s="1201">
        <f t="shared" ref="F6:X6" si="2">F7+F10+F14+F17+F22+F27+F29+F31+F32</f>
        <v>17628649.719999999</v>
      </c>
      <c r="G6" s="1201">
        <f t="shared" si="2"/>
        <v>15957848.309999999</v>
      </c>
      <c r="H6" s="1201">
        <f t="shared" si="2"/>
        <v>20246249.02</v>
      </c>
      <c r="I6" s="1201">
        <f t="shared" si="2"/>
        <v>63715764.460000008</v>
      </c>
      <c r="J6" s="1201">
        <f t="shared" si="2"/>
        <v>10786894.629999999</v>
      </c>
      <c r="K6" s="1201">
        <f t="shared" si="2"/>
        <v>24621703.300000001</v>
      </c>
      <c r="L6" s="1201">
        <f t="shared" si="2"/>
        <v>10259572.050000001</v>
      </c>
      <c r="M6" s="1201">
        <f t="shared" si="2"/>
        <v>22663052.059999999</v>
      </c>
      <c r="N6" s="1201">
        <f t="shared" si="2"/>
        <v>8293570</v>
      </c>
      <c r="O6" s="1201">
        <f t="shared" si="2"/>
        <v>6922698.8600000003</v>
      </c>
      <c r="P6" s="1201">
        <f t="shared" si="2"/>
        <v>7539696</v>
      </c>
      <c r="Q6" s="1201">
        <f t="shared" si="2"/>
        <v>4832600.4600000009</v>
      </c>
      <c r="R6" s="1201">
        <f t="shared" si="2"/>
        <v>6810237.5999999996</v>
      </c>
      <c r="S6" s="1201">
        <f t="shared" si="2"/>
        <v>1287707.31</v>
      </c>
      <c r="T6" s="1201">
        <f t="shared" si="2"/>
        <v>7375586.1100000013</v>
      </c>
      <c r="U6" s="1201">
        <f t="shared" si="2"/>
        <v>22682548.25</v>
      </c>
      <c r="V6" s="1201">
        <f t="shared" si="2"/>
        <v>3240145.05</v>
      </c>
      <c r="W6" s="1201">
        <f t="shared" si="2"/>
        <v>17813643.549999997</v>
      </c>
      <c r="X6" s="1201">
        <f t="shared" si="2"/>
        <v>2684334.38</v>
      </c>
      <c r="Y6" s="1201">
        <f t="shared" si="1"/>
        <v>328391312.5200001</v>
      </c>
      <c r="Z6" s="62"/>
    </row>
    <row r="7" spans="1:28" ht="21.95" customHeight="1">
      <c r="A7" s="66" t="s">
        <v>23</v>
      </c>
      <c r="B7" s="61" t="s">
        <v>24</v>
      </c>
      <c r="C7" s="61"/>
      <c r="D7" s="62" t="s">
        <v>21</v>
      </c>
      <c r="E7" s="1201">
        <f>E8+E9</f>
        <v>15999229</v>
      </c>
      <c r="F7" s="1201">
        <f t="shared" ref="F7:X7" si="3">F8+F9</f>
        <v>5499087</v>
      </c>
      <c r="G7" s="1201">
        <f t="shared" si="3"/>
        <v>4857449.7799999993</v>
      </c>
      <c r="H7" s="1201">
        <f t="shared" si="3"/>
        <v>5962377.5099999998</v>
      </c>
      <c r="I7" s="1201">
        <f t="shared" si="3"/>
        <v>20273020.490000002</v>
      </c>
      <c r="J7" s="1201">
        <f t="shared" si="3"/>
        <v>3530732.2</v>
      </c>
      <c r="K7" s="1201">
        <f t="shared" si="3"/>
        <v>7035083.1299999999</v>
      </c>
      <c r="L7" s="1201">
        <f t="shared" si="3"/>
        <v>3370762</v>
      </c>
      <c r="M7" s="1201">
        <f t="shared" si="3"/>
        <v>6883631.3700000001</v>
      </c>
      <c r="N7" s="1201">
        <f t="shared" si="3"/>
        <v>2942752</v>
      </c>
      <c r="O7" s="1201">
        <f t="shared" si="3"/>
        <v>2471701</v>
      </c>
      <c r="P7" s="1201">
        <f t="shared" si="3"/>
        <v>2481620.7999999998</v>
      </c>
      <c r="Q7" s="1201">
        <f t="shared" si="3"/>
        <v>1574974.55</v>
      </c>
      <c r="R7" s="1201">
        <f t="shared" si="3"/>
        <v>2382529</v>
      </c>
      <c r="S7" s="1201">
        <f t="shared" si="3"/>
        <v>446778</v>
      </c>
      <c r="T7" s="1201">
        <f t="shared" si="3"/>
        <v>2533530.7999999998</v>
      </c>
      <c r="U7" s="1201">
        <f t="shared" si="3"/>
        <v>6472781.6200000001</v>
      </c>
      <c r="V7" s="1201">
        <f t="shared" si="3"/>
        <v>998013.2</v>
      </c>
      <c r="W7" s="1201">
        <f t="shared" si="3"/>
        <v>6269344.5999999996</v>
      </c>
      <c r="X7" s="1201">
        <f t="shared" si="3"/>
        <v>851165</v>
      </c>
      <c r="Y7" s="1201">
        <f t="shared" si="1"/>
        <v>102836563.05</v>
      </c>
      <c r="Z7" s="62"/>
    </row>
    <row r="8" spans="1:28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3">
        <f>8642510+50000</f>
        <v>8692510</v>
      </c>
      <c r="F8" s="1183">
        <v>3299601</v>
      </c>
      <c r="G8" s="1183">
        <v>2554721.38</v>
      </c>
      <c r="H8" s="1183">
        <v>3707770</v>
      </c>
      <c r="I8" s="1183">
        <f>11309429+50000</f>
        <v>11359429</v>
      </c>
      <c r="J8" s="1183">
        <v>1791003.4</v>
      </c>
      <c r="K8" s="1183">
        <v>4099333.13</v>
      </c>
      <c r="L8" s="1183">
        <v>1694872</v>
      </c>
      <c r="M8" s="1183">
        <v>4041225</v>
      </c>
      <c r="N8" s="1183">
        <v>1544637</v>
      </c>
      <c r="O8" s="1183">
        <v>1254446</v>
      </c>
      <c r="P8" s="1183">
        <v>1501850.8</v>
      </c>
      <c r="Q8" s="1183">
        <v>933480.55</v>
      </c>
      <c r="R8" s="1183">
        <v>1349539</v>
      </c>
      <c r="S8" s="1183">
        <v>219480</v>
      </c>
      <c r="T8" s="1183">
        <v>1442301.6</v>
      </c>
      <c r="U8" s="1183">
        <f>4053092.02+30000</f>
        <v>4083092.02</v>
      </c>
      <c r="V8" s="1183">
        <v>581686.4</v>
      </c>
      <c r="W8" s="1183">
        <f>4835386-1544637</f>
        <v>3290749</v>
      </c>
      <c r="X8" s="1183">
        <v>521333</v>
      </c>
      <c r="Y8" s="1201">
        <f t="shared" si="1"/>
        <v>57963060.279999994</v>
      </c>
      <c r="Z8" s="1192"/>
    </row>
    <row r="9" spans="1:28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3">
        <f>7256719+50000</f>
        <v>7306719</v>
      </c>
      <c r="F9" s="1183">
        <v>2199486</v>
      </c>
      <c r="G9" s="1183">
        <v>2302728.4</v>
      </c>
      <c r="H9" s="1183">
        <v>2254607.5099999998</v>
      </c>
      <c r="I9" s="1183">
        <f>8863591.49+50000</f>
        <v>8913591.4900000002</v>
      </c>
      <c r="J9" s="1183">
        <v>1739728.8</v>
      </c>
      <c r="K9" s="1183">
        <v>2935750</v>
      </c>
      <c r="L9" s="1183">
        <v>1675890</v>
      </c>
      <c r="M9" s="1183">
        <v>2842406.37</v>
      </c>
      <c r="N9" s="1183">
        <v>1398115</v>
      </c>
      <c r="O9" s="1183">
        <v>1217255</v>
      </c>
      <c r="P9" s="1183">
        <v>979770</v>
      </c>
      <c r="Q9" s="1183">
        <v>641494</v>
      </c>
      <c r="R9" s="1183">
        <v>1032990</v>
      </c>
      <c r="S9" s="1183">
        <v>227298</v>
      </c>
      <c r="T9" s="1183">
        <v>1091229.2</v>
      </c>
      <c r="U9" s="1183">
        <f>2359689.6+30000</f>
        <v>2389689.6</v>
      </c>
      <c r="V9" s="1183">
        <v>416326.8</v>
      </c>
      <c r="W9" s="1183">
        <f>4376710.6-1398115</f>
        <v>2978595.5999999996</v>
      </c>
      <c r="X9" s="1183">
        <v>329832</v>
      </c>
      <c r="Y9" s="1201">
        <f t="shared" si="1"/>
        <v>44873502.770000003</v>
      </c>
      <c r="Z9" s="62"/>
    </row>
    <row r="10" spans="1:28" ht="21.95" customHeight="1">
      <c r="A10" s="66" t="s">
        <v>31</v>
      </c>
      <c r="B10" s="61" t="s">
        <v>32</v>
      </c>
      <c r="C10" s="61"/>
      <c r="D10" s="62" t="s">
        <v>21</v>
      </c>
      <c r="E10" s="1201">
        <f>E11+E12</f>
        <v>1425025</v>
      </c>
      <c r="F10" s="1201">
        <f t="shared" ref="F10:X10" si="4">F11+F12</f>
        <v>497866</v>
      </c>
      <c r="G10" s="1201">
        <f t="shared" si="4"/>
        <v>424622</v>
      </c>
      <c r="H10" s="1201">
        <f t="shared" si="4"/>
        <v>583234</v>
      </c>
      <c r="I10" s="1201">
        <f t="shared" si="4"/>
        <v>1882447</v>
      </c>
      <c r="J10" s="1201">
        <f t="shared" si="4"/>
        <v>307716</v>
      </c>
      <c r="K10" s="1201">
        <f t="shared" si="4"/>
        <v>689496</v>
      </c>
      <c r="L10" s="1201">
        <f t="shared" si="4"/>
        <v>273036</v>
      </c>
      <c r="M10" s="1201">
        <f t="shared" si="4"/>
        <v>677124</v>
      </c>
      <c r="N10" s="1201">
        <f t="shared" si="4"/>
        <v>265015</v>
      </c>
      <c r="O10" s="1201">
        <f t="shared" si="4"/>
        <v>210014</v>
      </c>
      <c r="P10" s="1201">
        <f t="shared" si="4"/>
        <v>253164</v>
      </c>
      <c r="Q10" s="1201">
        <f t="shared" si="4"/>
        <v>155157</v>
      </c>
      <c r="R10" s="1201">
        <f t="shared" si="4"/>
        <v>219898</v>
      </c>
      <c r="S10" s="1201">
        <f t="shared" si="4"/>
        <v>37524</v>
      </c>
      <c r="T10" s="1201">
        <f t="shared" si="4"/>
        <v>237038</v>
      </c>
      <c r="U10" s="1201">
        <f t="shared" si="4"/>
        <v>660006</v>
      </c>
      <c r="V10" s="1201">
        <f t="shared" si="4"/>
        <v>98823</v>
      </c>
      <c r="W10" s="1201">
        <f t="shared" si="4"/>
        <v>564597</v>
      </c>
      <c r="X10" s="1201">
        <f t="shared" si="4"/>
        <v>92640</v>
      </c>
      <c r="Y10" s="1201">
        <f t="shared" si="1"/>
        <v>9554442</v>
      </c>
      <c r="Z10" s="62"/>
    </row>
    <row r="11" spans="1:28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3">
        <v>18785</v>
      </c>
      <c r="F11" s="1183">
        <v>6386</v>
      </c>
      <c r="G11" s="1183">
        <v>6182</v>
      </c>
      <c r="H11" s="1183">
        <v>5514</v>
      </c>
      <c r="I11" s="1183">
        <v>23007</v>
      </c>
      <c r="J11" s="1183">
        <v>4996</v>
      </c>
      <c r="K11" s="1183">
        <v>6616</v>
      </c>
      <c r="L11" s="1183">
        <v>4636</v>
      </c>
      <c r="M11" s="1183">
        <v>7884</v>
      </c>
      <c r="N11" s="1183">
        <v>4565</v>
      </c>
      <c r="O11" s="1183">
        <v>3654</v>
      </c>
      <c r="P11" s="1183">
        <v>3244</v>
      </c>
      <c r="Q11" s="1183">
        <v>2037</v>
      </c>
      <c r="R11" s="1183">
        <v>3420</v>
      </c>
      <c r="S11" s="1183">
        <v>564</v>
      </c>
      <c r="T11" s="1183">
        <v>3178</v>
      </c>
      <c r="U11" s="1183">
        <v>4846</v>
      </c>
      <c r="V11" s="1183">
        <v>1143</v>
      </c>
      <c r="W11" s="1183">
        <f>14292-4565</f>
        <v>9727</v>
      </c>
      <c r="X11" s="1183">
        <v>1120</v>
      </c>
      <c r="Y11" s="1201">
        <f t="shared" si="1"/>
        <v>121504</v>
      </c>
      <c r="Z11" s="62"/>
    </row>
    <row r="12" spans="1:28" ht="21.95" customHeight="1">
      <c r="A12" s="66" t="s">
        <v>35</v>
      </c>
      <c r="B12" s="61" t="s">
        <v>36</v>
      </c>
      <c r="C12" s="61"/>
      <c r="D12" s="62" t="s">
        <v>21</v>
      </c>
      <c r="E12" s="1201">
        <f>E13</f>
        <v>1406240</v>
      </c>
      <c r="F12" s="1201">
        <f t="shared" ref="F12:X12" si="5">F13</f>
        <v>491480</v>
      </c>
      <c r="G12" s="1201">
        <f t="shared" si="5"/>
        <v>418440</v>
      </c>
      <c r="H12" s="1201">
        <f t="shared" si="5"/>
        <v>577720</v>
      </c>
      <c r="I12" s="1201">
        <f t="shared" si="5"/>
        <v>1859440</v>
      </c>
      <c r="J12" s="1201">
        <f t="shared" si="5"/>
        <v>302720</v>
      </c>
      <c r="K12" s="1201">
        <f t="shared" si="5"/>
        <v>682880</v>
      </c>
      <c r="L12" s="1201">
        <f t="shared" si="5"/>
        <v>268400</v>
      </c>
      <c r="M12" s="1201">
        <f t="shared" si="5"/>
        <v>669240</v>
      </c>
      <c r="N12" s="1201">
        <f t="shared" si="5"/>
        <v>260450</v>
      </c>
      <c r="O12" s="1201">
        <f t="shared" si="5"/>
        <v>206360</v>
      </c>
      <c r="P12" s="1201">
        <f t="shared" si="5"/>
        <v>249920</v>
      </c>
      <c r="Q12" s="1201">
        <f t="shared" si="5"/>
        <v>153120</v>
      </c>
      <c r="R12" s="1201">
        <f t="shared" si="5"/>
        <v>216478</v>
      </c>
      <c r="S12" s="1201">
        <f t="shared" si="5"/>
        <v>36960</v>
      </c>
      <c r="T12" s="1201">
        <f t="shared" si="5"/>
        <v>233860</v>
      </c>
      <c r="U12" s="1201">
        <f t="shared" si="5"/>
        <v>655160</v>
      </c>
      <c r="V12" s="1201">
        <f t="shared" si="5"/>
        <v>97680</v>
      </c>
      <c r="W12" s="1201">
        <f t="shared" si="5"/>
        <v>554870</v>
      </c>
      <c r="X12" s="1201">
        <f t="shared" si="5"/>
        <v>91520</v>
      </c>
      <c r="Y12" s="1201">
        <f t="shared" si="1"/>
        <v>9432938</v>
      </c>
      <c r="Z12" s="62"/>
    </row>
    <row r="13" spans="1:28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3">
        <v>1406240</v>
      </c>
      <c r="F13" s="1183">
        <v>491480</v>
      </c>
      <c r="G13" s="1183">
        <v>418440</v>
      </c>
      <c r="H13" s="1183">
        <v>577720</v>
      </c>
      <c r="I13" s="1183">
        <v>1859440</v>
      </c>
      <c r="J13" s="1183">
        <v>302720</v>
      </c>
      <c r="K13" s="1183">
        <v>682880</v>
      </c>
      <c r="L13" s="1183">
        <v>268400</v>
      </c>
      <c r="M13" s="1183">
        <v>669240</v>
      </c>
      <c r="N13" s="1183">
        <v>260450</v>
      </c>
      <c r="O13" s="1183">
        <v>206360</v>
      </c>
      <c r="P13" s="1183">
        <v>249920</v>
      </c>
      <c r="Q13" s="1183">
        <v>153120</v>
      </c>
      <c r="R13" s="1183">
        <v>216478</v>
      </c>
      <c r="S13" s="1183">
        <v>36960</v>
      </c>
      <c r="T13" s="1183">
        <v>233860</v>
      </c>
      <c r="U13" s="1183">
        <v>655160</v>
      </c>
      <c r="V13" s="1183">
        <v>97680</v>
      </c>
      <c r="W13" s="1183">
        <f>815320-260450</f>
        <v>554870</v>
      </c>
      <c r="X13" s="1183">
        <v>91520</v>
      </c>
      <c r="Y13" s="1201">
        <f t="shared" si="1"/>
        <v>9432938</v>
      </c>
      <c r="Z13" s="62"/>
    </row>
    <row r="14" spans="1:28" ht="21.95" customHeight="1">
      <c r="A14" s="66" t="s">
        <v>39</v>
      </c>
      <c r="B14" s="61" t="s">
        <v>40</v>
      </c>
      <c r="C14" s="61"/>
      <c r="D14" s="62" t="s">
        <v>41</v>
      </c>
      <c r="E14" s="1201">
        <f>E15+E16</f>
        <v>566698.73</v>
      </c>
      <c r="F14" s="1201">
        <f t="shared" ref="F14:X14" si="6">F15+F16</f>
        <v>188696.65000000002</v>
      </c>
      <c r="G14" s="1201">
        <f t="shared" si="6"/>
        <v>160599.33000000002</v>
      </c>
      <c r="H14" s="1201">
        <f t="shared" si="6"/>
        <v>208265.24</v>
      </c>
      <c r="I14" s="1201">
        <f t="shared" si="6"/>
        <v>693839.47</v>
      </c>
      <c r="J14" s="1201">
        <f t="shared" si="6"/>
        <v>136609.80000000002</v>
      </c>
      <c r="K14" s="1201">
        <f t="shared" si="6"/>
        <v>239009.55</v>
      </c>
      <c r="L14" s="1201">
        <f t="shared" si="6"/>
        <v>108203.14</v>
      </c>
      <c r="M14" s="1201">
        <f t="shared" si="6"/>
        <v>255793.57</v>
      </c>
      <c r="N14" s="1201">
        <f t="shared" si="6"/>
        <v>91581</v>
      </c>
      <c r="O14" s="1201">
        <f t="shared" si="6"/>
        <v>72637.429999999993</v>
      </c>
      <c r="P14" s="1201">
        <f t="shared" si="6"/>
        <v>82881.459999999992</v>
      </c>
      <c r="Q14" s="1201">
        <f t="shared" si="6"/>
        <v>44614.35</v>
      </c>
      <c r="R14" s="1201">
        <f t="shared" si="6"/>
        <v>75396.91</v>
      </c>
      <c r="S14" s="1201">
        <f t="shared" si="6"/>
        <v>12555.269999999999</v>
      </c>
      <c r="T14" s="1201">
        <f t="shared" si="6"/>
        <v>94209.97</v>
      </c>
      <c r="U14" s="1201">
        <f t="shared" si="6"/>
        <v>239305.92</v>
      </c>
      <c r="V14" s="1201">
        <f t="shared" si="6"/>
        <v>34893.47</v>
      </c>
      <c r="W14" s="1201">
        <f t="shared" si="6"/>
        <v>195111.43</v>
      </c>
      <c r="X14" s="1201">
        <f t="shared" si="6"/>
        <v>28622.839999999997</v>
      </c>
      <c r="Y14" s="1201">
        <f t="shared" si="1"/>
        <v>3529525.5300000007</v>
      </c>
      <c r="Z14" s="62"/>
    </row>
    <row r="15" spans="1:28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3">
        <v>218778.87</v>
      </c>
      <c r="F15" s="1183">
        <v>72883.710000000006</v>
      </c>
      <c r="G15" s="1183">
        <v>62042.48</v>
      </c>
      <c r="H15" s="1183">
        <v>74775.91</v>
      </c>
      <c r="I15" s="1183">
        <v>267972.46999999997</v>
      </c>
      <c r="J15" s="1183">
        <v>66513.420000000013</v>
      </c>
      <c r="K15" s="1183">
        <v>70844.27</v>
      </c>
      <c r="L15" s="1183">
        <v>41821.72</v>
      </c>
      <c r="M15" s="1183">
        <v>98779.23</v>
      </c>
      <c r="N15" s="1183">
        <v>35455</v>
      </c>
      <c r="O15" s="1183">
        <v>28059.21</v>
      </c>
      <c r="P15" s="1183">
        <v>32014.11</v>
      </c>
      <c r="Q15" s="1183">
        <v>12589.78</v>
      </c>
      <c r="R15" s="1183">
        <v>31463</v>
      </c>
      <c r="S15" s="1183">
        <v>3544.0599999999995</v>
      </c>
      <c r="T15" s="1183">
        <v>45774.8</v>
      </c>
      <c r="U15" s="1183">
        <v>92427.32</v>
      </c>
      <c r="V15" s="1183">
        <v>13435.89</v>
      </c>
      <c r="W15" s="1183">
        <f>110990.74-35455</f>
        <v>75535.740000000005</v>
      </c>
      <c r="X15" s="1183">
        <v>11188.72</v>
      </c>
      <c r="Y15" s="1201">
        <f t="shared" si="1"/>
        <v>1355899.71</v>
      </c>
      <c r="Z15" s="62"/>
      <c r="AB15" s="23"/>
    </row>
    <row r="16" spans="1:28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3">
        <v>347919.86</v>
      </c>
      <c r="F16" s="1183">
        <v>115812.94</v>
      </c>
      <c r="G16" s="1183">
        <v>98556.85</v>
      </c>
      <c r="H16" s="1183">
        <v>133489.32999999999</v>
      </c>
      <c r="I16" s="1183">
        <v>425867</v>
      </c>
      <c r="J16" s="1183">
        <v>70096.38</v>
      </c>
      <c r="K16" s="1183">
        <v>168165.28</v>
      </c>
      <c r="L16" s="1183">
        <v>66381.42</v>
      </c>
      <c r="M16" s="1183">
        <v>157014.34</v>
      </c>
      <c r="N16" s="1183">
        <v>56126</v>
      </c>
      <c r="O16" s="1183">
        <v>44578.22</v>
      </c>
      <c r="P16" s="1183">
        <v>50867.35</v>
      </c>
      <c r="Q16" s="1183">
        <v>32024.57</v>
      </c>
      <c r="R16" s="1183">
        <v>43933.91</v>
      </c>
      <c r="S16" s="1183">
        <v>9011.2099999999991</v>
      </c>
      <c r="T16" s="1183">
        <v>48435.17</v>
      </c>
      <c r="U16" s="1183">
        <v>146878.6</v>
      </c>
      <c r="V16" s="1183">
        <v>21457.58</v>
      </c>
      <c r="W16" s="1183">
        <f>175701.69-56126</f>
        <v>119575.69</v>
      </c>
      <c r="X16" s="1183">
        <v>17434.12</v>
      </c>
      <c r="Y16" s="1201">
        <f t="shared" si="1"/>
        <v>2173625.8200000003</v>
      </c>
      <c r="Z16" s="62"/>
      <c r="AB16" s="23"/>
    </row>
    <row r="17" spans="1:28" ht="21.95" customHeight="1">
      <c r="A17" s="66" t="s">
        <v>46</v>
      </c>
      <c r="B17" s="61" t="s">
        <v>47</v>
      </c>
      <c r="C17" s="61"/>
      <c r="D17" s="62" t="s">
        <v>21</v>
      </c>
      <c r="E17" s="1201">
        <f>E18+E19+E20+E21</f>
        <v>6531086.25</v>
      </c>
      <c r="F17" s="1201">
        <f t="shared" ref="F17:X17" si="7">F18+F19+F20+F21</f>
        <v>1901821.75</v>
      </c>
      <c r="G17" s="1201">
        <f t="shared" si="7"/>
        <v>2268513</v>
      </c>
      <c r="H17" s="1201">
        <f t="shared" si="7"/>
        <v>2549689.5</v>
      </c>
      <c r="I17" s="1201">
        <f t="shared" si="7"/>
        <v>5788093</v>
      </c>
      <c r="J17" s="1201">
        <f t="shared" si="7"/>
        <v>1030595.75</v>
      </c>
      <c r="K17" s="1201">
        <f t="shared" si="7"/>
        <v>2821026</v>
      </c>
      <c r="L17" s="1201">
        <f t="shared" si="7"/>
        <v>1036964.75</v>
      </c>
      <c r="M17" s="1201">
        <f t="shared" si="7"/>
        <v>1973351</v>
      </c>
      <c r="N17" s="1201">
        <f t="shared" si="7"/>
        <v>498216</v>
      </c>
      <c r="O17" s="1201">
        <f t="shared" si="7"/>
        <v>484744</v>
      </c>
      <c r="P17" s="1201">
        <f t="shared" si="7"/>
        <v>532024</v>
      </c>
      <c r="Q17" s="1201">
        <f t="shared" si="7"/>
        <v>427356</v>
      </c>
      <c r="R17" s="1201">
        <f t="shared" si="7"/>
        <v>486904</v>
      </c>
      <c r="S17" s="1201">
        <f t="shared" si="7"/>
        <v>42000</v>
      </c>
      <c r="T17" s="1201">
        <f t="shared" si="7"/>
        <v>528656</v>
      </c>
      <c r="U17" s="1201">
        <f t="shared" si="7"/>
        <v>3208566.5</v>
      </c>
      <c r="V17" s="1201">
        <f t="shared" si="7"/>
        <v>347916</v>
      </c>
      <c r="W17" s="1201">
        <f t="shared" si="7"/>
        <v>778556</v>
      </c>
      <c r="X17" s="1201">
        <f t="shared" si="7"/>
        <v>269904</v>
      </c>
      <c r="Y17" s="1201">
        <f t="shared" si="1"/>
        <v>33505983.5</v>
      </c>
      <c r="Z17" s="62"/>
    </row>
    <row r="18" spans="1:28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183"/>
      <c r="Y18" s="1201">
        <f t="shared" si="1"/>
        <v>0</v>
      </c>
      <c r="Z18" s="62"/>
    </row>
    <row r="19" spans="1:28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3">
        <v>691456</v>
      </c>
      <c r="F19" s="1183">
        <v>254469</v>
      </c>
      <c r="G19" s="1183">
        <v>532804</v>
      </c>
      <c r="H19" s="1183">
        <v>343172</v>
      </c>
      <c r="I19" s="1183">
        <v>757304</v>
      </c>
      <c r="J19" s="1183">
        <v>250992</v>
      </c>
      <c r="K19" s="1183">
        <f>661472</f>
        <v>661472</v>
      </c>
      <c r="L19" s="1183">
        <v>236872</v>
      </c>
      <c r="M19" s="1183">
        <v>292628</v>
      </c>
      <c r="N19" s="1183">
        <f>194238+4498</f>
        <v>198736</v>
      </c>
      <c r="O19" s="1183">
        <v>240244</v>
      </c>
      <c r="P19" s="1183">
        <v>244024</v>
      </c>
      <c r="Q19" s="1183">
        <v>253356</v>
      </c>
      <c r="R19" s="1183">
        <f>240889+15</f>
        <v>240904</v>
      </c>
      <c r="S19" s="1183">
        <v>0</v>
      </c>
      <c r="T19" s="1183">
        <f>262006+150</f>
        <v>262156</v>
      </c>
      <c r="U19" s="1183">
        <f>534560+20</f>
        <v>534580</v>
      </c>
      <c r="V19" s="1183">
        <v>228916</v>
      </c>
      <c r="W19" s="1183">
        <f>334774-194238</f>
        <v>140536</v>
      </c>
      <c r="X19" s="1183">
        <v>165904</v>
      </c>
      <c r="Y19" s="1201">
        <f t="shared" si="1"/>
        <v>6530525</v>
      </c>
      <c r="Z19" s="62"/>
    </row>
    <row r="20" spans="1:28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3">
        <v>1598000</v>
      </c>
      <c r="F20" s="1183">
        <v>559000</v>
      </c>
      <c r="G20" s="1183">
        <v>475500</v>
      </c>
      <c r="H20" s="1183">
        <v>656500</v>
      </c>
      <c r="I20" s="1183">
        <v>2113000</v>
      </c>
      <c r="J20" s="1183">
        <v>344000</v>
      </c>
      <c r="K20" s="1183">
        <v>802500</v>
      </c>
      <c r="L20" s="1183">
        <v>329000</v>
      </c>
      <c r="M20" s="1183">
        <v>768500</v>
      </c>
      <c r="N20" s="1183">
        <v>299480</v>
      </c>
      <c r="O20" s="1183">
        <v>244500</v>
      </c>
      <c r="P20" s="1183">
        <v>288000</v>
      </c>
      <c r="Q20" s="1183">
        <v>174000</v>
      </c>
      <c r="R20" s="1183">
        <v>246000</v>
      </c>
      <c r="S20" s="1183">
        <v>42000</v>
      </c>
      <c r="T20" s="1183">
        <v>266500</v>
      </c>
      <c r="U20" s="1183">
        <v>762500</v>
      </c>
      <c r="V20" s="1183">
        <v>119000</v>
      </c>
      <c r="W20" s="1183">
        <f>937500-299480</f>
        <v>638020</v>
      </c>
      <c r="X20" s="1183">
        <v>104000</v>
      </c>
      <c r="Y20" s="1201">
        <f t="shared" si="1"/>
        <v>10830000</v>
      </c>
      <c r="Z20" s="62"/>
    </row>
    <row r="21" spans="1:28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3">
        <v>4241630.25</v>
      </c>
      <c r="F21" s="1183">
        <v>1088352.75</v>
      </c>
      <c r="G21" s="1183">
        <v>1260209</v>
      </c>
      <c r="H21" s="1183">
        <v>1550017.5</v>
      </c>
      <c r="I21" s="1183">
        <v>2917789</v>
      </c>
      <c r="J21" s="1183">
        <v>435603.75</v>
      </c>
      <c r="K21" s="1183">
        <v>1357054</v>
      </c>
      <c r="L21" s="1183">
        <v>471092.75</v>
      </c>
      <c r="M21" s="1183">
        <v>912223</v>
      </c>
      <c r="N21" s="1183"/>
      <c r="O21" s="1183"/>
      <c r="P21" s="1183">
        <v>0</v>
      </c>
      <c r="Q21" s="1183"/>
      <c r="R21" s="1183"/>
      <c r="S21" s="1183">
        <v>0</v>
      </c>
      <c r="T21" s="1183">
        <v>0</v>
      </c>
      <c r="U21" s="1183">
        <v>1911486.5</v>
      </c>
      <c r="V21" s="1183"/>
      <c r="W21" s="1183"/>
      <c r="X21" s="1183"/>
      <c r="Y21" s="1201">
        <f t="shared" si="1"/>
        <v>16145458.5</v>
      </c>
      <c r="Z21" s="62"/>
    </row>
    <row r="22" spans="1:28" ht="21.95" customHeight="1">
      <c r="A22" s="66" t="s">
        <v>58</v>
      </c>
      <c r="B22" s="61" t="s">
        <v>59</v>
      </c>
      <c r="C22" s="61"/>
      <c r="D22" s="62" t="s">
        <v>21</v>
      </c>
      <c r="E22" s="1201">
        <f>E23+E24</f>
        <v>6904849.3799999999</v>
      </c>
      <c r="F22" s="1201">
        <f t="shared" ref="F22:X22" si="8">F23+F24</f>
        <v>2320258.04</v>
      </c>
      <c r="G22" s="1201">
        <f t="shared" si="8"/>
        <v>2018342.1999999997</v>
      </c>
      <c r="H22" s="1201">
        <f t="shared" si="8"/>
        <v>2621144.1800000002</v>
      </c>
      <c r="I22" s="1201">
        <f t="shared" si="8"/>
        <v>8542600.7000000011</v>
      </c>
      <c r="J22" s="1201">
        <f t="shared" si="8"/>
        <v>1415372.14</v>
      </c>
      <c r="K22" s="1201">
        <f t="shared" si="8"/>
        <v>3351080.33</v>
      </c>
      <c r="L22" s="1201">
        <f t="shared" si="8"/>
        <v>1343949.52</v>
      </c>
      <c r="M22" s="1201">
        <f t="shared" si="8"/>
        <v>3096291.04</v>
      </c>
      <c r="N22" s="1201">
        <f t="shared" si="8"/>
        <v>1010271</v>
      </c>
      <c r="O22" s="1201">
        <f t="shared" si="8"/>
        <v>908255.03</v>
      </c>
      <c r="P22" s="1201">
        <f t="shared" si="8"/>
        <v>1018710.46</v>
      </c>
      <c r="Q22" s="1201">
        <f t="shared" si="8"/>
        <v>636865.36</v>
      </c>
      <c r="R22" s="1201">
        <f t="shared" si="8"/>
        <v>906010.76</v>
      </c>
      <c r="S22" s="1201">
        <f t="shared" si="8"/>
        <v>183874.13999999998</v>
      </c>
      <c r="T22" s="1201">
        <f t="shared" si="8"/>
        <v>958070.42</v>
      </c>
      <c r="U22" s="1201">
        <f t="shared" si="8"/>
        <v>2875219.47</v>
      </c>
      <c r="V22" s="1201">
        <f t="shared" si="8"/>
        <v>422623.21</v>
      </c>
      <c r="W22" s="1201">
        <f t="shared" si="8"/>
        <v>2511897.67</v>
      </c>
      <c r="X22" s="1201">
        <f t="shared" si="8"/>
        <v>368693.07</v>
      </c>
      <c r="Y22" s="1201">
        <f t="shared" si="1"/>
        <v>43414378.119999997</v>
      </c>
      <c r="Z22" s="62"/>
    </row>
    <row r="23" spans="1:28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3">
        <v>6247468.3899999997</v>
      </c>
      <c r="F23" s="1183">
        <v>2084596.65</v>
      </c>
      <c r="G23" s="1183">
        <v>1773960.7999999998</v>
      </c>
      <c r="H23" s="1183">
        <v>2401914.1800000002</v>
      </c>
      <c r="I23" s="1183">
        <v>7664895.9000000004</v>
      </c>
      <c r="J23" s="1183">
        <v>1261555.46</v>
      </c>
      <c r="K23" s="1183">
        <v>3026932.19</v>
      </c>
      <c r="L23" s="1183">
        <v>1194014.76</v>
      </c>
      <c r="M23" s="1183">
        <v>2826196.04</v>
      </c>
      <c r="N23" s="1183">
        <v>1010271</v>
      </c>
      <c r="O23" s="1183">
        <v>804810.03</v>
      </c>
      <c r="P23" s="1183">
        <v>915600.46</v>
      </c>
      <c r="Q23" s="1183">
        <v>576110.36</v>
      </c>
      <c r="R23" s="1183">
        <v>790808.76</v>
      </c>
      <c r="S23" s="1183">
        <v>162203.34999999998</v>
      </c>
      <c r="T23" s="1183">
        <v>871830.42</v>
      </c>
      <c r="U23" s="1183">
        <v>2643759.4700000002</v>
      </c>
      <c r="V23" s="1183">
        <v>385383.21</v>
      </c>
      <c r="W23" s="1183">
        <f>3162589.1-1010271</f>
        <v>2152318.1</v>
      </c>
      <c r="X23" s="1183">
        <v>341253.07</v>
      </c>
      <c r="Y23" s="1201">
        <f t="shared" si="1"/>
        <v>39135882.600000009</v>
      </c>
      <c r="Z23" s="62"/>
      <c r="AB23" s="23"/>
    </row>
    <row r="24" spans="1:28" ht="21.95" customHeight="1">
      <c r="A24" s="66" t="s">
        <v>62</v>
      </c>
      <c r="B24" s="61" t="s">
        <v>3073</v>
      </c>
      <c r="C24" s="61"/>
      <c r="D24" s="62" t="s">
        <v>43</v>
      </c>
      <c r="E24" s="1201">
        <f>E25+E26</f>
        <v>657380.99</v>
      </c>
      <c r="F24" s="1201">
        <f t="shared" ref="F24:X24" si="9">F25+F26</f>
        <v>235661.39</v>
      </c>
      <c r="G24" s="1201">
        <f t="shared" si="9"/>
        <v>244381.40000000002</v>
      </c>
      <c r="H24" s="1201">
        <f t="shared" si="9"/>
        <v>219230</v>
      </c>
      <c r="I24" s="1201">
        <f t="shared" si="9"/>
        <v>877704.8</v>
      </c>
      <c r="J24" s="1201">
        <f t="shared" si="9"/>
        <v>153816.67999999996</v>
      </c>
      <c r="K24" s="1201">
        <f t="shared" si="9"/>
        <v>324148.14</v>
      </c>
      <c r="L24" s="1201">
        <f t="shared" si="9"/>
        <v>149934.76</v>
      </c>
      <c r="M24" s="1201">
        <f t="shared" si="9"/>
        <v>270095</v>
      </c>
      <c r="N24" s="1201">
        <f t="shared" si="9"/>
        <v>0</v>
      </c>
      <c r="O24" s="1201">
        <f t="shared" si="9"/>
        <v>103445</v>
      </c>
      <c r="P24" s="1201">
        <f t="shared" si="9"/>
        <v>103110</v>
      </c>
      <c r="Q24" s="1201">
        <f t="shared" si="9"/>
        <v>60755</v>
      </c>
      <c r="R24" s="1201">
        <f t="shared" si="9"/>
        <v>115202</v>
      </c>
      <c r="S24" s="1201">
        <f t="shared" si="9"/>
        <v>21670.79</v>
      </c>
      <c r="T24" s="1201">
        <f t="shared" si="9"/>
        <v>86240</v>
      </c>
      <c r="U24" s="1201">
        <f t="shared" si="9"/>
        <v>231460</v>
      </c>
      <c r="V24" s="1201">
        <f t="shared" si="9"/>
        <v>37240</v>
      </c>
      <c r="W24" s="1201">
        <f t="shared" si="9"/>
        <v>359579.57</v>
      </c>
      <c r="X24" s="1201">
        <f t="shared" si="9"/>
        <v>27440</v>
      </c>
      <c r="Y24" s="1201">
        <f t="shared" si="1"/>
        <v>4278495.5200000005</v>
      </c>
      <c r="Z24" s="62"/>
    </row>
    <row r="25" spans="1:28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3">
        <v>43235.99</v>
      </c>
      <c r="F25" s="1183">
        <v>29231.390000000014</v>
      </c>
      <c r="G25" s="1183">
        <v>52171.400000000023</v>
      </c>
      <c r="H25" s="1183"/>
      <c r="I25" s="1183">
        <v>92364.800000000047</v>
      </c>
      <c r="J25" s="1183">
        <v>5286.679999999993</v>
      </c>
      <c r="K25" s="1183">
        <v>26453.140000000014</v>
      </c>
      <c r="L25" s="1183">
        <v>22559.759999999998</v>
      </c>
      <c r="M25" s="1183"/>
      <c r="N25" s="1183"/>
      <c r="O25" s="1183"/>
      <c r="P25" s="1183">
        <v>2100</v>
      </c>
      <c r="Q25" s="1183">
        <v>0</v>
      </c>
      <c r="R25" s="1183">
        <v>23302</v>
      </c>
      <c r="S25" s="1183">
        <v>2425.7900000000009</v>
      </c>
      <c r="T25" s="1183">
        <v>0</v>
      </c>
      <c r="U25" s="1183"/>
      <c r="V25" s="1183"/>
      <c r="W25" s="1183">
        <v>24550</v>
      </c>
      <c r="X25" s="1183"/>
      <c r="Y25" s="1201">
        <f t="shared" si="1"/>
        <v>323680.95000000007</v>
      </c>
      <c r="Z25" s="62"/>
    </row>
    <row r="26" spans="1:28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3">
        <v>614145</v>
      </c>
      <c r="F26" s="1183">
        <v>206430</v>
      </c>
      <c r="G26" s="1183">
        <v>192210</v>
      </c>
      <c r="H26" s="1183">
        <v>219230</v>
      </c>
      <c r="I26" s="1183">
        <v>785340</v>
      </c>
      <c r="J26" s="1183">
        <v>148529.99999999997</v>
      </c>
      <c r="K26" s="1183">
        <v>297695</v>
      </c>
      <c r="L26" s="1183">
        <v>127375</v>
      </c>
      <c r="M26" s="1183">
        <v>270095</v>
      </c>
      <c r="N26" s="1183"/>
      <c r="O26" s="1183">
        <v>103445</v>
      </c>
      <c r="P26" s="1183">
        <v>101010</v>
      </c>
      <c r="Q26" s="1183">
        <v>60755</v>
      </c>
      <c r="R26" s="1183">
        <v>91900</v>
      </c>
      <c r="S26" s="1183">
        <v>19245</v>
      </c>
      <c r="T26" s="1183">
        <v>86240</v>
      </c>
      <c r="U26" s="1183">
        <v>231460</v>
      </c>
      <c r="V26" s="1183">
        <v>37240</v>
      </c>
      <c r="W26" s="1183">
        <v>335029.57</v>
      </c>
      <c r="X26" s="1183">
        <v>27440</v>
      </c>
      <c r="Y26" s="1201">
        <f t="shared" si="1"/>
        <v>3954814.57</v>
      </c>
      <c r="Z26" s="62"/>
    </row>
    <row r="27" spans="1:28" ht="21.95" customHeight="1">
      <c r="A27" s="66" t="s">
        <v>66</v>
      </c>
      <c r="B27" s="61" t="s">
        <v>67</v>
      </c>
      <c r="C27" s="61"/>
      <c r="D27" s="62" t="s">
        <v>21</v>
      </c>
      <c r="E27" s="1201">
        <f t="shared" ref="E27:X27" si="10">E28</f>
        <v>11106257.359999999</v>
      </c>
      <c r="F27" s="1201">
        <f t="shared" si="10"/>
        <v>3705941.52</v>
      </c>
      <c r="G27" s="1201">
        <f t="shared" si="10"/>
        <v>3153723.9</v>
      </c>
      <c r="H27" s="1201">
        <f t="shared" si="10"/>
        <v>4270021.0599999996</v>
      </c>
      <c r="I27" s="1201">
        <f t="shared" si="10"/>
        <v>13626450.800000001</v>
      </c>
      <c r="J27" s="1201">
        <f t="shared" si="10"/>
        <v>2243026.2999999998</v>
      </c>
      <c r="K27" s="1201">
        <f t="shared" si="10"/>
        <v>5381203.4199999999</v>
      </c>
      <c r="L27" s="1201">
        <f t="shared" si="10"/>
        <v>2122654.42</v>
      </c>
      <c r="M27" s="1201">
        <f t="shared" si="10"/>
        <v>5024334.72</v>
      </c>
      <c r="N27" s="1201">
        <f t="shared" si="10"/>
        <v>1796035</v>
      </c>
      <c r="O27" s="1201">
        <f t="shared" si="10"/>
        <v>1426461.6</v>
      </c>
      <c r="P27" s="1201">
        <f t="shared" si="10"/>
        <v>1627731.52</v>
      </c>
      <c r="Q27" s="1201">
        <f t="shared" si="10"/>
        <v>1024192.8</v>
      </c>
      <c r="R27" s="1201">
        <f t="shared" si="10"/>
        <v>1405881.34</v>
      </c>
      <c r="S27" s="1201">
        <f t="shared" si="10"/>
        <v>288361.25</v>
      </c>
      <c r="T27" s="1201">
        <f t="shared" si="10"/>
        <v>1549919.94</v>
      </c>
      <c r="U27" s="1201">
        <f t="shared" si="10"/>
        <v>4700004.47</v>
      </c>
      <c r="V27" s="1201">
        <f t="shared" si="10"/>
        <v>685086.11</v>
      </c>
      <c r="W27" s="1201">
        <f t="shared" si="10"/>
        <v>3826337.92</v>
      </c>
      <c r="X27" s="1201">
        <f t="shared" si="10"/>
        <v>557889.65</v>
      </c>
      <c r="Y27" s="1201">
        <f t="shared" si="1"/>
        <v>69521515.100000009</v>
      </c>
      <c r="Z27" s="62"/>
    </row>
    <row r="28" spans="1:28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3">
        <v>11106257.359999999</v>
      </c>
      <c r="F28" s="1183">
        <v>3705941.52</v>
      </c>
      <c r="G28" s="1183">
        <v>3153723.9</v>
      </c>
      <c r="H28" s="1183">
        <v>4270021.0599999996</v>
      </c>
      <c r="I28" s="1183">
        <v>13626450.800000001</v>
      </c>
      <c r="J28" s="1183">
        <v>2243026.2999999998</v>
      </c>
      <c r="K28" s="1183">
        <v>5381203.4199999999</v>
      </c>
      <c r="L28" s="1183">
        <v>2122654.42</v>
      </c>
      <c r="M28" s="1183">
        <v>5024334.72</v>
      </c>
      <c r="N28" s="1183">
        <v>1796035</v>
      </c>
      <c r="O28" s="1183">
        <v>1426461.6</v>
      </c>
      <c r="P28" s="1183">
        <v>1627731.52</v>
      </c>
      <c r="Q28" s="1183">
        <v>1024192.8</v>
      </c>
      <c r="R28" s="1183">
        <v>1405881.34</v>
      </c>
      <c r="S28" s="1183">
        <v>288361.25</v>
      </c>
      <c r="T28" s="1183">
        <v>1549919.94</v>
      </c>
      <c r="U28" s="1183">
        <v>4700004.47</v>
      </c>
      <c r="V28" s="1183">
        <v>685086.11</v>
      </c>
      <c r="W28" s="1183">
        <f>5622372.92-1796035</f>
        <v>3826337.92</v>
      </c>
      <c r="X28" s="1183">
        <v>557889.65</v>
      </c>
      <c r="Y28" s="1201">
        <f t="shared" si="1"/>
        <v>69521515.100000009</v>
      </c>
      <c r="Z28" s="62"/>
      <c r="AB28" s="23"/>
    </row>
    <row r="29" spans="1:28" ht="21.95" customHeight="1">
      <c r="A29" s="66" t="s">
        <v>71</v>
      </c>
      <c r="B29" s="61" t="s">
        <v>72</v>
      </c>
      <c r="C29" s="61"/>
      <c r="D29" s="62" t="s">
        <v>21</v>
      </c>
      <c r="E29" s="1201">
        <f t="shared" ref="E29:X29" si="11">E30</f>
        <v>5553128.6799999997</v>
      </c>
      <c r="F29" s="1201">
        <f t="shared" si="11"/>
        <v>1852970.76</v>
      </c>
      <c r="G29" s="1201">
        <f t="shared" si="11"/>
        <v>1664342.1</v>
      </c>
      <c r="H29" s="1201">
        <f t="shared" si="11"/>
        <v>2134985.5299999998</v>
      </c>
      <c r="I29" s="1201">
        <f t="shared" si="11"/>
        <v>6812946</v>
      </c>
      <c r="J29" s="1201">
        <f t="shared" si="11"/>
        <v>1121518.44</v>
      </c>
      <c r="K29" s="1201">
        <f t="shared" si="11"/>
        <v>2690601.87</v>
      </c>
      <c r="L29" s="1201">
        <f t="shared" si="11"/>
        <v>1061302.22</v>
      </c>
      <c r="M29" s="1201">
        <f t="shared" si="11"/>
        <v>2512167.36</v>
      </c>
      <c r="N29" s="1201">
        <f t="shared" si="11"/>
        <v>898017</v>
      </c>
      <c r="O29" s="1201">
        <f t="shared" si="11"/>
        <v>713230.8</v>
      </c>
      <c r="P29" s="1201">
        <f t="shared" si="11"/>
        <v>813865.76</v>
      </c>
      <c r="Q29" s="1201">
        <f t="shared" si="11"/>
        <v>512096.4</v>
      </c>
      <c r="R29" s="1201">
        <f t="shared" si="11"/>
        <v>702940.59</v>
      </c>
      <c r="S29" s="1201">
        <f t="shared" si="11"/>
        <v>144180.65</v>
      </c>
      <c r="T29" s="1201">
        <f t="shared" si="11"/>
        <v>774959.98</v>
      </c>
      <c r="U29" s="1201">
        <f t="shared" si="11"/>
        <v>2350002.27</v>
      </c>
      <c r="V29" s="1201">
        <f t="shared" si="11"/>
        <v>342518.06</v>
      </c>
      <c r="W29" s="1201">
        <f t="shared" si="11"/>
        <v>1913167.9300000002</v>
      </c>
      <c r="X29" s="1201">
        <f t="shared" si="11"/>
        <v>278944.82</v>
      </c>
      <c r="Y29" s="1201">
        <f t="shared" si="1"/>
        <v>34847887.219999999</v>
      </c>
      <c r="Z29" s="62"/>
    </row>
    <row r="30" spans="1:28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3">
        <v>5553128.6799999997</v>
      </c>
      <c r="F30" s="1183">
        <v>1852970.76</v>
      </c>
      <c r="G30" s="1183">
        <v>1664342.1</v>
      </c>
      <c r="H30" s="1183">
        <v>2134985.5299999998</v>
      </c>
      <c r="I30" s="1183">
        <v>6812946</v>
      </c>
      <c r="J30" s="1183">
        <v>1121518.44</v>
      </c>
      <c r="K30" s="1183">
        <v>2690601.87</v>
      </c>
      <c r="L30" s="1183">
        <v>1061302.22</v>
      </c>
      <c r="M30" s="1183">
        <v>2512167.36</v>
      </c>
      <c r="N30" s="1183">
        <v>898017</v>
      </c>
      <c r="O30" s="1183">
        <v>713230.8</v>
      </c>
      <c r="P30" s="1183">
        <v>813865.76</v>
      </c>
      <c r="Q30" s="1183">
        <v>512096.4</v>
      </c>
      <c r="R30" s="1183">
        <v>702940.59</v>
      </c>
      <c r="S30" s="1183">
        <v>144180.65</v>
      </c>
      <c r="T30" s="1183">
        <v>774959.98</v>
      </c>
      <c r="U30" s="1183">
        <v>2350002.27</v>
      </c>
      <c r="V30" s="1183">
        <v>342518.06</v>
      </c>
      <c r="W30" s="1183">
        <f>2811184.93-898017</f>
        <v>1913167.9300000002</v>
      </c>
      <c r="X30" s="1183">
        <v>278944.82</v>
      </c>
      <c r="Y30" s="1201">
        <f t="shared" si="1"/>
        <v>34847887.219999999</v>
      </c>
      <c r="Z30" s="62"/>
      <c r="AB30" s="23"/>
    </row>
    <row r="31" spans="1:28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3">
        <v>4850037</v>
      </c>
      <c r="F31" s="1183">
        <v>1626508</v>
      </c>
      <c r="G31" s="1183">
        <v>1385756</v>
      </c>
      <c r="H31" s="1183">
        <v>1871532</v>
      </c>
      <c r="I31" s="1183">
        <v>5959367</v>
      </c>
      <c r="J31" s="1183">
        <v>981324</v>
      </c>
      <c r="K31" s="1183">
        <v>2360203</v>
      </c>
      <c r="L31" s="1183">
        <v>922700</v>
      </c>
      <c r="M31" s="1183">
        <v>2189359</v>
      </c>
      <c r="N31" s="1183">
        <v>791683</v>
      </c>
      <c r="O31" s="1183">
        <v>620155</v>
      </c>
      <c r="P31" s="1183">
        <v>712698</v>
      </c>
      <c r="Q31" s="1183">
        <v>448344</v>
      </c>
      <c r="R31" s="1183">
        <v>615177</v>
      </c>
      <c r="S31" s="1183">
        <v>125934</v>
      </c>
      <c r="T31" s="1183">
        <v>683701</v>
      </c>
      <c r="U31" s="1183">
        <v>2141162</v>
      </c>
      <c r="V31" s="1183">
        <v>304272</v>
      </c>
      <c r="W31" s="1183">
        <f>2478314-791683</f>
        <v>1686631</v>
      </c>
      <c r="X31" s="1183">
        <v>233475</v>
      </c>
      <c r="Y31" s="1201">
        <f t="shared" si="1"/>
        <v>30510018</v>
      </c>
      <c r="Z31" s="62"/>
      <c r="AB31" s="23"/>
    </row>
    <row r="32" spans="1:28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3">
        <v>92500</v>
      </c>
      <c r="F32" s="1183">
        <v>35500</v>
      </c>
      <c r="G32" s="1183">
        <v>24500</v>
      </c>
      <c r="H32" s="1183">
        <v>45000</v>
      </c>
      <c r="I32" s="1183">
        <v>137000</v>
      </c>
      <c r="J32" s="1183">
        <v>20000</v>
      </c>
      <c r="K32" s="1183">
        <v>54000</v>
      </c>
      <c r="L32" s="1183">
        <v>20000</v>
      </c>
      <c r="M32" s="1183">
        <v>51000</v>
      </c>
      <c r="N32" s="1183"/>
      <c r="O32" s="1183">
        <v>15500</v>
      </c>
      <c r="P32" s="1183">
        <v>17000</v>
      </c>
      <c r="Q32" s="1183">
        <v>9000</v>
      </c>
      <c r="R32" s="1183">
        <v>15500</v>
      </c>
      <c r="S32" s="1183">
        <v>6500</v>
      </c>
      <c r="T32" s="1183">
        <v>15500</v>
      </c>
      <c r="U32" s="1183">
        <v>35500</v>
      </c>
      <c r="V32" s="1183">
        <v>6000</v>
      </c>
      <c r="W32" s="1183">
        <v>68000</v>
      </c>
      <c r="X32" s="1183">
        <v>3000</v>
      </c>
      <c r="Y32" s="1201">
        <f t="shared" si="1"/>
        <v>671000</v>
      </c>
      <c r="Z32" s="62"/>
    </row>
    <row r="33" spans="1:26" ht="21.95" customHeight="1">
      <c r="A33" s="66" t="s">
        <v>83</v>
      </c>
      <c r="B33" s="61" t="s">
        <v>84</v>
      </c>
      <c r="C33" s="61"/>
      <c r="D33" s="62" t="s">
        <v>21</v>
      </c>
      <c r="E33" s="1201">
        <f>E34+E36+E38</f>
        <v>2523676.04</v>
      </c>
      <c r="F33" s="1201">
        <f t="shared" ref="F33:X33" si="12">F34+F36+F38</f>
        <v>1013030</v>
      </c>
      <c r="G33" s="1201">
        <f t="shared" si="12"/>
        <v>1165355</v>
      </c>
      <c r="H33" s="1201">
        <f t="shared" si="12"/>
        <v>51395</v>
      </c>
      <c r="I33" s="1201">
        <f t="shared" si="12"/>
        <v>1989823</v>
      </c>
      <c r="J33" s="1201">
        <f t="shared" si="12"/>
        <v>643410</v>
      </c>
      <c r="K33" s="1201">
        <f t="shared" si="12"/>
        <v>637120</v>
      </c>
      <c r="L33" s="1201">
        <f t="shared" si="12"/>
        <v>436690</v>
      </c>
      <c r="M33" s="1201">
        <f t="shared" si="12"/>
        <v>72180</v>
      </c>
      <c r="N33" s="1201">
        <f t="shared" si="12"/>
        <v>0</v>
      </c>
      <c r="O33" s="1201">
        <f t="shared" si="12"/>
        <v>686100</v>
      </c>
      <c r="P33" s="1201">
        <f t="shared" si="12"/>
        <v>29100</v>
      </c>
      <c r="Q33" s="1201">
        <f t="shared" si="12"/>
        <v>1800</v>
      </c>
      <c r="R33" s="1201">
        <f t="shared" si="12"/>
        <v>489500</v>
      </c>
      <c r="S33" s="1201">
        <f t="shared" si="12"/>
        <v>156720</v>
      </c>
      <c r="T33" s="1201">
        <f t="shared" si="12"/>
        <v>3240</v>
      </c>
      <c r="U33" s="1201">
        <f t="shared" si="12"/>
        <v>322170</v>
      </c>
      <c r="V33" s="1201">
        <f t="shared" si="12"/>
        <v>360</v>
      </c>
      <c r="W33" s="1201">
        <f t="shared" si="12"/>
        <v>899015</v>
      </c>
      <c r="X33" s="1201">
        <f t="shared" si="12"/>
        <v>840</v>
      </c>
      <c r="Y33" s="1201">
        <f t="shared" si="1"/>
        <v>11121524.039999999</v>
      </c>
      <c r="Z33" s="62"/>
    </row>
    <row r="34" spans="1:26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201">
        <f>E35</f>
        <v>2510716.04</v>
      </c>
      <c r="F34" s="1201">
        <f t="shared" ref="F34:X34" si="13">F35</f>
        <v>1006550</v>
      </c>
      <c r="G34" s="1201">
        <f t="shared" si="13"/>
        <v>1156715</v>
      </c>
      <c r="H34" s="1201">
        <f t="shared" si="13"/>
        <v>47255</v>
      </c>
      <c r="I34" s="1201">
        <f t="shared" si="13"/>
        <v>1977433</v>
      </c>
      <c r="J34" s="1201">
        <f t="shared" si="13"/>
        <v>640800</v>
      </c>
      <c r="K34" s="1201">
        <f t="shared" si="13"/>
        <v>634930</v>
      </c>
      <c r="L34" s="1201">
        <f t="shared" si="13"/>
        <v>435250</v>
      </c>
      <c r="M34" s="1201">
        <f t="shared" si="13"/>
        <v>70380</v>
      </c>
      <c r="N34" s="1201">
        <f t="shared" si="13"/>
        <v>0</v>
      </c>
      <c r="O34" s="1201">
        <f t="shared" si="13"/>
        <v>683580</v>
      </c>
      <c r="P34" s="1201">
        <f t="shared" si="13"/>
        <v>25860</v>
      </c>
      <c r="Q34" s="1201">
        <f t="shared" si="13"/>
        <v>0</v>
      </c>
      <c r="R34" s="1201">
        <f t="shared" si="13"/>
        <v>488870</v>
      </c>
      <c r="S34" s="1201">
        <f t="shared" si="13"/>
        <v>156360</v>
      </c>
      <c r="T34" s="1201">
        <f t="shared" si="13"/>
        <v>0</v>
      </c>
      <c r="U34" s="1201">
        <f t="shared" si="13"/>
        <v>319260</v>
      </c>
      <c r="V34" s="1201">
        <f t="shared" si="13"/>
        <v>0</v>
      </c>
      <c r="W34" s="1201">
        <f t="shared" si="13"/>
        <v>888725</v>
      </c>
      <c r="X34" s="1201">
        <f t="shared" si="13"/>
        <v>0</v>
      </c>
      <c r="Y34" s="1201">
        <f t="shared" si="1"/>
        <v>11042684.039999999</v>
      </c>
      <c r="Z34" s="62"/>
    </row>
    <row r="35" spans="1:26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3">
        <v>2510716.04</v>
      </c>
      <c r="F35" s="1183">
        <v>1006550</v>
      </c>
      <c r="G35" s="1183">
        <v>1156715</v>
      </c>
      <c r="H35" s="1183">
        <v>47255</v>
      </c>
      <c r="I35" s="1183">
        <v>1977433</v>
      </c>
      <c r="J35" s="1183">
        <v>640800</v>
      </c>
      <c r="K35" s="1183">
        <v>634930</v>
      </c>
      <c r="L35" s="1183">
        <v>435250</v>
      </c>
      <c r="M35" s="1183">
        <v>70380</v>
      </c>
      <c r="N35" s="1183"/>
      <c r="O35" s="1183">
        <v>683580</v>
      </c>
      <c r="P35" s="1183">
        <v>25860</v>
      </c>
      <c r="Q35" s="1183"/>
      <c r="R35" s="1183">
        <v>488870</v>
      </c>
      <c r="S35" s="1183">
        <v>156360</v>
      </c>
      <c r="T35" s="1183">
        <v>0</v>
      </c>
      <c r="U35" s="1183">
        <v>319260</v>
      </c>
      <c r="V35" s="1183"/>
      <c r="W35" s="1183">
        <v>888725</v>
      </c>
      <c r="X35" s="1183"/>
      <c r="Y35" s="1201">
        <f t="shared" si="1"/>
        <v>11042684.039999999</v>
      </c>
      <c r="Z35" s="62"/>
    </row>
    <row r="36" spans="1:26" ht="21.95" customHeight="1">
      <c r="A36" s="66" t="s">
        <v>91</v>
      </c>
      <c r="B36" s="61" t="s">
        <v>92</v>
      </c>
      <c r="C36" s="61"/>
      <c r="D36" s="62" t="s">
        <v>21</v>
      </c>
      <c r="E36" s="1201">
        <f>E37</f>
        <v>12960</v>
      </c>
      <c r="F36" s="1201">
        <f t="shared" ref="F36:X36" si="14">F37</f>
        <v>6480</v>
      </c>
      <c r="G36" s="1201">
        <f t="shared" si="14"/>
        <v>8640</v>
      </c>
      <c r="H36" s="1201">
        <f t="shared" si="14"/>
        <v>4140</v>
      </c>
      <c r="I36" s="1201">
        <f t="shared" si="14"/>
        <v>12390</v>
      </c>
      <c r="J36" s="1201">
        <f t="shared" si="14"/>
        <v>2610</v>
      </c>
      <c r="K36" s="1201">
        <f t="shared" si="14"/>
        <v>2190</v>
      </c>
      <c r="L36" s="1201">
        <f t="shared" si="14"/>
        <v>1440</v>
      </c>
      <c r="M36" s="1201">
        <f t="shared" si="14"/>
        <v>1800</v>
      </c>
      <c r="N36" s="1201">
        <f t="shared" si="14"/>
        <v>0</v>
      </c>
      <c r="O36" s="1201">
        <f t="shared" si="14"/>
        <v>2520</v>
      </c>
      <c r="P36" s="1201">
        <f t="shared" si="14"/>
        <v>3240</v>
      </c>
      <c r="Q36" s="1201">
        <f t="shared" si="14"/>
        <v>1800</v>
      </c>
      <c r="R36" s="1201">
        <f t="shared" si="14"/>
        <v>630</v>
      </c>
      <c r="S36" s="1201">
        <f t="shared" si="14"/>
        <v>360</v>
      </c>
      <c r="T36" s="1201">
        <f t="shared" si="14"/>
        <v>3240</v>
      </c>
      <c r="U36" s="1201">
        <f t="shared" si="14"/>
        <v>2910</v>
      </c>
      <c r="V36" s="1201">
        <f t="shared" si="14"/>
        <v>360</v>
      </c>
      <c r="W36" s="1201">
        <f t="shared" si="14"/>
        <v>10290</v>
      </c>
      <c r="X36" s="1201">
        <f t="shared" si="14"/>
        <v>840</v>
      </c>
      <c r="Y36" s="1201">
        <f t="shared" si="1"/>
        <v>78840</v>
      </c>
      <c r="Z36" s="62"/>
    </row>
    <row r="37" spans="1:26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3">
        <v>12960</v>
      </c>
      <c r="F37" s="1183">
        <v>6480</v>
      </c>
      <c r="G37" s="1183">
        <v>8640</v>
      </c>
      <c r="H37" s="1183">
        <v>4140</v>
      </c>
      <c r="I37" s="1183">
        <v>12390</v>
      </c>
      <c r="J37" s="1183">
        <v>2610</v>
      </c>
      <c r="K37" s="1183">
        <v>2190</v>
      </c>
      <c r="L37" s="1183">
        <v>1440</v>
      </c>
      <c r="M37" s="1183">
        <v>1800</v>
      </c>
      <c r="N37" s="1183"/>
      <c r="O37" s="1183">
        <v>2520</v>
      </c>
      <c r="P37" s="1183">
        <v>3240</v>
      </c>
      <c r="Q37" s="1183">
        <v>1800</v>
      </c>
      <c r="R37" s="1183">
        <v>630</v>
      </c>
      <c r="S37" s="1183">
        <v>360</v>
      </c>
      <c r="T37" s="1183">
        <v>3240</v>
      </c>
      <c r="U37" s="1183">
        <v>2910</v>
      </c>
      <c r="V37" s="1183">
        <v>360</v>
      </c>
      <c r="W37" s="1183">
        <v>10290</v>
      </c>
      <c r="X37" s="1183">
        <v>840</v>
      </c>
      <c r="Y37" s="1201">
        <f t="shared" si="1"/>
        <v>78840</v>
      </c>
      <c r="Z37" s="62"/>
    </row>
    <row r="38" spans="1:26" ht="21.95" customHeight="1">
      <c r="A38" s="66" t="s">
        <v>95</v>
      </c>
      <c r="B38" s="61" t="s">
        <v>3002</v>
      </c>
      <c r="C38" s="61"/>
      <c r="D38" s="62" t="s">
        <v>21</v>
      </c>
      <c r="E38" s="1201">
        <f>E39</f>
        <v>0</v>
      </c>
      <c r="F38" s="1201">
        <f t="shared" ref="F38:X38" si="15">F39</f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1">
        <f t="shared" si="15"/>
        <v>0</v>
      </c>
      <c r="Y38" s="1201">
        <f t="shared" si="1"/>
        <v>0</v>
      </c>
      <c r="Z38" s="62"/>
    </row>
    <row r="39" spans="1:26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3"/>
      <c r="F39" s="1183"/>
      <c r="G39" s="1183"/>
      <c r="H39" s="1183"/>
      <c r="I39" s="1183"/>
      <c r="J39" s="1183"/>
      <c r="K39" s="1183"/>
      <c r="L39" s="1183"/>
      <c r="M39" s="1183">
        <v>0</v>
      </c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183"/>
      <c r="Y39" s="1201">
        <f t="shared" si="1"/>
        <v>0</v>
      </c>
      <c r="Z39" s="62"/>
    </row>
    <row r="40" spans="1:26" ht="21.95" customHeight="1">
      <c r="A40" s="66" t="s">
        <v>97</v>
      </c>
      <c r="B40" s="61" t="s">
        <v>98</v>
      </c>
      <c r="C40" s="61"/>
      <c r="D40" s="62" t="s">
        <v>21</v>
      </c>
      <c r="E40" s="1201">
        <f t="shared" ref="E40:X40" si="16">E41+E43+E45+E47+E49+E52+E54+E56+E60</f>
        <v>18289030.149999999</v>
      </c>
      <c r="F40" s="1201">
        <f t="shared" si="16"/>
        <v>6945470.3600000003</v>
      </c>
      <c r="G40" s="1201">
        <f t="shared" si="16"/>
        <v>5863759.8200000003</v>
      </c>
      <c r="H40" s="1201">
        <f t="shared" si="16"/>
        <v>8074617.0499999998</v>
      </c>
      <c r="I40" s="1201">
        <f t="shared" si="16"/>
        <v>22835284.230000004</v>
      </c>
      <c r="J40" s="1201">
        <f t="shared" si="16"/>
        <v>3392923.74</v>
      </c>
      <c r="K40" s="1201">
        <f t="shared" si="16"/>
        <v>9143721.7300000004</v>
      </c>
      <c r="L40" s="1201">
        <f t="shared" si="16"/>
        <v>3318837.4499999997</v>
      </c>
      <c r="M40" s="1201">
        <f t="shared" si="16"/>
        <v>8108509.29</v>
      </c>
      <c r="N40" s="1201">
        <f t="shared" si="16"/>
        <v>1464280</v>
      </c>
      <c r="O40" s="1201">
        <f t="shared" si="16"/>
        <v>2118124.15</v>
      </c>
      <c r="P40" s="1201">
        <f t="shared" si="16"/>
        <v>2557034.14</v>
      </c>
      <c r="Q40" s="1201">
        <f t="shared" si="16"/>
        <v>1279315.0900000001</v>
      </c>
      <c r="R40" s="1201">
        <f t="shared" si="16"/>
        <v>1960064.19</v>
      </c>
      <c r="S40" s="1201">
        <f t="shared" si="16"/>
        <v>337966.86</v>
      </c>
      <c r="T40" s="1201">
        <f t="shared" si="16"/>
        <v>1844666.8</v>
      </c>
      <c r="U40" s="1201">
        <f t="shared" si="16"/>
        <v>9763663.5199999996</v>
      </c>
      <c r="V40" s="1201">
        <f t="shared" si="16"/>
        <v>1206557.99</v>
      </c>
      <c r="W40" s="1201">
        <f t="shared" si="16"/>
        <v>5348939.05</v>
      </c>
      <c r="X40" s="1201">
        <f t="shared" si="16"/>
        <v>1758465.4200000002</v>
      </c>
      <c r="Y40" s="1201">
        <f t="shared" si="1"/>
        <v>115611231.03</v>
      </c>
      <c r="Z40" s="62"/>
    </row>
    <row r="41" spans="1:26" ht="21.95" customHeight="1">
      <c r="A41" s="66" t="s">
        <v>99</v>
      </c>
      <c r="B41" s="61" t="s">
        <v>100</v>
      </c>
      <c r="C41" s="61"/>
      <c r="D41" s="62" t="s">
        <v>101</v>
      </c>
      <c r="E41" s="1183">
        <v>14341525</v>
      </c>
      <c r="F41" s="1183">
        <v>5513100</v>
      </c>
      <c r="G41" s="1183">
        <v>4598350</v>
      </c>
      <c r="H41" s="1183">
        <v>6782800</v>
      </c>
      <c r="I41" s="1183">
        <v>18237610</v>
      </c>
      <c r="J41" s="1183">
        <v>2523060</v>
      </c>
      <c r="K41" s="1183">
        <v>7383245</v>
      </c>
      <c r="L41" s="1183">
        <v>2477255</v>
      </c>
      <c r="M41" s="1183">
        <v>6537165</v>
      </c>
      <c r="N41" s="1183">
        <v>1444280</v>
      </c>
      <c r="O41" s="1183">
        <v>1444280</v>
      </c>
      <c r="P41" s="1183">
        <v>1837540</v>
      </c>
      <c r="Q41" s="1183">
        <v>920920</v>
      </c>
      <c r="R41" s="1183">
        <v>1334150</v>
      </c>
      <c r="S41" s="1183">
        <v>156800</v>
      </c>
      <c r="T41" s="1183">
        <v>1288680</v>
      </c>
      <c r="U41" s="1183">
        <v>7787805</v>
      </c>
      <c r="V41" s="1183">
        <v>858000</v>
      </c>
      <c r="W41" s="1183">
        <f>4639300-1444280</f>
        <v>3195020</v>
      </c>
      <c r="X41" s="1183">
        <v>1430000</v>
      </c>
      <c r="Y41" s="1201">
        <f t="shared" si="1"/>
        <v>90091585</v>
      </c>
      <c r="Z41" s="62"/>
    </row>
    <row r="42" spans="1:26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3">
        <v>717076.25</v>
      </c>
      <c r="F42" s="1183">
        <v>275655</v>
      </c>
      <c r="G42" s="1183">
        <v>229917.5</v>
      </c>
      <c r="H42" s="1183">
        <v>339140</v>
      </c>
      <c r="I42" s="1183">
        <v>911880.5</v>
      </c>
      <c r="J42" s="1183">
        <v>126153</v>
      </c>
      <c r="K42" s="1183">
        <v>369162.25</v>
      </c>
      <c r="L42" s="1183">
        <v>123862.75</v>
      </c>
      <c r="M42" s="1183">
        <v>326858.25</v>
      </c>
      <c r="N42" s="1183">
        <v>62418.5</v>
      </c>
      <c r="O42" s="1183">
        <v>49906</v>
      </c>
      <c r="P42" s="1183">
        <v>81152</v>
      </c>
      <c r="Q42" s="1183">
        <v>46046</v>
      </c>
      <c r="R42" s="1183">
        <v>54481</v>
      </c>
      <c r="S42" s="1183">
        <v>7840</v>
      </c>
      <c r="T42" s="1183">
        <v>59071.5</v>
      </c>
      <c r="U42" s="1183">
        <v>389390.25</v>
      </c>
      <c r="V42" s="1183">
        <v>32961.5</v>
      </c>
      <c r="W42" s="1183">
        <f>205152.5-62418.5</f>
        <v>142734</v>
      </c>
      <c r="X42" s="1183">
        <v>36822.5</v>
      </c>
      <c r="Y42" s="1201">
        <f t="shared" si="1"/>
        <v>4382528.75</v>
      </c>
      <c r="Z42" s="62"/>
    </row>
    <row r="43" spans="1:26" ht="21.95" customHeight="1">
      <c r="A43" s="66" t="s">
        <v>106</v>
      </c>
      <c r="B43" s="61" t="s">
        <v>107</v>
      </c>
      <c r="C43" s="61"/>
      <c r="D43" s="62"/>
      <c r="E43" s="1201">
        <f>E44</f>
        <v>106533.33</v>
      </c>
      <c r="F43" s="1201">
        <f t="shared" ref="F43:X43" si="17">F44</f>
        <v>37266.67</v>
      </c>
      <c r="G43" s="1201">
        <f t="shared" si="17"/>
        <v>31700</v>
      </c>
      <c r="H43" s="1201">
        <f t="shared" si="17"/>
        <v>43766.67</v>
      </c>
      <c r="I43" s="1201">
        <f t="shared" si="17"/>
        <v>140866.67000000001</v>
      </c>
      <c r="J43" s="1201">
        <f t="shared" si="17"/>
        <v>23000</v>
      </c>
      <c r="K43" s="1201">
        <f t="shared" si="17"/>
        <v>53500</v>
      </c>
      <c r="L43" s="1201">
        <f t="shared" si="17"/>
        <v>21933.33</v>
      </c>
      <c r="M43" s="1201">
        <f t="shared" si="17"/>
        <v>51233</v>
      </c>
      <c r="N43" s="1201">
        <f t="shared" si="17"/>
        <v>0</v>
      </c>
      <c r="O43" s="1201">
        <f t="shared" si="17"/>
        <v>16300</v>
      </c>
      <c r="P43" s="1201">
        <f t="shared" si="17"/>
        <v>19200</v>
      </c>
      <c r="Q43" s="1201">
        <f t="shared" si="17"/>
        <v>11600</v>
      </c>
      <c r="R43" s="1201">
        <f t="shared" si="17"/>
        <v>16400</v>
      </c>
      <c r="S43" s="1201">
        <f t="shared" si="17"/>
        <v>2800</v>
      </c>
      <c r="T43" s="1201">
        <f t="shared" si="17"/>
        <v>17767</v>
      </c>
      <c r="U43" s="1201">
        <f t="shared" si="17"/>
        <v>50833</v>
      </c>
      <c r="V43" s="1201">
        <f t="shared" si="17"/>
        <v>7933.33</v>
      </c>
      <c r="W43" s="1201">
        <f t="shared" si="17"/>
        <v>62500</v>
      </c>
      <c r="X43" s="1201">
        <f t="shared" si="17"/>
        <v>6933.33</v>
      </c>
      <c r="Y43" s="1201">
        <f t="shared" si="1"/>
        <v>722066.32999999984</v>
      </c>
      <c r="Z43" s="62"/>
    </row>
    <row r="44" spans="1:26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3">
        <v>106533.33</v>
      </c>
      <c r="F44" s="1183">
        <v>37266.67</v>
      </c>
      <c r="G44" s="1183">
        <v>31700</v>
      </c>
      <c r="H44" s="1183">
        <v>43766.67</v>
      </c>
      <c r="I44" s="1183">
        <v>140866.67000000001</v>
      </c>
      <c r="J44" s="1183">
        <v>23000</v>
      </c>
      <c r="K44" s="1183">
        <v>53500</v>
      </c>
      <c r="L44" s="1183">
        <v>21933.33</v>
      </c>
      <c r="M44" s="1183">
        <v>51233</v>
      </c>
      <c r="N44" s="1183"/>
      <c r="O44" s="1183">
        <v>16300</v>
      </c>
      <c r="P44" s="1183">
        <v>19200</v>
      </c>
      <c r="Q44" s="1183">
        <v>11600</v>
      </c>
      <c r="R44" s="1183">
        <v>16400</v>
      </c>
      <c r="S44" s="1183">
        <v>2800</v>
      </c>
      <c r="T44" s="1183">
        <v>17767</v>
      </c>
      <c r="U44" s="1183">
        <v>50833</v>
      </c>
      <c r="V44" s="1183">
        <v>7933.33</v>
      </c>
      <c r="W44" s="1183">
        <v>62500</v>
      </c>
      <c r="X44" s="1183">
        <v>6933.33</v>
      </c>
      <c r="Y44" s="1201">
        <f t="shared" si="1"/>
        <v>722066.32999999984</v>
      </c>
      <c r="Z44" s="62"/>
    </row>
    <row r="45" spans="1:26" ht="21.95" customHeight="1">
      <c r="A45" s="66" t="s">
        <v>111</v>
      </c>
      <c r="B45" s="61" t="s">
        <v>112</v>
      </c>
      <c r="C45" s="61"/>
      <c r="D45" s="62" t="s">
        <v>21</v>
      </c>
      <c r="E45" s="1201">
        <f>E46</f>
        <v>487354.65</v>
      </c>
      <c r="F45" s="1201">
        <f t="shared" ref="F45:X45" si="18">F46</f>
        <v>197400</v>
      </c>
      <c r="G45" s="1201">
        <f t="shared" si="18"/>
        <v>134278.19999999998</v>
      </c>
      <c r="H45" s="1201">
        <f t="shared" si="18"/>
        <v>170335.95</v>
      </c>
      <c r="I45" s="1201">
        <f t="shared" si="18"/>
        <v>570432.6</v>
      </c>
      <c r="J45" s="1201">
        <f t="shared" si="18"/>
        <v>69477.45</v>
      </c>
      <c r="K45" s="1201">
        <f t="shared" si="18"/>
        <v>191346.3</v>
      </c>
      <c r="L45" s="1201">
        <f t="shared" si="18"/>
        <v>139283.54999999999</v>
      </c>
      <c r="M45" s="1201">
        <f t="shared" si="18"/>
        <v>215373.15</v>
      </c>
      <c r="N45" s="1201">
        <f t="shared" si="18"/>
        <v>0</v>
      </c>
      <c r="O45" s="1201">
        <f t="shared" si="18"/>
        <v>64290</v>
      </c>
      <c r="P45" s="1201">
        <f t="shared" si="18"/>
        <v>200240.1</v>
      </c>
      <c r="Q45" s="1201">
        <f t="shared" si="18"/>
        <v>55978.8</v>
      </c>
      <c r="R45" s="1201">
        <f t="shared" si="18"/>
        <v>69180</v>
      </c>
      <c r="S45" s="1201">
        <f t="shared" si="18"/>
        <v>42000</v>
      </c>
      <c r="T45" s="1201">
        <f t="shared" si="18"/>
        <v>97500</v>
      </c>
      <c r="U45" s="1201">
        <f t="shared" si="18"/>
        <v>485033.55</v>
      </c>
      <c r="V45" s="1201">
        <f t="shared" si="18"/>
        <v>104925</v>
      </c>
      <c r="W45" s="1201">
        <f t="shared" si="18"/>
        <v>345436.05</v>
      </c>
      <c r="X45" s="1201">
        <f t="shared" si="18"/>
        <v>124093.35</v>
      </c>
      <c r="Y45" s="1201">
        <f t="shared" si="1"/>
        <v>3763958.6999999997</v>
      </c>
      <c r="Z45" s="62"/>
    </row>
    <row r="46" spans="1:26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3">
        <v>487354.65</v>
      </c>
      <c r="F46" s="1183">
        <v>197400</v>
      </c>
      <c r="G46" s="1183">
        <v>134278.19999999998</v>
      </c>
      <c r="H46" s="1183">
        <v>170335.95</v>
      </c>
      <c r="I46" s="1183">
        <v>570432.6</v>
      </c>
      <c r="J46" s="1183">
        <v>69477.45</v>
      </c>
      <c r="K46" s="1183">
        <v>191346.3</v>
      </c>
      <c r="L46" s="1183">
        <v>139283.54999999999</v>
      </c>
      <c r="M46" s="1183">
        <v>215373.15</v>
      </c>
      <c r="N46" s="1183"/>
      <c r="O46" s="1183">
        <v>64290</v>
      </c>
      <c r="P46" s="1183">
        <v>200240.1</v>
      </c>
      <c r="Q46" s="1183">
        <v>55978.8</v>
      </c>
      <c r="R46" s="1183">
        <v>69180</v>
      </c>
      <c r="S46" s="1183">
        <v>42000</v>
      </c>
      <c r="T46" s="1183">
        <v>97500</v>
      </c>
      <c r="U46" s="1183">
        <v>485033.55</v>
      </c>
      <c r="V46" s="1183">
        <v>104925</v>
      </c>
      <c r="W46" s="1183">
        <v>345436.05</v>
      </c>
      <c r="X46" s="1183">
        <v>124093.35</v>
      </c>
      <c r="Y46" s="1201">
        <f t="shared" si="1"/>
        <v>3763958.6999999997</v>
      </c>
      <c r="Z46" s="62"/>
    </row>
    <row r="47" spans="1:26" ht="21.95" customHeight="1">
      <c r="A47" s="66" t="s">
        <v>116</v>
      </c>
      <c r="B47" s="61" t="s">
        <v>117</v>
      </c>
      <c r="C47" s="61"/>
      <c r="D47" s="62" t="s">
        <v>21</v>
      </c>
      <c r="E47" s="1201">
        <f>E48</f>
        <v>139576</v>
      </c>
      <c r="F47" s="1201">
        <f t="shared" ref="F47:X47" si="19">F48</f>
        <v>69528</v>
      </c>
      <c r="G47" s="1201">
        <f t="shared" si="19"/>
        <v>51968</v>
      </c>
      <c r="H47" s="1201">
        <f t="shared" si="19"/>
        <v>32584</v>
      </c>
      <c r="I47" s="1201">
        <f t="shared" si="19"/>
        <v>98712</v>
      </c>
      <c r="J47" s="1201">
        <f t="shared" si="19"/>
        <v>25808</v>
      </c>
      <c r="K47" s="1201">
        <f t="shared" si="19"/>
        <v>52960</v>
      </c>
      <c r="L47" s="1201">
        <f t="shared" si="19"/>
        <v>28680</v>
      </c>
      <c r="M47" s="1201">
        <f t="shared" si="19"/>
        <v>63040</v>
      </c>
      <c r="N47" s="1201">
        <f t="shared" si="19"/>
        <v>0</v>
      </c>
      <c r="O47" s="1201">
        <f t="shared" si="19"/>
        <v>18800</v>
      </c>
      <c r="P47" s="1201">
        <f t="shared" si="19"/>
        <v>48357.599999999999</v>
      </c>
      <c r="Q47" s="1201">
        <f t="shared" si="19"/>
        <v>14288</v>
      </c>
      <c r="R47" s="1201">
        <f t="shared" si="19"/>
        <v>13736</v>
      </c>
      <c r="S47" s="1201">
        <f t="shared" si="19"/>
        <v>0</v>
      </c>
      <c r="T47" s="1201">
        <f t="shared" si="19"/>
        <v>18496.8</v>
      </c>
      <c r="U47" s="1201">
        <f t="shared" si="19"/>
        <v>137634.4</v>
      </c>
      <c r="V47" s="1201">
        <f t="shared" si="19"/>
        <v>29584.799999999999</v>
      </c>
      <c r="W47" s="1201">
        <f t="shared" si="19"/>
        <v>75440</v>
      </c>
      <c r="X47" s="1201">
        <f t="shared" si="19"/>
        <v>23851.599999999999</v>
      </c>
      <c r="Y47" s="1201">
        <f t="shared" si="1"/>
        <v>943045.20000000007</v>
      </c>
      <c r="Z47" s="62"/>
    </row>
    <row r="48" spans="1:26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3">
        <v>139576</v>
      </c>
      <c r="F48" s="1183">
        <v>69528</v>
      </c>
      <c r="G48" s="1183">
        <v>51968</v>
      </c>
      <c r="H48" s="1183">
        <v>32584</v>
      </c>
      <c r="I48" s="1183">
        <v>98712</v>
      </c>
      <c r="J48" s="1183">
        <v>25808</v>
      </c>
      <c r="K48" s="1183">
        <v>52960</v>
      </c>
      <c r="L48" s="1183">
        <v>28680</v>
      </c>
      <c r="M48" s="1183">
        <v>63040</v>
      </c>
      <c r="N48" s="1183"/>
      <c r="O48" s="1183">
        <v>18800</v>
      </c>
      <c r="P48" s="1183">
        <v>48357.599999999999</v>
      </c>
      <c r="Q48" s="1183">
        <v>14288</v>
      </c>
      <c r="R48" s="1183">
        <v>13736</v>
      </c>
      <c r="S48" s="1183"/>
      <c r="T48" s="1183">
        <v>18496.8</v>
      </c>
      <c r="U48" s="1183">
        <v>137634.4</v>
      </c>
      <c r="V48" s="1183">
        <v>29584.799999999999</v>
      </c>
      <c r="W48" s="1183">
        <v>75440</v>
      </c>
      <c r="X48" s="1183">
        <v>23851.599999999999</v>
      </c>
      <c r="Y48" s="1201">
        <f t="shared" si="1"/>
        <v>943045.20000000007</v>
      </c>
      <c r="Z48" s="62"/>
    </row>
    <row r="49" spans="1:26" ht="21.95" customHeight="1">
      <c r="A49" s="66" t="s">
        <v>121</v>
      </c>
      <c r="B49" s="61" t="s">
        <v>210</v>
      </c>
      <c r="C49" s="61"/>
      <c r="D49" s="62" t="s">
        <v>21</v>
      </c>
      <c r="E49" s="1201">
        <f>E50+E51</f>
        <v>1735920</v>
      </c>
      <c r="F49" s="1201">
        <f t="shared" ref="F49:X49" si="20">F50+F51</f>
        <v>631800</v>
      </c>
      <c r="G49" s="1201">
        <f t="shared" si="20"/>
        <v>619200</v>
      </c>
      <c r="H49" s="1201">
        <f t="shared" si="20"/>
        <v>487440</v>
      </c>
      <c r="I49" s="1201">
        <f t="shared" si="20"/>
        <v>1995120</v>
      </c>
      <c r="J49" s="1201">
        <f t="shared" si="20"/>
        <v>421200</v>
      </c>
      <c r="K49" s="1201">
        <f t="shared" si="20"/>
        <v>738720</v>
      </c>
      <c r="L49" s="1201">
        <f t="shared" si="20"/>
        <v>354240</v>
      </c>
      <c r="M49" s="1201">
        <f t="shared" si="20"/>
        <v>572400</v>
      </c>
      <c r="N49" s="1201">
        <f t="shared" si="20"/>
        <v>0</v>
      </c>
      <c r="O49" s="1201">
        <f t="shared" si="20"/>
        <v>347400</v>
      </c>
      <c r="P49" s="1201">
        <f t="shared" si="20"/>
        <v>211680</v>
      </c>
      <c r="Q49" s="1201">
        <f t="shared" si="20"/>
        <v>125280</v>
      </c>
      <c r="R49" s="1201">
        <f t="shared" si="20"/>
        <v>306000</v>
      </c>
      <c r="S49" s="1201">
        <f t="shared" si="20"/>
        <v>64800</v>
      </c>
      <c r="T49" s="1201">
        <f t="shared" si="20"/>
        <v>191880</v>
      </c>
      <c r="U49" s="1201">
        <f t="shared" si="20"/>
        <v>643680</v>
      </c>
      <c r="V49" s="1201">
        <f t="shared" si="20"/>
        <v>85680</v>
      </c>
      <c r="W49" s="1201">
        <f t="shared" si="20"/>
        <v>904320</v>
      </c>
      <c r="X49" s="1201">
        <f t="shared" si="20"/>
        <v>74880</v>
      </c>
      <c r="Y49" s="1201">
        <f t="shared" si="1"/>
        <v>10511640</v>
      </c>
      <c r="Z49" s="62"/>
    </row>
    <row r="50" spans="1:26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3">
        <v>1150560</v>
      </c>
      <c r="F50" s="1183">
        <v>402480</v>
      </c>
      <c r="G50" s="1183">
        <v>342360</v>
      </c>
      <c r="H50" s="1183">
        <v>472680</v>
      </c>
      <c r="I50" s="1183">
        <v>1521360</v>
      </c>
      <c r="J50" s="1183">
        <v>248400</v>
      </c>
      <c r="K50" s="1183">
        <v>577800</v>
      </c>
      <c r="L50" s="1183">
        <v>236880</v>
      </c>
      <c r="M50" s="1183">
        <v>553320</v>
      </c>
      <c r="N50" s="1183"/>
      <c r="O50" s="1183">
        <v>176040</v>
      </c>
      <c r="P50" s="1183">
        <v>207360</v>
      </c>
      <c r="Q50" s="1183">
        <v>125280</v>
      </c>
      <c r="R50" s="1183">
        <v>177120</v>
      </c>
      <c r="S50" s="1183">
        <v>30240</v>
      </c>
      <c r="T50" s="1183">
        <v>191880</v>
      </c>
      <c r="U50" s="1183">
        <v>549000</v>
      </c>
      <c r="V50" s="1183">
        <v>85680</v>
      </c>
      <c r="W50" s="1183">
        <v>675000</v>
      </c>
      <c r="X50" s="1183">
        <v>74880</v>
      </c>
      <c r="Y50" s="1201">
        <f t="shared" si="1"/>
        <v>7798320</v>
      </c>
      <c r="Z50" s="62"/>
    </row>
    <row r="51" spans="1:26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3">
        <v>585360</v>
      </c>
      <c r="F51" s="1183">
        <v>229320</v>
      </c>
      <c r="G51" s="1183">
        <v>276840</v>
      </c>
      <c r="H51" s="1183">
        <v>14760</v>
      </c>
      <c r="I51" s="1183">
        <v>473760</v>
      </c>
      <c r="J51" s="1183">
        <v>172800</v>
      </c>
      <c r="K51" s="1183">
        <v>160920</v>
      </c>
      <c r="L51" s="1183">
        <v>117360</v>
      </c>
      <c r="M51" s="1183">
        <v>19080</v>
      </c>
      <c r="N51" s="1183"/>
      <c r="O51" s="1183">
        <v>171360</v>
      </c>
      <c r="P51" s="1183">
        <v>4320</v>
      </c>
      <c r="Q51" s="1183"/>
      <c r="R51" s="1183">
        <v>128880</v>
      </c>
      <c r="S51" s="1183">
        <v>34560</v>
      </c>
      <c r="T51" s="1183">
        <v>0</v>
      </c>
      <c r="U51" s="1183">
        <v>94680</v>
      </c>
      <c r="V51" s="1183"/>
      <c r="W51" s="1183">
        <v>229320</v>
      </c>
      <c r="X51" s="1183"/>
      <c r="Y51" s="1201">
        <f t="shared" si="1"/>
        <v>2713320</v>
      </c>
      <c r="Z51" s="62"/>
    </row>
    <row r="52" spans="1:26" ht="21.95" customHeight="1">
      <c r="A52" s="66" t="s">
        <v>126</v>
      </c>
      <c r="B52" s="61" t="s">
        <v>214</v>
      </c>
      <c r="C52" s="61"/>
      <c r="D52" s="62" t="s">
        <v>21</v>
      </c>
      <c r="E52" s="1201">
        <f>E53</f>
        <v>1385724.86</v>
      </c>
      <c r="F52" s="1201">
        <f t="shared" ref="F52:X52" si="21">F53</f>
        <v>463242.69</v>
      </c>
      <c r="G52" s="1201">
        <f t="shared" si="21"/>
        <v>395930.29</v>
      </c>
      <c r="H52" s="1201">
        <f t="shared" si="21"/>
        <v>534723.43000000005</v>
      </c>
      <c r="I52" s="1201">
        <f t="shared" si="21"/>
        <v>1702676.29</v>
      </c>
      <c r="J52" s="1201">
        <f t="shared" si="21"/>
        <v>280378.28999999998</v>
      </c>
      <c r="K52" s="1201">
        <f t="shared" si="21"/>
        <v>672650.43</v>
      </c>
      <c r="L52" s="1201">
        <f t="shared" si="21"/>
        <v>263628.57</v>
      </c>
      <c r="M52" s="1201">
        <f t="shared" si="21"/>
        <v>625531.14</v>
      </c>
      <c r="N52" s="1201">
        <f t="shared" si="21"/>
        <v>0</v>
      </c>
      <c r="O52" s="1201">
        <f t="shared" si="21"/>
        <v>177187.15</v>
      </c>
      <c r="P52" s="1201">
        <f t="shared" si="21"/>
        <v>203466.44</v>
      </c>
      <c r="Q52" s="1201">
        <f t="shared" si="21"/>
        <v>128098.29</v>
      </c>
      <c r="R52" s="1201">
        <f t="shared" si="21"/>
        <v>175764.86</v>
      </c>
      <c r="S52" s="1201">
        <f t="shared" si="21"/>
        <v>36366.86</v>
      </c>
      <c r="T52" s="1201">
        <f t="shared" si="21"/>
        <v>195343</v>
      </c>
      <c r="U52" s="1201">
        <f t="shared" si="21"/>
        <v>611760.56999999995</v>
      </c>
      <c r="V52" s="1201">
        <f t="shared" si="21"/>
        <v>86934.86</v>
      </c>
      <c r="W52" s="1201">
        <f t="shared" si="21"/>
        <v>708090</v>
      </c>
      <c r="X52" s="1201">
        <f t="shared" si="21"/>
        <v>66707.14</v>
      </c>
      <c r="Y52" s="1201">
        <f t="shared" si="1"/>
        <v>8714205.1600000039</v>
      </c>
      <c r="Z52" s="62"/>
    </row>
    <row r="53" spans="1:26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3">
        <v>1385724.86</v>
      </c>
      <c r="F53" s="1183">
        <v>463242.69</v>
      </c>
      <c r="G53" s="1183">
        <v>395930.29</v>
      </c>
      <c r="H53" s="1183">
        <v>534723.43000000005</v>
      </c>
      <c r="I53" s="1183">
        <v>1702676.29</v>
      </c>
      <c r="J53" s="1183">
        <v>280378.28999999998</v>
      </c>
      <c r="K53" s="1183">
        <v>672650.43</v>
      </c>
      <c r="L53" s="1183">
        <v>263628.57</v>
      </c>
      <c r="M53" s="1183">
        <v>625531.14</v>
      </c>
      <c r="N53" s="1183"/>
      <c r="O53" s="1183">
        <v>177187.15</v>
      </c>
      <c r="P53" s="1183">
        <v>203466.44</v>
      </c>
      <c r="Q53" s="1183">
        <v>128098.29</v>
      </c>
      <c r="R53" s="1183">
        <v>175764.86</v>
      </c>
      <c r="S53" s="1183">
        <v>36366.86</v>
      </c>
      <c r="T53" s="1183">
        <v>195343</v>
      </c>
      <c r="U53" s="1183">
        <v>611760.56999999995</v>
      </c>
      <c r="V53" s="1183">
        <v>86934.86</v>
      </c>
      <c r="W53" s="1183">
        <v>708090</v>
      </c>
      <c r="X53" s="1183">
        <v>66707.14</v>
      </c>
      <c r="Y53" s="1201">
        <f t="shared" si="1"/>
        <v>8714205.1600000039</v>
      </c>
      <c r="Z53" s="62"/>
    </row>
    <row r="54" spans="1:26" ht="21.95" customHeight="1">
      <c r="A54" s="66" t="s">
        <v>130</v>
      </c>
      <c r="B54" s="61" t="s">
        <v>215</v>
      </c>
      <c r="C54" s="61"/>
      <c r="D54" s="62" t="s">
        <v>21</v>
      </c>
      <c r="E54" s="1201">
        <f>E55</f>
        <v>22496.31</v>
      </c>
      <c r="F54" s="1201">
        <f t="shared" ref="F54:X54" si="22">F55</f>
        <v>7000</v>
      </c>
      <c r="G54" s="1201">
        <f t="shared" si="22"/>
        <v>5500</v>
      </c>
      <c r="H54" s="1201">
        <f t="shared" si="22"/>
        <v>18000</v>
      </c>
      <c r="I54" s="1201">
        <f t="shared" si="22"/>
        <v>10000</v>
      </c>
      <c r="J54" s="1201">
        <f t="shared" si="22"/>
        <v>32000</v>
      </c>
      <c r="K54" s="1201">
        <f t="shared" si="22"/>
        <v>0</v>
      </c>
      <c r="L54" s="1201">
        <f t="shared" si="22"/>
        <v>21000</v>
      </c>
      <c r="M54" s="1201">
        <f t="shared" si="22"/>
        <v>32000</v>
      </c>
      <c r="N54" s="1201">
        <f t="shared" si="22"/>
        <v>14000</v>
      </c>
      <c r="O54" s="1201">
        <f t="shared" si="22"/>
        <v>0</v>
      </c>
      <c r="P54" s="1201">
        <f t="shared" si="22"/>
        <v>0</v>
      </c>
      <c r="Q54" s="1201">
        <f t="shared" si="22"/>
        <v>20000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0</v>
      </c>
      <c r="X54" s="1201">
        <f t="shared" si="22"/>
        <v>0</v>
      </c>
      <c r="Y54" s="1201">
        <f t="shared" si="1"/>
        <v>181996.31</v>
      </c>
      <c r="Z54" s="62"/>
    </row>
    <row r="55" spans="1:26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3">
        <v>22496.31</v>
      </c>
      <c r="F55" s="1183">
        <v>7000</v>
      </c>
      <c r="G55" s="1183">
        <v>5500</v>
      </c>
      <c r="H55" s="1183">
        <v>18000</v>
      </c>
      <c r="I55" s="1183">
        <v>10000</v>
      </c>
      <c r="J55" s="1183">
        <v>32000</v>
      </c>
      <c r="K55" s="1183"/>
      <c r="L55" s="1183">
        <v>21000</v>
      </c>
      <c r="M55" s="1183">
        <v>32000</v>
      </c>
      <c r="N55" s="1183">
        <v>14000</v>
      </c>
      <c r="O55" s="1183"/>
      <c r="P55" s="1183"/>
      <c r="Q55" s="1183">
        <v>20000</v>
      </c>
      <c r="R55" s="1183"/>
      <c r="S55" s="1183"/>
      <c r="T55" s="1183"/>
      <c r="U55" s="1183"/>
      <c r="V55" s="1183"/>
      <c r="W55" s="1183"/>
      <c r="X55" s="1183"/>
      <c r="Y55" s="1201">
        <f t="shared" si="1"/>
        <v>181996.31</v>
      </c>
      <c r="Z55" s="62"/>
    </row>
    <row r="56" spans="1:26" ht="21.95" customHeight="1">
      <c r="A56" s="66" t="s">
        <v>134</v>
      </c>
      <c r="B56" s="61" t="s">
        <v>3006</v>
      </c>
      <c r="C56" s="61"/>
      <c r="D56" s="62" t="s">
        <v>21</v>
      </c>
      <c r="E56" s="1201">
        <f>E57+E59</f>
        <v>59900</v>
      </c>
      <c r="F56" s="1201">
        <f t="shared" ref="F56:X56" si="23">F57+F59</f>
        <v>26133</v>
      </c>
      <c r="G56" s="1201">
        <f t="shared" si="23"/>
        <v>26833.33</v>
      </c>
      <c r="H56" s="1201">
        <f t="shared" si="23"/>
        <v>4967</v>
      </c>
      <c r="I56" s="1201">
        <f t="shared" si="23"/>
        <v>59866.67</v>
      </c>
      <c r="J56" s="1201">
        <f t="shared" si="23"/>
        <v>18000</v>
      </c>
      <c r="K56" s="1201">
        <f t="shared" si="23"/>
        <v>19300</v>
      </c>
      <c r="L56" s="1201">
        <f t="shared" si="23"/>
        <v>12817</v>
      </c>
      <c r="M56" s="1201">
        <f t="shared" si="23"/>
        <v>11767</v>
      </c>
      <c r="N56" s="1201">
        <f t="shared" si="23"/>
        <v>0</v>
      </c>
      <c r="O56" s="1201">
        <f t="shared" si="23"/>
        <v>17867</v>
      </c>
      <c r="P56" s="1201">
        <f t="shared" si="23"/>
        <v>4550</v>
      </c>
      <c r="Q56" s="1201">
        <f t="shared" si="23"/>
        <v>3150</v>
      </c>
      <c r="R56" s="1201">
        <f t="shared" si="23"/>
        <v>12833.33</v>
      </c>
      <c r="S56" s="1201">
        <f t="shared" si="23"/>
        <v>3200</v>
      </c>
      <c r="T56" s="1201">
        <f t="shared" si="23"/>
        <v>3000</v>
      </c>
      <c r="U56" s="1201">
        <f t="shared" si="23"/>
        <v>14917</v>
      </c>
      <c r="V56" s="1201">
        <f t="shared" si="23"/>
        <v>1500</v>
      </c>
      <c r="W56" s="1201">
        <f t="shared" si="23"/>
        <v>26133</v>
      </c>
      <c r="X56" s="1201">
        <f t="shared" si="23"/>
        <v>0</v>
      </c>
      <c r="Y56" s="1201">
        <f t="shared" si="1"/>
        <v>326734.33</v>
      </c>
      <c r="Z56" s="62"/>
    </row>
    <row r="57" spans="1:26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201">
        <f>E58</f>
        <v>54200</v>
      </c>
      <c r="F57" s="1201">
        <f t="shared" ref="F57:X57" si="24">F58</f>
        <v>21233</v>
      </c>
      <c r="G57" s="1201">
        <f t="shared" si="24"/>
        <v>25633.33</v>
      </c>
      <c r="H57" s="1201">
        <f t="shared" si="24"/>
        <v>1367</v>
      </c>
      <c r="I57" s="1201">
        <f t="shared" si="24"/>
        <v>43866.67</v>
      </c>
      <c r="J57" s="1201">
        <f t="shared" si="24"/>
        <v>16000</v>
      </c>
      <c r="K57" s="1201">
        <f t="shared" si="24"/>
        <v>14900</v>
      </c>
      <c r="L57" s="1201">
        <f t="shared" si="24"/>
        <v>10867</v>
      </c>
      <c r="M57" s="1201">
        <f t="shared" si="24"/>
        <v>1767</v>
      </c>
      <c r="N57" s="1201">
        <f t="shared" si="24"/>
        <v>0</v>
      </c>
      <c r="O57" s="1201">
        <f t="shared" si="24"/>
        <v>15867</v>
      </c>
      <c r="P57" s="1201">
        <f t="shared" si="24"/>
        <v>400</v>
      </c>
      <c r="Q57" s="1201">
        <f t="shared" si="24"/>
        <v>0</v>
      </c>
      <c r="R57" s="1201">
        <f t="shared" si="24"/>
        <v>11933.33</v>
      </c>
      <c r="S57" s="1201">
        <f t="shared" si="24"/>
        <v>3200</v>
      </c>
      <c r="T57" s="1201">
        <f t="shared" si="24"/>
        <v>0</v>
      </c>
      <c r="U57" s="1201">
        <f t="shared" si="24"/>
        <v>8767</v>
      </c>
      <c r="V57" s="1201">
        <f t="shared" si="24"/>
        <v>0</v>
      </c>
      <c r="W57" s="1201">
        <f t="shared" si="24"/>
        <v>21233</v>
      </c>
      <c r="X57" s="1201">
        <f t="shared" si="24"/>
        <v>0</v>
      </c>
      <c r="Y57" s="1201">
        <f t="shared" si="1"/>
        <v>251234.33</v>
      </c>
      <c r="Z57" s="62"/>
    </row>
    <row r="58" spans="1:26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3">
        <v>54200</v>
      </c>
      <c r="F58" s="1183">
        <v>21233</v>
      </c>
      <c r="G58" s="1183">
        <v>25633.33</v>
      </c>
      <c r="H58" s="1183">
        <v>1367</v>
      </c>
      <c r="I58" s="1183">
        <v>43866.67</v>
      </c>
      <c r="J58" s="1183">
        <v>16000</v>
      </c>
      <c r="K58" s="1183">
        <v>14900</v>
      </c>
      <c r="L58" s="1183">
        <v>10867</v>
      </c>
      <c r="M58" s="1183">
        <v>1767</v>
      </c>
      <c r="N58" s="1183"/>
      <c r="O58" s="1183">
        <v>15867</v>
      </c>
      <c r="P58" s="1183">
        <v>400</v>
      </c>
      <c r="Q58" s="1183"/>
      <c r="R58" s="1183">
        <v>11933.33</v>
      </c>
      <c r="S58" s="1183">
        <v>3200</v>
      </c>
      <c r="T58" s="1183"/>
      <c r="U58" s="1183">
        <v>8767</v>
      </c>
      <c r="V58" s="1183"/>
      <c r="W58" s="1183">
        <v>21233</v>
      </c>
      <c r="X58" s="1183"/>
      <c r="Y58" s="1201">
        <f t="shared" si="1"/>
        <v>251234.33</v>
      </c>
      <c r="Z58" s="62"/>
    </row>
    <row r="59" spans="1:26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3">
        <v>5700</v>
      </c>
      <c r="F59" s="1183">
        <v>4900</v>
      </c>
      <c r="G59" s="1183">
        <v>1200</v>
      </c>
      <c r="H59" s="1183">
        <v>3600</v>
      </c>
      <c r="I59" s="1183">
        <v>16000</v>
      </c>
      <c r="J59" s="1183">
        <v>2000</v>
      </c>
      <c r="K59" s="1183">
        <v>4400</v>
      </c>
      <c r="L59" s="1183">
        <v>1950</v>
      </c>
      <c r="M59" s="1183">
        <v>10000</v>
      </c>
      <c r="N59" s="1183"/>
      <c r="O59" s="1183">
        <v>2000</v>
      </c>
      <c r="P59" s="1183">
        <v>4150</v>
      </c>
      <c r="Q59" s="1183">
        <v>3150</v>
      </c>
      <c r="R59" s="1183">
        <v>900</v>
      </c>
      <c r="S59" s="1183"/>
      <c r="T59" s="1183">
        <v>3000</v>
      </c>
      <c r="U59" s="1183">
        <v>6150</v>
      </c>
      <c r="V59" s="1183">
        <v>1500</v>
      </c>
      <c r="W59" s="1183">
        <v>4900</v>
      </c>
      <c r="X59" s="1183"/>
      <c r="Y59" s="1201">
        <f t="shared" si="1"/>
        <v>75500</v>
      </c>
      <c r="Z59" s="62"/>
    </row>
    <row r="60" spans="1:26" ht="21.95" customHeight="1">
      <c r="A60" s="66" t="s">
        <v>141</v>
      </c>
      <c r="B60" s="61" t="s">
        <v>3009</v>
      </c>
      <c r="C60" s="61"/>
      <c r="D60" s="62" t="s">
        <v>21</v>
      </c>
      <c r="E60" s="1201">
        <f>E61</f>
        <v>10000</v>
      </c>
      <c r="F60" s="1201">
        <f t="shared" ref="F60:X60" si="25">F61</f>
        <v>0</v>
      </c>
      <c r="G60" s="1201">
        <f t="shared" si="25"/>
        <v>0</v>
      </c>
      <c r="H60" s="1201">
        <f t="shared" si="25"/>
        <v>0</v>
      </c>
      <c r="I60" s="1201">
        <f t="shared" si="25"/>
        <v>20000</v>
      </c>
      <c r="J60" s="1201">
        <f t="shared" si="25"/>
        <v>0</v>
      </c>
      <c r="K60" s="1201">
        <f t="shared" si="25"/>
        <v>32000</v>
      </c>
      <c r="L60" s="1201">
        <f t="shared" si="25"/>
        <v>0</v>
      </c>
      <c r="M60" s="1201">
        <f t="shared" si="25"/>
        <v>0</v>
      </c>
      <c r="N60" s="1201">
        <f t="shared" si="25"/>
        <v>6000</v>
      </c>
      <c r="O60" s="1201">
        <f t="shared" si="25"/>
        <v>32000</v>
      </c>
      <c r="P60" s="1201">
        <f t="shared" si="25"/>
        <v>32000</v>
      </c>
      <c r="Q60" s="1201">
        <f t="shared" si="25"/>
        <v>0</v>
      </c>
      <c r="R60" s="1201">
        <f t="shared" si="25"/>
        <v>32000</v>
      </c>
      <c r="S60" s="1201">
        <f t="shared" si="25"/>
        <v>32000</v>
      </c>
      <c r="T60" s="1201">
        <f t="shared" si="25"/>
        <v>32000</v>
      </c>
      <c r="U60" s="1201">
        <f t="shared" si="25"/>
        <v>32000</v>
      </c>
      <c r="V60" s="1201">
        <f t="shared" si="25"/>
        <v>32000</v>
      </c>
      <c r="W60" s="1201">
        <f t="shared" si="25"/>
        <v>32000</v>
      </c>
      <c r="X60" s="1201">
        <f t="shared" si="25"/>
        <v>32000</v>
      </c>
      <c r="Y60" s="1201">
        <f t="shared" si="1"/>
        <v>356000</v>
      </c>
      <c r="Z60" s="62"/>
    </row>
    <row r="61" spans="1:26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2">
        <v>10000</v>
      </c>
      <c r="F61" s="1182"/>
      <c r="G61" s="1182"/>
      <c r="H61" s="1182"/>
      <c r="I61" s="1182">
        <v>20000</v>
      </c>
      <c r="J61" s="1182"/>
      <c r="K61" s="1182">
        <v>32000</v>
      </c>
      <c r="L61" s="1182"/>
      <c r="M61" s="1182"/>
      <c r="N61" s="1182">
        <v>6000</v>
      </c>
      <c r="O61" s="1182">
        <v>32000</v>
      </c>
      <c r="P61" s="1182">
        <v>32000</v>
      </c>
      <c r="Q61" s="1182"/>
      <c r="R61" s="1182">
        <v>32000</v>
      </c>
      <c r="S61" s="1182">
        <v>32000</v>
      </c>
      <c r="T61" s="1182">
        <v>32000</v>
      </c>
      <c r="U61" s="1182">
        <v>32000</v>
      </c>
      <c r="V61" s="1182">
        <v>32000</v>
      </c>
      <c r="W61" s="1182">
        <v>32000</v>
      </c>
      <c r="X61" s="1182">
        <v>32000</v>
      </c>
      <c r="Y61" s="1201">
        <f t="shared" si="1"/>
        <v>356000</v>
      </c>
      <c r="Z61" s="1187"/>
    </row>
    <row r="62" spans="1:26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188"/>
      <c r="Y62" s="1185">
        <f t="shared" si="1"/>
        <v>0</v>
      </c>
      <c r="Z62" s="1189"/>
    </row>
    <row r="63" spans="1:26" ht="21.9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265</v>
      </c>
      <c r="F63" s="1198">
        <f t="shared" ref="F63:X63" si="26">F64+F65+F66+F67</f>
        <v>97</v>
      </c>
      <c r="G63" s="1198">
        <f t="shared" si="26"/>
        <v>80</v>
      </c>
      <c r="H63" s="1198">
        <f t="shared" si="26"/>
        <v>114</v>
      </c>
      <c r="I63" s="1198">
        <f t="shared" si="26"/>
        <v>347</v>
      </c>
      <c r="J63" s="1198">
        <f t="shared" si="26"/>
        <v>56</v>
      </c>
      <c r="K63" s="1198">
        <f t="shared" si="26"/>
        <v>132</v>
      </c>
      <c r="L63" s="1198">
        <f t="shared" si="26"/>
        <v>54</v>
      </c>
      <c r="M63" s="1198">
        <f t="shared" si="26"/>
        <v>125</v>
      </c>
      <c r="N63" s="1198">
        <f t="shared" si="26"/>
        <v>0</v>
      </c>
      <c r="O63" s="1198">
        <f t="shared" si="26"/>
        <v>40</v>
      </c>
      <c r="P63" s="1198">
        <f t="shared" si="26"/>
        <v>48</v>
      </c>
      <c r="Q63" s="1198">
        <f t="shared" si="26"/>
        <v>29</v>
      </c>
      <c r="R63" s="1198">
        <f t="shared" si="26"/>
        <v>42</v>
      </c>
      <c r="S63" s="1198">
        <f t="shared" si="26"/>
        <v>7</v>
      </c>
      <c r="T63" s="1198">
        <f t="shared" si="26"/>
        <v>45</v>
      </c>
      <c r="U63" s="1198">
        <f t="shared" si="26"/>
        <v>137</v>
      </c>
      <c r="V63" s="1198">
        <f t="shared" si="26"/>
        <v>21</v>
      </c>
      <c r="W63" s="1198">
        <f t="shared" si="26"/>
        <v>144</v>
      </c>
      <c r="X63" s="1198">
        <f t="shared" si="26"/>
        <v>22</v>
      </c>
      <c r="Y63" s="1198">
        <f t="shared" si="1"/>
        <v>1805</v>
      </c>
      <c r="Z63" s="62"/>
    </row>
    <row r="64" spans="1:26" ht="21.95" customHeight="1">
      <c r="A64" s="66" t="s">
        <v>148</v>
      </c>
      <c r="B64" s="1199" t="s">
        <v>149</v>
      </c>
      <c r="C64" s="1199"/>
      <c r="D64" s="62"/>
      <c r="E64" s="1190">
        <v>265</v>
      </c>
      <c r="F64" s="1190">
        <v>97</v>
      </c>
      <c r="G64" s="1190">
        <v>80</v>
      </c>
      <c r="H64" s="1190">
        <v>114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0">
        <v>85</v>
      </c>
      <c r="V64" s="1190"/>
      <c r="W64" s="1190"/>
      <c r="X64" s="1190"/>
      <c r="Y64" s="1198">
        <f t="shared" si="1"/>
        <v>641</v>
      </c>
      <c r="Z64" s="62"/>
    </row>
    <row r="65" spans="1:26" ht="21.9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347</v>
      </c>
      <c r="J65" s="1190">
        <v>56</v>
      </c>
      <c r="K65" s="1190">
        <v>132</v>
      </c>
      <c r="L65" s="1190">
        <v>54</v>
      </c>
      <c r="M65" s="1190">
        <v>125</v>
      </c>
      <c r="N65" s="1190"/>
      <c r="O65" s="1190"/>
      <c r="P65" s="1190"/>
      <c r="Q65" s="1190"/>
      <c r="R65" s="1190"/>
      <c r="S65" s="1190"/>
      <c r="T65" s="1190"/>
      <c r="U65" s="1190">
        <v>52</v>
      </c>
      <c r="V65" s="1190"/>
      <c r="W65" s="1190"/>
      <c r="X65" s="1190"/>
      <c r="Y65" s="1198">
        <f t="shared" si="1"/>
        <v>766</v>
      </c>
      <c r="Z65" s="62"/>
    </row>
    <row r="66" spans="1:26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/>
      <c r="M66" s="1190"/>
      <c r="N66" s="1190"/>
      <c r="O66" s="1190">
        <v>40</v>
      </c>
      <c r="P66" s="1190">
        <v>48</v>
      </c>
      <c r="Q66" s="1190">
        <v>29</v>
      </c>
      <c r="R66" s="1190">
        <v>42</v>
      </c>
      <c r="S66" s="1190"/>
      <c r="T66" s="1190">
        <v>45</v>
      </c>
      <c r="U66" s="1190"/>
      <c r="V66" s="1190">
        <v>21</v>
      </c>
      <c r="W66" s="1190">
        <v>144</v>
      </c>
      <c r="X66" s="1190">
        <v>22</v>
      </c>
      <c r="Y66" s="1198">
        <f t="shared" si="1"/>
        <v>391</v>
      </c>
      <c r="Z66" s="62"/>
    </row>
    <row r="67" spans="1:26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>
        <v>7</v>
      </c>
      <c r="T67" s="1190"/>
      <c r="U67" s="1190"/>
      <c r="V67" s="1190"/>
      <c r="W67" s="1190"/>
      <c r="X67" s="1190"/>
      <c r="Y67" s="1198">
        <f t="shared" si="1"/>
        <v>7</v>
      </c>
      <c r="Z67" s="62"/>
    </row>
    <row r="68" spans="1:26" ht="21.9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3840</v>
      </c>
      <c r="F68" s="1198">
        <f t="shared" ref="F68:X68" si="27">F69+F70+F71+F72</f>
        <v>1476</v>
      </c>
      <c r="G68" s="1198">
        <f t="shared" si="27"/>
        <v>1210</v>
      </c>
      <c r="H68" s="1198">
        <f t="shared" si="27"/>
        <v>1818</v>
      </c>
      <c r="I68" s="1198">
        <f t="shared" si="27"/>
        <v>5574</v>
      </c>
      <c r="J68" s="1198">
        <f t="shared" si="27"/>
        <v>793</v>
      </c>
      <c r="K68" s="1198">
        <f t="shared" si="27"/>
        <v>2235</v>
      </c>
      <c r="L68" s="1198">
        <f t="shared" si="27"/>
        <v>768</v>
      </c>
      <c r="M68" s="1198">
        <f t="shared" si="27"/>
        <v>1980</v>
      </c>
      <c r="N68" s="1198">
        <f t="shared" si="27"/>
        <v>0</v>
      </c>
      <c r="O68" s="1198">
        <f t="shared" si="27"/>
        <v>322</v>
      </c>
      <c r="P68" s="1198">
        <f t="shared" si="27"/>
        <v>547</v>
      </c>
      <c r="Q68" s="1198">
        <f t="shared" si="27"/>
        <v>309</v>
      </c>
      <c r="R68" s="1198">
        <f t="shared" si="27"/>
        <v>382</v>
      </c>
      <c r="S68" s="1198">
        <f t="shared" si="27"/>
        <v>0</v>
      </c>
      <c r="T68" s="1198">
        <f t="shared" si="27"/>
        <v>309</v>
      </c>
      <c r="U68" s="1198">
        <f t="shared" si="27"/>
        <v>2311</v>
      </c>
      <c r="V68" s="1198">
        <f t="shared" si="27"/>
        <v>255</v>
      </c>
      <c r="W68" s="1198">
        <f t="shared" si="27"/>
        <v>1355</v>
      </c>
      <c r="X68" s="1198">
        <f t="shared" si="27"/>
        <v>288</v>
      </c>
      <c r="Y68" s="1198">
        <f t="shared" si="1"/>
        <v>25772</v>
      </c>
      <c r="Z68" s="62"/>
    </row>
    <row r="69" spans="1:26" ht="21.95" customHeight="1">
      <c r="A69" s="66" t="s">
        <v>158</v>
      </c>
      <c r="B69" s="1199" t="s">
        <v>149</v>
      </c>
      <c r="C69" s="1199"/>
      <c r="D69" s="62"/>
      <c r="E69" s="1190">
        <v>3840</v>
      </c>
      <c r="F69" s="1190">
        <v>1476</v>
      </c>
      <c r="G69" s="1190">
        <v>1210</v>
      </c>
      <c r="H69" s="1190">
        <v>1818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0">
        <v>1253</v>
      </c>
      <c r="V69" s="1190"/>
      <c r="W69" s="1190"/>
      <c r="X69" s="1190"/>
      <c r="Y69" s="1198">
        <f t="shared" ref="Y69:Y75" si="28">SUM(E69:X69)</f>
        <v>9597</v>
      </c>
      <c r="Z69" s="62"/>
    </row>
    <row r="70" spans="1:26" ht="21.9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5574</v>
      </c>
      <c r="J70" s="1190">
        <v>793</v>
      </c>
      <c r="K70" s="1190">
        <v>2235</v>
      </c>
      <c r="L70" s="1190">
        <v>768</v>
      </c>
      <c r="M70" s="1190">
        <v>1980</v>
      </c>
      <c r="N70" s="1190"/>
      <c r="O70" s="1190"/>
      <c r="P70" s="1190"/>
      <c r="Q70" s="1190"/>
      <c r="R70" s="1190"/>
      <c r="S70" s="1190"/>
      <c r="T70" s="1190"/>
      <c r="U70" s="1190">
        <v>1058</v>
      </c>
      <c r="V70" s="1190"/>
      <c r="W70" s="1190"/>
      <c r="X70" s="1190"/>
      <c r="Y70" s="1198">
        <f t="shared" si="28"/>
        <v>12408</v>
      </c>
      <c r="Z70" s="62"/>
    </row>
    <row r="71" spans="1:26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/>
      <c r="M71" s="1190"/>
      <c r="N71" s="1190"/>
      <c r="O71" s="1190">
        <v>322</v>
      </c>
      <c r="P71" s="1190">
        <v>547</v>
      </c>
      <c r="Q71" s="1190">
        <v>309</v>
      </c>
      <c r="R71" s="1190">
        <v>382</v>
      </c>
      <c r="S71" s="1190"/>
      <c r="T71" s="1190">
        <v>309</v>
      </c>
      <c r="U71" s="1190"/>
      <c r="V71" s="1190">
        <v>255</v>
      </c>
      <c r="W71" s="1190">
        <v>1355</v>
      </c>
      <c r="X71" s="1190">
        <v>288</v>
      </c>
      <c r="Y71" s="1198">
        <f t="shared" si="28"/>
        <v>3767</v>
      </c>
      <c r="Z71" s="62"/>
    </row>
    <row r="72" spans="1:26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0"/>
      <c r="V72" s="1190"/>
      <c r="W72" s="1190"/>
      <c r="X72" s="1190"/>
      <c r="Y72" s="1198">
        <f t="shared" si="28"/>
        <v>0</v>
      </c>
      <c r="Z72" s="62"/>
    </row>
    <row r="73" spans="1:26" ht="21.95" customHeight="1">
      <c r="A73" s="66" t="s">
        <v>162</v>
      </c>
      <c r="B73" s="61" t="s">
        <v>218</v>
      </c>
      <c r="C73" s="61"/>
      <c r="D73" s="62"/>
      <c r="E73" s="1190">
        <v>139</v>
      </c>
      <c r="F73" s="1190">
        <v>54</v>
      </c>
      <c r="G73" s="1190">
        <v>64</v>
      </c>
      <c r="H73" s="1190">
        <v>4</v>
      </c>
      <c r="I73" s="1190">
        <v>113</v>
      </c>
      <c r="J73" s="1190">
        <v>42</v>
      </c>
      <c r="K73" s="1190">
        <v>39</v>
      </c>
      <c r="L73" s="1190">
        <v>28</v>
      </c>
      <c r="M73" s="1190">
        <v>5</v>
      </c>
      <c r="N73" s="1190"/>
      <c r="O73" s="1190">
        <v>41</v>
      </c>
      <c r="P73" s="1190">
        <v>1</v>
      </c>
      <c r="Q73" s="1190"/>
      <c r="R73" s="1190">
        <v>30</v>
      </c>
      <c r="S73" s="1190">
        <v>8</v>
      </c>
      <c r="T73" s="1190">
        <v>0</v>
      </c>
      <c r="U73" s="1190">
        <v>23</v>
      </c>
      <c r="V73" s="1190"/>
      <c r="W73" s="1190">
        <v>56</v>
      </c>
      <c r="X73" s="1190"/>
      <c r="Y73" s="1198">
        <f t="shared" si="28"/>
        <v>647</v>
      </c>
      <c r="Z73" s="62"/>
    </row>
    <row r="74" spans="1:26" ht="21.95" customHeight="1">
      <c r="A74" s="66" t="s">
        <v>3011</v>
      </c>
      <c r="B74" s="1199" t="s">
        <v>219</v>
      </c>
      <c r="C74" s="1199"/>
      <c r="D74" s="67"/>
      <c r="E74" s="1180">
        <v>32490.31</v>
      </c>
      <c r="F74" s="1180">
        <v>13160</v>
      </c>
      <c r="G74" s="1180">
        <v>8951.8799999999992</v>
      </c>
      <c r="H74" s="1180">
        <v>11355.73</v>
      </c>
      <c r="I74" s="1180">
        <v>38028.839999999997</v>
      </c>
      <c r="J74" s="1180">
        <v>4631.83</v>
      </c>
      <c r="K74" s="1180">
        <v>12756.42</v>
      </c>
      <c r="L74" s="1180">
        <v>9285.57</v>
      </c>
      <c r="M74" s="1180">
        <v>14358.21</v>
      </c>
      <c r="N74" s="1180"/>
      <c r="O74" s="1180">
        <v>4286</v>
      </c>
      <c r="P74" s="1180">
        <v>13349.34</v>
      </c>
      <c r="Q74" s="1180">
        <v>3731.92</v>
      </c>
      <c r="R74" s="1180">
        <v>4612</v>
      </c>
      <c r="S74" s="1180">
        <v>2800</v>
      </c>
      <c r="T74" s="1180">
        <v>6500</v>
      </c>
      <c r="U74" s="1180">
        <v>32335.57</v>
      </c>
      <c r="V74" s="1180">
        <v>6995</v>
      </c>
      <c r="W74" s="1180">
        <v>23029.07</v>
      </c>
      <c r="X74" s="1180">
        <v>8272.89</v>
      </c>
      <c r="Y74" s="1185">
        <f t="shared" si="28"/>
        <v>250930.58000000002</v>
      </c>
      <c r="Z74" s="62"/>
    </row>
    <row r="75" spans="1:26" ht="21.95" customHeight="1">
      <c r="A75" s="66" t="s">
        <v>3012</v>
      </c>
      <c r="B75" s="1199" t="s">
        <v>220</v>
      </c>
      <c r="C75" s="1199"/>
      <c r="D75" s="67"/>
      <c r="E75" s="1180">
        <v>17447</v>
      </c>
      <c r="F75" s="1180">
        <v>8691</v>
      </c>
      <c r="G75" s="1180">
        <v>6496</v>
      </c>
      <c r="H75" s="1180">
        <v>4073</v>
      </c>
      <c r="I75" s="1180">
        <v>12339</v>
      </c>
      <c r="J75" s="1180">
        <v>3226</v>
      </c>
      <c r="K75" s="1180">
        <v>6620</v>
      </c>
      <c r="L75" s="1180">
        <v>3585</v>
      </c>
      <c r="M75" s="1180">
        <v>7880</v>
      </c>
      <c r="N75" s="1180"/>
      <c r="O75" s="1180">
        <v>2350</v>
      </c>
      <c r="P75" s="1180">
        <v>6044.7</v>
      </c>
      <c r="Q75" s="1180">
        <v>1786</v>
      </c>
      <c r="R75" s="1180">
        <v>1717</v>
      </c>
      <c r="S75" s="1180"/>
      <c r="T75" s="1180">
        <v>2312.1</v>
      </c>
      <c r="U75" s="1180">
        <v>17204.3</v>
      </c>
      <c r="V75" s="1180">
        <v>3698.1</v>
      </c>
      <c r="W75" s="1180">
        <v>9430</v>
      </c>
      <c r="X75" s="1180">
        <v>2981.45</v>
      </c>
      <c r="Y75" s="1185">
        <f t="shared" si="28"/>
        <v>117880.65000000001</v>
      </c>
      <c r="Z75" s="62"/>
    </row>
    <row r="76" spans="1:26">
      <c r="E76" s="3" t="s">
        <v>3089</v>
      </c>
      <c r="U76" s="3" t="s">
        <v>3089</v>
      </c>
      <c r="X76" s="3" t="s">
        <v>3089</v>
      </c>
    </row>
    <row r="82" spans="5:26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</sheetData>
  <protectedRanges>
    <protectedRange password="E9C1" sqref="D31 C32 A6:D7 B8:D30 Y6:Z75 B33:D75 A8:A75 A3:Z5" name="区域1_1"/>
    <protectedRange password="E9C1" sqref="B31:C31 B32" name="区域1_1_1"/>
    <protectedRange password="E9C1" sqref="D32" name="区域1_2"/>
  </protectedRanges>
  <mergeCells count="7">
    <mergeCell ref="A1:Z1"/>
    <mergeCell ref="A3:A4"/>
    <mergeCell ref="B3:B4"/>
    <mergeCell ref="C3:C4"/>
    <mergeCell ref="D3:D4"/>
    <mergeCell ref="Y3:Y4"/>
    <mergeCell ref="Z3:Z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79"/>
  <sheetViews>
    <sheetView topLeftCell="B1" workbookViewId="0">
      <pane xSplit="3" ySplit="4" topLeftCell="H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3.5"/>
  <cols>
    <col min="1" max="1" width="5.875" style="1217" hidden="1" customWidth="1"/>
    <col min="2" max="2" width="22.625" style="3" customWidth="1"/>
    <col min="3" max="4" width="0" style="1217" hidden="1" customWidth="1"/>
    <col min="5" max="5" width="12.125" style="3" customWidth="1"/>
    <col min="6" max="6" width="11.625" style="3" customWidth="1"/>
    <col min="7" max="7" width="11.75" style="3" customWidth="1"/>
    <col min="8" max="8" width="12" style="3" customWidth="1"/>
    <col min="9" max="11" width="12.125" style="3" customWidth="1"/>
    <col min="12" max="12" width="12.375" style="3" customWidth="1"/>
    <col min="13" max="13" width="11.75" style="3" customWidth="1"/>
    <col min="14" max="14" width="12" style="3" customWidth="1"/>
    <col min="15" max="15" width="11.625" style="3" customWidth="1"/>
    <col min="16" max="16" width="11.75" style="3" customWidth="1"/>
    <col min="17" max="17" width="12" style="3" customWidth="1"/>
    <col min="18" max="18" width="11.75" style="3" customWidth="1"/>
    <col min="19" max="19" width="11.625" style="3" customWidth="1"/>
    <col min="20" max="20" width="11.875" style="3" customWidth="1"/>
    <col min="21" max="21" width="11.75" style="3" customWidth="1"/>
    <col min="22" max="22" width="12.875" style="3" customWidth="1"/>
    <col min="23" max="23" width="12" style="3" customWidth="1"/>
    <col min="24" max="24" width="13" style="1218" customWidth="1"/>
    <col min="25" max="25" width="0" style="1210" hidden="1" customWidth="1"/>
    <col min="26" max="26" width="9" style="1210"/>
    <col min="27" max="27" width="12.75" style="1210" bestFit="1" customWidth="1"/>
    <col min="28" max="32" width="9" style="1210"/>
    <col min="33" max="33" width="15" style="1210" bestFit="1" customWidth="1"/>
    <col min="34" max="16384" width="9" style="1210"/>
  </cols>
  <sheetData>
    <row r="1" spans="1:33" ht="24.95" customHeight="1">
      <c r="A1" s="1613" t="s">
        <v>3053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</row>
    <row r="2" spans="1:33" s="1213" customFormat="1" ht="20.100000000000001" customHeight="1">
      <c r="A2" s="1211"/>
      <c r="B2" s="1211"/>
      <c r="C2" s="1211"/>
      <c r="D2" s="1211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53" t="s">
        <v>3242</v>
      </c>
      <c r="Y2" s="1211" t="s">
        <v>3078</v>
      </c>
    </row>
    <row r="3" spans="1:33" ht="24.95" customHeight="1">
      <c r="A3" s="1614" t="s">
        <v>12</v>
      </c>
      <c r="B3" s="1614" t="s">
        <v>13</v>
      </c>
      <c r="C3" s="1614" t="s">
        <v>14</v>
      </c>
      <c r="D3" s="1614" t="s">
        <v>15</v>
      </c>
      <c r="E3" s="1191" t="s">
        <v>3090</v>
      </c>
      <c r="F3" s="1191" t="s">
        <v>3091</v>
      </c>
      <c r="G3" s="1191" t="s">
        <v>3039</v>
      </c>
      <c r="H3" s="1191" t="s">
        <v>3040</v>
      </c>
      <c r="I3" s="1191" t="s">
        <v>3092</v>
      </c>
      <c r="J3" s="1191" t="s">
        <v>3093</v>
      </c>
      <c r="K3" s="1191" t="s">
        <v>3094</v>
      </c>
      <c r="L3" s="1191" t="s">
        <v>3041</v>
      </c>
      <c r="M3" s="1191" t="s">
        <v>3095</v>
      </c>
      <c r="N3" s="1191" t="s">
        <v>3042</v>
      </c>
      <c r="O3" s="1191" t="s">
        <v>3043</v>
      </c>
      <c r="P3" s="1191" t="s">
        <v>3044</v>
      </c>
      <c r="Q3" s="1191" t="s">
        <v>3045</v>
      </c>
      <c r="R3" s="1191" t="s">
        <v>3046</v>
      </c>
      <c r="S3" s="1191" t="s">
        <v>3047</v>
      </c>
      <c r="T3" s="1191" t="s">
        <v>3048</v>
      </c>
      <c r="U3" s="1191" t="s">
        <v>3049</v>
      </c>
      <c r="V3" s="1191" t="s">
        <v>3050</v>
      </c>
      <c r="W3" s="1191" t="s">
        <v>273</v>
      </c>
      <c r="X3" s="1616" t="s">
        <v>17</v>
      </c>
      <c r="Y3" s="1616" t="s">
        <v>18</v>
      </c>
    </row>
    <row r="4" spans="1:33" ht="24.95" customHeight="1">
      <c r="A4" s="1615"/>
      <c r="B4" s="1615"/>
      <c r="C4" s="1615"/>
      <c r="D4" s="1615"/>
      <c r="E4" s="1191" t="s">
        <v>464</v>
      </c>
      <c r="F4" s="1191" t="s">
        <v>464</v>
      </c>
      <c r="G4" s="1191" t="s">
        <v>2371</v>
      </c>
      <c r="H4" s="1191" t="s">
        <v>464</v>
      </c>
      <c r="I4" s="1191" t="s">
        <v>2371</v>
      </c>
      <c r="J4" s="1191" t="s">
        <v>463</v>
      </c>
      <c r="K4" s="1191" t="s">
        <v>463</v>
      </c>
      <c r="L4" s="1191" t="s">
        <v>463</v>
      </c>
      <c r="M4" s="1191" t="s">
        <v>3096</v>
      </c>
      <c r="N4" s="1191" t="s">
        <v>3096</v>
      </c>
      <c r="O4" s="1191" t="s">
        <v>3081</v>
      </c>
      <c r="P4" s="1191" t="s">
        <v>3081</v>
      </c>
      <c r="Q4" s="1191" t="s">
        <v>3081</v>
      </c>
      <c r="R4" s="1191" t="s">
        <v>3081</v>
      </c>
      <c r="S4" s="1191" t="s">
        <v>3081</v>
      </c>
      <c r="T4" s="1191" t="s">
        <v>3081</v>
      </c>
      <c r="U4" s="1191" t="s">
        <v>3081</v>
      </c>
      <c r="V4" s="1191" t="s">
        <v>3081</v>
      </c>
      <c r="W4" s="1191" t="s">
        <v>3082</v>
      </c>
      <c r="X4" s="1612"/>
      <c r="Y4" s="1612"/>
    </row>
    <row r="5" spans="1:33" ht="21.95" customHeight="1">
      <c r="A5" s="1207" t="s">
        <v>19</v>
      </c>
      <c r="B5" s="61" t="s">
        <v>20</v>
      </c>
      <c r="C5" s="1207"/>
      <c r="D5" s="1207" t="s">
        <v>21</v>
      </c>
      <c r="E5" s="1201">
        <f t="shared" ref="E5:W5" si="0">E6+E33+E40</f>
        <v>23158204.600000001</v>
      </c>
      <c r="F5" s="1201">
        <f t="shared" si="0"/>
        <v>22739171.349999998</v>
      </c>
      <c r="G5" s="1201">
        <f t="shared" si="0"/>
        <v>24364808.5</v>
      </c>
      <c r="H5" s="1201">
        <f t="shared" si="0"/>
        <v>23055573.299999997</v>
      </c>
      <c r="I5" s="1201">
        <f t="shared" si="0"/>
        <v>10994326.66</v>
      </c>
      <c r="J5" s="1201">
        <f t="shared" si="0"/>
        <v>26931519.579999998</v>
      </c>
      <c r="K5" s="1201">
        <f t="shared" si="0"/>
        <v>20994149.270000003</v>
      </c>
      <c r="L5" s="1201">
        <f t="shared" si="0"/>
        <v>17185452.18</v>
      </c>
      <c r="M5" s="1201">
        <f t="shared" si="0"/>
        <v>21677332.619999997</v>
      </c>
      <c r="N5" s="1201">
        <f t="shared" si="0"/>
        <v>16577545.120000001</v>
      </c>
      <c r="O5" s="1201">
        <f t="shared" si="0"/>
        <v>12298950.27</v>
      </c>
      <c r="P5" s="1201">
        <f t="shared" si="0"/>
        <v>13288357.350000001</v>
      </c>
      <c r="Q5" s="1201">
        <f t="shared" si="0"/>
        <v>11925552.449999999</v>
      </c>
      <c r="R5" s="1201">
        <f t="shared" si="0"/>
        <v>4814619.0999999996</v>
      </c>
      <c r="S5" s="1201">
        <f t="shared" si="0"/>
        <v>6907167.9399999985</v>
      </c>
      <c r="T5" s="1201">
        <f t="shared" si="0"/>
        <v>6609156.9199999999</v>
      </c>
      <c r="U5" s="1201">
        <f t="shared" si="0"/>
        <v>8309058.2300000004</v>
      </c>
      <c r="V5" s="1201">
        <f t="shared" si="0"/>
        <v>9125876.3500000015</v>
      </c>
      <c r="W5" s="1201">
        <f t="shared" si="0"/>
        <v>1718482.56</v>
      </c>
      <c r="X5" s="1208">
        <f>SUM(E5:W5)</f>
        <v>282675304.35000002</v>
      </c>
      <c r="Y5" s="1209"/>
      <c r="Z5" s="1214"/>
    </row>
    <row r="6" spans="1:33" ht="21.95" customHeight="1">
      <c r="A6" s="1207" t="s">
        <v>22</v>
      </c>
      <c r="B6" s="61" t="s">
        <v>0</v>
      </c>
      <c r="C6" s="1207"/>
      <c r="D6" s="1207" t="s">
        <v>21</v>
      </c>
      <c r="E6" s="1201">
        <f t="shared" ref="E6:W6" si="1">E7+E10+E14+E17+E22+E27+E29+E31+E32</f>
        <v>15791932.6</v>
      </c>
      <c r="F6" s="1201">
        <f t="shared" si="1"/>
        <v>15817528.969999999</v>
      </c>
      <c r="G6" s="1201">
        <f t="shared" si="1"/>
        <v>17786703.149999999</v>
      </c>
      <c r="H6" s="1201">
        <f t="shared" si="1"/>
        <v>15837686.079999998</v>
      </c>
      <c r="I6" s="1201">
        <f t="shared" si="1"/>
        <v>7032919.4000000004</v>
      </c>
      <c r="J6" s="1201">
        <f t="shared" si="1"/>
        <v>17280183.899999999</v>
      </c>
      <c r="K6" s="1201">
        <f t="shared" si="1"/>
        <v>13331869.560000002</v>
      </c>
      <c r="L6" s="1201">
        <f t="shared" si="1"/>
        <v>10800034.490000002</v>
      </c>
      <c r="M6" s="1201">
        <f t="shared" si="1"/>
        <v>15832811.329999998</v>
      </c>
      <c r="N6" s="1201">
        <f t="shared" si="1"/>
        <v>11750082.27</v>
      </c>
      <c r="O6" s="1201">
        <f t="shared" si="1"/>
        <v>9168152.1500000004</v>
      </c>
      <c r="P6" s="1201">
        <f t="shared" si="1"/>
        <v>9500155.6500000004</v>
      </c>
      <c r="Q6" s="1201">
        <f t="shared" si="1"/>
        <v>9147006.6499999985</v>
      </c>
      <c r="R6" s="1201">
        <f t="shared" si="1"/>
        <v>3566037.0999999996</v>
      </c>
      <c r="S6" s="1201">
        <f t="shared" si="1"/>
        <v>4478024.0499999989</v>
      </c>
      <c r="T6" s="1201">
        <f t="shared" si="1"/>
        <v>4380594.92</v>
      </c>
      <c r="U6" s="1201">
        <f t="shared" si="1"/>
        <v>6002756.4100000001</v>
      </c>
      <c r="V6" s="1201">
        <f t="shared" si="1"/>
        <v>6429994.0200000005</v>
      </c>
      <c r="W6" s="1201">
        <f t="shared" si="1"/>
        <v>1021978.85</v>
      </c>
      <c r="X6" s="1208">
        <f t="shared" ref="X6:X69" si="2">SUM(E6:W6)</f>
        <v>194956451.55000001</v>
      </c>
      <c r="Y6" s="1209"/>
    </row>
    <row r="7" spans="1:33" ht="21.95" customHeight="1">
      <c r="A7" s="1207" t="s">
        <v>23</v>
      </c>
      <c r="B7" s="61" t="s">
        <v>24</v>
      </c>
      <c r="C7" s="1207"/>
      <c r="D7" s="1207" t="s">
        <v>21</v>
      </c>
      <c r="E7" s="1201">
        <f t="shared" ref="E7:W7" si="3">E8+E9</f>
        <v>4932679</v>
      </c>
      <c r="F7" s="1201">
        <f t="shared" si="3"/>
        <v>4621157</v>
      </c>
      <c r="G7" s="1201">
        <f t="shared" si="3"/>
        <v>4622935.72</v>
      </c>
      <c r="H7" s="1201">
        <f t="shared" si="3"/>
        <v>4294108</v>
      </c>
      <c r="I7" s="1201">
        <f t="shared" si="3"/>
        <v>1807300</v>
      </c>
      <c r="J7" s="1201">
        <f t="shared" si="3"/>
        <v>5373200</v>
      </c>
      <c r="K7" s="1201">
        <f t="shared" si="3"/>
        <v>3949023.3000000003</v>
      </c>
      <c r="L7" s="1201">
        <f t="shared" si="3"/>
        <v>2932968</v>
      </c>
      <c r="M7" s="1201">
        <f t="shared" si="3"/>
        <v>4624178</v>
      </c>
      <c r="N7" s="1201">
        <f t="shared" si="3"/>
        <v>3226234</v>
      </c>
      <c r="O7" s="1201">
        <f t="shared" si="3"/>
        <v>2973093.5</v>
      </c>
      <c r="P7" s="1201">
        <f t="shared" si="3"/>
        <v>3105073.74</v>
      </c>
      <c r="Q7" s="1201">
        <f t="shared" si="3"/>
        <v>3010138</v>
      </c>
      <c r="R7" s="1201">
        <f t="shared" si="3"/>
        <v>1111857</v>
      </c>
      <c r="S7" s="1201">
        <f t="shared" si="3"/>
        <v>1384512</v>
      </c>
      <c r="T7" s="1201">
        <f t="shared" si="3"/>
        <v>1349770</v>
      </c>
      <c r="U7" s="1201">
        <f t="shared" si="3"/>
        <v>1831125</v>
      </c>
      <c r="V7" s="1201">
        <f t="shared" si="3"/>
        <v>1972589</v>
      </c>
      <c r="W7" s="1201">
        <f t="shared" si="3"/>
        <v>370907</v>
      </c>
      <c r="X7" s="1208">
        <f t="shared" si="2"/>
        <v>57492848.259999998</v>
      </c>
      <c r="Y7" s="1209"/>
    </row>
    <row r="8" spans="1:33" ht="21.95" customHeight="1">
      <c r="A8" s="1207" t="s">
        <v>25</v>
      </c>
      <c r="B8" s="61" t="s">
        <v>26</v>
      </c>
      <c r="C8" s="1207" t="s">
        <v>27</v>
      </c>
      <c r="D8" s="1207" t="s">
        <v>28</v>
      </c>
      <c r="E8" s="1183">
        <f>2031593+208392*3+2420*2</f>
        <v>2661609</v>
      </c>
      <c r="F8" s="1183">
        <v>2595957</v>
      </c>
      <c r="G8" s="1183">
        <v>3000569</v>
      </c>
      <c r="H8" s="1183">
        <f>2648636+10000</f>
        <v>2658636</v>
      </c>
      <c r="I8" s="1183">
        <v>1295300</v>
      </c>
      <c r="J8" s="1183">
        <v>2817652</v>
      </c>
      <c r="K8" s="1183">
        <v>2282061.7000000002</v>
      </c>
      <c r="L8" s="1183">
        <v>1954070</v>
      </c>
      <c r="M8" s="1183">
        <f>223348*12+164353</f>
        <v>2844529</v>
      </c>
      <c r="N8" s="1183">
        <v>2061765</v>
      </c>
      <c r="O8" s="1183">
        <v>1751896</v>
      </c>
      <c r="P8" s="1183">
        <v>1869721</v>
      </c>
      <c r="Q8" s="1183">
        <v>1903970</v>
      </c>
      <c r="R8" s="1183">
        <f>461648+55223*4.5</f>
        <v>710151.5</v>
      </c>
      <c r="S8" s="1183">
        <v>848438</v>
      </c>
      <c r="T8" s="1183">
        <v>865806</v>
      </c>
      <c r="U8" s="1183">
        <v>1124886</v>
      </c>
      <c r="V8" s="1183">
        <v>1255500</v>
      </c>
      <c r="W8" s="1183">
        <v>191638</v>
      </c>
      <c r="X8" s="1208">
        <f t="shared" si="2"/>
        <v>34694155.200000003</v>
      </c>
      <c r="Y8" s="1209"/>
    </row>
    <row r="9" spans="1:33" ht="21.95" customHeight="1">
      <c r="A9" s="1207" t="s">
        <v>29</v>
      </c>
      <c r="B9" s="61" t="s">
        <v>30</v>
      </c>
      <c r="C9" s="1207" t="s">
        <v>27</v>
      </c>
      <c r="D9" s="1207" t="s">
        <v>28</v>
      </c>
      <c r="E9" s="1183">
        <f>1738881+176343*3+1580*2</f>
        <v>2271070</v>
      </c>
      <c r="F9" s="1183">
        <v>2025200</v>
      </c>
      <c r="G9" s="1183">
        <v>1622366.72</v>
      </c>
      <c r="H9" s="1183">
        <f>1625472+10000</f>
        <v>1635472</v>
      </c>
      <c r="I9" s="1183">
        <v>512000</v>
      </c>
      <c r="J9" s="1183">
        <v>2555548</v>
      </c>
      <c r="K9" s="1183">
        <v>1666961.6</v>
      </c>
      <c r="L9" s="1183">
        <v>978898</v>
      </c>
      <c r="M9" s="1183">
        <f>137756*12+126577</f>
        <v>1779649</v>
      </c>
      <c r="N9" s="1183">
        <v>1164469</v>
      </c>
      <c r="O9" s="1183">
        <v>1221197.5</v>
      </c>
      <c r="P9" s="1183">
        <v>1235352.74</v>
      </c>
      <c r="Q9" s="1183">
        <v>1106168</v>
      </c>
      <c r="R9" s="1183">
        <f>30787*4.5+263164</f>
        <v>401705.5</v>
      </c>
      <c r="S9" s="1183">
        <v>536074</v>
      </c>
      <c r="T9" s="1183">
        <v>483964</v>
      </c>
      <c r="U9" s="1183">
        <v>706239</v>
      </c>
      <c r="V9" s="1183">
        <v>717089</v>
      </c>
      <c r="W9" s="1183">
        <v>179269</v>
      </c>
      <c r="X9" s="1208">
        <f t="shared" si="2"/>
        <v>22798693.059999999</v>
      </c>
      <c r="Y9" s="1209"/>
    </row>
    <row r="10" spans="1:33" ht="21.95" customHeight="1">
      <c r="A10" s="1207" t="s">
        <v>31</v>
      </c>
      <c r="B10" s="61" t="s">
        <v>32</v>
      </c>
      <c r="C10" s="1207"/>
      <c r="D10" s="1207" t="s">
        <v>21</v>
      </c>
      <c r="E10" s="1201">
        <f t="shared" ref="E10:W10" si="4">E11+E12</f>
        <v>423705</v>
      </c>
      <c r="F10" s="1201">
        <f t="shared" si="4"/>
        <v>419717</v>
      </c>
      <c r="G10" s="1201">
        <f t="shared" si="4"/>
        <v>504638</v>
      </c>
      <c r="H10" s="1201">
        <f t="shared" si="4"/>
        <v>457105</v>
      </c>
      <c r="I10" s="1201">
        <f t="shared" si="4"/>
        <v>240608</v>
      </c>
      <c r="J10" s="1201">
        <f t="shared" si="4"/>
        <v>479895</v>
      </c>
      <c r="K10" s="1201">
        <f t="shared" si="4"/>
        <v>375159</v>
      </c>
      <c r="L10" s="1201">
        <f t="shared" si="4"/>
        <v>329151</v>
      </c>
      <c r="M10" s="1201">
        <f t="shared" si="4"/>
        <v>474496.8</v>
      </c>
      <c r="N10" s="1201">
        <f t="shared" si="4"/>
        <v>359911</v>
      </c>
      <c r="O10" s="1201">
        <f t="shared" si="4"/>
        <v>297292</v>
      </c>
      <c r="P10" s="1201">
        <f t="shared" si="4"/>
        <v>316238</v>
      </c>
      <c r="Q10" s="1201">
        <f t="shared" si="4"/>
        <v>326008</v>
      </c>
      <c r="R10" s="1201">
        <f t="shared" si="4"/>
        <v>117133</v>
      </c>
      <c r="S10" s="1201">
        <f t="shared" si="4"/>
        <v>151136</v>
      </c>
      <c r="T10" s="1201">
        <f t="shared" si="4"/>
        <v>149844.66999999998</v>
      </c>
      <c r="U10" s="1201">
        <f t="shared" si="4"/>
        <v>199974</v>
      </c>
      <c r="V10" s="1201">
        <f t="shared" si="4"/>
        <v>211797</v>
      </c>
      <c r="W10" s="1201">
        <f t="shared" si="4"/>
        <v>31549</v>
      </c>
      <c r="X10" s="1208">
        <f t="shared" si="2"/>
        <v>5865357.4699999997</v>
      </c>
      <c r="Y10" s="1209"/>
    </row>
    <row r="11" spans="1:33" ht="21.95" customHeight="1">
      <c r="A11" s="1207" t="s">
        <v>33</v>
      </c>
      <c r="B11" s="61" t="s">
        <v>34</v>
      </c>
      <c r="C11" s="1207" t="s">
        <v>27</v>
      </c>
      <c r="D11" s="1207" t="s">
        <v>28</v>
      </c>
      <c r="E11" s="1183">
        <f>4283+472*3+6</f>
        <v>5705</v>
      </c>
      <c r="F11" s="1183">
        <v>4925</v>
      </c>
      <c r="G11" s="1183">
        <v>2598</v>
      </c>
      <c r="H11" s="1183">
        <v>3465</v>
      </c>
      <c r="I11" s="1183">
        <v>608</v>
      </c>
      <c r="J11" s="1183">
        <v>6455</v>
      </c>
      <c r="K11" s="1183">
        <v>4239</v>
      </c>
      <c r="L11" s="1183">
        <v>6191</v>
      </c>
      <c r="M11" s="1183">
        <f>410*12+851.4*12</f>
        <v>15136.8</v>
      </c>
      <c r="N11" s="1183">
        <v>2447</v>
      </c>
      <c r="O11" s="1183">
        <v>3592</v>
      </c>
      <c r="P11" s="1183">
        <v>3838</v>
      </c>
      <c r="Q11" s="1183">
        <v>3108</v>
      </c>
      <c r="R11" s="1183">
        <f>645+82*4</f>
        <v>973</v>
      </c>
      <c r="S11" s="1183">
        <v>1536</v>
      </c>
      <c r="T11" s="1183">
        <v>13446.05</v>
      </c>
      <c r="U11" s="1183">
        <v>1974</v>
      </c>
      <c r="V11" s="1183">
        <v>2797</v>
      </c>
      <c r="W11" s="1183">
        <v>309</v>
      </c>
      <c r="X11" s="1208">
        <f t="shared" si="2"/>
        <v>83342.850000000006</v>
      </c>
      <c r="Y11" s="1209"/>
    </row>
    <row r="12" spans="1:33" ht="21.95" customHeight="1">
      <c r="A12" s="1207" t="s">
        <v>35</v>
      </c>
      <c r="B12" s="61" t="s">
        <v>36</v>
      </c>
      <c r="C12" s="1207"/>
      <c r="D12" s="1207" t="s">
        <v>21</v>
      </c>
      <c r="E12" s="1201">
        <f t="shared" ref="E12:W12" si="5">E13</f>
        <v>418000</v>
      </c>
      <c r="F12" s="1201">
        <f t="shared" si="5"/>
        <v>414792</v>
      </c>
      <c r="G12" s="1201">
        <f t="shared" si="5"/>
        <v>502040</v>
      </c>
      <c r="H12" s="1201">
        <f t="shared" si="5"/>
        <v>453640</v>
      </c>
      <c r="I12" s="1201">
        <f t="shared" si="5"/>
        <v>240000</v>
      </c>
      <c r="J12" s="1201">
        <f t="shared" si="5"/>
        <v>473440</v>
      </c>
      <c r="K12" s="1201">
        <f t="shared" si="5"/>
        <v>370920</v>
      </c>
      <c r="L12" s="1201">
        <f t="shared" si="5"/>
        <v>322960</v>
      </c>
      <c r="M12" s="1201">
        <f t="shared" si="5"/>
        <v>459360</v>
      </c>
      <c r="N12" s="1201">
        <f t="shared" si="5"/>
        <v>357464</v>
      </c>
      <c r="O12" s="1201">
        <f t="shared" si="5"/>
        <v>293700</v>
      </c>
      <c r="P12" s="1201">
        <f t="shared" si="5"/>
        <v>312400</v>
      </c>
      <c r="Q12" s="1201">
        <f t="shared" si="5"/>
        <v>322900</v>
      </c>
      <c r="R12" s="1201">
        <f t="shared" si="5"/>
        <v>116160</v>
      </c>
      <c r="S12" s="1201">
        <f t="shared" si="5"/>
        <v>149600</v>
      </c>
      <c r="T12" s="1201">
        <f t="shared" si="5"/>
        <v>136398.62</v>
      </c>
      <c r="U12" s="1201">
        <f t="shared" si="5"/>
        <v>198000</v>
      </c>
      <c r="V12" s="1201">
        <f t="shared" si="5"/>
        <v>209000</v>
      </c>
      <c r="W12" s="1201">
        <f t="shared" si="5"/>
        <v>31240</v>
      </c>
      <c r="X12" s="1208">
        <f t="shared" si="2"/>
        <v>5782014.6200000001</v>
      </c>
      <c r="Y12" s="1209"/>
    </row>
    <row r="13" spans="1:33" ht="21.95" customHeight="1">
      <c r="A13" s="1207" t="s">
        <v>37</v>
      </c>
      <c r="B13" s="61" t="s">
        <v>3097</v>
      </c>
      <c r="C13" s="1207" t="s">
        <v>27</v>
      </c>
      <c r="D13" s="1207" t="s">
        <v>28</v>
      </c>
      <c r="E13" s="1183">
        <f>312840+440*79*3+440*2</f>
        <v>418000</v>
      </c>
      <c r="F13" s="1183">
        <v>414792</v>
      </c>
      <c r="G13" s="1183">
        <v>502040</v>
      </c>
      <c r="H13" s="1183">
        <v>453640</v>
      </c>
      <c r="I13" s="1183">
        <v>240000</v>
      </c>
      <c r="J13" s="1183">
        <v>473440</v>
      </c>
      <c r="K13" s="1183">
        <v>370920</v>
      </c>
      <c r="L13" s="1183">
        <v>322960</v>
      </c>
      <c r="M13" s="1183">
        <f>440*12*87</f>
        <v>459360</v>
      </c>
      <c r="N13" s="1183">
        <v>357464</v>
      </c>
      <c r="O13" s="1183">
        <v>293700</v>
      </c>
      <c r="P13" s="1183">
        <v>312400</v>
      </c>
      <c r="Q13" s="1183">
        <v>322900</v>
      </c>
      <c r="R13" s="1183">
        <v>116160</v>
      </c>
      <c r="S13" s="1183">
        <v>149600</v>
      </c>
      <c r="T13" s="1183">
        <v>136398.62</v>
      </c>
      <c r="U13" s="1183">
        <v>198000</v>
      </c>
      <c r="V13" s="1183">
        <v>209000</v>
      </c>
      <c r="W13" s="1183">
        <v>31240</v>
      </c>
      <c r="X13" s="1208">
        <f t="shared" si="2"/>
        <v>5782014.6200000001</v>
      </c>
      <c r="Y13" s="1209"/>
    </row>
    <row r="14" spans="1:33" ht="21.95" customHeight="1">
      <c r="A14" s="1207" t="s">
        <v>39</v>
      </c>
      <c r="B14" s="61" t="s">
        <v>40</v>
      </c>
      <c r="C14" s="1207"/>
      <c r="D14" s="1207" t="s">
        <v>41</v>
      </c>
      <c r="E14" s="1201">
        <f t="shared" ref="E14:W14" si="6">E15+E16</f>
        <v>141875.71</v>
      </c>
      <c r="F14" s="1201">
        <f t="shared" si="6"/>
        <v>143949.16999999998</v>
      </c>
      <c r="G14" s="1201">
        <f t="shared" si="6"/>
        <v>209998.9</v>
      </c>
      <c r="H14" s="1201">
        <f t="shared" si="6"/>
        <v>183729.54</v>
      </c>
      <c r="I14" s="1201">
        <f t="shared" si="6"/>
        <v>68800.899999999994</v>
      </c>
      <c r="J14" s="1201">
        <f t="shared" si="6"/>
        <v>184040.6</v>
      </c>
      <c r="K14" s="1201">
        <f t="shared" si="6"/>
        <v>125241.23</v>
      </c>
      <c r="L14" s="1201">
        <f t="shared" si="6"/>
        <v>103779.70999999999</v>
      </c>
      <c r="M14" s="1201">
        <f t="shared" si="6"/>
        <v>150973.43</v>
      </c>
      <c r="N14" s="1201">
        <f t="shared" si="6"/>
        <v>113885.28</v>
      </c>
      <c r="O14" s="1201">
        <f t="shared" si="6"/>
        <v>100349.26999999999</v>
      </c>
      <c r="P14" s="1201">
        <f t="shared" si="6"/>
        <v>105953.35</v>
      </c>
      <c r="Q14" s="1201">
        <f t="shared" si="6"/>
        <v>100788.35</v>
      </c>
      <c r="R14" s="1201">
        <f t="shared" si="6"/>
        <v>35985.100000000006</v>
      </c>
      <c r="S14" s="1201">
        <f t="shared" si="6"/>
        <v>41985.570000000007</v>
      </c>
      <c r="T14" s="1201">
        <f t="shared" si="6"/>
        <v>51377.43</v>
      </c>
      <c r="U14" s="1201">
        <f t="shared" si="6"/>
        <v>67825.570000000007</v>
      </c>
      <c r="V14" s="1201">
        <f t="shared" si="6"/>
        <v>72468</v>
      </c>
      <c r="W14" s="1201">
        <f t="shared" si="6"/>
        <v>9597.090000000002</v>
      </c>
      <c r="X14" s="1208">
        <f t="shared" si="2"/>
        <v>2012604.2000000004</v>
      </c>
      <c r="Y14" s="1209"/>
      <c r="AG14" s="1215"/>
    </row>
    <row r="15" spans="1:33" ht="21.95" customHeight="1">
      <c r="A15" s="1207" t="s">
        <v>42</v>
      </c>
      <c r="B15" s="61" t="s">
        <v>3098</v>
      </c>
      <c r="C15" s="1207" t="s">
        <v>27</v>
      </c>
      <c r="D15" s="1207" t="s">
        <v>419</v>
      </c>
      <c r="E15" s="1183">
        <v>40040.449999999997</v>
      </c>
      <c r="F15" s="1183">
        <f>30163.76+3488.78*3</f>
        <v>40630.1</v>
      </c>
      <c r="G15" s="1183">
        <v>81543.03</v>
      </c>
      <c r="H15" s="1183">
        <f>67119.19+5000</f>
        <v>72119.19</v>
      </c>
      <c r="I15" s="1183">
        <v>19658</v>
      </c>
      <c r="J15" s="1183">
        <v>71053.72</v>
      </c>
      <c r="K15" s="1183">
        <v>35337.919999999998</v>
      </c>
      <c r="L15" s="1183">
        <v>30223.18</v>
      </c>
      <c r="M15" s="1183">
        <v>42621.27</v>
      </c>
      <c r="N15" s="1183">
        <v>32184.939999999995</v>
      </c>
      <c r="O15" s="1183">
        <v>38755.42</v>
      </c>
      <c r="P15" s="1183">
        <v>40919.39</v>
      </c>
      <c r="Q15" s="1183">
        <v>38931.46</v>
      </c>
      <c r="R15" s="1183">
        <v>13030.11</v>
      </c>
      <c r="S15" s="1183">
        <v>11863.870000000003</v>
      </c>
      <c r="T15" s="1183">
        <v>22637.13</v>
      </c>
      <c r="U15" s="1183">
        <v>26201.11</v>
      </c>
      <c r="V15" s="1183">
        <v>27996.639999999992</v>
      </c>
      <c r="W15" s="1183">
        <v>2710.3399999999997</v>
      </c>
      <c r="X15" s="1208">
        <f t="shared" si="2"/>
        <v>688457.2699999999</v>
      </c>
      <c r="Y15" s="1209"/>
      <c r="Z15" s="1210">
        <v>1310342.6499999997</v>
      </c>
      <c r="AA15" s="1215">
        <f>X15-Z15</f>
        <v>-621885.37999999977</v>
      </c>
    </row>
    <row r="16" spans="1:33" ht="21.95" customHeight="1">
      <c r="A16" s="1207" t="s">
        <v>44</v>
      </c>
      <c r="B16" s="61" t="s">
        <v>3099</v>
      </c>
      <c r="C16" s="1207" t="s">
        <v>27</v>
      </c>
      <c r="D16" s="1207" t="s">
        <v>419</v>
      </c>
      <c r="E16" s="1183">
        <v>101835.26</v>
      </c>
      <c r="F16" s="1183">
        <f>77152.92+8722.05*3</f>
        <v>103319.06999999999</v>
      </c>
      <c r="G16" s="1183">
        <v>128455.87</v>
      </c>
      <c r="H16" s="1183">
        <f>106610.35+5000</f>
        <v>111610.35</v>
      </c>
      <c r="I16" s="1183">
        <v>49142.9</v>
      </c>
      <c r="J16" s="1183">
        <v>112986.88</v>
      </c>
      <c r="K16" s="1183">
        <v>89903.31</v>
      </c>
      <c r="L16" s="1183">
        <v>73556.53</v>
      </c>
      <c r="M16" s="1183">
        <v>108352.16</v>
      </c>
      <c r="N16" s="1183">
        <v>81700.34</v>
      </c>
      <c r="O16" s="1183">
        <v>61593.85</v>
      </c>
      <c r="P16" s="1183">
        <v>65033.96</v>
      </c>
      <c r="Q16" s="1183">
        <v>61856.89</v>
      </c>
      <c r="R16" s="1183">
        <v>22954.99</v>
      </c>
      <c r="S16" s="1183">
        <v>30121.7</v>
      </c>
      <c r="T16" s="1183">
        <v>28740.3</v>
      </c>
      <c r="U16" s="1183">
        <v>41624.46</v>
      </c>
      <c r="V16" s="1183">
        <v>44471.360000000015</v>
      </c>
      <c r="W16" s="1183">
        <v>6886.7500000000018</v>
      </c>
      <c r="X16" s="1208">
        <f t="shared" si="2"/>
        <v>1324146.93</v>
      </c>
      <c r="Y16" s="1209"/>
      <c r="Z16" s="1210">
        <v>1310342.6499999997</v>
      </c>
      <c r="AA16" s="1215">
        <f>X16-Z16</f>
        <v>13804.280000000261</v>
      </c>
    </row>
    <row r="17" spans="1:27" ht="21.95" customHeight="1">
      <c r="A17" s="1207" t="s">
        <v>46</v>
      </c>
      <c r="B17" s="61" t="s">
        <v>47</v>
      </c>
      <c r="C17" s="1207"/>
      <c r="D17" s="1207" t="s">
        <v>21</v>
      </c>
      <c r="E17" s="1201">
        <f t="shared" ref="E17:W17" si="7">E18+E19+E20+E21</f>
        <v>1927068.25</v>
      </c>
      <c r="F17" s="1201">
        <f t="shared" si="7"/>
        <v>2115951.5</v>
      </c>
      <c r="G17" s="1201">
        <f t="shared" si="7"/>
        <v>2485308.5</v>
      </c>
      <c r="H17" s="1201">
        <f t="shared" si="7"/>
        <v>2127186</v>
      </c>
      <c r="I17" s="1201">
        <f t="shared" si="7"/>
        <v>906720.5</v>
      </c>
      <c r="J17" s="1201">
        <f t="shared" si="7"/>
        <v>1952215.5</v>
      </c>
      <c r="K17" s="1201">
        <f t="shared" si="7"/>
        <v>1481852.25</v>
      </c>
      <c r="L17" s="1201">
        <f t="shared" si="7"/>
        <v>1490509.5</v>
      </c>
      <c r="M17" s="1201">
        <f t="shared" si="7"/>
        <v>1642462.38</v>
      </c>
      <c r="N17" s="1201">
        <f t="shared" si="7"/>
        <v>1353307.5</v>
      </c>
      <c r="O17" s="1201">
        <f t="shared" si="7"/>
        <v>732408</v>
      </c>
      <c r="P17" s="1201">
        <f t="shared" si="7"/>
        <v>621332</v>
      </c>
      <c r="Q17" s="1201">
        <f t="shared" si="7"/>
        <v>628076</v>
      </c>
      <c r="R17" s="1201">
        <f t="shared" si="7"/>
        <v>375756</v>
      </c>
      <c r="S17" s="1201">
        <f t="shared" si="7"/>
        <v>421804</v>
      </c>
      <c r="T17" s="1201">
        <f t="shared" si="7"/>
        <v>404044</v>
      </c>
      <c r="U17" s="1201">
        <f t="shared" si="7"/>
        <v>473704</v>
      </c>
      <c r="V17" s="1201">
        <f t="shared" si="7"/>
        <v>519892</v>
      </c>
      <c r="W17" s="1201">
        <f t="shared" si="7"/>
        <v>36000</v>
      </c>
      <c r="X17" s="1208">
        <f t="shared" si="2"/>
        <v>21695597.879999999</v>
      </c>
      <c r="Y17" s="1209"/>
    </row>
    <row r="18" spans="1:27" ht="21.95" customHeight="1">
      <c r="A18" s="1207" t="s">
        <v>48</v>
      </c>
      <c r="B18" s="61" t="s">
        <v>49</v>
      </c>
      <c r="C18" s="1207" t="s">
        <v>27</v>
      </c>
      <c r="D18" s="1207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208">
        <f t="shared" si="2"/>
        <v>0</v>
      </c>
      <c r="Y18" s="1209"/>
    </row>
    <row r="19" spans="1:27" ht="21.95" customHeight="1">
      <c r="A19" s="1207" t="s">
        <v>51</v>
      </c>
      <c r="B19" s="61" t="s">
        <v>52</v>
      </c>
      <c r="C19" s="1207" t="s">
        <v>27</v>
      </c>
      <c r="D19" s="1207" t="s">
        <v>53</v>
      </c>
      <c r="E19" s="1183">
        <f>274762+150</f>
        <v>274912</v>
      </c>
      <c r="F19" s="1183">
        <v>229488</v>
      </c>
      <c r="G19" s="1183">
        <v>286780</v>
      </c>
      <c r="H19" s="1183">
        <v>278589</v>
      </c>
      <c r="I19" s="1183"/>
      <c r="J19" s="1183">
        <v>504800</v>
      </c>
      <c r="K19" s="1183">
        <v>280264</v>
      </c>
      <c r="L19" s="1183">
        <v>428672</v>
      </c>
      <c r="M19" s="1183">
        <v>303124</v>
      </c>
      <c r="N19" s="1183">
        <v>239363</v>
      </c>
      <c r="O19" s="1183">
        <v>394008</v>
      </c>
      <c r="P19" s="1183">
        <v>266332</v>
      </c>
      <c r="Q19" s="1183">
        <v>286076</v>
      </c>
      <c r="R19" s="1183">
        <v>243756</v>
      </c>
      <c r="S19" s="1183">
        <v>252304</v>
      </c>
      <c r="T19" s="1183">
        <v>242044</v>
      </c>
      <c r="U19" s="1183">
        <v>245704</v>
      </c>
      <c r="V19" s="1183">
        <v>273892</v>
      </c>
      <c r="W19" s="1183"/>
      <c r="X19" s="1208">
        <f t="shared" si="2"/>
        <v>5030108</v>
      </c>
      <c r="Y19" s="1209"/>
    </row>
    <row r="20" spans="1:27" ht="21.95" customHeight="1">
      <c r="A20" s="1207" t="s">
        <v>54</v>
      </c>
      <c r="B20" s="61" t="s">
        <v>3100</v>
      </c>
      <c r="C20" s="1207" t="s">
        <v>27</v>
      </c>
      <c r="D20" s="1207" t="s">
        <v>28</v>
      </c>
      <c r="E20" s="1183">
        <f>238916+79*500*6</f>
        <v>475916</v>
      </c>
      <c r="F20" s="1183">
        <f>941*500</f>
        <v>470500</v>
      </c>
      <c r="G20" s="1183">
        <v>570500</v>
      </c>
      <c r="H20" s="1183">
        <f>500*83*3+500*82*3+500*88*1+500*89*2+500*90*3</f>
        <v>515500</v>
      </c>
      <c r="I20" s="1183">
        <v>276500</v>
      </c>
      <c r="J20" s="1183">
        <v>540000</v>
      </c>
      <c r="K20" s="1183">
        <v>434000</v>
      </c>
      <c r="L20" s="1183">
        <v>375000</v>
      </c>
      <c r="M20" s="1183">
        <f>500*87*12</f>
        <v>522000</v>
      </c>
      <c r="N20" s="1183">
        <v>411000</v>
      </c>
      <c r="O20" s="1183">
        <v>338400</v>
      </c>
      <c r="P20" s="1183">
        <v>355000</v>
      </c>
      <c r="Q20" s="1183">
        <f>57*500*12</f>
        <v>342000</v>
      </c>
      <c r="R20" s="1183">
        <v>132000</v>
      </c>
      <c r="S20" s="1183">
        <v>169500</v>
      </c>
      <c r="T20" s="1183">
        <v>162000</v>
      </c>
      <c r="U20" s="1183">
        <v>228000</v>
      </c>
      <c r="V20" s="1183">
        <v>246000</v>
      </c>
      <c r="W20" s="1183">
        <v>36000</v>
      </c>
      <c r="X20" s="1208">
        <f t="shared" si="2"/>
        <v>6599816</v>
      </c>
      <c r="Y20" s="1209"/>
    </row>
    <row r="21" spans="1:27" ht="21.95" customHeight="1">
      <c r="A21" s="1207" t="s">
        <v>56</v>
      </c>
      <c r="B21" s="61" t="s">
        <v>3101</v>
      </c>
      <c r="C21" s="1207" t="s">
        <v>27</v>
      </c>
      <c r="D21" s="1207" t="s">
        <v>28</v>
      </c>
      <c r="E21" s="1183">
        <v>1176240.25</v>
      </c>
      <c r="F21" s="1183">
        <v>1415963.5</v>
      </c>
      <c r="G21" s="1183">
        <v>1628028.5</v>
      </c>
      <c r="H21" s="1183">
        <v>1333097</v>
      </c>
      <c r="I21" s="1183">
        <v>630220.5</v>
      </c>
      <c r="J21" s="1183">
        <v>907415.5</v>
      </c>
      <c r="K21" s="1183">
        <v>767588.25</v>
      </c>
      <c r="L21" s="1183">
        <v>686837.5</v>
      </c>
      <c r="M21" s="1183">
        <v>817338.38</v>
      </c>
      <c r="N21" s="1183">
        <v>702944.5</v>
      </c>
      <c r="O21" s="1183"/>
      <c r="P21" s="1183"/>
      <c r="Q21" s="1183"/>
      <c r="R21" s="1183"/>
      <c r="S21" s="1183"/>
      <c r="T21" s="1183"/>
      <c r="U21" s="1183"/>
      <c r="V21" s="1183"/>
      <c r="W21" s="1183"/>
      <c r="X21" s="1208">
        <f t="shared" si="2"/>
        <v>10065673.880000001</v>
      </c>
      <c r="Y21" s="1209"/>
    </row>
    <row r="22" spans="1:27" ht="21.95" customHeight="1">
      <c r="A22" s="1207" t="s">
        <v>58</v>
      </c>
      <c r="B22" s="61" t="s">
        <v>59</v>
      </c>
      <c r="C22" s="1207"/>
      <c r="D22" s="1207" t="s">
        <v>21</v>
      </c>
      <c r="E22" s="1201">
        <f t="shared" ref="E22:W22" si="8">E23+E24</f>
        <v>2018257.48</v>
      </c>
      <c r="F22" s="1201">
        <f t="shared" si="8"/>
        <v>2078505.1800000002</v>
      </c>
      <c r="G22" s="1201">
        <f t="shared" si="8"/>
        <v>2370720.08</v>
      </c>
      <c r="H22" s="1201">
        <f t="shared" si="8"/>
        <v>2112665.66</v>
      </c>
      <c r="I22" s="1201">
        <f t="shared" si="8"/>
        <v>955132</v>
      </c>
      <c r="J22" s="1201">
        <f t="shared" si="8"/>
        <v>2256155.84</v>
      </c>
      <c r="K22" s="1201">
        <f t="shared" si="8"/>
        <v>1809459.66</v>
      </c>
      <c r="L22" s="1201">
        <f t="shared" si="8"/>
        <v>1422036.44</v>
      </c>
      <c r="M22" s="1201">
        <f t="shared" si="8"/>
        <v>2136721.29</v>
      </c>
      <c r="N22" s="1201">
        <f t="shared" si="8"/>
        <v>1606837.6500000004</v>
      </c>
      <c r="O22" s="1201">
        <f t="shared" si="8"/>
        <v>1229671.6200000001</v>
      </c>
      <c r="P22" s="1201">
        <f t="shared" si="8"/>
        <v>1298980.08</v>
      </c>
      <c r="Q22" s="1201">
        <f t="shared" si="8"/>
        <v>1225568.6599999999</v>
      </c>
      <c r="R22" s="1201">
        <f t="shared" si="8"/>
        <v>456304.65</v>
      </c>
      <c r="S22" s="1201">
        <f t="shared" si="8"/>
        <v>593139.69999999995</v>
      </c>
      <c r="T22" s="1201">
        <f t="shared" si="8"/>
        <v>568644.15</v>
      </c>
      <c r="U22" s="1201">
        <f t="shared" si="8"/>
        <v>834480</v>
      </c>
      <c r="V22" s="1201">
        <f t="shared" si="8"/>
        <v>880844.83999999973</v>
      </c>
      <c r="W22" s="1201">
        <f t="shared" si="8"/>
        <v>143822.12</v>
      </c>
      <c r="X22" s="1208">
        <f t="shared" si="2"/>
        <v>25997947.100000001</v>
      </c>
      <c r="Y22" s="1209"/>
    </row>
    <row r="23" spans="1:27" ht="21.95" customHeight="1">
      <c r="A23" s="1207" t="s">
        <v>60</v>
      </c>
      <c r="B23" s="61" t="s">
        <v>3102</v>
      </c>
      <c r="C23" s="1207" t="s">
        <v>61</v>
      </c>
      <c r="D23" s="1207" t="s">
        <v>419</v>
      </c>
      <c r="E23" s="1183">
        <v>1832997.48</v>
      </c>
      <c r="F23" s="1183">
        <f>1388724.32+156993.62*3</f>
        <v>1859705.1800000002</v>
      </c>
      <c r="G23" s="1183">
        <v>2205180.08</v>
      </c>
      <c r="H23" s="1183">
        <f>1918945.66+10000</f>
        <v>1928945.66</v>
      </c>
      <c r="I23" s="1183">
        <v>884572</v>
      </c>
      <c r="J23" s="1183">
        <v>2033725.84</v>
      </c>
      <c r="K23" s="1183">
        <v>1618229.66</v>
      </c>
      <c r="L23" s="1183">
        <v>1310316.44</v>
      </c>
      <c r="M23" s="1183">
        <f>ROUND(M31/0.07*0.09,2)</f>
        <v>1964026.29</v>
      </c>
      <c r="N23" s="1183">
        <v>1471597.6500000004</v>
      </c>
      <c r="O23" s="1183">
        <v>1108661.6200000001</v>
      </c>
      <c r="P23" s="1183">
        <v>1170580.08</v>
      </c>
      <c r="Q23" s="1183">
        <v>1113398.6599999999</v>
      </c>
      <c r="R23" s="1183">
        <v>413184.65</v>
      </c>
      <c r="S23" s="1183">
        <v>542179.69999999995</v>
      </c>
      <c r="T23" s="1183">
        <v>515724.15</v>
      </c>
      <c r="U23" s="1183">
        <v>760000</v>
      </c>
      <c r="V23" s="1183">
        <v>807864.83999999973</v>
      </c>
      <c r="W23" s="1183">
        <v>123962.12</v>
      </c>
      <c r="X23" s="1208">
        <f t="shared" si="2"/>
        <v>23664852.100000001</v>
      </c>
      <c r="Y23" s="1209"/>
      <c r="Z23" s="1210">
        <v>23586167.559999999</v>
      </c>
      <c r="AA23" s="1215">
        <f>X23-Z23</f>
        <v>78684.540000002831</v>
      </c>
    </row>
    <row r="24" spans="1:27" ht="21.95" customHeight="1">
      <c r="A24" s="1207" t="s">
        <v>62</v>
      </c>
      <c r="B24" s="61" t="s">
        <v>3103</v>
      </c>
      <c r="C24" s="1207"/>
      <c r="D24" s="1207" t="s">
        <v>43</v>
      </c>
      <c r="E24" s="1201">
        <f t="shared" ref="E24:W24" si="9">E25+E26</f>
        <v>185260</v>
      </c>
      <c r="F24" s="1201">
        <f t="shared" si="9"/>
        <v>218800</v>
      </c>
      <c r="G24" s="1201">
        <f t="shared" si="9"/>
        <v>165540</v>
      </c>
      <c r="H24" s="1201">
        <f t="shared" si="9"/>
        <v>183720</v>
      </c>
      <c r="I24" s="1201">
        <f t="shared" si="9"/>
        <v>70560</v>
      </c>
      <c r="J24" s="1201">
        <f t="shared" si="9"/>
        <v>222430</v>
      </c>
      <c r="K24" s="1201">
        <f t="shared" si="9"/>
        <v>191230</v>
      </c>
      <c r="L24" s="1201">
        <f t="shared" si="9"/>
        <v>111720</v>
      </c>
      <c r="M24" s="1201">
        <f t="shared" si="9"/>
        <v>172695</v>
      </c>
      <c r="N24" s="1201">
        <f t="shared" si="9"/>
        <v>135240</v>
      </c>
      <c r="O24" s="1201">
        <f t="shared" si="9"/>
        <v>121010</v>
      </c>
      <c r="P24" s="1201">
        <f t="shared" si="9"/>
        <v>128400</v>
      </c>
      <c r="Q24" s="1201">
        <f t="shared" si="9"/>
        <v>112170</v>
      </c>
      <c r="R24" s="1201">
        <f t="shared" si="9"/>
        <v>43120</v>
      </c>
      <c r="S24" s="1201">
        <f t="shared" si="9"/>
        <v>50960</v>
      </c>
      <c r="T24" s="1201">
        <f t="shared" si="9"/>
        <v>52920</v>
      </c>
      <c r="U24" s="1201">
        <f t="shared" si="9"/>
        <v>74480</v>
      </c>
      <c r="V24" s="1201">
        <f t="shared" si="9"/>
        <v>72980</v>
      </c>
      <c r="W24" s="1201">
        <f t="shared" si="9"/>
        <v>19860</v>
      </c>
      <c r="X24" s="1208">
        <f t="shared" si="2"/>
        <v>2333095</v>
      </c>
      <c r="Y24" s="1209"/>
    </row>
    <row r="25" spans="1:27" ht="21.95" customHeight="1">
      <c r="A25" s="1207" t="s">
        <v>64</v>
      </c>
      <c r="B25" s="61" t="s">
        <v>3104</v>
      </c>
      <c r="C25" s="1207" t="s">
        <v>61</v>
      </c>
      <c r="D25" s="1207" t="s">
        <v>423</v>
      </c>
      <c r="E25" s="1183"/>
      <c r="F25" s="1183">
        <f>4200+700*10</f>
        <v>11200</v>
      </c>
      <c r="G25" s="1183"/>
      <c r="H25" s="1183"/>
      <c r="I25" s="1183"/>
      <c r="J25" s="1183"/>
      <c r="K25" s="1183"/>
      <c r="L25" s="1183"/>
      <c r="M25" s="1183"/>
      <c r="N25" s="1183"/>
      <c r="O25" s="1183"/>
      <c r="P25" s="1183"/>
      <c r="Q25" s="1183"/>
      <c r="R25" s="1183"/>
      <c r="S25" s="1183"/>
      <c r="T25" s="1183"/>
      <c r="U25" s="1183"/>
      <c r="V25" s="1183"/>
      <c r="W25" s="1183"/>
      <c r="X25" s="1208">
        <f t="shared" si="2"/>
        <v>11200</v>
      </c>
      <c r="Y25" s="1209"/>
    </row>
    <row r="26" spans="1:27" ht="21.95" customHeight="1">
      <c r="A26" s="1207" t="s">
        <v>65</v>
      </c>
      <c r="B26" s="61" t="s">
        <v>3105</v>
      </c>
      <c r="C26" s="1207" t="s">
        <v>61</v>
      </c>
      <c r="D26" s="1207" t="s">
        <v>423</v>
      </c>
      <c r="E26" s="1183">
        <v>185260</v>
      </c>
      <c r="F26" s="1183">
        <v>207600</v>
      </c>
      <c r="G26" s="1183">
        <v>165540</v>
      </c>
      <c r="H26" s="1183">
        <f>145960+37310+450</f>
        <v>183720</v>
      </c>
      <c r="I26" s="1183">
        <v>70560</v>
      </c>
      <c r="J26" s="1183">
        <v>222430</v>
      </c>
      <c r="K26" s="1183">
        <v>191230</v>
      </c>
      <c r="L26" s="1183">
        <v>111720</v>
      </c>
      <c r="M26" s="1183">
        <v>172695</v>
      </c>
      <c r="N26" s="1183">
        <f>12420+122820</f>
        <v>135240</v>
      </c>
      <c r="O26" s="1183">
        <v>121010</v>
      </c>
      <c r="P26" s="1183">
        <v>128400</v>
      </c>
      <c r="Q26" s="1183">
        <v>112170</v>
      </c>
      <c r="R26" s="1183">
        <v>43120</v>
      </c>
      <c r="S26" s="1183">
        <v>50960</v>
      </c>
      <c r="T26" s="1183">
        <v>52920</v>
      </c>
      <c r="U26" s="1183">
        <v>74480</v>
      </c>
      <c r="V26" s="1183">
        <v>72980</v>
      </c>
      <c r="W26" s="1183">
        <v>19860</v>
      </c>
      <c r="X26" s="1208">
        <f t="shared" si="2"/>
        <v>2321895</v>
      </c>
      <c r="Y26" s="1209"/>
    </row>
    <row r="27" spans="1:27" ht="21.95" customHeight="1">
      <c r="A27" s="1207" t="s">
        <v>66</v>
      </c>
      <c r="B27" s="61" t="s">
        <v>67</v>
      </c>
      <c r="C27" s="1207"/>
      <c r="D27" s="1207" t="s">
        <v>21</v>
      </c>
      <c r="E27" s="1201">
        <f t="shared" ref="E27:W27" si="10">E28</f>
        <v>3258653.92</v>
      </c>
      <c r="F27" s="1201">
        <f t="shared" si="10"/>
        <v>3306134.08</v>
      </c>
      <c r="G27" s="1201">
        <f t="shared" si="10"/>
        <v>3910526.61</v>
      </c>
      <c r="H27" s="1201">
        <f t="shared" si="10"/>
        <v>3421449.92</v>
      </c>
      <c r="I27" s="1201">
        <f t="shared" si="10"/>
        <v>1572572</v>
      </c>
      <c r="J27" s="1201">
        <f t="shared" si="10"/>
        <v>3615504.16</v>
      </c>
      <c r="K27" s="1201">
        <f t="shared" si="10"/>
        <v>2876846.0800000001</v>
      </c>
      <c r="L27" s="1201">
        <f t="shared" si="10"/>
        <v>2322700.7200000002</v>
      </c>
      <c r="M27" s="1201">
        <f t="shared" si="10"/>
        <v>3491602.29</v>
      </c>
      <c r="N27" s="1201">
        <f t="shared" si="10"/>
        <v>2614405.5699999998</v>
      </c>
      <c r="O27" s="1201">
        <f t="shared" si="10"/>
        <v>1970947.84</v>
      </c>
      <c r="P27" s="1201">
        <f t="shared" si="10"/>
        <v>2081024.32</v>
      </c>
      <c r="Q27" s="1201">
        <f t="shared" si="10"/>
        <v>1979369.76</v>
      </c>
      <c r="R27" s="1201">
        <f t="shared" si="10"/>
        <v>734549.34</v>
      </c>
      <c r="S27" s="1201">
        <f t="shared" si="10"/>
        <v>963872.5399999998</v>
      </c>
      <c r="T27" s="1201">
        <f t="shared" si="10"/>
        <v>916586.96</v>
      </c>
      <c r="U27" s="1201">
        <f t="shared" si="10"/>
        <v>1331946.56</v>
      </c>
      <c r="V27" s="1201">
        <f t="shared" si="10"/>
        <v>1423083.3900000004</v>
      </c>
      <c r="W27" s="1201">
        <f t="shared" si="10"/>
        <v>221377.21</v>
      </c>
      <c r="X27" s="1208">
        <f t="shared" si="2"/>
        <v>42013153.269999996</v>
      </c>
      <c r="Y27" s="1209"/>
    </row>
    <row r="28" spans="1:27" ht="21.95" customHeight="1">
      <c r="A28" s="1207" t="s">
        <v>68</v>
      </c>
      <c r="B28" s="61" t="s">
        <v>3106</v>
      </c>
      <c r="C28" s="1207" t="s">
        <v>70</v>
      </c>
      <c r="D28" s="1207" t="s">
        <v>419</v>
      </c>
      <c r="E28" s="1183">
        <v>3258653.92</v>
      </c>
      <c r="F28" s="1183">
        <f>2468836.96+279099.04*3</f>
        <v>3306134.08</v>
      </c>
      <c r="G28" s="1183">
        <v>3910526.61</v>
      </c>
      <c r="H28" s="1183">
        <f>3411449.92+10000</f>
        <v>3421449.92</v>
      </c>
      <c r="I28" s="1183">
        <v>1572572</v>
      </c>
      <c r="J28" s="1183">
        <v>3615504.16</v>
      </c>
      <c r="K28" s="1183">
        <v>2876846.0800000001</v>
      </c>
      <c r="L28" s="1183">
        <v>2322700.7200000002</v>
      </c>
      <c r="M28" s="1183">
        <f>ROUND(M31/0.07*0.16,2)</f>
        <v>3491602.29</v>
      </c>
      <c r="N28" s="1183">
        <v>2614405.5699999998</v>
      </c>
      <c r="O28" s="1183">
        <v>1970947.84</v>
      </c>
      <c r="P28" s="1183">
        <v>2081024.32</v>
      </c>
      <c r="Q28" s="1183">
        <v>1979369.76</v>
      </c>
      <c r="R28" s="1183">
        <v>734549.34</v>
      </c>
      <c r="S28" s="1183">
        <v>963872.5399999998</v>
      </c>
      <c r="T28" s="1183">
        <v>916586.96</v>
      </c>
      <c r="U28" s="1183">
        <v>1331946.56</v>
      </c>
      <c r="V28" s="1183">
        <v>1423083.3900000004</v>
      </c>
      <c r="W28" s="1183">
        <v>221377.21</v>
      </c>
      <c r="X28" s="1208">
        <f t="shared" si="2"/>
        <v>42013153.269999996</v>
      </c>
      <c r="Y28" s="1209"/>
      <c r="Z28" s="1210">
        <v>41930964.560000002</v>
      </c>
      <c r="AA28" s="1215">
        <f>X28-Z28</f>
        <v>82188.709999993443</v>
      </c>
    </row>
    <row r="29" spans="1:27" ht="21.95" customHeight="1">
      <c r="A29" s="1207" t="s">
        <v>71</v>
      </c>
      <c r="B29" s="61" t="s">
        <v>72</v>
      </c>
      <c r="C29" s="1207"/>
      <c r="D29" s="1207" t="s">
        <v>21</v>
      </c>
      <c r="E29" s="1201">
        <f t="shared" ref="E29:W29" si="11">E30</f>
        <v>1638800.2400000002</v>
      </c>
      <c r="F29" s="1201">
        <f t="shared" si="11"/>
        <v>1653067.04</v>
      </c>
      <c r="G29" s="1201">
        <f t="shared" si="11"/>
        <v>1955263.34</v>
      </c>
      <c r="H29" s="1201">
        <f t="shared" si="11"/>
        <v>1715724.96</v>
      </c>
      <c r="I29" s="1201">
        <f t="shared" si="11"/>
        <v>786286</v>
      </c>
      <c r="J29" s="1201">
        <f t="shared" si="11"/>
        <v>1806572.8</v>
      </c>
      <c r="K29" s="1201">
        <f t="shared" si="11"/>
        <v>1438423.04</v>
      </c>
      <c r="L29" s="1201">
        <f t="shared" si="11"/>
        <v>1161851.1200000001</v>
      </c>
      <c r="M29" s="1201">
        <f t="shared" si="11"/>
        <v>1745801.14</v>
      </c>
      <c r="N29" s="1201">
        <f t="shared" si="11"/>
        <v>1307202.2699999998</v>
      </c>
      <c r="O29" s="1201">
        <f t="shared" si="11"/>
        <v>985473.92</v>
      </c>
      <c r="P29" s="1201">
        <f t="shared" si="11"/>
        <v>1040512.16</v>
      </c>
      <c r="Q29" s="1201">
        <f t="shared" si="11"/>
        <v>1086597.97</v>
      </c>
      <c r="R29" s="1201">
        <f t="shared" si="11"/>
        <v>382960.01</v>
      </c>
      <c r="S29" s="1201">
        <f t="shared" si="11"/>
        <v>481936.23999999987</v>
      </c>
      <c r="T29" s="1201">
        <f t="shared" si="11"/>
        <v>497357.71</v>
      </c>
      <c r="U29" s="1201">
        <f t="shared" si="11"/>
        <v>665973.28</v>
      </c>
      <c r="V29" s="1201">
        <f t="shared" si="11"/>
        <v>711541.79000000015</v>
      </c>
      <c r="W29" s="1201">
        <f t="shared" si="11"/>
        <v>110188.43000000001</v>
      </c>
      <c r="X29" s="1208">
        <f t="shared" si="2"/>
        <v>21171533.460000001</v>
      </c>
      <c r="Y29" s="1209"/>
    </row>
    <row r="30" spans="1:27" ht="21.95" customHeight="1">
      <c r="A30" s="1207" t="s">
        <v>73</v>
      </c>
      <c r="B30" s="61" t="s">
        <v>74</v>
      </c>
      <c r="C30" s="1207" t="s">
        <v>75</v>
      </c>
      <c r="D30" s="1207" t="s">
        <v>419</v>
      </c>
      <c r="E30" s="1183">
        <f>1214988.08+136270.72*3+3000*5</f>
        <v>1638800.2400000002</v>
      </c>
      <c r="F30" s="1183">
        <f>1234418.48+139549.52*3</f>
        <v>1653067.04</v>
      </c>
      <c r="G30" s="1183">
        <v>1955263.34</v>
      </c>
      <c r="H30" s="1183">
        <f>1705724.96+10000</f>
        <v>1715724.96</v>
      </c>
      <c r="I30" s="1183">
        <v>786286</v>
      </c>
      <c r="J30" s="1183">
        <v>1806572.8</v>
      </c>
      <c r="K30" s="1183">
        <v>1438423.04</v>
      </c>
      <c r="L30" s="1183">
        <v>1161851.1200000001</v>
      </c>
      <c r="M30" s="1183">
        <f>ROUND(M31/0.07*0.08,2)</f>
        <v>1745801.14</v>
      </c>
      <c r="N30" s="1183">
        <v>1307202.2699999998</v>
      </c>
      <c r="O30" s="1183">
        <v>985473.92</v>
      </c>
      <c r="P30" s="1183">
        <v>1040512.16</v>
      </c>
      <c r="Q30" s="1183">
        <v>1086597.97</v>
      </c>
      <c r="R30" s="1183">
        <f>239090.69+31970.96*4.5</f>
        <v>382960.01</v>
      </c>
      <c r="S30" s="1183">
        <v>481936.23999999987</v>
      </c>
      <c r="T30" s="1183">
        <v>497357.71</v>
      </c>
      <c r="U30" s="1183">
        <v>665973.28</v>
      </c>
      <c r="V30" s="1183">
        <v>711541.79000000015</v>
      </c>
      <c r="W30" s="1183">
        <v>110188.43000000001</v>
      </c>
      <c r="X30" s="1208">
        <f t="shared" si="2"/>
        <v>21171533.460000001</v>
      </c>
      <c r="Y30" s="1209"/>
      <c r="Z30" s="1210">
        <v>20965482.289999999</v>
      </c>
      <c r="AA30" s="1215">
        <f>X30-Z30</f>
        <v>206051.17000000179</v>
      </c>
    </row>
    <row r="31" spans="1:27" ht="21.95" customHeight="1">
      <c r="A31" s="1207" t="s">
        <v>76</v>
      </c>
      <c r="B31" s="61" t="s">
        <v>3107</v>
      </c>
      <c r="C31" s="1207" t="s">
        <v>78</v>
      </c>
      <c r="D31" s="1207" t="s">
        <v>28</v>
      </c>
      <c r="E31" s="1183">
        <f>1061128+120449*3+1209*2</f>
        <v>1424893</v>
      </c>
      <c r="F31" s="1183">
        <f>1076851+125399*3</f>
        <v>1453048</v>
      </c>
      <c r="G31" s="1183">
        <v>1696312</v>
      </c>
      <c r="H31" s="1183">
        <v>1499717</v>
      </c>
      <c r="I31" s="1183">
        <v>688000</v>
      </c>
      <c r="J31" s="1183">
        <v>1578600</v>
      </c>
      <c r="K31" s="1183">
        <v>1251365</v>
      </c>
      <c r="L31" s="1183">
        <v>1018538</v>
      </c>
      <c r="M31" s="1183">
        <f>127298*12</f>
        <v>1527576</v>
      </c>
      <c r="N31" s="1183">
        <v>1145299</v>
      </c>
      <c r="O31" s="1183">
        <v>858916</v>
      </c>
      <c r="P31" s="1183">
        <v>908042</v>
      </c>
      <c r="Q31" s="1183">
        <v>771959.91</v>
      </c>
      <c r="R31" s="1183">
        <v>345492</v>
      </c>
      <c r="S31" s="1183">
        <v>432138</v>
      </c>
      <c r="T31" s="1183">
        <v>435470</v>
      </c>
      <c r="U31" s="1183">
        <v>583728</v>
      </c>
      <c r="V31" s="1183">
        <v>623778</v>
      </c>
      <c r="W31" s="1183">
        <v>97038</v>
      </c>
      <c r="X31" s="1208">
        <f t="shared" si="2"/>
        <v>18339909.91</v>
      </c>
      <c r="Y31" s="1209"/>
      <c r="Z31" s="1210">
        <v>18344797</v>
      </c>
      <c r="AA31" s="1215">
        <f>X31-Z31</f>
        <v>-4887.089999999851</v>
      </c>
    </row>
    <row r="32" spans="1:27" ht="21.95" customHeight="1">
      <c r="A32" s="1207" t="s">
        <v>80</v>
      </c>
      <c r="B32" s="61" t="s">
        <v>3108</v>
      </c>
      <c r="C32" s="1207" t="s">
        <v>27</v>
      </c>
      <c r="D32" s="1207" t="s">
        <v>204</v>
      </c>
      <c r="E32" s="1183">
        <v>26000</v>
      </c>
      <c r="F32" s="1183">
        <v>26000</v>
      </c>
      <c r="G32" s="1183">
        <v>31000</v>
      </c>
      <c r="H32" s="1183">
        <v>26000</v>
      </c>
      <c r="I32" s="1183">
        <v>7500</v>
      </c>
      <c r="J32" s="1183">
        <v>34000</v>
      </c>
      <c r="K32" s="1183">
        <v>24500</v>
      </c>
      <c r="L32" s="1183">
        <v>18500</v>
      </c>
      <c r="M32" s="1183">
        <v>39000</v>
      </c>
      <c r="N32" s="1183">
        <v>23000</v>
      </c>
      <c r="O32" s="1183">
        <v>20000</v>
      </c>
      <c r="P32" s="1183">
        <v>23000</v>
      </c>
      <c r="Q32" s="1183">
        <v>18500</v>
      </c>
      <c r="R32" s="1183">
        <v>6000</v>
      </c>
      <c r="S32" s="1183">
        <v>7500</v>
      </c>
      <c r="T32" s="1183">
        <v>7500</v>
      </c>
      <c r="U32" s="1183">
        <v>14000</v>
      </c>
      <c r="V32" s="1183">
        <v>14000</v>
      </c>
      <c r="W32" s="1183">
        <v>1500</v>
      </c>
      <c r="X32" s="1208">
        <f t="shared" si="2"/>
        <v>367500</v>
      </c>
      <c r="Y32" s="1209"/>
    </row>
    <row r="33" spans="1:25" ht="21.95" customHeight="1">
      <c r="A33" s="1207" t="s">
        <v>83</v>
      </c>
      <c r="B33" s="61" t="s">
        <v>84</v>
      </c>
      <c r="C33" s="1207"/>
      <c r="D33" s="1207" t="s">
        <v>21</v>
      </c>
      <c r="E33" s="1201">
        <f t="shared" ref="E33:W33" si="12">E34+E36+E38</f>
        <v>1314995</v>
      </c>
      <c r="F33" s="1201">
        <f t="shared" si="12"/>
        <v>1138885</v>
      </c>
      <c r="G33" s="1201">
        <f t="shared" si="12"/>
        <v>15780</v>
      </c>
      <c r="H33" s="1201">
        <f t="shared" si="12"/>
        <v>16230</v>
      </c>
      <c r="I33" s="1201">
        <f t="shared" si="12"/>
        <v>780</v>
      </c>
      <c r="J33" s="1201">
        <f t="shared" si="12"/>
        <v>2013845</v>
      </c>
      <c r="K33" s="1201">
        <f t="shared" si="12"/>
        <v>1916890</v>
      </c>
      <c r="L33" s="1201">
        <f t="shared" si="12"/>
        <v>720</v>
      </c>
      <c r="M33" s="1201">
        <f t="shared" si="12"/>
        <v>17700</v>
      </c>
      <c r="N33" s="1201">
        <f t="shared" si="12"/>
        <v>3350</v>
      </c>
      <c r="O33" s="1201">
        <f t="shared" si="12"/>
        <v>411860</v>
      </c>
      <c r="P33" s="1201">
        <f t="shared" si="12"/>
        <v>405480</v>
      </c>
      <c r="Q33" s="1201">
        <f t="shared" si="12"/>
        <v>14970</v>
      </c>
      <c r="R33" s="1201">
        <f t="shared" si="12"/>
        <v>360</v>
      </c>
      <c r="S33" s="1201">
        <f t="shared" si="12"/>
        <v>1440</v>
      </c>
      <c r="T33" s="1201">
        <f t="shared" si="12"/>
        <v>5080</v>
      </c>
      <c r="U33" s="1201">
        <f t="shared" si="12"/>
        <v>1080</v>
      </c>
      <c r="V33" s="1201">
        <f t="shared" si="12"/>
        <v>1800</v>
      </c>
      <c r="W33" s="1201">
        <f t="shared" si="12"/>
        <v>370500</v>
      </c>
      <c r="X33" s="1208">
        <f t="shared" si="2"/>
        <v>7651745</v>
      </c>
      <c r="Y33" s="1209"/>
    </row>
    <row r="34" spans="1:25" ht="21.95" customHeight="1">
      <c r="A34" s="1207" t="s">
        <v>85</v>
      </c>
      <c r="B34" s="61" t="s">
        <v>3109</v>
      </c>
      <c r="C34" s="1207" t="s">
        <v>87</v>
      </c>
      <c r="D34" s="1207" t="s">
        <v>206</v>
      </c>
      <c r="E34" s="1201">
        <f t="shared" ref="E34:W34" si="13">E35</f>
        <v>1313555</v>
      </c>
      <c r="F34" s="1201">
        <f t="shared" si="13"/>
        <v>1137805</v>
      </c>
      <c r="G34" s="1201">
        <f t="shared" si="13"/>
        <v>15780</v>
      </c>
      <c r="H34" s="1201">
        <f t="shared" si="13"/>
        <v>15780</v>
      </c>
      <c r="I34" s="1201">
        <f t="shared" si="13"/>
        <v>0</v>
      </c>
      <c r="J34" s="1201">
        <f t="shared" si="13"/>
        <v>2013125</v>
      </c>
      <c r="K34" s="1201">
        <f t="shared" si="13"/>
        <v>1916170</v>
      </c>
      <c r="L34" s="1201">
        <f t="shared" si="13"/>
        <v>0</v>
      </c>
      <c r="M34" s="1201">
        <f t="shared" si="13"/>
        <v>13020</v>
      </c>
      <c r="N34" s="1201">
        <f t="shared" si="13"/>
        <v>2630</v>
      </c>
      <c r="O34" s="1201">
        <f t="shared" si="13"/>
        <v>406610</v>
      </c>
      <c r="P34" s="1201">
        <f t="shared" si="13"/>
        <v>401880</v>
      </c>
      <c r="Q34" s="1201">
        <f t="shared" si="13"/>
        <v>13020</v>
      </c>
      <c r="R34" s="1201">
        <f t="shared" si="13"/>
        <v>0</v>
      </c>
      <c r="S34" s="1201">
        <f t="shared" si="13"/>
        <v>0</v>
      </c>
      <c r="T34" s="1201">
        <f t="shared" si="13"/>
        <v>4000</v>
      </c>
      <c r="U34" s="1201">
        <f t="shared" si="13"/>
        <v>0</v>
      </c>
      <c r="V34" s="1201">
        <f t="shared" si="13"/>
        <v>0</v>
      </c>
      <c r="W34" s="1201">
        <f t="shared" si="13"/>
        <v>370500</v>
      </c>
      <c r="X34" s="1208">
        <f t="shared" si="2"/>
        <v>7623875</v>
      </c>
      <c r="Y34" s="1209"/>
    </row>
    <row r="35" spans="1:25" ht="21.95" customHeight="1">
      <c r="A35" s="1207" t="s">
        <v>89</v>
      </c>
      <c r="B35" s="61" t="s">
        <v>3110</v>
      </c>
      <c r="C35" s="1207" t="s">
        <v>87</v>
      </c>
      <c r="D35" s="1207" t="s">
        <v>206</v>
      </c>
      <c r="E35" s="1183">
        <f>983810+109915*3</f>
        <v>1313555</v>
      </c>
      <c r="F35" s="1183">
        <f>849550+96085*3</f>
        <v>1137805</v>
      </c>
      <c r="G35" s="1183">
        <v>15780</v>
      </c>
      <c r="H35" s="1183">
        <f>1315*12</f>
        <v>15780</v>
      </c>
      <c r="I35" s="1183"/>
      <c r="J35" s="1183">
        <v>2013125</v>
      </c>
      <c r="K35" s="1183">
        <v>1916170</v>
      </c>
      <c r="L35" s="1183"/>
      <c r="M35" s="1183">
        <f>1085*12</f>
        <v>13020</v>
      </c>
      <c r="N35" s="1183">
        <f>1315*2</f>
        <v>2630</v>
      </c>
      <c r="O35" s="1183">
        <v>406610</v>
      </c>
      <c r="P35" s="1183">
        <v>401880</v>
      </c>
      <c r="Q35" s="1183">
        <f>1085*12</f>
        <v>13020</v>
      </c>
      <c r="R35" s="1183"/>
      <c r="S35" s="1183"/>
      <c r="T35" s="1183">
        <v>4000</v>
      </c>
      <c r="U35" s="1183"/>
      <c r="V35" s="1183"/>
      <c r="W35" s="1183">
        <v>370500</v>
      </c>
      <c r="X35" s="1208">
        <f t="shared" si="2"/>
        <v>7623875</v>
      </c>
      <c r="Y35" s="1209"/>
    </row>
    <row r="36" spans="1:25" ht="21.95" customHeight="1">
      <c r="A36" s="1207" t="s">
        <v>91</v>
      </c>
      <c r="B36" s="61" t="s">
        <v>92</v>
      </c>
      <c r="C36" s="1207"/>
      <c r="D36" s="1207" t="s">
        <v>21</v>
      </c>
      <c r="E36" s="1201">
        <f t="shared" ref="E36:W36" si="14">E37</f>
        <v>1440</v>
      </c>
      <c r="F36" s="1201">
        <f t="shared" si="14"/>
        <v>1080</v>
      </c>
      <c r="G36" s="1201">
        <f t="shared" si="14"/>
        <v>0</v>
      </c>
      <c r="H36" s="1201">
        <f t="shared" si="14"/>
        <v>450</v>
      </c>
      <c r="I36" s="1201">
        <f t="shared" si="14"/>
        <v>780</v>
      </c>
      <c r="J36" s="1201">
        <f t="shared" si="14"/>
        <v>720</v>
      </c>
      <c r="K36" s="1201">
        <f t="shared" si="14"/>
        <v>720</v>
      </c>
      <c r="L36" s="1201">
        <f t="shared" si="14"/>
        <v>720</v>
      </c>
      <c r="M36" s="1201">
        <f t="shared" si="14"/>
        <v>4680</v>
      </c>
      <c r="N36" s="1201">
        <f t="shared" si="14"/>
        <v>720</v>
      </c>
      <c r="O36" s="1201">
        <f t="shared" si="14"/>
        <v>5250</v>
      </c>
      <c r="P36" s="1201">
        <f t="shared" si="14"/>
        <v>3600</v>
      </c>
      <c r="Q36" s="1201">
        <f t="shared" si="14"/>
        <v>1950</v>
      </c>
      <c r="R36" s="1201">
        <f t="shared" si="14"/>
        <v>360</v>
      </c>
      <c r="S36" s="1201">
        <f t="shared" si="14"/>
        <v>1440</v>
      </c>
      <c r="T36" s="1201">
        <f t="shared" si="14"/>
        <v>1080</v>
      </c>
      <c r="U36" s="1201">
        <f t="shared" si="14"/>
        <v>1080</v>
      </c>
      <c r="V36" s="1201">
        <f t="shared" si="14"/>
        <v>1800</v>
      </c>
      <c r="W36" s="1201">
        <f t="shared" si="14"/>
        <v>0</v>
      </c>
      <c r="X36" s="1208">
        <f t="shared" si="2"/>
        <v>27870</v>
      </c>
      <c r="Y36" s="1209"/>
    </row>
    <row r="37" spans="1:25" ht="21.95" customHeight="1">
      <c r="A37" s="1207" t="s">
        <v>93</v>
      </c>
      <c r="B37" s="61" t="s">
        <v>94</v>
      </c>
      <c r="C37" s="1207" t="s">
        <v>27</v>
      </c>
      <c r="D37" s="1207" t="s">
        <v>28</v>
      </c>
      <c r="E37" s="1183">
        <v>1440</v>
      </c>
      <c r="F37" s="1183">
        <v>1080</v>
      </c>
      <c r="G37" s="1183">
        <v>0</v>
      </c>
      <c r="H37" s="1183">
        <f>30*12+30*3</f>
        <v>450</v>
      </c>
      <c r="I37" s="1183">
        <v>780</v>
      </c>
      <c r="J37" s="1183">
        <v>720</v>
      </c>
      <c r="K37" s="1183">
        <v>720</v>
      </c>
      <c r="L37" s="1183">
        <v>720</v>
      </c>
      <c r="M37" s="1183">
        <f>13*30*12</f>
        <v>4680</v>
      </c>
      <c r="N37" s="1183">
        <v>720</v>
      </c>
      <c r="O37" s="1183">
        <v>5250</v>
      </c>
      <c r="P37" s="1183">
        <v>3600</v>
      </c>
      <c r="Q37" s="1183">
        <v>1950</v>
      </c>
      <c r="R37" s="1183">
        <f>240+30*4</f>
        <v>360</v>
      </c>
      <c r="S37" s="1183">
        <v>1440</v>
      </c>
      <c r="T37" s="1183">
        <v>1080</v>
      </c>
      <c r="U37" s="1183">
        <v>1080</v>
      </c>
      <c r="V37" s="1183">
        <v>1800</v>
      </c>
      <c r="W37" s="1183"/>
      <c r="X37" s="1208">
        <f t="shared" si="2"/>
        <v>27870</v>
      </c>
      <c r="Y37" s="1209"/>
    </row>
    <row r="38" spans="1:25" ht="21.95" customHeight="1">
      <c r="A38" s="1207" t="s">
        <v>95</v>
      </c>
      <c r="B38" s="61" t="s">
        <v>3002</v>
      </c>
      <c r="C38" s="1207"/>
      <c r="D38" s="1207" t="s">
        <v>21</v>
      </c>
      <c r="E38" s="1201">
        <f t="shared" ref="E38:W38" si="15">E39</f>
        <v>0</v>
      </c>
      <c r="F38" s="1201">
        <f t="shared" si="15"/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8">
        <f t="shared" si="2"/>
        <v>0</v>
      </c>
      <c r="Y38" s="1209"/>
    </row>
    <row r="39" spans="1:25" ht="21.95" customHeight="1">
      <c r="A39" s="1207" t="s">
        <v>96</v>
      </c>
      <c r="B39" s="61" t="s">
        <v>3111</v>
      </c>
      <c r="C39" s="1207" t="s">
        <v>27</v>
      </c>
      <c r="D39" s="1207" t="s">
        <v>3004</v>
      </c>
      <c r="E39" s="1183"/>
      <c r="F39" s="1183"/>
      <c r="G39" s="1183"/>
      <c r="H39" s="1183"/>
      <c r="I39" s="1183"/>
      <c r="J39" s="1183">
        <v>0</v>
      </c>
      <c r="K39" s="1183"/>
      <c r="L39" s="1183"/>
      <c r="M39" s="1183"/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208">
        <f t="shared" si="2"/>
        <v>0</v>
      </c>
      <c r="Y39" s="1209"/>
    </row>
    <row r="40" spans="1:25" ht="21.95" customHeight="1">
      <c r="A40" s="1207" t="s">
        <v>97</v>
      </c>
      <c r="B40" s="61" t="s">
        <v>98</v>
      </c>
      <c r="C40" s="1207"/>
      <c r="D40" s="1207" t="s">
        <v>21</v>
      </c>
      <c r="E40" s="1201">
        <f t="shared" ref="E40:W40" si="16">E41+E43+E45+E47+E49+E52+E54+E56+E60</f>
        <v>6051277</v>
      </c>
      <c r="F40" s="1201">
        <f t="shared" si="16"/>
        <v>5782757.3799999999</v>
      </c>
      <c r="G40" s="1201">
        <f t="shared" si="16"/>
        <v>6562325.3499999996</v>
      </c>
      <c r="H40" s="1201">
        <f t="shared" si="16"/>
        <v>7201657.2199999997</v>
      </c>
      <c r="I40" s="1201">
        <f t="shared" si="16"/>
        <v>3960627.2600000002</v>
      </c>
      <c r="J40" s="1201">
        <f t="shared" si="16"/>
        <v>7637490.6799999997</v>
      </c>
      <c r="K40" s="1201">
        <f t="shared" si="16"/>
        <v>5745389.71</v>
      </c>
      <c r="L40" s="1201">
        <f t="shared" si="16"/>
        <v>6384697.6899999995</v>
      </c>
      <c r="M40" s="1201">
        <f t="shared" si="16"/>
        <v>5826821.29</v>
      </c>
      <c r="N40" s="1201">
        <f t="shared" si="16"/>
        <v>4824112.8500000006</v>
      </c>
      <c r="O40" s="1201">
        <f t="shared" si="16"/>
        <v>2718938.1199999996</v>
      </c>
      <c r="P40" s="1201">
        <f t="shared" si="16"/>
        <v>3382721.7</v>
      </c>
      <c r="Q40" s="1201">
        <f t="shared" si="16"/>
        <v>2763575.8</v>
      </c>
      <c r="R40" s="1201">
        <f t="shared" si="16"/>
        <v>1248222</v>
      </c>
      <c r="S40" s="1201">
        <f t="shared" si="16"/>
        <v>2427703.8899999997</v>
      </c>
      <c r="T40" s="1201">
        <f t="shared" si="16"/>
        <v>2223482</v>
      </c>
      <c r="U40" s="1201">
        <f t="shared" si="16"/>
        <v>2305221.8200000003</v>
      </c>
      <c r="V40" s="1201">
        <f t="shared" si="16"/>
        <v>2694082.33</v>
      </c>
      <c r="W40" s="1201">
        <f t="shared" si="16"/>
        <v>326003.71000000002</v>
      </c>
      <c r="X40" s="1208">
        <f t="shared" si="2"/>
        <v>80067107.799999982</v>
      </c>
      <c r="Y40" s="1209"/>
    </row>
    <row r="41" spans="1:25" ht="21.95" customHeight="1">
      <c r="A41" s="1207" t="s">
        <v>99</v>
      </c>
      <c r="B41" s="61" t="s">
        <v>100</v>
      </c>
      <c r="C41" s="1207"/>
      <c r="D41" s="1207" t="s">
        <v>101</v>
      </c>
      <c r="E41" s="1183">
        <v>4522950</v>
      </c>
      <c r="F41" s="1183">
        <v>4391200</v>
      </c>
      <c r="G41" s="1183">
        <v>4741195</v>
      </c>
      <c r="H41" s="1183">
        <v>5943125</v>
      </c>
      <c r="I41" s="1183">
        <v>3198175</v>
      </c>
      <c r="J41" s="1183">
        <v>5687130</v>
      </c>
      <c r="K41" s="1183">
        <v>4134600</v>
      </c>
      <c r="L41" s="1183">
        <v>5422920</v>
      </c>
      <c r="M41" s="1183">
        <f>1378*3210+7*6790</f>
        <v>4470910</v>
      </c>
      <c r="N41" s="1183">
        <v>3890395</v>
      </c>
      <c r="O41" s="1183">
        <v>1881880</v>
      </c>
      <c r="P41" s="1183">
        <v>2465270</v>
      </c>
      <c r="Q41" s="1183">
        <v>2014870</v>
      </c>
      <c r="R41" s="1183">
        <v>899470</v>
      </c>
      <c r="S41" s="1183">
        <f>1079630+858000</f>
        <v>1937630</v>
      </c>
      <c r="T41" s="1183">
        <v>1737420</v>
      </c>
      <c r="U41" s="1183">
        <f>300*2860+300*2860</f>
        <v>1716000</v>
      </c>
      <c r="V41" s="1183">
        <v>2040580</v>
      </c>
      <c r="W41" s="1183">
        <v>134400</v>
      </c>
      <c r="X41" s="1208">
        <f t="shared" si="2"/>
        <v>61230120</v>
      </c>
      <c r="Y41" s="1209"/>
    </row>
    <row r="42" spans="1:25" ht="21.95" customHeight="1">
      <c r="A42" s="1207" t="s">
        <v>102</v>
      </c>
      <c r="B42" s="61" t="s">
        <v>3112</v>
      </c>
      <c r="C42" s="1207" t="s">
        <v>27</v>
      </c>
      <c r="D42" s="1207" t="s">
        <v>209</v>
      </c>
      <c r="E42" s="1183">
        <v>226147.5</v>
      </c>
      <c r="F42" s="1183">
        <v>219560</v>
      </c>
      <c r="G42" s="1183">
        <v>237059.75</v>
      </c>
      <c r="H42" s="1183">
        <f>H41*5%</f>
        <v>297156.25</v>
      </c>
      <c r="I42" s="1183">
        <v>159908.75</v>
      </c>
      <c r="J42" s="1183">
        <v>284356.5</v>
      </c>
      <c r="K42" s="1183">
        <v>206730</v>
      </c>
      <c r="L42" s="1183">
        <v>271146</v>
      </c>
      <c r="M42" s="1183">
        <f>M41*0.05</f>
        <v>223545.5</v>
      </c>
      <c r="N42" s="1183">
        <v>194519.75</v>
      </c>
      <c r="O42" s="1183">
        <v>94094</v>
      </c>
      <c r="P42" s="1183">
        <v>123263.5</v>
      </c>
      <c r="Q42" s="1183">
        <v>100743.5</v>
      </c>
      <c r="R42" s="1183">
        <v>44973.5</v>
      </c>
      <c r="S42" s="1183">
        <v>72714.5</v>
      </c>
      <c r="T42" s="1183">
        <v>69496.5</v>
      </c>
      <c r="U42" s="1183">
        <v>73430.5</v>
      </c>
      <c r="V42" s="1183">
        <v>100527.5</v>
      </c>
      <c r="W42" s="1183">
        <v>6720</v>
      </c>
      <c r="X42" s="1208">
        <f t="shared" si="2"/>
        <v>3006093.5</v>
      </c>
      <c r="Y42" s="1209"/>
    </row>
    <row r="43" spans="1:25" ht="21.95" customHeight="1">
      <c r="A43" s="1207" t="s">
        <v>106</v>
      </c>
      <c r="B43" s="61" t="s">
        <v>107</v>
      </c>
      <c r="C43" s="1207"/>
      <c r="D43" s="1207"/>
      <c r="E43" s="1201">
        <f t="shared" ref="E43:W43" si="17">E44</f>
        <v>31200</v>
      </c>
      <c r="F43" s="1201">
        <f t="shared" si="17"/>
        <v>31366.67</v>
      </c>
      <c r="G43" s="1201">
        <f t="shared" si="17"/>
        <v>38030</v>
      </c>
      <c r="H43" s="1201">
        <f t="shared" si="17"/>
        <v>36000</v>
      </c>
      <c r="I43" s="1201">
        <f t="shared" si="17"/>
        <v>18433.330000000002</v>
      </c>
      <c r="J43" s="1201">
        <f t="shared" si="17"/>
        <v>36000</v>
      </c>
      <c r="K43" s="1201">
        <f t="shared" si="17"/>
        <v>30400</v>
      </c>
      <c r="L43" s="1201">
        <f t="shared" si="17"/>
        <v>25000</v>
      </c>
      <c r="M43" s="1201">
        <f t="shared" si="17"/>
        <v>34800</v>
      </c>
      <c r="N43" s="1201">
        <f t="shared" si="17"/>
        <v>27600</v>
      </c>
      <c r="O43" s="1201">
        <f t="shared" si="17"/>
        <v>22800</v>
      </c>
      <c r="P43" s="1201">
        <f t="shared" si="17"/>
        <v>23600</v>
      </c>
      <c r="Q43" s="1201">
        <f t="shared" si="17"/>
        <v>22800</v>
      </c>
      <c r="R43" s="1201">
        <f t="shared" si="17"/>
        <v>8800</v>
      </c>
      <c r="S43" s="1201">
        <f t="shared" si="17"/>
        <v>12400</v>
      </c>
      <c r="T43" s="1201">
        <f t="shared" si="17"/>
        <v>10800</v>
      </c>
      <c r="U43" s="1201">
        <f t="shared" si="17"/>
        <v>15200</v>
      </c>
      <c r="V43" s="1201">
        <f t="shared" si="17"/>
        <v>16400</v>
      </c>
      <c r="W43" s="1201">
        <f t="shared" si="17"/>
        <v>2400</v>
      </c>
      <c r="X43" s="1208">
        <f t="shared" si="2"/>
        <v>444030</v>
      </c>
      <c r="Y43" s="1209"/>
    </row>
    <row r="44" spans="1:25" ht="21.95" customHeight="1">
      <c r="A44" s="1207" t="s">
        <v>108</v>
      </c>
      <c r="B44" s="61" t="s">
        <v>109</v>
      </c>
      <c r="C44" s="1207" t="s">
        <v>27</v>
      </c>
      <c r="D44" s="1207" t="s">
        <v>426</v>
      </c>
      <c r="E44" s="1183">
        <v>31200</v>
      </c>
      <c r="F44" s="1183">
        <v>31366.67</v>
      </c>
      <c r="G44" s="1183">
        <v>38030</v>
      </c>
      <c r="H44" s="1183">
        <f>400*H64</f>
        <v>36000</v>
      </c>
      <c r="I44" s="1183">
        <v>18433.330000000002</v>
      </c>
      <c r="J44" s="1183">
        <v>36000</v>
      </c>
      <c r="K44" s="1183">
        <v>30400</v>
      </c>
      <c r="L44" s="1183">
        <v>25000</v>
      </c>
      <c r="M44" s="1183">
        <f>M65*400</f>
        <v>34800</v>
      </c>
      <c r="N44" s="1183">
        <f>69*400</f>
        <v>27600</v>
      </c>
      <c r="O44" s="1183">
        <v>22800</v>
      </c>
      <c r="P44" s="1183">
        <v>23600</v>
      </c>
      <c r="Q44" s="1183">
        <f>57*400</f>
        <v>22800</v>
      </c>
      <c r="R44" s="1183">
        <v>8800</v>
      </c>
      <c r="S44" s="1183">
        <f>31*400</f>
        <v>12400</v>
      </c>
      <c r="T44" s="1183">
        <v>10800</v>
      </c>
      <c r="U44" s="1183">
        <f>400*38</f>
        <v>15200</v>
      </c>
      <c r="V44" s="1183">
        <v>16400</v>
      </c>
      <c r="W44" s="1183">
        <v>2400</v>
      </c>
      <c r="X44" s="1208">
        <f t="shared" si="2"/>
        <v>444030</v>
      </c>
      <c r="Y44" s="1209"/>
    </row>
    <row r="45" spans="1:25" ht="21.95" customHeight="1">
      <c r="A45" s="1207" t="s">
        <v>111</v>
      </c>
      <c r="B45" s="61" t="s">
        <v>112</v>
      </c>
      <c r="C45" s="1207"/>
      <c r="D45" s="1207" t="s">
        <v>21</v>
      </c>
      <c r="E45" s="1201">
        <f t="shared" ref="E45:W45" si="18">E46</f>
        <v>255945</v>
      </c>
      <c r="F45" s="1201">
        <f t="shared" si="18"/>
        <v>178845</v>
      </c>
      <c r="G45" s="1201">
        <f t="shared" si="18"/>
        <v>715855.35</v>
      </c>
      <c r="H45" s="1201">
        <f t="shared" si="18"/>
        <v>277220.84999999998</v>
      </c>
      <c r="I45" s="1201">
        <f t="shared" si="18"/>
        <v>237987.9</v>
      </c>
      <c r="J45" s="1201">
        <f t="shared" si="18"/>
        <v>353195.25</v>
      </c>
      <c r="K45" s="1201">
        <f t="shared" si="18"/>
        <v>247352.85</v>
      </c>
      <c r="L45" s="1201">
        <f t="shared" si="18"/>
        <v>249734.55</v>
      </c>
      <c r="M45" s="1201">
        <f t="shared" si="18"/>
        <v>336501</v>
      </c>
      <c r="N45" s="1201">
        <f t="shared" si="18"/>
        <v>178714.35</v>
      </c>
      <c r="O45" s="1201">
        <f t="shared" si="18"/>
        <v>114821.55</v>
      </c>
      <c r="P45" s="1201">
        <f t="shared" si="18"/>
        <v>181706.7</v>
      </c>
      <c r="Q45" s="1201">
        <f t="shared" si="18"/>
        <v>156571.80000000002</v>
      </c>
      <c r="R45" s="1201">
        <f t="shared" si="18"/>
        <v>91200</v>
      </c>
      <c r="S45" s="1201">
        <f t="shared" si="18"/>
        <v>172748.25</v>
      </c>
      <c r="T45" s="1201">
        <f t="shared" si="18"/>
        <v>179094</v>
      </c>
      <c r="U45" s="1201">
        <f t="shared" si="18"/>
        <v>169364.1</v>
      </c>
      <c r="V45" s="1201">
        <f t="shared" si="18"/>
        <v>202800</v>
      </c>
      <c r="W45" s="1201">
        <f t="shared" si="18"/>
        <v>23670</v>
      </c>
      <c r="X45" s="1208">
        <f t="shared" si="2"/>
        <v>4323328.5</v>
      </c>
      <c r="Y45" s="1209"/>
    </row>
    <row r="46" spans="1:25" ht="21.95" customHeight="1">
      <c r="A46" s="1207" t="s">
        <v>113</v>
      </c>
      <c r="B46" s="61" t="s">
        <v>114</v>
      </c>
      <c r="C46" s="1207" t="s">
        <v>27</v>
      </c>
      <c r="D46" s="1207" t="s">
        <v>427</v>
      </c>
      <c r="E46" s="1183">
        <v>255945</v>
      </c>
      <c r="F46" s="1183">
        <f>F74*15</f>
        <v>178845</v>
      </c>
      <c r="G46" s="1183">
        <v>715855.35</v>
      </c>
      <c r="H46" s="1183">
        <f>15*H74</f>
        <v>277220.84999999998</v>
      </c>
      <c r="I46" s="1183">
        <v>237987.9</v>
      </c>
      <c r="J46" s="1183">
        <v>353195.25</v>
      </c>
      <c r="K46" s="1183">
        <v>247352.85</v>
      </c>
      <c r="L46" s="1183">
        <v>249734.55</v>
      </c>
      <c r="M46" s="1183">
        <f>M74*15</f>
        <v>336501</v>
      </c>
      <c r="N46" s="1183">
        <f>15*N74</f>
        <v>178714.35</v>
      </c>
      <c r="O46" s="1183">
        <v>114821.55</v>
      </c>
      <c r="P46" s="1183">
        <v>181706.7</v>
      </c>
      <c r="Q46" s="1183">
        <f>Q74*15</f>
        <v>156571.80000000002</v>
      </c>
      <c r="R46" s="1183">
        <v>91200</v>
      </c>
      <c r="S46" s="1183">
        <f>S74*15</f>
        <v>172748.25</v>
      </c>
      <c r="T46" s="1183">
        <v>179094</v>
      </c>
      <c r="U46" s="1183">
        <v>169364.1</v>
      </c>
      <c r="V46" s="1183">
        <v>202800</v>
      </c>
      <c r="W46" s="1183">
        <v>23670</v>
      </c>
      <c r="X46" s="1208">
        <f t="shared" si="2"/>
        <v>4323328.5</v>
      </c>
      <c r="Y46" s="1209"/>
    </row>
    <row r="47" spans="1:25" ht="21.95" customHeight="1">
      <c r="A47" s="1207" t="s">
        <v>116</v>
      </c>
      <c r="B47" s="61" t="s">
        <v>117</v>
      </c>
      <c r="C47" s="1207"/>
      <c r="D47" s="1207" t="s">
        <v>21</v>
      </c>
      <c r="E47" s="1201">
        <f t="shared" ref="E47:W47" si="19">E48</f>
        <v>126632</v>
      </c>
      <c r="F47" s="1201">
        <f t="shared" si="19"/>
        <v>82880</v>
      </c>
      <c r="G47" s="1201">
        <f t="shared" si="19"/>
        <v>130104</v>
      </c>
      <c r="H47" s="1201">
        <f t="shared" si="19"/>
        <v>100940.8</v>
      </c>
      <c r="I47" s="1201">
        <f t="shared" si="19"/>
        <v>68379.600000000006</v>
      </c>
      <c r="J47" s="1201">
        <f t="shared" si="19"/>
        <v>157696</v>
      </c>
      <c r="K47" s="1201">
        <f t="shared" si="19"/>
        <v>89280</v>
      </c>
      <c r="L47" s="1201">
        <f t="shared" si="19"/>
        <v>89000</v>
      </c>
      <c r="M47" s="1201">
        <f t="shared" si="19"/>
        <v>125600</v>
      </c>
      <c r="N47" s="1201">
        <f t="shared" si="19"/>
        <v>67576.800000000003</v>
      </c>
      <c r="O47" s="1201">
        <f t="shared" si="19"/>
        <v>41072</v>
      </c>
      <c r="P47" s="1201">
        <f t="shared" si="19"/>
        <v>34640</v>
      </c>
      <c r="Q47" s="1201">
        <f t="shared" si="19"/>
        <v>34128</v>
      </c>
      <c r="R47" s="1201">
        <f t="shared" si="19"/>
        <v>20000</v>
      </c>
      <c r="S47" s="1201">
        <f t="shared" si="19"/>
        <v>40464.800000000003</v>
      </c>
      <c r="T47" s="1201">
        <f t="shared" si="19"/>
        <v>39992</v>
      </c>
      <c r="U47" s="1201">
        <f t="shared" si="19"/>
        <v>37018.720000000001</v>
      </c>
      <c r="V47" s="1201">
        <f t="shared" si="19"/>
        <v>40360</v>
      </c>
      <c r="W47" s="1201">
        <f t="shared" si="19"/>
        <v>5000</v>
      </c>
      <c r="X47" s="1208">
        <f t="shared" si="2"/>
        <v>1330764.7200000002</v>
      </c>
      <c r="Y47" s="1209"/>
    </row>
    <row r="48" spans="1:25" ht="21.95" customHeight="1">
      <c r="A48" s="1207" t="s">
        <v>118</v>
      </c>
      <c r="B48" s="61" t="s">
        <v>119</v>
      </c>
      <c r="C48" s="1207" t="s">
        <v>27</v>
      </c>
      <c r="D48" s="1207" t="s">
        <v>428</v>
      </c>
      <c r="E48" s="1183">
        <v>126632</v>
      </c>
      <c r="F48" s="1183">
        <f>F75*8</f>
        <v>82880</v>
      </c>
      <c r="G48" s="1183">
        <v>130104</v>
      </c>
      <c r="H48" s="1183">
        <f>8*H75</f>
        <v>100940.8</v>
      </c>
      <c r="I48" s="1183">
        <v>68379.600000000006</v>
      </c>
      <c r="J48" s="1183">
        <v>157696</v>
      </c>
      <c r="K48" s="1183">
        <v>89280</v>
      </c>
      <c r="L48" s="1183">
        <v>89000</v>
      </c>
      <c r="M48" s="1183">
        <f>M75*8</f>
        <v>125600</v>
      </c>
      <c r="N48" s="1183">
        <f>8*N75</f>
        <v>67576.800000000003</v>
      </c>
      <c r="O48" s="1183">
        <v>41072</v>
      </c>
      <c r="P48" s="1183">
        <v>34640</v>
      </c>
      <c r="Q48" s="1183">
        <f>Q75*8</f>
        <v>34128</v>
      </c>
      <c r="R48" s="1183">
        <v>20000</v>
      </c>
      <c r="S48" s="1183">
        <f>S75*8</f>
        <v>40464.800000000003</v>
      </c>
      <c r="T48" s="1183">
        <v>39992</v>
      </c>
      <c r="U48" s="1183">
        <v>37018.720000000001</v>
      </c>
      <c r="V48" s="1183">
        <v>40360</v>
      </c>
      <c r="W48" s="1183">
        <v>5000</v>
      </c>
      <c r="X48" s="1208">
        <f t="shared" si="2"/>
        <v>1330764.7200000002</v>
      </c>
      <c r="Y48" s="1209"/>
    </row>
    <row r="49" spans="1:25" ht="21.95" customHeight="1">
      <c r="A49" s="1207" t="s">
        <v>121</v>
      </c>
      <c r="B49" s="61" t="s">
        <v>3113</v>
      </c>
      <c r="C49" s="1207"/>
      <c r="D49" s="1207" t="s">
        <v>21</v>
      </c>
      <c r="E49" s="1201">
        <f t="shared" ref="E49:W49" si="20">E50+E51</f>
        <v>635040</v>
      </c>
      <c r="F49" s="1201">
        <f t="shared" si="20"/>
        <v>614160</v>
      </c>
      <c r="G49" s="1201">
        <f t="shared" si="20"/>
        <v>415080</v>
      </c>
      <c r="H49" s="1201">
        <f t="shared" si="20"/>
        <v>375480</v>
      </c>
      <c r="I49" s="1201">
        <f t="shared" si="20"/>
        <v>199080</v>
      </c>
      <c r="J49" s="1201">
        <f t="shared" si="20"/>
        <v>864000</v>
      </c>
      <c r="K49" s="1201">
        <f t="shared" si="20"/>
        <v>773280</v>
      </c>
      <c r="L49" s="1201">
        <f t="shared" si="20"/>
        <v>270000</v>
      </c>
      <c r="M49" s="1201">
        <f t="shared" si="20"/>
        <v>380160</v>
      </c>
      <c r="N49" s="1201">
        <f t="shared" si="20"/>
        <v>297360</v>
      </c>
      <c r="O49" s="1201">
        <f t="shared" si="20"/>
        <v>352800</v>
      </c>
      <c r="P49" s="1201">
        <f t="shared" si="20"/>
        <v>359640</v>
      </c>
      <c r="Q49" s="1201">
        <f t="shared" si="20"/>
        <v>250560</v>
      </c>
      <c r="R49" s="1201">
        <f t="shared" si="20"/>
        <v>95040</v>
      </c>
      <c r="S49" s="1201">
        <f t="shared" si="20"/>
        <v>122040</v>
      </c>
      <c r="T49" s="1201">
        <f t="shared" si="20"/>
        <v>116640</v>
      </c>
      <c r="U49" s="1201">
        <f t="shared" si="20"/>
        <v>164160</v>
      </c>
      <c r="V49" s="1201">
        <f t="shared" si="20"/>
        <v>177120</v>
      </c>
      <c r="W49" s="1201">
        <f t="shared" si="20"/>
        <v>103680</v>
      </c>
      <c r="X49" s="1208">
        <f t="shared" si="2"/>
        <v>6565320</v>
      </c>
      <c r="Y49" s="1209"/>
    </row>
    <row r="50" spans="1:25" ht="21.95" customHeight="1">
      <c r="A50" s="1207" t="s">
        <v>123</v>
      </c>
      <c r="B50" s="61" t="s">
        <v>3114</v>
      </c>
      <c r="C50" s="1207" t="s">
        <v>27</v>
      </c>
      <c r="D50" s="1207" t="s">
        <v>429</v>
      </c>
      <c r="E50" s="1183">
        <v>341280</v>
      </c>
      <c r="F50" s="1183">
        <f>941*360</f>
        <v>338760</v>
      </c>
      <c r="G50" s="1183">
        <v>410760</v>
      </c>
      <c r="H50" s="1183">
        <f>360*83*3+360*82*3+360*88*1+360*89*2+360*90*3</f>
        <v>371160</v>
      </c>
      <c r="I50" s="1183">
        <v>199080</v>
      </c>
      <c r="J50" s="1183">
        <v>388800</v>
      </c>
      <c r="K50" s="1183">
        <v>312480</v>
      </c>
      <c r="L50" s="1183">
        <v>270000</v>
      </c>
      <c r="M50" s="1183">
        <f>87*4320</f>
        <v>375840</v>
      </c>
      <c r="N50" s="1183">
        <f>66*4320+1*360*10+2*8*360+1*4*360</f>
        <v>295920</v>
      </c>
      <c r="O50" s="1183">
        <v>246240</v>
      </c>
      <c r="P50" s="1183">
        <v>255600</v>
      </c>
      <c r="Q50" s="1183">
        <f>57*4320</f>
        <v>246240</v>
      </c>
      <c r="R50" s="1183">
        <v>95040</v>
      </c>
      <c r="S50" s="1183">
        <v>122040</v>
      </c>
      <c r="T50" s="1183">
        <v>116640</v>
      </c>
      <c r="U50" s="1183">
        <f>4320*38</f>
        <v>164160</v>
      </c>
      <c r="V50" s="1183">
        <v>177120</v>
      </c>
      <c r="W50" s="1183">
        <v>25920</v>
      </c>
      <c r="X50" s="1208">
        <f t="shared" si="2"/>
        <v>4753080</v>
      </c>
      <c r="Y50" s="1209"/>
    </row>
    <row r="51" spans="1:25" ht="21.95" customHeight="1">
      <c r="A51" s="1207" t="s">
        <v>125</v>
      </c>
      <c r="B51" s="61" t="s">
        <v>3115</v>
      </c>
      <c r="C51" s="1207" t="s">
        <v>27</v>
      </c>
      <c r="D51" s="1207" t="s">
        <v>430</v>
      </c>
      <c r="E51" s="1183">
        <v>293760</v>
      </c>
      <c r="F51" s="1183">
        <f>765*360</f>
        <v>275400</v>
      </c>
      <c r="G51" s="1183">
        <v>4320</v>
      </c>
      <c r="H51" s="1183">
        <f>4320*H73</f>
        <v>4320</v>
      </c>
      <c r="I51" s="1183"/>
      <c r="J51" s="1183">
        <v>475200</v>
      </c>
      <c r="K51" s="1183">
        <v>460800</v>
      </c>
      <c r="L51" s="1183"/>
      <c r="M51" s="1183">
        <f>1*4320</f>
        <v>4320</v>
      </c>
      <c r="N51" s="1183">
        <f>2*360*2</f>
        <v>1440</v>
      </c>
      <c r="O51" s="1183">
        <v>106560</v>
      </c>
      <c r="P51" s="1183">
        <v>104040</v>
      </c>
      <c r="Q51" s="1183">
        <f>4320</f>
        <v>4320</v>
      </c>
      <c r="R51" s="1183"/>
      <c r="S51" s="1183"/>
      <c r="T51" s="1183"/>
      <c r="U51" s="1183"/>
      <c r="V51" s="1183"/>
      <c r="W51" s="1183">
        <v>77760</v>
      </c>
      <c r="X51" s="1208">
        <f t="shared" si="2"/>
        <v>1812240</v>
      </c>
      <c r="Y51" s="1209"/>
    </row>
    <row r="52" spans="1:25" ht="21.95" customHeight="1">
      <c r="A52" s="1207" t="s">
        <v>126</v>
      </c>
      <c r="B52" s="61" t="s">
        <v>3116</v>
      </c>
      <c r="C52" s="1207"/>
      <c r="D52" s="1207" t="s">
        <v>21</v>
      </c>
      <c r="E52" s="1201">
        <f t="shared" ref="E52:W52" si="21">E53</f>
        <v>415560</v>
      </c>
      <c r="F52" s="1201">
        <f t="shared" si="21"/>
        <v>423805.71</v>
      </c>
      <c r="G52" s="1201">
        <f t="shared" si="21"/>
        <v>484661</v>
      </c>
      <c r="H52" s="1201">
        <f t="shared" si="21"/>
        <v>428490.57</v>
      </c>
      <c r="I52" s="1201">
        <f t="shared" si="21"/>
        <v>196571.43</v>
      </c>
      <c r="J52" s="1201">
        <f t="shared" si="21"/>
        <v>448469.43</v>
      </c>
      <c r="K52" s="1201">
        <f t="shared" si="21"/>
        <v>391326.86</v>
      </c>
      <c r="L52" s="1201">
        <f t="shared" si="21"/>
        <v>290393.14</v>
      </c>
      <c r="M52" s="1201">
        <f t="shared" si="21"/>
        <v>436450.29</v>
      </c>
      <c r="N52" s="1201">
        <f t="shared" si="21"/>
        <v>326800.7</v>
      </c>
      <c r="O52" s="1201">
        <f t="shared" si="21"/>
        <v>254564.57</v>
      </c>
      <c r="P52" s="1201">
        <f t="shared" si="21"/>
        <v>270815</v>
      </c>
      <c r="Q52" s="1201">
        <f t="shared" si="21"/>
        <v>246096</v>
      </c>
      <c r="R52" s="1201">
        <f t="shared" si="21"/>
        <v>98712</v>
      </c>
      <c r="S52" s="1201">
        <f t="shared" si="21"/>
        <v>119020.84</v>
      </c>
      <c r="T52" s="1201">
        <f t="shared" si="21"/>
        <v>112536</v>
      </c>
      <c r="U52" s="1201">
        <f t="shared" si="21"/>
        <v>166779</v>
      </c>
      <c r="V52" s="1201">
        <f t="shared" si="21"/>
        <v>178822.33</v>
      </c>
      <c r="W52" s="1201">
        <f t="shared" si="21"/>
        <v>26653.71</v>
      </c>
      <c r="X52" s="1208">
        <f t="shared" si="2"/>
        <v>5316528.58</v>
      </c>
      <c r="Y52" s="1209"/>
    </row>
    <row r="53" spans="1:25" ht="21.95" customHeight="1">
      <c r="A53" s="1207" t="s">
        <v>128</v>
      </c>
      <c r="B53" s="61" t="s">
        <v>129</v>
      </c>
      <c r="C53" s="1207" t="s">
        <v>27</v>
      </c>
      <c r="D53" s="1207" t="s">
        <v>431</v>
      </c>
      <c r="E53" s="1183">
        <v>415560</v>
      </c>
      <c r="F53" s="1183">
        <v>423805.71</v>
      </c>
      <c r="G53" s="1183">
        <v>484661</v>
      </c>
      <c r="H53" s="1183">
        <v>428490.57</v>
      </c>
      <c r="I53" s="1183">
        <v>196571.43</v>
      </c>
      <c r="J53" s="1183">
        <v>448469.43</v>
      </c>
      <c r="K53" s="1183">
        <v>391326.86</v>
      </c>
      <c r="L53" s="1183">
        <v>290393.14</v>
      </c>
      <c r="M53" s="1183">
        <f>ROUND(M31/0.07*0.02,2)</f>
        <v>436450.29</v>
      </c>
      <c r="N53" s="1183">
        <v>326800.7</v>
      </c>
      <c r="O53" s="1183">
        <v>254564.57</v>
      </c>
      <c r="P53" s="1183">
        <v>270815</v>
      </c>
      <c r="Q53" s="1183">
        <v>246096</v>
      </c>
      <c r="R53" s="1183">
        <v>98712</v>
      </c>
      <c r="S53" s="1183">
        <v>119020.84</v>
      </c>
      <c r="T53" s="1183">
        <v>112536</v>
      </c>
      <c r="U53" s="1183">
        <v>166779</v>
      </c>
      <c r="V53" s="1183">
        <v>178822.33</v>
      </c>
      <c r="W53" s="1183">
        <v>26653.71</v>
      </c>
      <c r="X53" s="1208">
        <f t="shared" si="2"/>
        <v>5316528.58</v>
      </c>
      <c r="Y53" s="1209"/>
    </row>
    <row r="54" spans="1:25" ht="21.95" customHeight="1">
      <c r="A54" s="1207" t="s">
        <v>130</v>
      </c>
      <c r="B54" s="61" t="s">
        <v>3117</v>
      </c>
      <c r="C54" s="1207"/>
      <c r="D54" s="1207" t="s">
        <v>21</v>
      </c>
      <c r="E54" s="1201">
        <f t="shared" ref="E54:W54" si="22">E55</f>
        <v>32000</v>
      </c>
      <c r="F54" s="1201">
        <f t="shared" si="22"/>
        <v>32000</v>
      </c>
      <c r="G54" s="1201">
        <f t="shared" si="22"/>
        <v>0</v>
      </c>
      <c r="H54" s="1201">
        <f t="shared" si="22"/>
        <v>0</v>
      </c>
      <c r="I54" s="1201">
        <f t="shared" si="22"/>
        <v>32000</v>
      </c>
      <c r="J54" s="1201">
        <f t="shared" si="22"/>
        <v>32000</v>
      </c>
      <c r="K54" s="1201">
        <f t="shared" si="22"/>
        <v>32000</v>
      </c>
      <c r="L54" s="1201">
        <f t="shared" si="22"/>
        <v>0</v>
      </c>
      <c r="M54" s="1201">
        <f t="shared" si="22"/>
        <v>0</v>
      </c>
      <c r="N54" s="1201">
        <f t="shared" si="22"/>
        <v>0</v>
      </c>
      <c r="O54" s="1201">
        <f t="shared" si="22"/>
        <v>32000</v>
      </c>
      <c r="P54" s="1201">
        <f t="shared" si="22"/>
        <v>25000</v>
      </c>
      <c r="Q54" s="1201">
        <f t="shared" si="22"/>
        <v>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22000</v>
      </c>
      <c r="X54" s="1208">
        <f t="shared" si="2"/>
        <v>239000</v>
      </c>
      <c r="Y54" s="1209"/>
    </row>
    <row r="55" spans="1:25" ht="21.95" customHeight="1">
      <c r="A55" s="1207" t="s">
        <v>131</v>
      </c>
      <c r="B55" s="61" t="s">
        <v>132</v>
      </c>
      <c r="C55" s="1207" t="s">
        <v>27</v>
      </c>
      <c r="D55" s="1207" t="s">
        <v>3005</v>
      </c>
      <c r="E55" s="1183">
        <v>32000</v>
      </c>
      <c r="F55" s="1183">
        <v>32000</v>
      </c>
      <c r="G55" s="1183"/>
      <c r="H55" s="1183"/>
      <c r="I55" s="1183">
        <v>32000</v>
      </c>
      <c r="J55" s="1183">
        <v>32000</v>
      </c>
      <c r="K55" s="1183">
        <v>32000</v>
      </c>
      <c r="L55" s="1183"/>
      <c r="M55" s="1183"/>
      <c r="N55" s="1183"/>
      <c r="O55" s="1183">
        <v>32000</v>
      </c>
      <c r="P55" s="1183">
        <v>25000</v>
      </c>
      <c r="Q55" s="1183"/>
      <c r="R55" s="1183"/>
      <c r="S55" s="1183"/>
      <c r="T55" s="1183"/>
      <c r="U55" s="1183"/>
      <c r="V55" s="1183"/>
      <c r="W55" s="1183">
        <v>22000</v>
      </c>
      <c r="X55" s="1208">
        <f t="shared" si="2"/>
        <v>239000</v>
      </c>
      <c r="Y55" s="1209"/>
    </row>
    <row r="56" spans="1:25" ht="21.95" customHeight="1">
      <c r="A56" s="1207" t="s">
        <v>134</v>
      </c>
      <c r="B56" s="61" t="s">
        <v>3118</v>
      </c>
      <c r="C56" s="1207"/>
      <c r="D56" s="1207" t="s">
        <v>21</v>
      </c>
      <c r="E56" s="1201">
        <f t="shared" ref="E56:W56" si="23">E57+E59</f>
        <v>31950</v>
      </c>
      <c r="F56" s="1201">
        <f t="shared" si="23"/>
        <v>28500</v>
      </c>
      <c r="G56" s="1201">
        <f t="shared" si="23"/>
        <v>5400</v>
      </c>
      <c r="H56" s="1201">
        <f t="shared" si="23"/>
        <v>8400</v>
      </c>
      <c r="I56" s="1201">
        <f t="shared" si="23"/>
        <v>10000</v>
      </c>
      <c r="J56" s="1201">
        <f t="shared" si="23"/>
        <v>49000</v>
      </c>
      <c r="K56" s="1201">
        <f t="shared" si="23"/>
        <v>47150</v>
      </c>
      <c r="L56" s="1201">
        <f t="shared" si="23"/>
        <v>5650</v>
      </c>
      <c r="M56" s="1201">
        <f t="shared" si="23"/>
        <v>10400</v>
      </c>
      <c r="N56" s="1201">
        <f t="shared" si="23"/>
        <v>3666</v>
      </c>
      <c r="O56" s="1201">
        <f t="shared" si="23"/>
        <v>14000</v>
      </c>
      <c r="P56" s="1201">
        <f t="shared" si="23"/>
        <v>17050</v>
      </c>
      <c r="Q56" s="1201">
        <f t="shared" si="23"/>
        <v>6550</v>
      </c>
      <c r="R56" s="1201">
        <f t="shared" si="23"/>
        <v>3000</v>
      </c>
      <c r="S56" s="1201">
        <f t="shared" si="23"/>
        <v>3400</v>
      </c>
      <c r="T56" s="1201">
        <f t="shared" si="23"/>
        <v>7000</v>
      </c>
      <c r="U56" s="1201">
        <f t="shared" si="23"/>
        <v>4700</v>
      </c>
      <c r="V56" s="1201">
        <f t="shared" si="23"/>
        <v>6000</v>
      </c>
      <c r="W56" s="1201">
        <f t="shared" si="23"/>
        <v>8200</v>
      </c>
      <c r="X56" s="1208">
        <f t="shared" si="2"/>
        <v>270016</v>
      </c>
      <c r="Y56" s="1209"/>
    </row>
    <row r="57" spans="1:25" ht="21.95" customHeight="1">
      <c r="A57" s="1207" t="s">
        <v>135</v>
      </c>
      <c r="B57" s="61" t="s">
        <v>3119</v>
      </c>
      <c r="C57" s="1207" t="s">
        <v>27</v>
      </c>
      <c r="D57" s="1207" t="s">
        <v>21</v>
      </c>
      <c r="E57" s="1201">
        <f t="shared" ref="E57:W57" si="24">E58</f>
        <v>27000</v>
      </c>
      <c r="F57" s="1201">
        <f t="shared" si="24"/>
        <v>25500</v>
      </c>
      <c r="G57" s="1201">
        <f t="shared" si="24"/>
        <v>400</v>
      </c>
      <c r="H57" s="1201">
        <f t="shared" si="24"/>
        <v>400</v>
      </c>
      <c r="I57" s="1201">
        <f t="shared" si="24"/>
        <v>0</v>
      </c>
      <c r="J57" s="1201">
        <f t="shared" si="24"/>
        <v>44000</v>
      </c>
      <c r="K57" s="1201">
        <f t="shared" si="24"/>
        <v>42800</v>
      </c>
      <c r="L57" s="1201">
        <f t="shared" si="24"/>
        <v>0</v>
      </c>
      <c r="M57" s="1201">
        <f t="shared" si="24"/>
        <v>400</v>
      </c>
      <c r="N57" s="1201">
        <f t="shared" si="24"/>
        <v>66</v>
      </c>
      <c r="O57" s="1201">
        <f t="shared" si="24"/>
        <v>10000</v>
      </c>
      <c r="P57" s="1201">
        <f t="shared" si="24"/>
        <v>10000</v>
      </c>
      <c r="Q57" s="1201">
        <f t="shared" si="24"/>
        <v>400</v>
      </c>
      <c r="R57" s="1201">
        <f t="shared" si="24"/>
        <v>0</v>
      </c>
      <c r="S57" s="1201">
        <f t="shared" si="24"/>
        <v>0</v>
      </c>
      <c r="T57" s="1201">
        <f t="shared" si="24"/>
        <v>0</v>
      </c>
      <c r="U57" s="1201">
        <f t="shared" si="24"/>
        <v>0</v>
      </c>
      <c r="V57" s="1201">
        <f t="shared" si="24"/>
        <v>0</v>
      </c>
      <c r="W57" s="1201">
        <f t="shared" si="24"/>
        <v>7200</v>
      </c>
      <c r="X57" s="1208">
        <f t="shared" si="2"/>
        <v>168166</v>
      </c>
      <c r="Y57" s="1209"/>
    </row>
    <row r="58" spans="1:25" ht="21.95" customHeight="1">
      <c r="A58" s="1207" t="s">
        <v>136</v>
      </c>
      <c r="B58" s="61" t="s">
        <v>137</v>
      </c>
      <c r="C58" s="1207" t="s">
        <v>27</v>
      </c>
      <c r="D58" s="1207" t="s">
        <v>435</v>
      </c>
      <c r="E58" s="1183">
        <v>27000</v>
      </c>
      <c r="F58" s="1183">
        <f>765/12*400</f>
        <v>25500</v>
      </c>
      <c r="G58" s="1183">
        <v>400</v>
      </c>
      <c r="H58" s="1183">
        <f>400*H73</f>
        <v>400</v>
      </c>
      <c r="I58" s="1183"/>
      <c r="J58" s="1183">
        <v>44000</v>
      </c>
      <c r="K58" s="1183">
        <v>42800</v>
      </c>
      <c r="L58" s="1183"/>
      <c r="M58" s="1183">
        <v>400</v>
      </c>
      <c r="N58" s="1183">
        <v>66</v>
      </c>
      <c r="O58" s="1183">
        <v>10000</v>
      </c>
      <c r="P58" s="1183">
        <v>10000</v>
      </c>
      <c r="Q58" s="1183">
        <f>1*400</f>
        <v>400</v>
      </c>
      <c r="R58" s="1183"/>
      <c r="S58" s="1183"/>
      <c r="T58" s="1183"/>
      <c r="U58" s="1183"/>
      <c r="V58" s="1183"/>
      <c r="W58" s="1183">
        <v>7200</v>
      </c>
      <c r="X58" s="1208">
        <f t="shared" si="2"/>
        <v>168166</v>
      </c>
      <c r="Y58" s="1209"/>
    </row>
    <row r="59" spans="1:25" ht="21.95" customHeight="1">
      <c r="A59" s="1207" t="s">
        <v>139</v>
      </c>
      <c r="B59" s="61" t="s">
        <v>3120</v>
      </c>
      <c r="C59" s="1207" t="s">
        <v>27</v>
      </c>
      <c r="D59" s="1207" t="s">
        <v>438</v>
      </c>
      <c r="E59" s="1183">
        <v>4950</v>
      </c>
      <c r="F59" s="1183">
        <v>3000</v>
      </c>
      <c r="G59" s="1183">
        <v>5000</v>
      </c>
      <c r="H59" s="1183">
        <v>8000</v>
      </c>
      <c r="I59" s="1183">
        <v>10000</v>
      </c>
      <c r="J59" s="1183">
        <v>5000</v>
      </c>
      <c r="K59" s="1183">
        <v>4350</v>
      </c>
      <c r="L59" s="1183">
        <v>5650</v>
      </c>
      <c r="M59" s="1183">
        <v>10000</v>
      </c>
      <c r="N59" s="1183">
        <f>6*12*50</f>
        <v>3600</v>
      </c>
      <c r="O59" s="1183">
        <v>4000</v>
      </c>
      <c r="P59" s="1183">
        <v>7050</v>
      </c>
      <c r="Q59" s="1183">
        <v>6150</v>
      </c>
      <c r="R59" s="1183">
        <v>3000</v>
      </c>
      <c r="S59" s="1183">
        <v>3400</v>
      </c>
      <c r="T59" s="1183">
        <v>7000</v>
      </c>
      <c r="U59" s="1183">
        <v>4700</v>
      </c>
      <c r="V59" s="1183">
        <v>6000</v>
      </c>
      <c r="W59" s="1183">
        <v>1000</v>
      </c>
      <c r="X59" s="1208">
        <f t="shared" si="2"/>
        <v>101850</v>
      </c>
      <c r="Y59" s="1209"/>
    </row>
    <row r="60" spans="1:25" ht="21.95" customHeight="1">
      <c r="A60" s="1207" t="s">
        <v>141</v>
      </c>
      <c r="B60" s="61" t="s">
        <v>3121</v>
      </c>
      <c r="C60" s="1207"/>
      <c r="D60" s="1207" t="s">
        <v>21</v>
      </c>
      <c r="E60" s="1201">
        <f t="shared" ref="E60:W60" si="25">E61</f>
        <v>0</v>
      </c>
      <c r="F60" s="1201">
        <f t="shared" si="25"/>
        <v>0</v>
      </c>
      <c r="G60" s="1201">
        <f t="shared" si="25"/>
        <v>32000</v>
      </c>
      <c r="H60" s="1201">
        <f t="shared" si="25"/>
        <v>32000</v>
      </c>
      <c r="I60" s="1201">
        <f t="shared" si="25"/>
        <v>0</v>
      </c>
      <c r="J60" s="1201">
        <f t="shared" si="25"/>
        <v>10000</v>
      </c>
      <c r="K60" s="1201">
        <f t="shared" si="25"/>
        <v>0</v>
      </c>
      <c r="L60" s="1201">
        <f t="shared" si="25"/>
        <v>32000</v>
      </c>
      <c r="M60" s="1201">
        <f t="shared" si="25"/>
        <v>32000</v>
      </c>
      <c r="N60" s="1201">
        <f t="shared" si="25"/>
        <v>32000</v>
      </c>
      <c r="O60" s="1201">
        <f t="shared" si="25"/>
        <v>5000</v>
      </c>
      <c r="P60" s="1201">
        <f t="shared" si="25"/>
        <v>5000</v>
      </c>
      <c r="Q60" s="1201">
        <f t="shared" si="25"/>
        <v>32000</v>
      </c>
      <c r="R60" s="1201">
        <f t="shared" si="25"/>
        <v>32000</v>
      </c>
      <c r="S60" s="1201">
        <f t="shared" si="25"/>
        <v>20000</v>
      </c>
      <c r="T60" s="1201">
        <f t="shared" si="25"/>
        <v>20000</v>
      </c>
      <c r="U60" s="1201">
        <f t="shared" si="25"/>
        <v>32000</v>
      </c>
      <c r="V60" s="1201">
        <f t="shared" si="25"/>
        <v>32000</v>
      </c>
      <c r="W60" s="1201">
        <f t="shared" si="25"/>
        <v>0</v>
      </c>
      <c r="X60" s="1208">
        <f t="shared" si="2"/>
        <v>348000</v>
      </c>
      <c r="Y60" s="1209"/>
    </row>
    <row r="61" spans="1:25" ht="21.95" customHeight="1" thickBot="1">
      <c r="A61" s="1207" t="s">
        <v>142</v>
      </c>
      <c r="B61" s="1196" t="s">
        <v>143</v>
      </c>
      <c r="C61" s="1207" t="s">
        <v>27</v>
      </c>
      <c r="D61" s="1207" t="s">
        <v>440</v>
      </c>
      <c r="E61" s="1182"/>
      <c r="F61" s="1182"/>
      <c r="G61" s="1182">
        <v>32000</v>
      </c>
      <c r="H61" s="1182">
        <v>32000</v>
      </c>
      <c r="I61" s="1182"/>
      <c r="J61" s="1182">
        <v>10000</v>
      </c>
      <c r="K61" s="1182"/>
      <c r="L61" s="1182">
        <v>32000</v>
      </c>
      <c r="M61" s="1182">
        <v>32000</v>
      </c>
      <c r="N61" s="1182">
        <v>32000</v>
      </c>
      <c r="O61" s="1182">
        <v>5000</v>
      </c>
      <c r="P61" s="1182">
        <v>5000</v>
      </c>
      <c r="Q61" s="1182">
        <v>32000</v>
      </c>
      <c r="R61" s="1182">
        <v>32000</v>
      </c>
      <c r="S61" s="1182">
        <v>20000</v>
      </c>
      <c r="T61" s="1182">
        <v>20000</v>
      </c>
      <c r="U61" s="1182">
        <v>32000</v>
      </c>
      <c r="V61" s="1182">
        <v>32000</v>
      </c>
      <c r="W61" s="1182"/>
      <c r="X61" s="1208">
        <f t="shared" si="2"/>
        <v>348000</v>
      </c>
      <c r="Y61" s="1209"/>
    </row>
    <row r="62" spans="1:25" ht="21.95" customHeight="1" thickTop="1">
      <c r="A62" s="1207" t="s">
        <v>144</v>
      </c>
      <c r="B62" s="1197" t="s">
        <v>145</v>
      </c>
      <c r="C62" s="1207"/>
      <c r="D62" s="1207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208">
        <f t="shared" si="2"/>
        <v>0</v>
      </c>
      <c r="Y62" s="1209"/>
    </row>
    <row r="63" spans="1:25" ht="21.95" customHeight="1">
      <c r="A63" s="1207" t="s">
        <v>146</v>
      </c>
      <c r="B63" s="61" t="s">
        <v>147</v>
      </c>
      <c r="C63" s="1207"/>
      <c r="D63" s="1207" t="s">
        <v>3010</v>
      </c>
      <c r="E63" s="1204">
        <f t="shared" ref="E63:W63" si="26">E64+E65+E66+E67</f>
        <v>79</v>
      </c>
      <c r="F63" s="1204">
        <f t="shared" si="26"/>
        <v>78</v>
      </c>
      <c r="G63" s="1204">
        <f t="shared" si="26"/>
        <v>97</v>
      </c>
      <c r="H63" s="1204">
        <f t="shared" si="26"/>
        <v>90</v>
      </c>
      <c r="I63" s="1204">
        <f t="shared" si="26"/>
        <v>57</v>
      </c>
      <c r="J63" s="1204">
        <f t="shared" si="26"/>
        <v>91</v>
      </c>
      <c r="K63" s="1204">
        <f t="shared" si="26"/>
        <v>70</v>
      </c>
      <c r="L63" s="1204">
        <f t="shared" si="26"/>
        <v>68</v>
      </c>
      <c r="M63" s="1204">
        <f t="shared" si="26"/>
        <v>87</v>
      </c>
      <c r="N63" s="1204">
        <f t="shared" si="26"/>
        <v>67</v>
      </c>
      <c r="O63" s="1204">
        <f t="shared" si="26"/>
        <v>56</v>
      </c>
      <c r="P63" s="1204">
        <f t="shared" si="26"/>
        <v>58</v>
      </c>
      <c r="Q63" s="1204">
        <f t="shared" si="26"/>
        <v>57</v>
      </c>
      <c r="R63" s="1204">
        <f t="shared" si="26"/>
        <v>22</v>
      </c>
      <c r="S63" s="1204">
        <f t="shared" si="26"/>
        <v>31</v>
      </c>
      <c r="T63" s="1204">
        <f t="shared" si="26"/>
        <v>27</v>
      </c>
      <c r="U63" s="1204">
        <f t="shared" si="26"/>
        <v>38</v>
      </c>
      <c r="V63" s="1204">
        <f t="shared" si="26"/>
        <v>41</v>
      </c>
      <c r="W63" s="1204">
        <f t="shared" si="26"/>
        <v>6</v>
      </c>
      <c r="X63" s="1216">
        <f t="shared" si="2"/>
        <v>1120</v>
      </c>
      <c r="Y63" s="1209"/>
    </row>
    <row r="64" spans="1:25" ht="21.95" customHeight="1">
      <c r="A64" s="1207" t="s">
        <v>148</v>
      </c>
      <c r="B64" s="1199" t="s">
        <v>149</v>
      </c>
      <c r="C64" s="1207"/>
      <c r="D64" s="1207"/>
      <c r="E64" s="1181">
        <v>79</v>
      </c>
      <c r="F64" s="1181">
        <v>78</v>
      </c>
      <c r="G64" s="1181">
        <v>51</v>
      </c>
      <c r="H64" s="1181">
        <v>90</v>
      </c>
      <c r="I64" s="1181">
        <v>57</v>
      </c>
      <c r="J64" s="1181"/>
      <c r="K64" s="1181"/>
      <c r="L64" s="1181"/>
      <c r="M64" s="1181"/>
      <c r="N64" s="1181"/>
      <c r="O64" s="1181"/>
      <c r="P64" s="1181"/>
      <c r="Q64" s="1181"/>
      <c r="R64" s="1181"/>
      <c r="S64" s="1181"/>
      <c r="T64" s="1181"/>
      <c r="U64" s="1181"/>
      <c r="V64" s="1181"/>
      <c r="W64" s="1181"/>
      <c r="X64" s="1216">
        <f t="shared" si="2"/>
        <v>355</v>
      </c>
      <c r="Y64" s="1209"/>
    </row>
    <row r="65" spans="1:26" ht="21.95" customHeight="1">
      <c r="A65" s="1207" t="s">
        <v>150</v>
      </c>
      <c r="B65" s="1199" t="s">
        <v>151</v>
      </c>
      <c r="C65" s="1207"/>
      <c r="D65" s="1207"/>
      <c r="E65" s="1181"/>
      <c r="F65" s="1181"/>
      <c r="G65" s="1181">
        <v>46</v>
      </c>
      <c r="H65" s="1181"/>
      <c r="I65" s="1181"/>
      <c r="J65" s="1181">
        <v>91</v>
      </c>
      <c r="K65" s="1181">
        <v>70</v>
      </c>
      <c r="L65" s="1181">
        <v>68</v>
      </c>
      <c r="M65" s="1181">
        <v>87</v>
      </c>
      <c r="N65" s="1181">
        <v>67</v>
      </c>
      <c r="O65" s="1181"/>
      <c r="P65" s="1181"/>
      <c r="Q65" s="1181"/>
      <c r="R65" s="1181"/>
      <c r="S65" s="1181"/>
      <c r="T65" s="1181"/>
      <c r="U65" s="1181"/>
      <c r="V65" s="1181"/>
      <c r="W65" s="1181"/>
      <c r="X65" s="1216">
        <f t="shared" si="2"/>
        <v>429</v>
      </c>
      <c r="Y65" s="1209"/>
    </row>
    <row r="66" spans="1:26" ht="21.95" customHeight="1">
      <c r="A66" s="1207" t="s">
        <v>152</v>
      </c>
      <c r="B66" s="1199" t="s">
        <v>153</v>
      </c>
      <c r="C66" s="1207"/>
      <c r="D66" s="1207"/>
      <c r="E66" s="1181"/>
      <c r="F66" s="1181"/>
      <c r="G66" s="1181"/>
      <c r="H66" s="1181"/>
      <c r="I66" s="1181"/>
      <c r="J66" s="1181"/>
      <c r="K66" s="1181"/>
      <c r="L66" s="1181"/>
      <c r="M66" s="1181"/>
      <c r="N66" s="1181"/>
      <c r="O66" s="1181">
        <v>56</v>
      </c>
      <c r="P66" s="1181">
        <v>58</v>
      </c>
      <c r="Q66" s="1181">
        <v>57</v>
      </c>
      <c r="R66" s="1181">
        <v>22</v>
      </c>
      <c r="S66" s="1181">
        <v>31</v>
      </c>
      <c r="T66" s="1181">
        <v>27</v>
      </c>
      <c r="U66" s="1181">
        <v>38</v>
      </c>
      <c r="V66" s="1181">
        <v>41</v>
      </c>
      <c r="W66" s="1181"/>
      <c r="X66" s="1216">
        <f t="shared" si="2"/>
        <v>330</v>
      </c>
      <c r="Y66" s="1209"/>
    </row>
    <row r="67" spans="1:26" ht="21.95" customHeight="1">
      <c r="A67" s="1207" t="s">
        <v>154</v>
      </c>
      <c r="B67" s="1199" t="s">
        <v>155</v>
      </c>
      <c r="C67" s="1207"/>
      <c r="D67" s="1207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/>
      <c r="Q67" s="1181"/>
      <c r="R67" s="1181"/>
      <c r="S67" s="1181"/>
      <c r="T67" s="1181"/>
      <c r="U67" s="1181"/>
      <c r="V67" s="1181"/>
      <c r="W67" s="1181">
        <v>6</v>
      </c>
      <c r="X67" s="1216">
        <f t="shared" si="2"/>
        <v>6</v>
      </c>
      <c r="Y67" s="1209"/>
    </row>
    <row r="68" spans="1:26" ht="21.95" customHeight="1">
      <c r="A68" s="1207" t="s">
        <v>156</v>
      </c>
      <c r="B68" s="61" t="s">
        <v>157</v>
      </c>
      <c r="C68" s="1207"/>
      <c r="D68" s="1207" t="s">
        <v>3051</v>
      </c>
      <c r="E68" s="1204">
        <f t="shared" ref="E68:U68" si="27">E69+E70+E71+E72</f>
        <v>1248</v>
      </c>
      <c r="F68" s="1204">
        <f t="shared" si="27"/>
        <v>1142</v>
      </c>
      <c r="G68" s="1204">
        <f t="shared" si="27"/>
        <v>1363</v>
      </c>
      <c r="H68" s="1204">
        <f t="shared" si="27"/>
        <v>1650</v>
      </c>
      <c r="I68" s="1204">
        <f t="shared" si="27"/>
        <v>982</v>
      </c>
      <c r="J68" s="1204">
        <f t="shared" si="27"/>
        <v>1751</v>
      </c>
      <c r="K68" s="1204">
        <f t="shared" si="27"/>
        <v>1283</v>
      </c>
      <c r="L68" s="1204">
        <f t="shared" si="27"/>
        <v>1816</v>
      </c>
      <c r="M68" s="1204">
        <f t="shared" si="27"/>
        <v>1412</v>
      </c>
      <c r="N68" s="1204">
        <f t="shared" si="27"/>
        <v>1233</v>
      </c>
      <c r="O68" s="1204">
        <f t="shared" si="27"/>
        <v>616</v>
      </c>
      <c r="P68" s="1204">
        <f t="shared" si="27"/>
        <v>814</v>
      </c>
      <c r="Q68" s="1204">
        <f t="shared" si="27"/>
        <v>677</v>
      </c>
      <c r="R68" s="1204">
        <f t="shared" si="27"/>
        <v>312</v>
      </c>
      <c r="S68" s="1204">
        <f t="shared" si="27"/>
        <v>526</v>
      </c>
      <c r="T68" s="1204">
        <f t="shared" si="27"/>
        <v>472</v>
      </c>
      <c r="U68" s="1204">
        <f t="shared" si="27"/>
        <v>514</v>
      </c>
      <c r="V68" s="1204">
        <v>697</v>
      </c>
      <c r="W68" s="1204">
        <f>W69+W70+W71+W72</f>
        <v>0</v>
      </c>
      <c r="X68" s="1216">
        <f t="shared" si="2"/>
        <v>18508</v>
      </c>
      <c r="Y68" s="1209"/>
    </row>
    <row r="69" spans="1:26" ht="21.95" customHeight="1">
      <c r="A69" s="1207" t="s">
        <v>158</v>
      </c>
      <c r="B69" s="1199" t="s">
        <v>149</v>
      </c>
      <c r="C69" s="1207"/>
      <c r="D69" s="1207"/>
      <c r="E69" s="1181">
        <v>1248</v>
      </c>
      <c r="F69" s="1181">
        <v>1142</v>
      </c>
      <c r="G69" s="1181">
        <v>559</v>
      </c>
      <c r="H69" s="1181">
        <v>1650</v>
      </c>
      <c r="I69" s="1181">
        <v>982</v>
      </c>
      <c r="J69" s="1181"/>
      <c r="K69" s="1181"/>
      <c r="L69" s="1181"/>
      <c r="M69" s="1181"/>
      <c r="N69" s="1181"/>
      <c r="O69" s="1181"/>
      <c r="P69" s="1181"/>
      <c r="Q69" s="1181"/>
      <c r="R69" s="1181"/>
      <c r="S69" s="1181"/>
      <c r="T69" s="1181"/>
      <c r="U69" s="1181"/>
      <c r="V69" s="1181"/>
      <c r="W69" s="1181"/>
      <c r="X69" s="1216">
        <f t="shared" si="2"/>
        <v>5581</v>
      </c>
      <c r="Y69" s="1209"/>
    </row>
    <row r="70" spans="1:26" ht="21.95" customHeight="1">
      <c r="A70" s="1207" t="s">
        <v>159</v>
      </c>
      <c r="B70" s="1199" t="s">
        <v>151</v>
      </c>
      <c r="C70" s="1207"/>
      <c r="D70" s="1207"/>
      <c r="E70" s="1181"/>
      <c r="F70" s="1181"/>
      <c r="G70" s="1181">
        <v>804</v>
      </c>
      <c r="H70" s="1181"/>
      <c r="I70" s="1181"/>
      <c r="J70" s="1181">
        <v>1751</v>
      </c>
      <c r="K70" s="1181">
        <v>1283</v>
      </c>
      <c r="L70" s="1181">
        <v>1816</v>
      </c>
      <c r="M70" s="1181">
        <v>1412</v>
      </c>
      <c r="N70" s="1181">
        <v>1233</v>
      </c>
      <c r="O70" s="1181"/>
      <c r="P70" s="1181"/>
      <c r="Q70" s="1181"/>
      <c r="R70" s="1181"/>
      <c r="S70" s="1181"/>
      <c r="T70" s="1181"/>
      <c r="U70" s="1181"/>
      <c r="V70" s="1181"/>
      <c r="W70" s="1181"/>
      <c r="X70" s="1216">
        <f t="shared" ref="X70:X75" si="28">SUM(E70:W70)</f>
        <v>8299</v>
      </c>
      <c r="Y70" s="1209"/>
    </row>
    <row r="71" spans="1:26" ht="21.95" customHeight="1">
      <c r="A71" s="1207" t="s">
        <v>160</v>
      </c>
      <c r="B71" s="1199" t="s">
        <v>153</v>
      </c>
      <c r="C71" s="1207"/>
      <c r="D71" s="1207"/>
      <c r="E71" s="1181"/>
      <c r="F71" s="1181"/>
      <c r="G71" s="1181"/>
      <c r="H71" s="1181"/>
      <c r="I71" s="1181"/>
      <c r="J71" s="1181"/>
      <c r="K71" s="1181"/>
      <c r="L71" s="1181"/>
      <c r="M71" s="1181"/>
      <c r="N71" s="1181"/>
      <c r="O71" s="1181">
        <v>616</v>
      </c>
      <c r="P71" s="1181">
        <v>814</v>
      </c>
      <c r="Q71" s="1181">
        <v>677</v>
      </c>
      <c r="R71" s="1181">
        <v>312</v>
      </c>
      <c r="S71" s="1181">
        <v>526</v>
      </c>
      <c r="T71" s="1181">
        <v>472</v>
      </c>
      <c r="U71" s="1181">
        <v>514</v>
      </c>
      <c r="V71" s="1181">
        <v>697</v>
      </c>
      <c r="W71" s="1181"/>
      <c r="X71" s="1216">
        <f t="shared" si="28"/>
        <v>4628</v>
      </c>
      <c r="Y71" s="1209"/>
    </row>
    <row r="72" spans="1:26" ht="21.95" customHeight="1">
      <c r="A72" s="1207" t="s">
        <v>161</v>
      </c>
      <c r="B72" s="1199" t="s">
        <v>155</v>
      </c>
      <c r="C72" s="1207"/>
      <c r="D72" s="1207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181"/>
      <c r="U72" s="1181"/>
      <c r="V72" s="1181"/>
      <c r="W72" s="1181"/>
      <c r="X72" s="1216">
        <f t="shared" si="28"/>
        <v>0</v>
      </c>
      <c r="Y72" s="1209"/>
    </row>
    <row r="73" spans="1:26" ht="21.95" customHeight="1">
      <c r="A73" s="1207" t="s">
        <v>162</v>
      </c>
      <c r="B73" s="61" t="s">
        <v>3122</v>
      </c>
      <c r="C73" s="1207"/>
      <c r="D73" s="1207"/>
      <c r="E73" s="1181">
        <v>68</v>
      </c>
      <c r="F73" s="1181">
        <v>63</v>
      </c>
      <c r="G73" s="1181">
        <v>1</v>
      </c>
      <c r="H73" s="1181">
        <v>1</v>
      </c>
      <c r="I73" s="1181"/>
      <c r="J73" s="1181">
        <v>110</v>
      </c>
      <c r="K73" s="1181">
        <v>107</v>
      </c>
      <c r="L73" s="1181"/>
      <c r="M73" s="1181">
        <v>1</v>
      </c>
      <c r="N73" s="1181">
        <v>1</v>
      </c>
      <c r="O73" s="1181">
        <v>25</v>
      </c>
      <c r="P73" s="1181">
        <v>24</v>
      </c>
      <c r="Q73" s="1181">
        <v>1</v>
      </c>
      <c r="R73" s="1181"/>
      <c r="S73" s="1181"/>
      <c r="T73" s="1181"/>
      <c r="U73" s="1181"/>
      <c r="V73" s="1181"/>
      <c r="W73" s="1181">
        <v>18</v>
      </c>
      <c r="X73" s="1216">
        <f t="shared" si="28"/>
        <v>420</v>
      </c>
      <c r="Y73" s="1209"/>
    </row>
    <row r="74" spans="1:26" ht="21.95" customHeight="1">
      <c r="A74" s="1207" t="s">
        <v>3011</v>
      </c>
      <c r="B74" s="1199" t="s">
        <v>3123</v>
      </c>
      <c r="C74" s="1207"/>
      <c r="D74" s="1207"/>
      <c r="E74" s="1180">
        <v>17063</v>
      </c>
      <c r="F74" s="1180">
        <v>11923</v>
      </c>
      <c r="G74" s="1180">
        <v>47723.69</v>
      </c>
      <c r="H74" s="1180">
        <v>18481.39</v>
      </c>
      <c r="I74" s="1180">
        <v>15865.86</v>
      </c>
      <c r="J74" s="1180">
        <v>23546.35</v>
      </c>
      <c r="K74" s="1180">
        <v>16490.189999999999</v>
      </c>
      <c r="L74" s="1180">
        <v>16648.97</v>
      </c>
      <c r="M74" s="1180">
        <v>22433.4</v>
      </c>
      <c r="N74" s="1180">
        <v>11914.29</v>
      </c>
      <c r="O74" s="1180">
        <v>7654.77</v>
      </c>
      <c r="P74" s="1180">
        <v>12113.78</v>
      </c>
      <c r="Q74" s="1180">
        <v>10438.120000000001</v>
      </c>
      <c r="R74" s="1180">
        <v>6080</v>
      </c>
      <c r="S74" s="1180">
        <v>11516.55</v>
      </c>
      <c r="T74" s="1180">
        <v>11939.6</v>
      </c>
      <c r="U74" s="1180">
        <v>11290.94</v>
      </c>
      <c r="V74" s="1180">
        <v>13520</v>
      </c>
      <c r="W74" s="1180">
        <v>1578</v>
      </c>
      <c r="X74" s="1208">
        <f t="shared" si="28"/>
        <v>288221.89999999997</v>
      </c>
      <c r="Y74" s="1209"/>
    </row>
    <row r="75" spans="1:26" ht="21.95" customHeight="1">
      <c r="A75" s="1207" t="s">
        <v>3012</v>
      </c>
      <c r="B75" s="1199" t="s">
        <v>3124</v>
      </c>
      <c r="C75" s="1207"/>
      <c r="D75" s="1207"/>
      <c r="E75" s="1180">
        <v>15829</v>
      </c>
      <c r="F75" s="1180">
        <v>10360</v>
      </c>
      <c r="G75" s="1180">
        <v>16263</v>
      </c>
      <c r="H75" s="1180">
        <v>12617.6</v>
      </c>
      <c r="I75" s="1180">
        <v>8547.4500000000007</v>
      </c>
      <c r="J75" s="1180">
        <v>19712</v>
      </c>
      <c r="K75" s="1180">
        <v>11160</v>
      </c>
      <c r="L75" s="1180">
        <v>11125</v>
      </c>
      <c r="M75" s="1180">
        <v>15700</v>
      </c>
      <c r="N75" s="1180">
        <v>8447.1</v>
      </c>
      <c r="O75" s="1180">
        <v>5134</v>
      </c>
      <c r="P75" s="1180">
        <v>4330</v>
      </c>
      <c r="Q75" s="1180">
        <v>4266</v>
      </c>
      <c r="R75" s="1180">
        <v>2500</v>
      </c>
      <c r="S75" s="1180">
        <v>5058.1000000000004</v>
      </c>
      <c r="T75" s="1180">
        <v>4999</v>
      </c>
      <c r="U75" s="1180">
        <v>4627.34</v>
      </c>
      <c r="V75" s="1180">
        <v>5045</v>
      </c>
      <c r="W75" s="1180">
        <v>625</v>
      </c>
      <c r="X75" s="1208">
        <f t="shared" si="28"/>
        <v>166345.59000000003</v>
      </c>
      <c r="Y75" s="1209"/>
    </row>
    <row r="77" spans="1:26">
      <c r="X77" s="3"/>
      <c r="Y77" s="3"/>
      <c r="Z77" s="3"/>
    </row>
    <row r="78" spans="1:26">
      <c r="X78" s="3"/>
    </row>
    <row r="79" spans="1:26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</sheetData>
  <protectedRanges>
    <protectedRange password="E9C1" sqref="E3:E5" name="区域1_1_1"/>
    <protectedRange password="E9C1" sqref="Q3:Q5" name="区域1_1_2"/>
    <protectedRange password="E9C1" sqref="P3:P5" name="区域1_1_3"/>
    <protectedRange password="E9C1" sqref="V3:V5" name="区域1_1"/>
    <protectedRange password="E9C1" sqref="T3:T5" name="区域1_1_4"/>
    <protectedRange password="E9C1" sqref="U3:U5" name="区域1_1_5"/>
    <protectedRange password="E9C1" sqref="W3:W5" name="区域1_1_6"/>
    <protectedRange password="E9C1" sqref="M3:M5" name="区域1_1_7"/>
    <protectedRange password="E9C1" sqref="L3:L5" name="区域1_1_8"/>
    <protectedRange password="E9C1" sqref="O3:O5" name="区域1_1_9"/>
    <protectedRange password="E9C1" sqref="K3:K5" name="区域1_1_10"/>
    <protectedRange password="E9C1" sqref="S3:S5" name="区域1_1_12"/>
    <protectedRange password="E9C1" sqref="J3:J5" name="区域1_1_13"/>
    <protectedRange password="E9C1" sqref="R3:R5" name="区域1_1_14"/>
    <protectedRange password="E9C1" sqref="F3:F5" name="区域1_1_16"/>
    <protectedRange password="E9C1" sqref="I3:I5" name="区域1_1_17"/>
    <protectedRange password="E9C1" sqref="H3:H5" name="区域1_1_18"/>
    <protectedRange password="E9C1" sqref="G3:G5" name="区域1_1_19"/>
    <protectedRange password="E9C1" sqref="N3:N5" name="区域1_1_20"/>
    <protectedRange password="E9C1" sqref="B33:B75 B3:B30" name="区域1_1_11"/>
    <protectedRange password="E9C1" sqref="B31:B32" name="区域1_1_1_1"/>
  </protectedRanges>
  <mergeCells count="7">
    <mergeCell ref="A1:Y1"/>
    <mergeCell ref="A3:A4"/>
    <mergeCell ref="B3:B4"/>
    <mergeCell ref="C3:C4"/>
    <mergeCell ref="D3:D4"/>
    <mergeCell ref="X3:X4"/>
    <mergeCell ref="Y3:Y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opLeftCell="B1" workbookViewId="0">
      <pane xSplit="3" ySplit="4" topLeftCell="E6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5.125" style="21" hidden="1" customWidth="1"/>
    <col min="2" max="2" width="24.875" style="3" customWidth="1"/>
    <col min="3" max="3" width="0" style="3" hidden="1" customWidth="1"/>
    <col min="4" max="4" width="0" style="1178" hidden="1" customWidth="1"/>
    <col min="5" max="5" width="13" style="3" customWidth="1"/>
    <col min="6" max="6" width="11.875" style="3" customWidth="1"/>
    <col min="7" max="8" width="12.875" style="3" customWidth="1"/>
    <col min="9" max="9" width="12.25" style="3" customWidth="1"/>
    <col min="10" max="10" width="12.125" style="3" customWidth="1"/>
    <col min="11" max="11" width="11.875" style="3" customWidth="1"/>
    <col min="12" max="12" width="12.25" style="3" customWidth="1"/>
    <col min="13" max="13" width="11.5" style="3" customWidth="1"/>
    <col min="14" max="14" width="12" style="3" customWidth="1"/>
    <col min="15" max="15" width="11.375" style="3" customWidth="1"/>
    <col min="16" max="16" width="11.75" style="3" customWidth="1"/>
    <col min="17" max="19" width="11.875" style="3" customWidth="1"/>
    <col min="20" max="20" width="11.75" style="3" customWidth="1"/>
    <col min="21" max="21" width="13.25" style="3" customWidth="1"/>
    <col min="22" max="22" width="10.625" style="3" hidden="1" customWidth="1"/>
    <col min="23" max="16384" width="9" style="3"/>
  </cols>
  <sheetData>
    <row r="1" spans="1:24" ht="24.95" customHeight="1">
      <c r="A1" s="1361" t="s">
        <v>3125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1361"/>
      <c r="V1" s="1361"/>
    </row>
    <row r="2" spans="1:24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252" t="s">
        <v>3242</v>
      </c>
      <c r="V2" s="1184" t="s">
        <v>3000</v>
      </c>
    </row>
    <row r="3" spans="1:24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219" t="s">
        <v>3054</v>
      </c>
      <c r="F3" s="1219" t="s">
        <v>3055</v>
      </c>
      <c r="G3" s="1219" t="s">
        <v>3056</v>
      </c>
      <c r="H3" s="1219" t="s">
        <v>3057</v>
      </c>
      <c r="I3" s="1219" t="s">
        <v>3058</v>
      </c>
      <c r="J3" s="1219" t="s">
        <v>3126</v>
      </c>
      <c r="K3" s="1219" t="s">
        <v>3059</v>
      </c>
      <c r="L3" s="1219" t="s">
        <v>3127</v>
      </c>
      <c r="M3" s="1219" t="s">
        <v>3128</v>
      </c>
      <c r="N3" s="1219" t="s">
        <v>3060</v>
      </c>
      <c r="O3" s="1219" t="s">
        <v>3061</v>
      </c>
      <c r="P3" s="1219" t="s">
        <v>3062</v>
      </c>
      <c r="Q3" s="1219" t="s">
        <v>3129</v>
      </c>
      <c r="R3" s="1219" t="s">
        <v>3063</v>
      </c>
      <c r="S3" s="1219" t="s">
        <v>3064</v>
      </c>
      <c r="T3" s="1219" t="s">
        <v>3065</v>
      </c>
      <c r="U3" s="1610" t="s">
        <v>17</v>
      </c>
      <c r="V3" s="1610" t="s">
        <v>18</v>
      </c>
    </row>
    <row r="4" spans="1:24" ht="24.95" customHeight="1">
      <c r="A4" s="1609"/>
      <c r="B4" s="1609"/>
      <c r="C4" s="1609"/>
      <c r="D4" s="1609"/>
      <c r="E4" s="1219" t="s">
        <v>2371</v>
      </c>
      <c r="F4" s="1219" t="s">
        <v>464</v>
      </c>
      <c r="G4" s="1219" t="s">
        <v>464</v>
      </c>
      <c r="H4" s="1219" t="s">
        <v>464</v>
      </c>
      <c r="I4" s="1219" t="s">
        <v>463</v>
      </c>
      <c r="J4" s="1219" t="s">
        <v>463</v>
      </c>
      <c r="K4" s="1219" t="s">
        <v>463</v>
      </c>
      <c r="L4" s="1219" t="s">
        <v>460</v>
      </c>
      <c r="M4" s="1219" t="s">
        <v>460</v>
      </c>
      <c r="N4" s="1219" t="s">
        <v>460</v>
      </c>
      <c r="O4" s="1219" t="s">
        <v>460</v>
      </c>
      <c r="P4" s="1219" t="s">
        <v>460</v>
      </c>
      <c r="Q4" s="1219" t="s">
        <v>460</v>
      </c>
      <c r="R4" s="1219" t="s">
        <v>460</v>
      </c>
      <c r="S4" s="1219" t="s">
        <v>460</v>
      </c>
      <c r="T4" s="1219" t="s">
        <v>3071</v>
      </c>
      <c r="U4" s="1611"/>
      <c r="V4" s="1611"/>
    </row>
    <row r="5" spans="1:24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T5" si="0">E6+E33+E40</f>
        <v>35586496.229999997</v>
      </c>
      <c r="F5" s="1185">
        <f t="shared" si="0"/>
        <v>20764610.920000002</v>
      </c>
      <c r="G5" s="1185">
        <f t="shared" si="0"/>
        <v>20061547.059999999</v>
      </c>
      <c r="H5" s="1185">
        <f t="shared" si="0"/>
        <v>24141919.229999997</v>
      </c>
      <c r="I5" s="1185">
        <f t="shared" si="0"/>
        <v>18477375.359999999</v>
      </c>
      <c r="J5" s="1185">
        <f t="shared" si="0"/>
        <v>15680653.810000001</v>
      </c>
      <c r="K5" s="1185">
        <f t="shared" si="0"/>
        <v>28868032.02</v>
      </c>
      <c r="L5" s="1185">
        <f t="shared" si="0"/>
        <v>12592885.629999999</v>
      </c>
      <c r="M5" s="1185">
        <f t="shared" si="0"/>
        <v>8935778.3100000005</v>
      </c>
      <c r="N5" s="1185">
        <f t="shared" si="0"/>
        <v>15533508.92</v>
      </c>
      <c r="O5" s="1185">
        <f t="shared" si="0"/>
        <v>9644080.7100000009</v>
      </c>
      <c r="P5" s="1185">
        <f t="shared" si="0"/>
        <v>9716561.4199999999</v>
      </c>
      <c r="Q5" s="1185">
        <f t="shared" si="0"/>
        <v>8210327.8799999999</v>
      </c>
      <c r="R5" s="1185">
        <f t="shared" si="0"/>
        <v>4020638.33</v>
      </c>
      <c r="S5" s="1185">
        <f t="shared" si="0"/>
        <v>2833755.41</v>
      </c>
      <c r="T5" s="1185">
        <f t="shared" si="0"/>
        <v>969986.34</v>
      </c>
      <c r="U5" s="1201">
        <f t="shared" ref="U5:U36" si="1">SUM(E5:T5)</f>
        <v>236038157.57999998</v>
      </c>
      <c r="V5" s="62"/>
      <c r="W5" s="1193"/>
    </row>
    <row r="6" spans="1:24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24036311.589999996</v>
      </c>
      <c r="F6" s="1185">
        <f t="shared" ref="F6:T6" si="2">F7+F10+F14+F17+F22+F27+F29+F31+F32</f>
        <v>14772987.130000003</v>
      </c>
      <c r="G6" s="1185">
        <f t="shared" si="2"/>
        <v>13866506.75</v>
      </c>
      <c r="H6" s="1185">
        <f t="shared" si="2"/>
        <v>17281210.129999995</v>
      </c>
      <c r="I6" s="1185">
        <f t="shared" si="2"/>
        <v>13080447.170000002</v>
      </c>
      <c r="J6" s="1185">
        <f t="shared" si="2"/>
        <v>11781457.9</v>
      </c>
      <c r="K6" s="1185">
        <f t="shared" si="2"/>
        <v>20926432.879999999</v>
      </c>
      <c r="L6" s="1185">
        <f t="shared" si="2"/>
        <v>9141828.5</v>
      </c>
      <c r="M6" s="1185">
        <f t="shared" si="2"/>
        <v>6714269.4100000001</v>
      </c>
      <c r="N6" s="1185">
        <f t="shared" si="2"/>
        <v>11382564.130000001</v>
      </c>
      <c r="O6" s="1185">
        <f t="shared" si="2"/>
        <v>7352400.9100000001</v>
      </c>
      <c r="P6" s="1185">
        <f t="shared" si="2"/>
        <v>7342821.8200000003</v>
      </c>
      <c r="Q6" s="1185">
        <f t="shared" si="2"/>
        <v>6148375.0899999999</v>
      </c>
      <c r="R6" s="1185">
        <f t="shared" si="2"/>
        <v>2883699.33</v>
      </c>
      <c r="S6" s="1185">
        <f t="shared" si="2"/>
        <v>1714766.41</v>
      </c>
      <c r="T6" s="1185">
        <f t="shared" si="2"/>
        <v>736570.34</v>
      </c>
      <c r="U6" s="1185">
        <f t="shared" si="1"/>
        <v>169162649.49000001</v>
      </c>
      <c r="V6" s="62"/>
      <c r="W6" s="1193"/>
    </row>
    <row r="7" spans="1:24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7523095</v>
      </c>
      <c r="F7" s="1185">
        <f t="shared" ref="F7:T7" si="3">F8+F9</f>
        <v>4279595</v>
      </c>
      <c r="G7" s="1185">
        <f t="shared" si="3"/>
        <v>4176052</v>
      </c>
      <c r="H7" s="1185">
        <f t="shared" si="3"/>
        <v>4794732</v>
      </c>
      <c r="I7" s="1185">
        <f t="shared" si="3"/>
        <v>4621451</v>
      </c>
      <c r="J7" s="1185">
        <f t="shared" si="3"/>
        <v>3559366</v>
      </c>
      <c r="K7" s="1185">
        <f t="shared" si="3"/>
        <v>6215073</v>
      </c>
      <c r="L7" s="1185">
        <f t="shared" si="3"/>
        <v>3089430</v>
      </c>
      <c r="M7" s="1185">
        <f t="shared" si="3"/>
        <v>2385033</v>
      </c>
      <c r="N7" s="1185">
        <f t="shared" si="3"/>
        <v>3743546</v>
      </c>
      <c r="O7" s="1185">
        <f t="shared" si="3"/>
        <v>2479297</v>
      </c>
      <c r="P7" s="1185">
        <f t="shared" si="3"/>
        <v>2318526</v>
      </c>
      <c r="Q7" s="1185">
        <f t="shared" si="3"/>
        <v>2049612.8</v>
      </c>
      <c r="R7" s="1185">
        <f t="shared" si="3"/>
        <v>886353</v>
      </c>
      <c r="S7" s="1185">
        <f t="shared" si="3"/>
        <v>561754</v>
      </c>
      <c r="T7" s="1185">
        <f t="shared" si="3"/>
        <v>245208</v>
      </c>
      <c r="U7" s="1185">
        <f t="shared" si="1"/>
        <v>52928123.799999997</v>
      </c>
      <c r="V7" s="62"/>
      <c r="W7" s="1193"/>
    </row>
    <row r="8" spans="1:24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3868164</v>
      </c>
      <c r="F8" s="1180">
        <v>2354200</v>
      </c>
      <c r="G8" s="1180">
        <v>2309106</v>
      </c>
      <c r="H8" s="1180">
        <v>2962822</v>
      </c>
      <c r="I8" s="1180">
        <v>2099230</v>
      </c>
      <c r="J8" s="1180">
        <v>1924011</v>
      </c>
      <c r="K8" s="1180">
        <v>3563775.2</v>
      </c>
      <c r="L8" s="1180">
        <v>1693057</v>
      </c>
      <c r="M8" s="1180">
        <v>1251828</v>
      </c>
      <c r="N8" s="1180">
        <v>2168986</v>
      </c>
      <c r="O8" s="1180">
        <v>1441281</v>
      </c>
      <c r="P8" s="1180">
        <v>1356451</v>
      </c>
      <c r="Q8" s="1180">
        <v>1191303</v>
      </c>
      <c r="R8" s="1180">
        <v>510242</v>
      </c>
      <c r="S8" s="1180">
        <v>348579</v>
      </c>
      <c r="T8" s="1180">
        <v>136440</v>
      </c>
      <c r="U8" s="1185">
        <f t="shared" si="1"/>
        <v>29179475.199999999</v>
      </c>
      <c r="V8" s="1192"/>
      <c r="W8" s="1193"/>
    </row>
    <row r="9" spans="1:24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3654931</v>
      </c>
      <c r="F9" s="1180">
        <v>1925395</v>
      </c>
      <c r="G9" s="1180">
        <v>1866946</v>
      </c>
      <c r="H9" s="1180">
        <v>1831910</v>
      </c>
      <c r="I9" s="1180">
        <v>2522221</v>
      </c>
      <c r="J9" s="1180">
        <v>1635355</v>
      </c>
      <c r="K9" s="1180">
        <v>2651297.7999999998</v>
      </c>
      <c r="L9" s="1180">
        <v>1396373</v>
      </c>
      <c r="M9" s="1180">
        <v>1133205</v>
      </c>
      <c r="N9" s="1180">
        <v>1574560</v>
      </c>
      <c r="O9" s="1180">
        <v>1038016</v>
      </c>
      <c r="P9" s="1180">
        <v>962075</v>
      </c>
      <c r="Q9" s="1180">
        <v>858309.8</v>
      </c>
      <c r="R9" s="1180">
        <v>376111</v>
      </c>
      <c r="S9" s="1180">
        <v>213175</v>
      </c>
      <c r="T9" s="1180">
        <v>108768</v>
      </c>
      <c r="U9" s="1185">
        <f t="shared" si="1"/>
        <v>23748648.600000001</v>
      </c>
      <c r="V9" s="62"/>
      <c r="W9" s="1193"/>
    </row>
    <row r="10" spans="1:24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626894</v>
      </c>
      <c r="F10" s="1185">
        <f t="shared" ref="F10:T10" si="4">F11+F12</f>
        <v>381371</v>
      </c>
      <c r="G10" s="1185">
        <f t="shared" si="4"/>
        <v>373191</v>
      </c>
      <c r="H10" s="1185">
        <f t="shared" si="4"/>
        <v>482654</v>
      </c>
      <c r="I10" s="1185">
        <f t="shared" si="4"/>
        <v>354966</v>
      </c>
      <c r="J10" s="1185">
        <f t="shared" si="4"/>
        <v>323485</v>
      </c>
      <c r="K10" s="1185">
        <f t="shared" si="4"/>
        <v>598247</v>
      </c>
      <c r="L10" s="1185">
        <f t="shared" si="4"/>
        <v>289501</v>
      </c>
      <c r="M10" s="1185">
        <f t="shared" si="4"/>
        <v>212112</v>
      </c>
      <c r="N10" s="1185">
        <f t="shared" si="4"/>
        <v>377539</v>
      </c>
      <c r="O10" s="1185">
        <f t="shared" si="4"/>
        <v>243990</v>
      </c>
      <c r="P10" s="1185">
        <f t="shared" si="4"/>
        <v>240743</v>
      </c>
      <c r="Q10" s="1185">
        <f t="shared" si="4"/>
        <v>217801.60000000001</v>
      </c>
      <c r="R10" s="1185">
        <f t="shared" si="4"/>
        <v>88561</v>
      </c>
      <c r="S10" s="1185">
        <f t="shared" si="4"/>
        <v>62205</v>
      </c>
      <c r="T10" s="1185">
        <f t="shared" si="4"/>
        <v>21480</v>
      </c>
      <c r="U10" s="1185">
        <f t="shared" si="1"/>
        <v>4894740.5999999996</v>
      </c>
      <c r="V10" s="62"/>
      <c r="W10" s="1193"/>
    </row>
    <row r="11" spans="1:24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9574</v>
      </c>
      <c r="F11" s="1180">
        <v>4731</v>
      </c>
      <c r="G11" s="1180">
        <v>5351</v>
      </c>
      <c r="H11" s="1180">
        <v>4374</v>
      </c>
      <c r="I11" s="1180">
        <v>6926</v>
      </c>
      <c r="J11" s="1180">
        <v>4925</v>
      </c>
      <c r="K11" s="1180">
        <v>6887</v>
      </c>
      <c r="L11" s="1180">
        <v>4381</v>
      </c>
      <c r="M11" s="1180">
        <v>3552</v>
      </c>
      <c r="N11" s="1180">
        <v>4859</v>
      </c>
      <c r="O11" s="1180">
        <v>3310</v>
      </c>
      <c r="P11" s="1180">
        <v>2703</v>
      </c>
      <c r="Q11" s="1180">
        <v>21561.599999999999</v>
      </c>
      <c r="R11" s="1180">
        <v>1001</v>
      </c>
      <c r="S11" s="1180">
        <v>605</v>
      </c>
      <c r="T11" s="1180">
        <v>360</v>
      </c>
      <c r="U11" s="1185">
        <f t="shared" si="1"/>
        <v>85100.6</v>
      </c>
      <c r="V11" s="62"/>
      <c r="W11" s="1193"/>
    </row>
    <row r="12" spans="1:24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617320</v>
      </c>
      <c r="F12" s="1185">
        <f t="shared" ref="F12:T12" si="5">F13</f>
        <v>376640</v>
      </c>
      <c r="G12" s="1185">
        <f t="shared" si="5"/>
        <v>367840</v>
      </c>
      <c r="H12" s="1185">
        <f t="shared" si="5"/>
        <v>478280</v>
      </c>
      <c r="I12" s="1185">
        <f t="shared" si="5"/>
        <v>348040</v>
      </c>
      <c r="J12" s="1185">
        <f t="shared" si="5"/>
        <v>318560</v>
      </c>
      <c r="K12" s="1185">
        <f t="shared" si="5"/>
        <v>591360</v>
      </c>
      <c r="L12" s="1185">
        <f t="shared" si="5"/>
        <v>285120</v>
      </c>
      <c r="M12" s="1185">
        <f t="shared" si="5"/>
        <v>208560</v>
      </c>
      <c r="N12" s="1185">
        <f t="shared" si="5"/>
        <v>372680</v>
      </c>
      <c r="O12" s="1185">
        <f t="shared" si="5"/>
        <v>240680</v>
      </c>
      <c r="P12" s="1185">
        <f t="shared" si="5"/>
        <v>238040</v>
      </c>
      <c r="Q12" s="1185">
        <f t="shared" si="5"/>
        <v>196240</v>
      </c>
      <c r="R12" s="1185">
        <f t="shared" si="5"/>
        <v>87560</v>
      </c>
      <c r="S12" s="1185">
        <f t="shared" si="5"/>
        <v>61600</v>
      </c>
      <c r="T12" s="1185">
        <f t="shared" si="5"/>
        <v>21120</v>
      </c>
      <c r="U12" s="1185">
        <f t="shared" si="1"/>
        <v>4809640</v>
      </c>
      <c r="V12" s="62"/>
      <c r="W12" s="1193"/>
    </row>
    <row r="13" spans="1:24" ht="21.9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617320</v>
      </c>
      <c r="F13" s="1180">
        <v>376640</v>
      </c>
      <c r="G13" s="1180">
        <v>367840</v>
      </c>
      <c r="H13" s="1180">
        <v>478280</v>
      </c>
      <c r="I13" s="1180">
        <v>348040</v>
      </c>
      <c r="J13" s="1180">
        <v>318560</v>
      </c>
      <c r="K13" s="1180">
        <v>591360</v>
      </c>
      <c r="L13" s="1180">
        <v>285120</v>
      </c>
      <c r="M13" s="1180">
        <v>208560</v>
      </c>
      <c r="N13" s="1180">
        <v>372680</v>
      </c>
      <c r="O13" s="1180">
        <v>240680</v>
      </c>
      <c r="P13" s="1180">
        <v>238040</v>
      </c>
      <c r="Q13" s="1180">
        <v>196240</v>
      </c>
      <c r="R13" s="1180">
        <v>87560</v>
      </c>
      <c r="S13" s="1180">
        <v>61600</v>
      </c>
      <c r="T13" s="1180">
        <v>21120</v>
      </c>
      <c r="U13" s="1185">
        <f t="shared" si="1"/>
        <v>4809640</v>
      </c>
      <c r="V13" s="62"/>
      <c r="W13" s="1193"/>
    </row>
    <row r="14" spans="1:24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233043.05</v>
      </c>
      <c r="F14" s="1185">
        <f t="shared" ref="F14:T14" si="6">F15+F16</f>
        <v>132039.23000000001</v>
      </c>
      <c r="G14" s="1185">
        <f t="shared" si="6"/>
        <v>154941.95000000001</v>
      </c>
      <c r="H14" s="1185">
        <f t="shared" si="6"/>
        <v>192271.39</v>
      </c>
      <c r="I14" s="1185">
        <f t="shared" si="6"/>
        <v>131306.28</v>
      </c>
      <c r="J14" s="1185">
        <f t="shared" si="6"/>
        <v>124380.08</v>
      </c>
      <c r="K14" s="1185">
        <f t="shared" si="6"/>
        <v>224601.93</v>
      </c>
      <c r="L14" s="1185">
        <f t="shared" si="6"/>
        <v>99187.56</v>
      </c>
      <c r="M14" s="1185">
        <f t="shared" si="6"/>
        <v>60800.869999999995</v>
      </c>
      <c r="N14" s="1185">
        <f t="shared" si="6"/>
        <v>127013.75</v>
      </c>
      <c r="O14" s="1185">
        <f t="shared" si="6"/>
        <v>82748.19</v>
      </c>
      <c r="P14" s="1185">
        <f t="shared" si="6"/>
        <v>83001.67</v>
      </c>
      <c r="Q14" s="1185">
        <f t="shared" si="6"/>
        <v>66845.279999999999</v>
      </c>
      <c r="R14" s="1185">
        <f t="shared" si="6"/>
        <v>33748.479999999996</v>
      </c>
      <c r="S14" s="1185">
        <f t="shared" si="6"/>
        <v>19841.03</v>
      </c>
      <c r="T14" s="1185">
        <f t="shared" si="6"/>
        <v>7266.02</v>
      </c>
      <c r="U14" s="1185">
        <f t="shared" si="1"/>
        <v>1773036.7600000002</v>
      </c>
      <c r="V14" s="62"/>
      <c r="W14" s="1193"/>
    </row>
    <row r="15" spans="1:24" ht="21.9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80677.3</v>
      </c>
      <c r="F15" s="1180">
        <v>37276.239999999998</v>
      </c>
      <c r="G15" s="1180">
        <v>64814.33</v>
      </c>
      <c r="H15" s="1180">
        <v>79137.399999999994</v>
      </c>
      <c r="I15" s="1180">
        <v>50700.47</v>
      </c>
      <c r="J15" s="1180">
        <v>48035.25</v>
      </c>
      <c r="K15" s="1180">
        <v>86750.25</v>
      </c>
      <c r="L15" s="1180">
        <v>38309.08</v>
      </c>
      <c r="M15" s="1180">
        <v>17156.669999999998</v>
      </c>
      <c r="N15" s="1180">
        <v>49055.34</v>
      </c>
      <c r="O15" s="1180">
        <v>33935.71</v>
      </c>
      <c r="P15" s="1180">
        <v>32057.13</v>
      </c>
      <c r="Q15" s="1180">
        <v>25824.2</v>
      </c>
      <c r="R15" s="1180">
        <v>15056.98</v>
      </c>
      <c r="S15" s="1180">
        <v>7673.09</v>
      </c>
      <c r="T15" s="1180">
        <v>2051.15</v>
      </c>
      <c r="U15" s="1185">
        <f t="shared" si="1"/>
        <v>668510.58999999985</v>
      </c>
      <c r="V15" s="62"/>
      <c r="W15" s="1193">
        <v>1104886.28</v>
      </c>
      <c r="X15" s="1193">
        <f>U15-W15</f>
        <v>-436375.69000000018</v>
      </c>
    </row>
    <row r="16" spans="1:24" ht="21.9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152365.75</v>
      </c>
      <c r="F16" s="1180">
        <v>94762.99</v>
      </c>
      <c r="G16" s="1180">
        <v>90127.62</v>
      </c>
      <c r="H16" s="1180">
        <v>113133.99</v>
      </c>
      <c r="I16" s="1180">
        <v>80605.81</v>
      </c>
      <c r="J16" s="1180">
        <v>76344.83</v>
      </c>
      <c r="K16" s="1180">
        <v>137851.68</v>
      </c>
      <c r="L16" s="1180">
        <v>60878.48</v>
      </c>
      <c r="M16" s="1180">
        <v>43644.2</v>
      </c>
      <c r="N16" s="1180">
        <v>77958.41</v>
      </c>
      <c r="O16" s="1180">
        <v>48812.480000000003</v>
      </c>
      <c r="P16" s="1180">
        <v>50944.54</v>
      </c>
      <c r="Q16" s="1180">
        <v>41021.08</v>
      </c>
      <c r="R16" s="1180">
        <v>18691.5</v>
      </c>
      <c r="S16" s="1180">
        <v>12167.94</v>
      </c>
      <c r="T16" s="1180">
        <v>5214.87</v>
      </c>
      <c r="U16" s="1185">
        <f t="shared" si="1"/>
        <v>1104526.17</v>
      </c>
      <c r="V16" s="62"/>
      <c r="W16" s="1193">
        <v>1104886.28</v>
      </c>
      <c r="X16" s="1193">
        <f>U16-W16</f>
        <v>-360.11000000010245</v>
      </c>
    </row>
    <row r="17" spans="1:24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2982073</v>
      </c>
      <c r="F17" s="1185">
        <f t="shared" ref="F17:T17" si="7">F18+F19+F20+F21</f>
        <v>2123743</v>
      </c>
      <c r="G17" s="1185">
        <f t="shared" si="7"/>
        <v>1701559</v>
      </c>
      <c r="H17" s="1185">
        <f t="shared" si="7"/>
        <v>2548294</v>
      </c>
      <c r="I17" s="1185">
        <f t="shared" si="7"/>
        <v>1187373.75</v>
      </c>
      <c r="J17" s="1185">
        <f t="shared" si="7"/>
        <v>1469331.25</v>
      </c>
      <c r="K17" s="1185">
        <f t="shared" si="7"/>
        <v>2481399.5</v>
      </c>
      <c r="L17" s="1185">
        <f t="shared" si="7"/>
        <v>601348</v>
      </c>
      <c r="M17" s="1185">
        <f t="shared" si="7"/>
        <v>457616</v>
      </c>
      <c r="N17" s="1185">
        <f t="shared" si="7"/>
        <v>734640</v>
      </c>
      <c r="O17" s="1185">
        <f t="shared" si="7"/>
        <v>529220</v>
      </c>
      <c r="P17" s="1185">
        <f t="shared" si="7"/>
        <v>517524</v>
      </c>
      <c r="Q17" s="1185">
        <f t="shared" si="7"/>
        <v>472004</v>
      </c>
      <c r="R17" s="1185">
        <f t="shared" si="7"/>
        <v>344624</v>
      </c>
      <c r="S17" s="1185">
        <f t="shared" si="7"/>
        <v>70000</v>
      </c>
      <c r="T17" s="1185">
        <f t="shared" si="7"/>
        <v>24000</v>
      </c>
      <c r="U17" s="1185">
        <f t="shared" si="1"/>
        <v>18244749.5</v>
      </c>
      <c r="V17" s="62"/>
      <c r="W17" s="1193"/>
    </row>
    <row r="18" spans="1:24" ht="21.9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180"/>
      <c r="U18" s="1185">
        <f t="shared" si="1"/>
        <v>0</v>
      </c>
      <c r="V18" s="62"/>
      <c r="W18" s="1193"/>
    </row>
    <row r="19" spans="1:24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676576</v>
      </c>
      <c r="F19" s="1180">
        <v>598184</v>
      </c>
      <c r="G19" s="1180">
        <v>261288</v>
      </c>
      <c r="H19" s="1180">
        <v>307452</v>
      </c>
      <c r="I19" s="1180">
        <v>251632</v>
      </c>
      <c r="J19" s="1180">
        <v>513264</v>
      </c>
      <c r="K19" s="1180">
        <v>612304</v>
      </c>
      <c r="L19" s="1180">
        <v>276348</v>
      </c>
      <c r="M19" s="1180">
        <v>214616</v>
      </c>
      <c r="N19" s="1180">
        <v>308640</v>
      </c>
      <c r="O19" s="1180">
        <v>255720</v>
      </c>
      <c r="P19" s="1180">
        <v>244024</v>
      </c>
      <c r="Q19" s="1180">
        <v>241504</v>
      </c>
      <c r="R19" s="1180">
        <v>244624</v>
      </c>
      <c r="S19" s="1180"/>
      <c r="T19" s="1180"/>
      <c r="U19" s="1185">
        <f t="shared" si="1"/>
        <v>5006176</v>
      </c>
      <c r="V19" s="62"/>
      <c r="W19" s="1193"/>
    </row>
    <row r="20" spans="1:24" ht="21.9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707000</v>
      </c>
      <c r="F20" s="1180">
        <v>430000</v>
      </c>
      <c r="G20" s="1180">
        <v>418000</v>
      </c>
      <c r="H20" s="1180">
        <v>549500</v>
      </c>
      <c r="I20" s="1180">
        <v>395500</v>
      </c>
      <c r="J20" s="1180">
        <v>371500</v>
      </c>
      <c r="K20" s="1180">
        <v>690000</v>
      </c>
      <c r="L20" s="1180">
        <v>325000</v>
      </c>
      <c r="M20" s="1180">
        <v>243000</v>
      </c>
      <c r="N20" s="1180">
        <v>426000</v>
      </c>
      <c r="O20" s="1180">
        <v>273500</v>
      </c>
      <c r="P20" s="1180">
        <v>273500</v>
      </c>
      <c r="Q20" s="1180">
        <v>230500</v>
      </c>
      <c r="R20" s="1180">
        <v>100000</v>
      </c>
      <c r="S20" s="1180">
        <v>70000</v>
      </c>
      <c r="T20" s="1180">
        <v>24000</v>
      </c>
      <c r="U20" s="1185">
        <f t="shared" si="1"/>
        <v>5527000</v>
      </c>
      <c r="V20" s="62"/>
      <c r="W20" s="1193"/>
    </row>
    <row r="21" spans="1:24" ht="21.9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1598497</v>
      </c>
      <c r="F21" s="1180">
        <v>1095559</v>
      </c>
      <c r="G21" s="1180">
        <v>1022271</v>
      </c>
      <c r="H21" s="1180">
        <v>1691342</v>
      </c>
      <c r="I21" s="1180">
        <v>540241.75</v>
      </c>
      <c r="J21" s="1180">
        <v>584567.25</v>
      </c>
      <c r="K21" s="1180">
        <v>1179095.5</v>
      </c>
      <c r="L21" s="1180"/>
      <c r="M21" s="1180"/>
      <c r="N21" s="1180"/>
      <c r="O21" s="1180"/>
      <c r="P21" s="1180"/>
      <c r="Q21" s="1180"/>
      <c r="R21" s="1180"/>
      <c r="S21" s="1180"/>
      <c r="T21" s="1180"/>
      <c r="U21" s="1185">
        <f t="shared" si="1"/>
        <v>7711573.5</v>
      </c>
      <c r="V21" s="62"/>
      <c r="W21" s="1193"/>
    </row>
    <row r="22" spans="1:24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3194333.79</v>
      </c>
      <c r="F22" s="1185">
        <f t="shared" ref="F22:T22" si="8">F23+F24</f>
        <v>1955714.46</v>
      </c>
      <c r="G22" s="1185">
        <f t="shared" si="8"/>
        <v>1851764.4400000002</v>
      </c>
      <c r="H22" s="1185">
        <f t="shared" si="8"/>
        <v>2211399.17</v>
      </c>
      <c r="I22" s="1185">
        <f t="shared" si="8"/>
        <v>1627182.66</v>
      </c>
      <c r="J22" s="1185">
        <f t="shared" si="8"/>
        <v>1552544.52</v>
      </c>
      <c r="K22" s="1185">
        <f t="shared" si="8"/>
        <v>2821509.68</v>
      </c>
      <c r="L22" s="1185">
        <f t="shared" si="8"/>
        <v>1272555.7400000002</v>
      </c>
      <c r="M22" s="1185">
        <f t="shared" si="8"/>
        <v>884129.41999999993</v>
      </c>
      <c r="N22" s="1185">
        <f t="shared" si="8"/>
        <v>1548143.46</v>
      </c>
      <c r="O22" s="1185">
        <f t="shared" si="8"/>
        <v>973946.4</v>
      </c>
      <c r="P22" s="1185">
        <f t="shared" si="8"/>
        <v>1007146.71</v>
      </c>
      <c r="Q22" s="1185">
        <f t="shared" si="8"/>
        <v>812851.18</v>
      </c>
      <c r="R22" s="1185">
        <f t="shared" si="8"/>
        <v>367807.03</v>
      </c>
      <c r="S22" s="1185">
        <f t="shared" si="8"/>
        <v>238619.81</v>
      </c>
      <c r="T22" s="1185">
        <f t="shared" si="8"/>
        <v>113796.73000000001</v>
      </c>
      <c r="U22" s="1185">
        <f t="shared" si="1"/>
        <v>22433445.199999999</v>
      </c>
      <c r="V22" s="62"/>
      <c r="W22" s="1193"/>
    </row>
    <row r="23" spans="1:24" ht="21.9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2742547.21</v>
      </c>
      <c r="F23" s="1180">
        <v>1705696.46</v>
      </c>
      <c r="G23" s="1180">
        <v>1622260.36</v>
      </c>
      <c r="H23" s="1180">
        <v>2036369.17</v>
      </c>
      <c r="I23" s="1180">
        <v>1450871.7</v>
      </c>
      <c r="J23" s="1180">
        <v>1374193.56</v>
      </c>
      <c r="K23" s="1180">
        <v>2481330.7200000002</v>
      </c>
      <c r="L23" s="1180">
        <v>1095785.3600000001</v>
      </c>
      <c r="M23" s="1180">
        <v>785587.97</v>
      </c>
      <c r="N23" s="1180">
        <v>1403213.46</v>
      </c>
      <c r="O23" s="1180">
        <v>878606.4</v>
      </c>
      <c r="P23" s="1180">
        <v>916986.71</v>
      </c>
      <c r="Q23" s="1180">
        <v>738371.18</v>
      </c>
      <c r="R23" s="1180">
        <v>336447.03</v>
      </c>
      <c r="S23" s="1180">
        <v>219019.81</v>
      </c>
      <c r="T23" s="1180">
        <v>93866.96</v>
      </c>
      <c r="U23" s="1185">
        <f t="shared" si="1"/>
        <v>19881154.060000002</v>
      </c>
      <c r="V23" s="62"/>
      <c r="W23" s="1193">
        <v>19887953.140000001</v>
      </c>
      <c r="X23" s="1193">
        <f>U23-W23</f>
        <v>-6799.0799999982119</v>
      </c>
    </row>
    <row r="24" spans="1:24" ht="21.9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451786.58</v>
      </c>
      <c r="F24" s="1185">
        <f t="shared" ref="F24:T24" si="9">F25+F26</f>
        <v>250018</v>
      </c>
      <c r="G24" s="1185">
        <f t="shared" si="9"/>
        <v>229504.08000000002</v>
      </c>
      <c r="H24" s="1185">
        <f t="shared" si="9"/>
        <v>175030</v>
      </c>
      <c r="I24" s="1185">
        <f t="shared" si="9"/>
        <v>176310.96</v>
      </c>
      <c r="J24" s="1185">
        <f t="shared" si="9"/>
        <v>178350.96</v>
      </c>
      <c r="K24" s="1185">
        <f t="shared" si="9"/>
        <v>340178.96</v>
      </c>
      <c r="L24" s="1185">
        <f t="shared" si="9"/>
        <v>176770.38</v>
      </c>
      <c r="M24" s="1185">
        <f t="shared" si="9"/>
        <v>98541.45</v>
      </c>
      <c r="N24" s="1185">
        <f t="shared" si="9"/>
        <v>144930</v>
      </c>
      <c r="O24" s="1185">
        <f t="shared" si="9"/>
        <v>95340</v>
      </c>
      <c r="P24" s="1185">
        <f t="shared" si="9"/>
        <v>90160</v>
      </c>
      <c r="Q24" s="1185">
        <f>Q25+Q26</f>
        <v>74480</v>
      </c>
      <c r="R24" s="1185">
        <f t="shared" si="9"/>
        <v>31360</v>
      </c>
      <c r="S24" s="1185">
        <f t="shared" si="9"/>
        <v>19600</v>
      </c>
      <c r="T24" s="1185">
        <f t="shared" si="9"/>
        <v>19929.77</v>
      </c>
      <c r="U24" s="1185">
        <f t="shared" si="1"/>
        <v>2552291.14</v>
      </c>
      <c r="V24" s="62"/>
      <c r="W24" s="1193"/>
    </row>
    <row r="25" spans="1:24" ht="21.9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v>103456.58</v>
      </c>
      <c r="F25" s="1180">
        <v>25468</v>
      </c>
      <c r="G25" s="1180">
        <v>19819.080000000002</v>
      </c>
      <c r="H25" s="1180">
        <v>2100</v>
      </c>
      <c r="I25" s="1180">
        <v>16910.96</v>
      </c>
      <c r="J25" s="1180">
        <v>9990.9599999999991</v>
      </c>
      <c r="K25" s="1180">
        <v>47878.96</v>
      </c>
      <c r="L25" s="1180">
        <v>45840.38</v>
      </c>
      <c r="M25" s="1180">
        <v>12781.45</v>
      </c>
      <c r="N25" s="1180">
        <v>3500</v>
      </c>
      <c r="O25" s="1180">
        <v>700</v>
      </c>
      <c r="P25" s="1180"/>
      <c r="Q25" s="1180"/>
      <c r="R25" s="1180"/>
      <c r="S25" s="1180">
        <v>0</v>
      </c>
      <c r="T25" s="1180">
        <v>11389.77</v>
      </c>
      <c r="U25" s="1185">
        <f t="shared" si="1"/>
        <v>299836.14</v>
      </c>
      <c r="V25" s="62"/>
      <c r="W25" s="1193"/>
    </row>
    <row r="26" spans="1:24" ht="21.9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348330</v>
      </c>
      <c r="F26" s="1180">
        <v>224550</v>
      </c>
      <c r="G26" s="1180">
        <v>209685</v>
      </c>
      <c r="H26" s="1180">
        <v>172930</v>
      </c>
      <c r="I26" s="1180">
        <v>159400</v>
      </c>
      <c r="J26" s="1180">
        <v>168360</v>
      </c>
      <c r="K26" s="1180">
        <v>292300</v>
      </c>
      <c r="L26" s="1180">
        <v>130930</v>
      </c>
      <c r="M26" s="1180">
        <v>85760</v>
      </c>
      <c r="N26" s="1180">
        <v>141430</v>
      </c>
      <c r="O26" s="1180">
        <v>94640</v>
      </c>
      <c r="P26" s="1180">
        <v>90160</v>
      </c>
      <c r="Q26" s="1180">
        <v>74480</v>
      </c>
      <c r="R26" s="1180">
        <v>31360</v>
      </c>
      <c r="S26" s="1180">
        <v>19600</v>
      </c>
      <c r="T26" s="1180">
        <v>8540</v>
      </c>
      <c r="U26" s="1185">
        <f t="shared" si="1"/>
        <v>2252455</v>
      </c>
      <c r="V26" s="62"/>
      <c r="W26" s="1193"/>
    </row>
    <row r="27" spans="1:24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T27" si="10">E28</f>
        <v>4875636.92</v>
      </c>
      <c r="F27" s="1185">
        <f t="shared" si="10"/>
        <v>3032340.96</v>
      </c>
      <c r="G27" s="1185">
        <f t="shared" si="10"/>
        <v>2884010.24</v>
      </c>
      <c r="H27" s="1185">
        <f t="shared" si="10"/>
        <v>3620202.38</v>
      </c>
      <c r="I27" s="1185">
        <f t="shared" si="10"/>
        <v>2579320.16</v>
      </c>
      <c r="J27" s="1185">
        <f t="shared" si="10"/>
        <v>2443008.15</v>
      </c>
      <c r="K27" s="1185">
        <f t="shared" si="10"/>
        <v>4411254.62</v>
      </c>
      <c r="L27" s="1185">
        <f t="shared" si="10"/>
        <v>1948056.8</v>
      </c>
      <c r="M27" s="1185">
        <f t="shared" si="10"/>
        <v>1396599.27</v>
      </c>
      <c r="N27" s="1185">
        <f t="shared" si="10"/>
        <v>2494593.2799999998</v>
      </c>
      <c r="O27" s="1185">
        <f t="shared" si="10"/>
        <v>1561962.88</v>
      </c>
      <c r="P27" s="1185">
        <f t="shared" si="10"/>
        <v>1630194.88</v>
      </c>
      <c r="Q27" s="1185">
        <f t="shared" si="10"/>
        <v>1312657.81</v>
      </c>
      <c r="R27" s="1185">
        <f t="shared" si="10"/>
        <v>598127.91</v>
      </c>
      <c r="S27" s="1185">
        <f t="shared" si="10"/>
        <v>389369.67</v>
      </c>
      <c r="T27" s="1185">
        <f t="shared" si="10"/>
        <v>166874.37</v>
      </c>
      <c r="U27" s="1185">
        <f t="shared" si="1"/>
        <v>35344210.299999997</v>
      </c>
      <c r="V27" s="62"/>
      <c r="W27" s="1193"/>
    </row>
    <row r="28" spans="1:24" ht="21.9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4875636.92</v>
      </c>
      <c r="F28" s="1180">
        <v>3032340.96</v>
      </c>
      <c r="G28" s="1180">
        <v>2884010.24</v>
      </c>
      <c r="H28" s="1180">
        <v>3620202.38</v>
      </c>
      <c r="I28" s="1180">
        <v>2579320.16</v>
      </c>
      <c r="J28" s="1180">
        <v>2443008.15</v>
      </c>
      <c r="K28" s="1180">
        <v>4411254.62</v>
      </c>
      <c r="L28" s="1180">
        <v>1948056.8</v>
      </c>
      <c r="M28" s="1180">
        <v>1396599.27</v>
      </c>
      <c r="N28" s="1180">
        <v>2494593.2799999998</v>
      </c>
      <c r="O28" s="1180">
        <v>1561962.88</v>
      </c>
      <c r="P28" s="1180">
        <v>1630194.88</v>
      </c>
      <c r="Q28" s="1180">
        <v>1312657.81</v>
      </c>
      <c r="R28" s="1180">
        <v>598127.91</v>
      </c>
      <c r="S28" s="1180">
        <v>389369.67</v>
      </c>
      <c r="T28" s="1180">
        <v>166874.37</v>
      </c>
      <c r="U28" s="1185">
        <f t="shared" si="1"/>
        <v>35344210.299999997</v>
      </c>
      <c r="V28" s="62"/>
      <c r="W28" s="1193">
        <v>35356361.140000001</v>
      </c>
      <c r="X28" s="1193">
        <f>U28-W28</f>
        <v>-12150.840000003576</v>
      </c>
    </row>
    <row r="29" spans="1:24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T29" si="11">E30</f>
        <v>2437819.83</v>
      </c>
      <c r="F29" s="1185">
        <f t="shared" si="11"/>
        <v>1516170.48</v>
      </c>
      <c r="G29" s="1185">
        <f t="shared" si="11"/>
        <v>1442005.12</v>
      </c>
      <c r="H29" s="1185">
        <f t="shared" si="11"/>
        <v>1810101.19</v>
      </c>
      <c r="I29" s="1185">
        <f t="shared" si="11"/>
        <v>1438893.32</v>
      </c>
      <c r="J29" s="1185">
        <f t="shared" si="11"/>
        <v>1221503.8999999999</v>
      </c>
      <c r="K29" s="1185">
        <f t="shared" si="11"/>
        <v>2205627.15</v>
      </c>
      <c r="L29" s="1185">
        <f t="shared" si="11"/>
        <v>974028.4</v>
      </c>
      <c r="M29" s="1185">
        <f t="shared" si="11"/>
        <v>698299.85</v>
      </c>
      <c r="N29" s="1185">
        <f t="shared" si="11"/>
        <v>1247296.6399999999</v>
      </c>
      <c r="O29" s="1185">
        <f t="shared" si="11"/>
        <v>780981.44</v>
      </c>
      <c r="P29" s="1185">
        <f t="shared" si="11"/>
        <v>815097.56</v>
      </c>
      <c r="Q29" s="1185">
        <f t="shared" si="11"/>
        <v>627044.42000000004</v>
      </c>
      <c r="R29" s="1185">
        <f t="shared" si="11"/>
        <v>299063.90999999997</v>
      </c>
      <c r="S29" s="1185">
        <f t="shared" si="11"/>
        <v>194683.9</v>
      </c>
      <c r="T29" s="1185">
        <f t="shared" si="11"/>
        <v>83437.22</v>
      </c>
      <c r="U29" s="1185">
        <f t="shared" si="1"/>
        <v>17792054.329999998</v>
      </c>
      <c r="V29" s="62"/>
      <c r="W29" s="1193"/>
    </row>
    <row r="30" spans="1:24" ht="21.9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2437819.83</v>
      </c>
      <c r="F30" s="1180">
        <v>1516170.48</v>
      </c>
      <c r="G30" s="1180">
        <v>1442005.12</v>
      </c>
      <c r="H30" s="1180">
        <v>1810101.19</v>
      </c>
      <c r="I30" s="1180">
        <v>1438893.32</v>
      </c>
      <c r="J30" s="1180">
        <v>1221503.8999999999</v>
      </c>
      <c r="K30" s="1180">
        <v>2205627.15</v>
      </c>
      <c r="L30" s="1180">
        <v>974028.4</v>
      </c>
      <c r="M30" s="1180">
        <v>698299.85</v>
      </c>
      <c r="N30" s="1180">
        <v>1247296.6399999999</v>
      </c>
      <c r="O30" s="1180">
        <v>780981.44</v>
      </c>
      <c r="P30" s="1180">
        <v>815097.56</v>
      </c>
      <c r="Q30" s="1180">
        <v>627044.42000000004</v>
      </c>
      <c r="R30" s="1180">
        <v>299063.90999999997</v>
      </c>
      <c r="S30" s="1180">
        <v>194683.9</v>
      </c>
      <c r="T30" s="1180">
        <v>83437.22</v>
      </c>
      <c r="U30" s="1185">
        <f t="shared" si="1"/>
        <v>17792054.329999998</v>
      </c>
      <c r="V30" s="62"/>
      <c r="W30" s="1193">
        <v>17678180.579999998</v>
      </c>
      <c r="X30" s="1193">
        <f>U30-W30</f>
        <v>113873.75</v>
      </c>
    </row>
    <row r="31" spans="1:24" ht="21.9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2120416</v>
      </c>
      <c r="F31" s="1180">
        <v>1327513</v>
      </c>
      <c r="G31" s="1180">
        <v>1258483</v>
      </c>
      <c r="H31" s="1180">
        <v>1594056</v>
      </c>
      <c r="I31" s="1180">
        <v>1116954</v>
      </c>
      <c r="J31" s="1180">
        <v>1066339</v>
      </c>
      <c r="K31" s="1180">
        <v>1928720</v>
      </c>
      <c r="L31" s="1180">
        <v>847721</v>
      </c>
      <c r="M31" s="1180">
        <v>604179</v>
      </c>
      <c r="N31" s="1180">
        <v>1086792</v>
      </c>
      <c r="O31" s="1180">
        <v>681755</v>
      </c>
      <c r="P31" s="1180">
        <v>712088</v>
      </c>
      <c r="Q31" s="1180">
        <v>575558</v>
      </c>
      <c r="R31" s="1180">
        <v>260914</v>
      </c>
      <c r="S31" s="1180">
        <v>175293</v>
      </c>
      <c r="T31" s="1180">
        <v>73008</v>
      </c>
      <c r="U31" s="1185">
        <f t="shared" si="1"/>
        <v>15429789</v>
      </c>
      <c r="V31" s="62"/>
      <c r="W31" s="1193">
        <v>15468408</v>
      </c>
      <c r="X31" s="1193">
        <f>U31-W31</f>
        <v>-38619</v>
      </c>
    </row>
    <row r="32" spans="1:24" ht="21.9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43000</v>
      </c>
      <c r="F32" s="1180">
        <v>24500</v>
      </c>
      <c r="G32" s="1180">
        <v>24500</v>
      </c>
      <c r="H32" s="1180">
        <v>27500</v>
      </c>
      <c r="I32" s="1180">
        <v>23000</v>
      </c>
      <c r="J32" s="1180">
        <v>21500</v>
      </c>
      <c r="K32" s="1180">
        <v>40000</v>
      </c>
      <c r="L32" s="1180">
        <v>20000</v>
      </c>
      <c r="M32" s="1180">
        <v>15500</v>
      </c>
      <c r="N32" s="1180">
        <v>23000</v>
      </c>
      <c r="O32" s="1180">
        <v>18500</v>
      </c>
      <c r="P32" s="1180">
        <v>18500</v>
      </c>
      <c r="Q32" s="1180">
        <v>14000</v>
      </c>
      <c r="R32" s="1180">
        <v>4500</v>
      </c>
      <c r="S32" s="1180">
        <v>3000</v>
      </c>
      <c r="T32" s="1180">
        <v>1500</v>
      </c>
      <c r="U32" s="1185">
        <f t="shared" si="1"/>
        <v>322500</v>
      </c>
      <c r="V32" s="62"/>
      <c r="W32" s="1193"/>
    </row>
    <row r="33" spans="1:23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3087165</v>
      </c>
      <c r="F33" s="1185">
        <f t="shared" ref="F33:T33" si="12">F34+F36+F38</f>
        <v>800610</v>
      </c>
      <c r="G33" s="1185">
        <f t="shared" si="12"/>
        <v>816555</v>
      </c>
      <c r="H33" s="1185">
        <f t="shared" si="12"/>
        <v>21180</v>
      </c>
      <c r="I33" s="1185">
        <f t="shared" si="12"/>
        <v>1119235</v>
      </c>
      <c r="J33" s="1185">
        <f t="shared" si="12"/>
        <v>627635</v>
      </c>
      <c r="K33" s="1185">
        <f t="shared" si="12"/>
        <v>498765</v>
      </c>
      <c r="L33" s="1185">
        <f t="shared" si="12"/>
        <v>480445</v>
      </c>
      <c r="M33" s="1185">
        <f t="shared" si="12"/>
        <v>221135</v>
      </c>
      <c r="N33" s="1185">
        <f t="shared" si="12"/>
        <v>152460</v>
      </c>
      <c r="O33" s="1185">
        <f t="shared" si="12"/>
        <v>102480</v>
      </c>
      <c r="P33" s="1185">
        <f t="shared" si="12"/>
        <v>4320</v>
      </c>
      <c r="Q33" s="1185">
        <f t="shared" si="12"/>
        <v>2700</v>
      </c>
      <c r="R33" s="1185">
        <f t="shared" si="12"/>
        <v>900</v>
      </c>
      <c r="S33" s="1185">
        <f t="shared" si="12"/>
        <v>720</v>
      </c>
      <c r="T33" s="1185">
        <f t="shared" si="12"/>
        <v>85200</v>
      </c>
      <c r="U33" s="1185">
        <f t="shared" si="1"/>
        <v>8021505</v>
      </c>
      <c r="V33" s="62"/>
      <c r="W33" s="1193"/>
    </row>
    <row r="34" spans="1:23" ht="21.9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3081195</v>
      </c>
      <c r="F34" s="1185">
        <f t="shared" ref="F34:T34" si="13">F35</f>
        <v>795810</v>
      </c>
      <c r="G34" s="1185">
        <f t="shared" si="13"/>
        <v>813225</v>
      </c>
      <c r="H34" s="1185">
        <f t="shared" si="13"/>
        <v>15780</v>
      </c>
      <c r="I34" s="1185">
        <f t="shared" si="13"/>
        <v>1118185</v>
      </c>
      <c r="J34" s="1185">
        <f t="shared" si="13"/>
        <v>626795</v>
      </c>
      <c r="K34" s="1185">
        <f t="shared" si="13"/>
        <v>495555</v>
      </c>
      <c r="L34" s="1185">
        <f t="shared" si="13"/>
        <v>476125</v>
      </c>
      <c r="M34" s="1185">
        <f t="shared" si="13"/>
        <v>217805</v>
      </c>
      <c r="N34" s="1185">
        <f t="shared" si="13"/>
        <v>149220</v>
      </c>
      <c r="O34" s="1185">
        <f t="shared" si="13"/>
        <v>100320</v>
      </c>
      <c r="P34" s="1185">
        <f t="shared" si="13"/>
        <v>0</v>
      </c>
      <c r="Q34" s="1185">
        <f t="shared" si="13"/>
        <v>0</v>
      </c>
      <c r="R34" s="1185">
        <f t="shared" si="13"/>
        <v>0</v>
      </c>
      <c r="S34" s="1185">
        <f t="shared" si="13"/>
        <v>0</v>
      </c>
      <c r="T34" s="1185">
        <f t="shared" si="13"/>
        <v>85200</v>
      </c>
      <c r="U34" s="1185">
        <f t="shared" si="1"/>
        <v>7975215</v>
      </c>
      <c r="V34" s="62"/>
      <c r="W34" s="1193"/>
    </row>
    <row r="35" spans="1:23" ht="21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3081195</v>
      </c>
      <c r="F35" s="1180">
        <v>795810</v>
      </c>
      <c r="G35" s="1180">
        <v>813225</v>
      </c>
      <c r="H35" s="1180">
        <v>15780</v>
      </c>
      <c r="I35" s="1180">
        <v>1118185</v>
      </c>
      <c r="J35" s="1180">
        <v>626795</v>
      </c>
      <c r="K35" s="1180">
        <v>495555</v>
      </c>
      <c r="L35" s="1180">
        <v>476125</v>
      </c>
      <c r="M35" s="1180">
        <v>217805</v>
      </c>
      <c r="N35" s="1180">
        <v>149220</v>
      </c>
      <c r="O35" s="1180">
        <v>100320</v>
      </c>
      <c r="P35" s="1180"/>
      <c r="Q35" s="1180"/>
      <c r="R35" s="1180"/>
      <c r="S35" s="1180"/>
      <c r="T35" s="1180">
        <v>85200</v>
      </c>
      <c r="U35" s="1185">
        <f t="shared" si="1"/>
        <v>7975215</v>
      </c>
      <c r="V35" s="62"/>
      <c r="W35" s="1193"/>
    </row>
    <row r="36" spans="1:23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5970</v>
      </c>
      <c r="F36" s="1185">
        <f t="shared" ref="F36:T36" si="14">F37</f>
        <v>4800</v>
      </c>
      <c r="G36" s="1185">
        <f t="shared" si="14"/>
        <v>3330</v>
      </c>
      <c r="H36" s="1185">
        <f t="shared" si="14"/>
        <v>5400</v>
      </c>
      <c r="I36" s="1185">
        <f t="shared" si="14"/>
        <v>1050</v>
      </c>
      <c r="J36" s="1185">
        <f t="shared" si="14"/>
        <v>840</v>
      </c>
      <c r="K36" s="1185">
        <f t="shared" si="14"/>
        <v>3210</v>
      </c>
      <c r="L36" s="1185">
        <f t="shared" si="14"/>
        <v>4320</v>
      </c>
      <c r="M36" s="1185">
        <f t="shared" si="14"/>
        <v>3330</v>
      </c>
      <c r="N36" s="1185">
        <f t="shared" si="14"/>
        <v>3240</v>
      </c>
      <c r="O36" s="1185">
        <f t="shared" si="14"/>
        <v>2160</v>
      </c>
      <c r="P36" s="1185">
        <f t="shared" si="14"/>
        <v>4320</v>
      </c>
      <c r="Q36" s="1185">
        <f t="shared" si="14"/>
        <v>2700</v>
      </c>
      <c r="R36" s="1185">
        <f t="shared" si="14"/>
        <v>900</v>
      </c>
      <c r="S36" s="1185">
        <f t="shared" si="14"/>
        <v>720</v>
      </c>
      <c r="T36" s="1185">
        <f t="shared" si="14"/>
        <v>0</v>
      </c>
      <c r="U36" s="1185">
        <f t="shared" si="1"/>
        <v>46290</v>
      </c>
      <c r="V36" s="62"/>
      <c r="W36" s="1193"/>
    </row>
    <row r="37" spans="1:23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5970</v>
      </c>
      <c r="F37" s="1180">
        <v>4800</v>
      </c>
      <c r="G37" s="1180">
        <v>3330</v>
      </c>
      <c r="H37" s="1180">
        <v>5400</v>
      </c>
      <c r="I37" s="1180">
        <v>1050</v>
      </c>
      <c r="J37" s="1180">
        <v>840</v>
      </c>
      <c r="K37" s="1180">
        <v>3210</v>
      </c>
      <c r="L37" s="1180">
        <v>4320</v>
      </c>
      <c r="M37" s="1180">
        <v>3330</v>
      </c>
      <c r="N37" s="1180">
        <v>3240</v>
      </c>
      <c r="O37" s="1180">
        <v>2160</v>
      </c>
      <c r="P37" s="1180">
        <v>4320</v>
      </c>
      <c r="Q37" s="1180">
        <v>2700</v>
      </c>
      <c r="R37" s="1180">
        <v>900</v>
      </c>
      <c r="S37" s="1180">
        <v>720</v>
      </c>
      <c r="T37" s="1180"/>
      <c r="U37" s="1185">
        <f t="shared" ref="U37:U68" si="15">SUM(E37:T37)</f>
        <v>46290</v>
      </c>
      <c r="V37" s="62"/>
      <c r="W37" s="1193"/>
    </row>
    <row r="38" spans="1:23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T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185">
        <f t="shared" si="16"/>
        <v>0</v>
      </c>
      <c r="K38" s="1185">
        <f t="shared" si="16"/>
        <v>0</v>
      </c>
      <c r="L38" s="1185">
        <f t="shared" si="16"/>
        <v>0</v>
      </c>
      <c r="M38" s="1185">
        <f t="shared" si="16"/>
        <v>0</v>
      </c>
      <c r="N38" s="1185">
        <f t="shared" si="16"/>
        <v>0</v>
      </c>
      <c r="O38" s="1185">
        <f t="shared" si="16"/>
        <v>0</v>
      </c>
      <c r="P38" s="1185">
        <f t="shared" si="16"/>
        <v>0</v>
      </c>
      <c r="Q38" s="1185">
        <f t="shared" si="16"/>
        <v>0</v>
      </c>
      <c r="R38" s="1185">
        <f t="shared" si="16"/>
        <v>0</v>
      </c>
      <c r="S38" s="1185">
        <f t="shared" si="16"/>
        <v>0</v>
      </c>
      <c r="T38" s="1185">
        <f t="shared" si="16"/>
        <v>0</v>
      </c>
      <c r="U38" s="1185">
        <f t="shared" si="15"/>
        <v>0</v>
      </c>
      <c r="V38" s="62"/>
      <c r="W38" s="1193"/>
    </row>
    <row r="39" spans="1:23" ht="21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180"/>
      <c r="U39" s="1185">
        <f t="shared" si="15"/>
        <v>0</v>
      </c>
      <c r="V39" s="62"/>
      <c r="W39" s="1193"/>
    </row>
    <row r="40" spans="1:23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T40" si="17">E41+E43+E45+E47+E49+E52+E54+E56+E60</f>
        <v>8463019.6400000006</v>
      </c>
      <c r="F40" s="1185">
        <f t="shared" si="17"/>
        <v>5191013.79</v>
      </c>
      <c r="G40" s="1185">
        <f t="shared" si="17"/>
        <v>5378485.3099999996</v>
      </c>
      <c r="H40" s="1185">
        <f t="shared" si="17"/>
        <v>6839529.0999999996</v>
      </c>
      <c r="I40" s="1185">
        <f t="shared" si="17"/>
        <v>4277693.1899999995</v>
      </c>
      <c r="J40" s="1185">
        <f t="shared" si="17"/>
        <v>3271560.9099999997</v>
      </c>
      <c r="K40" s="1185">
        <f t="shared" si="17"/>
        <v>7442834.1399999997</v>
      </c>
      <c r="L40" s="1185">
        <f t="shared" si="17"/>
        <v>2970612.13</v>
      </c>
      <c r="M40" s="1185">
        <f t="shared" si="17"/>
        <v>2000373.9000000001</v>
      </c>
      <c r="N40" s="1185">
        <f t="shared" si="17"/>
        <v>3998484.7899999996</v>
      </c>
      <c r="O40" s="1185">
        <f t="shared" si="17"/>
        <v>2189199.7999999998</v>
      </c>
      <c r="P40" s="1185">
        <f t="shared" si="17"/>
        <v>2369419.6</v>
      </c>
      <c r="Q40" s="1185">
        <f t="shared" si="17"/>
        <v>2059252.79</v>
      </c>
      <c r="R40" s="1185">
        <f t="shared" si="17"/>
        <v>1136039</v>
      </c>
      <c r="S40" s="1185">
        <f t="shared" si="17"/>
        <v>1118269</v>
      </c>
      <c r="T40" s="1185">
        <f t="shared" si="17"/>
        <v>148216</v>
      </c>
      <c r="U40" s="1185">
        <f t="shared" si="15"/>
        <v>58854003.089999989</v>
      </c>
      <c r="V40" s="62"/>
      <c r="W40" s="1193"/>
    </row>
    <row r="41" spans="1:23" ht="21.95" customHeight="1">
      <c r="A41" s="66" t="s">
        <v>99</v>
      </c>
      <c r="B41" s="61" t="s">
        <v>100</v>
      </c>
      <c r="C41" s="61"/>
      <c r="D41" s="62" t="s">
        <v>101</v>
      </c>
      <c r="E41" s="1180">
        <v>5990790</v>
      </c>
      <c r="F41" s="1180">
        <v>4042075</v>
      </c>
      <c r="G41" s="1180">
        <v>4043200</v>
      </c>
      <c r="H41" s="1180">
        <v>5583850</v>
      </c>
      <c r="I41" s="1180">
        <v>3072710</v>
      </c>
      <c r="J41" s="1180">
        <v>2373795</v>
      </c>
      <c r="K41" s="1180">
        <v>5787875</v>
      </c>
      <c r="L41" s="1180">
        <v>2152140</v>
      </c>
      <c r="M41" s="1180">
        <v>1468580</v>
      </c>
      <c r="N41" s="1180">
        <v>3010140</v>
      </c>
      <c r="O41" s="1180">
        <v>1587280</v>
      </c>
      <c r="P41" s="1180">
        <v>1730280</v>
      </c>
      <c r="Q41" s="1180">
        <v>1522820</v>
      </c>
      <c r="R41" s="1180">
        <v>858000</v>
      </c>
      <c r="S41" s="1180">
        <v>858000</v>
      </c>
      <c r="T41" s="1180">
        <v>89600</v>
      </c>
      <c r="U41" s="1185">
        <f t="shared" si="15"/>
        <v>44171135</v>
      </c>
      <c r="V41" s="62"/>
      <c r="W41" s="1193"/>
    </row>
    <row r="42" spans="1:23" ht="21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249383.25</v>
      </c>
      <c r="F42" s="1180">
        <v>202103.75</v>
      </c>
      <c r="G42" s="1180">
        <v>202160</v>
      </c>
      <c r="H42" s="1180">
        <v>279192.5</v>
      </c>
      <c r="I42" s="1180">
        <v>153635.5</v>
      </c>
      <c r="J42" s="1180">
        <v>118689.75</v>
      </c>
      <c r="K42" s="1180">
        <v>289393.75</v>
      </c>
      <c r="L42" s="1180">
        <v>73787.5</v>
      </c>
      <c r="M42" s="1180">
        <v>65278</v>
      </c>
      <c r="N42" s="1180">
        <v>123122.5</v>
      </c>
      <c r="O42" s="1180">
        <v>63777</v>
      </c>
      <c r="P42" s="1180">
        <v>69783</v>
      </c>
      <c r="Q42" s="1180">
        <v>71708</v>
      </c>
      <c r="R42" s="1180">
        <v>33533.5</v>
      </c>
      <c r="S42" s="1180">
        <v>19805.5</v>
      </c>
      <c r="T42" s="1180">
        <v>4480</v>
      </c>
      <c r="U42" s="1185">
        <f t="shared" si="15"/>
        <v>2019833.5</v>
      </c>
      <c r="V42" s="62"/>
      <c r="W42" s="1193"/>
    </row>
    <row r="43" spans="1:23" ht="21.95" customHeight="1">
      <c r="A43" s="66" t="s">
        <v>106</v>
      </c>
      <c r="B43" s="61" t="s">
        <v>107</v>
      </c>
      <c r="C43" s="61"/>
      <c r="D43" s="62"/>
      <c r="E43" s="1185">
        <f>E44</f>
        <v>48000</v>
      </c>
      <c r="F43" s="1185">
        <f t="shared" ref="F43:T43" si="18">F44</f>
        <v>28800</v>
      </c>
      <c r="G43" s="1185">
        <f t="shared" si="18"/>
        <v>28000</v>
      </c>
      <c r="H43" s="1185">
        <f t="shared" si="18"/>
        <v>36800</v>
      </c>
      <c r="I43" s="1185">
        <f t="shared" si="18"/>
        <v>26400</v>
      </c>
      <c r="J43" s="1185">
        <f t="shared" si="18"/>
        <v>24800</v>
      </c>
      <c r="K43" s="1185">
        <f t="shared" si="18"/>
        <v>46000</v>
      </c>
      <c r="L43" s="1185">
        <f t="shared" si="18"/>
        <v>22000</v>
      </c>
      <c r="M43" s="1185">
        <f t="shared" si="18"/>
        <v>16400</v>
      </c>
      <c r="N43" s="1185">
        <f t="shared" si="18"/>
        <v>28400</v>
      </c>
      <c r="O43" s="1185">
        <f t="shared" si="18"/>
        <v>18400</v>
      </c>
      <c r="P43" s="1185">
        <f t="shared" si="18"/>
        <v>18400</v>
      </c>
      <c r="Q43" s="1185">
        <f t="shared" si="18"/>
        <v>15600</v>
      </c>
      <c r="R43" s="1185">
        <f t="shared" si="18"/>
        <v>6800</v>
      </c>
      <c r="S43" s="1185">
        <f t="shared" si="18"/>
        <v>4800</v>
      </c>
      <c r="T43" s="1185">
        <f t="shared" si="18"/>
        <v>1600</v>
      </c>
      <c r="U43" s="1185">
        <f t="shared" si="15"/>
        <v>371200</v>
      </c>
      <c r="V43" s="62"/>
      <c r="W43" s="1193"/>
    </row>
    <row r="44" spans="1:23" ht="21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48000</v>
      </c>
      <c r="F44" s="1180">
        <v>28800</v>
      </c>
      <c r="G44" s="1180">
        <v>28000</v>
      </c>
      <c r="H44" s="1180">
        <v>36800</v>
      </c>
      <c r="I44" s="1180">
        <v>26400</v>
      </c>
      <c r="J44" s="1180">
        <v>24800</v>
      </c>
      <c r="K44" s="1180">
        <v>46000</v>
      </c>
      <c r="L44" s="1180">
        <v>22000</v>
      </c>
      <c r="M44" s="1180">
        <v>16400</v>
      </c>
      <c r="N44" s="1180">
        <v>28400</v>
      </c>
      <c r="O44" s="1180">
        <v>18400</v>
      </c>
      <c r="P44" s="1180">
        <v>18400</v>
      </c>
      <c r="Q44" s="1180">
        <v>15600</v>
      </c>
      <c r="R44" s="1180">
        <v>6800</v>
      </c>
      <c r="S44" s="1180">
        <v>4800</v>
      </c>
      <c r="T44" s="1180">
        <v>1600</v>
      </c>
      <c r="U44" s="1185">
        <f t="shared" si="15"/>
        <v>371200</v>
      </c>
      <c r="V44" s="62"/>
      <c r="W44" s="1193"/>
    </row>
    <row r="45" spans="1:23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369110.55</v>
      </c>
      <c r="F45" s="1185">
        <f t="shared" ref="F45:T45" si="19">F46</f>
        <v>184792.2</v>
      </c>
      <c r="G45" s="1185">
        <f t="shared" si="19"/>
        <v>344669.55</v>
      </c>
      <c r="H45" s="1185">
        <f t="shared" si="19"/>
        <v>259299.6</v>
      </c>
      <c r="I45" s="1185">
        <f t="shared" si="19"/>
        <v>164731.20000000001</v>
      </c>
      <c r="J45" s="1185">
        <f t="shared" si="19"/>
        <v>98189.25</v>
      </c>
      <c r="K45" s="1185">
        <f t="shared" si="19"/>
        <v>310345.8</v>
      </c>
      <c r="L45" s="1185">
        <f t="shared" si="19"/>
        <v>141067.5</v>
      </c>
      <c r="M45" s="1185">
        <f t="shared" si="19"/>
        <v>69733.350000000006</v>
      </c>
      <c r="N45" s="1185">
        <f t="shared" si="19"/>
        <v>227811.15</v>
      </c>
      <c r="O45" s="1185">
        <f t="shared" si="19"/>
        <v>128985.9</v>
      </c>
      <c r="P45" s="1185">
        <f t="shared" si="19"/>
        <v>177441.15</v>
      </c>
      <c r="Q45" s="1185">
        <f t="shared" si="19"/>
        <v>119210.85</v>
      </c>
      <c r="R45" s="1185">
        <f t="shared" si="19"/>
        <v>85861.8</v>
      </c>
      <c r="S45" s="1185">
        <f t="shared" si="19"/>
        <v>114450</v>
      </c>
      <c r="T45" s="1185">
        <f t="shared" si="19"/>
        <v>0</v>
      </c>
      <c r="U45" s="1185">
        <f t="shared" si="15"/>
        <v>2795699.85</v>
      </c>
      <c r="V45" s="62"/>
      <c r="W45" s="1193"/>
    </row>
    <row r="46" spans="1:23" ht="21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369110.55</v>
      </c>
      <c r="F46" s="1180">
        <v>184792.2</v>
      </c>
      <c r="G46" s="1180">
        <v>344669.55</v>
      </c>
      <c r="H46" s="1180">
        <v>259299.6</v>
      </c>
      <c r="I46" s="1180">
        <v>164731.20000000001</v>
      </c>
      <c r="J46" s="1180">
        <v>98189.25</v>
      </c>
      <c r="K46" s="1180">
        <v>310345.8</v>
      </c>
      <c r="L46" s="1180">
        <v>141067.5</v>
      </c>
      <c r="M46" s="1180">
        <v>69733.350000000006</v>
      </c>
      <c r="N46" s="1180">
        <v>227811.15</v>
      </c>
      <c r="O46" s="1180">
        <v>128985.9</v>
      </c>
      <c r="P46" s="1180">
        <v>177441.15</v>
      </c>
      <c r="Q46" s="1180">
        <v>119210.85</v>
      </c>
      <c r="R46" s="1180">
        <v>85861.8</v>
      </c>
      <c r="S46" s="1180">
        <v>114450</v>
      </c>
      <c r="T46" s="1180"/>
      <c r="U46" s="1185">
        <f t="shared" si="15"/>
        <v>2795699.85</v>
      </c>
      <c r="V46" s="62"/>
      <c r="W46" s="1193"/>
    </row>
    <row r="47" spans="1:23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105904</v>
      </c>
      <c r="F47" s="1185">
        <f t="shared" ref="F47:T47" si="20">F48</f>
        <v>28240</v>
      </c>
      <c r="G47" s="1185">
        <f t="shared" si="20"/>
        <v>76487.600000000006</v>
      </c>
      <c r="H47" s="1185">
        <f t="shared" si="20"/>
        <v>70433.600000000006</v>
      </c>
      <c r="I47" s="1185">
        <f t="shared" si="20"/>
        <v>76688</v>
      </c>
      <c r="J47" s="1185">
        <f t="shared" si="20"/>
        <v>31192</v>
      </c>
      <c r="K47" s="1185">
        <f t="shared" si="20"/>
        <v>97640</v>
      </c>
      <c r="L47" s="1185">
        <f t="shared" si="20"/>
        <v>33144</v>
      </c>
      <c r="M47" s="1185">
        <f t="shared" si="20"/>
        <v>19888</v>
      </c>
      <c r="N47" s="1185">
        <f t="shared" si="20"/>
        <v>42522.8</v>
      </c>
      <c r="O47" s="1185">
        <f t="shared" si="20"/>
        <v>28344</v>
      </c>
      <c r="P47" s="1185">
        <f t="shared" si="20"/>
        <v>34789.599999999999</v>
      </c>
      <c r="Q47" s="1185">
        <f t="shared" si="20"/>
        <v>45420.800000000003</v>
      </c>
      <c r="R47" s="1185">
        <f t="shared" si="20"/>
        <v>15715.2</v>
      </c>
      <c r="S47" s="1185">
        <f t="shared" si="20"/>
        <v>21436</v>
      </c>
      <c r="T47" s="1185">
        <f t="shared" si="20"/>
        <v>0</v>
      </c>
      <c r="U47" s="1185">
        <f t="shared" si="15"/>
        <v>727845.6</v>
      </c>
      <c r="V47" s="62"/>
      <c r="W47" s="1193"/>
    </row>
    <row r="48" spans="1:23" ht="21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105904</v>
      </c>
      <c r="F48" s="1180">
        <v>28240</v>
      </c>
      <c r="G48" s="1180">
        <v>76487.600000000006</v>
      </c>
      <c r="H48" s="1180">
        <v>70433.600000000006</v>
      </c>
      <c r="I48" s="1180">
        <v>76688</v>
      </c>
      <c r="J48" s="1180">
        <v>31192</v>
      </c>
      <c r="K48" s="1180">
        <v>97640</v>
      </c>
      <c r="L48" s="1180">
        <v>33144</v>
      </c>
      <c r="M48" s="1180">
        <v>19888</v>
      </c>
      <c r="N48" s="1180">
        <v>42522.8</v>
      </c>
      <c r="O48" s="1180">
        <v>28344</v>
      </c>
      <c r="P48" s="1180">
        <v>34789.599999999999</v>
      </c>
      <c r="Q48" s="1180">
        <v>45420.800000000003</v>
      </c>
      <c r="R48" s="1180">
        <v>15715.2</v>
      </c>
      <c r="S48" s="1180">
        <v>21436</v>
      </c>
      <c r="T48" s="1180"/>
      <c r="U48" s="1185">
        <f t="shared" si="15"/>
        <v>727845.6</v>
      </c>
      <c r="V48" s="62"/>
      <c r="W48" s="1193"/>
    </row>
    <row r="49" spans="1:23" ht="21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1212480</v>
      </c>
      <c r="F49" s="1185">
        <f t="shared" ref="F49:T49" si="21">F50+F51</f>
        <v>493200</v>
      </c>
      <c r="G49" s="1185">
        <f t="shared" si="21"/>
        <v>482040</v>
      </c>
      <c r="H49" s="1185">
        <f t="shared" si="21"/>
        <v>399960</v>
      </c>
      <c r="I49" s="1185">
        <f t="shared" si="21"/>
        <v>555840</v>
      </c>
      <c r="J49" s="1185">
        <f t="shared" si="21"/>
        <v>412560</v>
      </c>
      <c r="K49" s="1185">
        <f t="shared" si="21"/>
        <v>610200</v>
      </c>
      <c r="L49" s="1185">
        <f t="shared" si="21"/>
        <v>343800</v>
      </c>
      <c r="M49" s="1185">
        <f t="shared" si="21"/>
        <v>228960</v>
      </c>
      <c r="N49" s="1185">
        <f t="shared" si="21"/>
        <v>345600</v>
      </c>
      <c r="O49" s="1185">
        <f t="shared" si="21"/>
        <v>221040</v>
      </c>
      <c r="P49" s="1185">
        <f t="shared" si="21"/>
        <v>196920</v>
      </c>
      <c r="Q49" s="1185">
        <f t="shared" si="21"/>
        <v>165960</v>
      </c>
      <c r="R49" s="1185">
        <f t="shared" si="21"/>
        <v>72000</v>
      </c>
      <c r="S49" s="1185">
        <f t="shared" si="21"/>
        <v>50400</v>
      </c>
      <c r="T49" s="1185">
        <f t="shared" si="21"/>
        <v>34560</v>
      </c>
      <c r="U49" s="1185">
        <f t="shared" si="15"/>
        <v>5825520</v>
      </c>
      <c r="V49" s="62"/>
      <c r="W49" s="1193"/>
    </row>
    <row r="50" spans="1:23" ht="21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517680</v>
      </c>
      <c r="F50" s="1180">
        <v>309600</v>
      </c>
      <c r="G50" s="1180">
        <v>300960</v>
      </c>
      <c r="H50" s="1180">
        <v>395640</v>
      </c>
      <c r="I50" s="1180">
        <v>284760</v>
      </c>
      <c r="J50" s="1180">
        <v>267480</v>
      </c>
      <c r="K50" s="1180">
        <v>496800</v>
      </c>
      <c r="L50" s="1180">
        <v>234000</v>
      </c>
      <c r="M50" s="1180">
        <v>174960</v>
      </c>
      <c r="N50" s="1180">
        <v>306720</v>
      </c>
      <c r="O50" s="1180">
        <v>196920</v>
      </c>
      <c r="P50" s="1180">
        <v>196920</v>
      </c>
      <c r="Q50" s="1180">
        <v>165960</v>
      </c>
      <c r="R50" s="1180">
        <v>72000</v>
      </c>
      <c r="S50" s="1180">
        <v>50400</v>
      </c>
      <c r="T50" s="1180">
        <v>17280</v>
      </c>
      <c r="U50" s="1185">
        <f t="shared" si="15"/>
        <v>3988080</v>
      </c>
      <c r="V50" s="62"/>
      <c r="W50" s="1193"/>
    </row>
    <row r="51" spans="1:23" ht="21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694800</v>
      </c>
      <c r="F51" s="1180">
        <v>183600</v>
      </c>
      <c r="G51" s="1180">
        <v>181080</v>
      </c>
      <c r="H51" s="1180">
        <v>4320</v>
      </c>
      <c r="I51" s="1180">
        <v>271080</v>
      </c>
      <c r="J51" s="1180">
        <v>145080</v>
      </c>
      <c r="K51" s="1180">
        <v>113400</v>
      </c>
      <c r="L51" s="1180">
        <v>109800</v>
      </c>
      <c r="M51" s="1180">
        <v>54000</v>
      </c>
      <c r="N51" s="1180">
        <v>38880</v>
      </c>
      <c r="O51" s="1180">
        <v>24120</v>
      </c>
      <c r="P51" s="1180"/>
      <c r="Q51" s="1180"/>
      <c r="R51" s="1180"/>
      <c r="S51" s="1180"/>
      <c r="T51" s="1180">
        <v>17280</v>
      </c>
      <c r="U51" s="1185">
        <f t="shared" si="15"/>
        <v>1837440</v>
      </c>
      <c r="V51" s="62"/>
      <c r="W51" s="1193"/>
    </row>
    <row r="52" spans="1:23" ht="21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622035.43000000005</v>
      </c>
      <c r="F52" s="1185">
        <f t="shared" ref="F52:T52" si="22">F53</f>
        <v>376995.43</v>
      </c>
      <c r="G52" s="1185">
        <f t="shared" si="22"/>
        <v>358686.86</v>
      </c>
      <c r="H52" s="1185">
        <f t="shared" si="22"/>
        <v>452535.9</v>
      </c>
      <c r="I52" s="1185">
        <f t="shared" si="22"/>
        <v>332297.09999999998</v>
      </c>
      <c r="J52" s="1185">
        <f t="shared" si="22"/>
        <v>309366.86</v>
      </c>
      <c r="K52" s="1185">
        <f t="shared" si="22"/>
        <v>551406.72</v>
      </c>
      <c r="L52" s="1185">
        <f t="shared" si="22"/>
        <v>243877.71</v>
      </c>
      <c r="M52" s="1185">
        <f t="shared" si="22"/>
        <v>179684.57</v>
      </c>
      <c r="N52" s="1185">
        <f t="shared" si="22"/>
        <v>311810.84000000003</v>
      </c>
      <c r="O52" s="1185">
        <f t="shared" si="22"/>
        <v>195249.9</v>
      </c>
      <c r="P52" s="1185">
        <f t="shared" si="22"/>
        <v>205038.85</v>
      </c>
      <c r="Q52" s="1185">
        <f t="shared" si="22"/>
        <v>160841.14000000001</v>
      </c>
      <c r="R52" s="1185">
        <f t="shared" si="22"/>
        <v>74762</v>
      </c>
      <c r="S52" s="1185">
        <f t="shared" si="22"/>
        <v>50083</v>
      </c>
      <c r="T52" s="1185">
        <f t="shared" si="22"/>
        <v>20856</v>
      </c>
      <c r="U52" s="1185">
        <f t="shared" si="15"/>
        <v>4445528.3099999996</v>
      </c>
      <c r="V52" s="62"/>
      <c r="W52" s="1193"/>
    </row>
    <row r="53" spans="1:23" ht="21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622035.43000000005</v>
      </c>
      <c r="F53" s="1180">
        <v>376995.43</v>
      </c>
      <c r="G53" s="1180">
        <v>358686.86</v>
      </c>
      <c r="H53" s="1180">
        <v>452535.9</v>
      </c>
      <c r="I53" s="1180">
        <v>332297.09999999998</v>
      </c>
      <c r="J53" s="1180">
        <v>309366.86</v>
      </c>
      <c r="K53" s="1180">
        <v>551406.72</v>
      </c>
      <c r="L53" s="1180">
        <v>243877.71</v>
      </c>
      <c r="M53" s="1180">
        <v>179684.57</v>
      </c>
      <c r="N53" s="1180">
        <v>311810.84000000003</v>
      </c>
      <c r="O53" s="1180">
        <v>195249.9</v>
      </c>
      <c r="P53" s="1180">
        <v>205038.85</v>
      </c>
      <c r="Q53" s="1180">
        <v>160841.14000000001</v>
      </c>
      <c r="R53" s="1180">
        <v>74762</v>
      </c>
      <c r="S53" s="1180">
        <v>50083</v>
      </c>
      <c r="T53" s="1180">
        <v>20856</v>
      </c>
      <c r="U53" s="1185">
        <f t="shared" si="15"/>
        <v>4445528.3099999996</v>
      </c>
      <c r="V53" s="62"/>
      <c r="W53" s="1193"/>
    </row>
    <row r="54" spans="1:23" ht="21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26999.66</v>
      </c>
      <c r="F54" s="1185">
        <f t="shared" ref="F54:T54" si="23">F55</f>
        <v>14911.16</v>
      </c>
      <c r="G54" s="1185">
        <f t="shared" si="23"/>
        <v>23201.3</v>
      </c>
      <c r="H54" s="1185">
        <f t="shared" si="23"/>
        <v>0</v>
      </c>
      <c r="I54" s="1185">
        <f t="shared" si="23"/>
        <v>20626.89</v>
      </c>
      <c r="J54" s="1185">
        <f t="shared" si="23"/>
        <v>5057.8</v>
      </c>
      <c r="K54" s="1185">
        <f t="shared" si="23"/>
        <v>11766.62</v>
      </c>
      <c r="L54" s="1185">
        <f t="shared" si="23"/>
        <v>21132.92</v>
      </c>
      <c r="M54" s="1185">
        <f t="shared" si="23"/>
        <v>9227.98</v>
      </c>
      <c r="N54" s="1185">
        <f t="shared" si="23"/>
        <v>0</v>
      </c>
      <c r="O54" s="1185">
        <f t="shared" si="23"/>
        <v>0</v>
      </c>
      <c r="P54" s="1185">
        <f t="shared" si="23"/>
        <v>0</v>
      </c>
      <c r="Q54" s="1185">
        <f t="shared" si="23"/>
        <v>0</v>
      </c>
      <c r="R54" s="1185">
        <f t="shared" si="23"/>
        <v>0</v>
      </c>
      <c r="S54" s="1185">
        <f t="shared" si="23"/>
        <v>0</v>
      </c>
      <c r="T54" s="1185">
        <f t="shared" si="23"/>
        <v>0</v>
      </c>
      <c r="U54" s="1185">
        <f t="shared" si="15"/>
        <v>132924.32999999999</v>
      </c>
      <c r="V54" s="62"/>
      <c r="W54" s="1193"/>
    </row>
    <row r="55" spans="1:23" ht="21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26999.66</v>
      </c>
      <c r="F55" s="1180">
        <v>14911.16</v>
      </c>
      <c r="G55" s="1180">
        <v>23201.3</v>
      </c>
      <c r="H55" s="1180"/>
      <c r="I55" s="1180">
        <v>20626.89</v>
      </c>
      <c r="J55" s="1180">
        <v>5057.8</v>
      </c>
      <c r="K55" s="1180">
        <v>11766.62</v>
      </c>
      <c r="L55" s="1180">
        <v>21132.92</v>
      </c>
      <c r="M55" s="1180">
        <v>9227.98</v>
      </c>
      <c r="N55" s="1180"/>
      <c r="O55" s="1180"/>
      <c r="P55" s="1180"/>
      <c r="Q55" s="1180"/>
      <c r="R55" s="1180"/>
      <c r="S55" s="1180"/>
      <c r="T55" s="1180"/>
      <c r="U55" s="1185">
        <f t="shared" si="15"/>
        <v>132924.32999999999</v>
      </c>
      <c r="V55" s="62"/>
      <c r="W55" s="1193"/>
    </row>
    <row r="56" spans="1:23" ht="21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67700</v>
      </c>
      <c r="F56" s="1185">
        <f t="shared" ref="F56:T56" si="24">F57+F59</f>
        <v>22000</v>
      </c>
      <c r="G56" s="1185">
        <f t="shared" si="24"/>
        <v>22200</v>
      </c>
      <c r="H56" s="1185">
        <f t="shared" si="24"/>
        <v>4650</v>
      </c>
      <c r="I56" s="1185">
        <f t="shared" si="24"/>
        <v>28400</v>
      </c>
      <c r="J56" s="1185">
        <f t="shared" si="24"/>
        <v>16600</v>
      </c>
      <c r="K56" s="1185">
        <f t="shared" si="24"/>
        <v>17600</v>
      </c>
      <c r="L56" s="1185">
        <f t="shared" si="24"/>
        <v>13450</v>
      </c>
      <c r="M56" s="1185">
        <f t="shared" si="24"/>
        <v>7900</v>
      </c>
      <c r="N56" s="1185">
        <f t="shared" si="24"/>
        <v>7400</v>
      </c>
      <c r="O56" s="1185">
        <f t="shared" si="24"/>
        <v>6300</v>
      </c>
      <c r="P56" s="1185">
        <f t="shared" si="24"/>
        <v>2950</v>
      </c>
      <c r="Q56" s="1185">
        <f t="shared" si="24"/>
        <v>3200</v>
      </c>
      <c r="R56" s="1185">
        <f t="shared" si="24"/>
        <v>2500</v>
      </c>
      <c r="S56" s="1185">
        <f t="shared" si="24"/>
        <v>1100</v>
      </c>
      <c r="T56" s="1185">
        <f t="shared" si="24"/>
        <v>1600</v>
      </c>
      <c r="U56" s="1185">
        <f t="shared" si="15"/>
        <v>225550</v>
      </c>
      <c r="V56" s="62"/>
      <c r="W56" s="1193"/>
    </row>
    <row r="57" spans="1:23" ht="21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64400</v>
      </c>
      <c r="F57" s="1185">
        <f t="shared" ref="F57:T57" si="25">F58</f>
        <v>17200</v>
      </c>
      <c r="G57" s="1185">
        <f t="shared" si="25"/>
        <v>16800</v>
      </c>
      <c r="H57" s="1185">
        <f t="shared" si="25"/>
        <v>400</v>
      </c>
      <c r="I57" s="1185">
        <f t="shared" si="25"/>
        <v>25200</v>
      </c>
      <c r="J57" s="1185">
        <f t="shared" si="25"/>
        <v>13600</v>
      </c>
      <c r="K57" s="1185">
        <f t="shared" si="25"/>
        <v>10800</v>
      </c>
      <c r="L57" s="1185">
        <f t="shared" si="25"/>
        <v>10400</v>
      </c>
      <c r="M57" s="1185">
        <f t="shared" si="25"/>
        <v>5200</v>
      </c>
      <c r="N57" s="1185">
        <f t="shared" si="25"/>
        <v>3600</v>
      </c>
      <c r="O57" s="1185">
        <f t="shared" si="25"/>
        <v>2400</v>
      </c>
      <c r="P57" s="1185">
        <f t="shared" si="25"/>
        <v>0</v>
      </c>
      <c r="Q57" s="1185">
        <f t="shared" si="25"/>
        <v>0</v>
      </c>
      <c r="R57" s="1185">
        <f t="shared" si="25"/>
        <v>0</v>
      </c>
      <c r="S57" s="1185">
        <f t="shared" si="25"/>
        <v>0</v>
      </c>
      <c r="T57" s="1185">
        <f t="shared" si="25"/>
        <v>1600</v>
      </c>
      <c r="U57" s="1185">
        <f t="shared" si="15"/>
        <v>171600</v>
      </c>
      <c r="V57" s="62"/>
      <c r="W57" s="1193"/>
    </row>
    <row r="58" spans="1:23" ht="21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64400</v>
      </c>
      <c r="F58" s="1180">
        <v>17200</v>
      </c>
      <c r="G58" s="1180">
        <v>16800</v>
      </c>
      <c r="H58" s="1180">
        <v>400</v>
      </c>
      <c r="I58" s="1180">
        <v>25200</v>
      </c>
      <c r="J58" s="1180">
        <v>13600</v>
      </c>
      <c r="K58" s="1180">
        <v>10800</v>
      </c>
      <c r="L58" s="1180">
        <v>10400</v>
      </c>
      <c r="M58" s="1180">
        <v>5200</v>
      </c>
      <c r="N58" s="1180">
        <v>3600</v>
      </c>
      <c r="O58" s="1180">
        <v>2400</v>
      </c>
      <c r="P58" s="1180"/>
      <c r="Q58" s="1180"/>
      <c r="R58" s="1180"/>
      <c r="S58" s="1180"/>
      <c r="T58" s="1180">
        <v>1600</v>
      </c>
      <c r="U58" s="1185">
        <f t="shared" si="15"/>
        <v>171600</v>
      </c>
      <c r="V58" s="62"/>
      <c r="W58" s="1193"/>
    </row>
    <row r="59" spans="1:23" ht="21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3300</v>
      </c>
      <c r="F59" s="1186">
        <v>4800</v>
      </c>
      <c r="G59" s="1186">
        <v>5400</v>
      </c>
      <c r="H59" s="1186">
        <v>4250</v>
      </c>
      <c r="I59" s="1186">
        <v>3200</v>
      </c>
      <c r="J59" s="1186">
        <v>3000</v>
      </c>
      <c r="K59" s="1186">
        <v>6800</v>
      </c>
      <c r="L59" s="1186">
        <v>3050</v>
      </c>
      <c r="M59" s="1186">
        <v>2700</v>
      </c>
      <c r="N59" s="1186">
        <v>3800</v>
      </c>
      <c r="O59" s="1186">
        <v>3900</v>
      </c>
      <c r="P59" s="1186">
        <v>2950</v>
      </c>
      <c r="Q59" s="1186">
        <v>3200</v>
      </c>
      <c r="R59" s="1186">
        <v>2500</v>
      </c>
      <c r="S59" s="1186">
        <v>1100</v>
      </c>
      <c r="T59" s="1186"/>
      <c r="U59" s="1185">
        <f t="shared" si="15"/>
        <v>53950</v>
      </c>
      <c r="V59" s="62"/>
      <c r="W59" s="1193"/>
    </row>
    <row r="60" spans="1:23" ht="21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20000</v>
      </c>
      <c r="F60" s="1185">
        <f t="shared" ref="F60:T60" si="26">F61</f>
        <v>0</v>
      </c>
      <c r="G60" s="1185">
        <f t="shared" si="26"/>
        <v>0</v>
      </c>
      <c r="H60" s="1185">
        <f t="shared" si="26"/>
        <v>32000</v>
      </c>
      <c r="I60" s="1185">
        <f t="shared" si="26"/>
        <v>0</v>
      </c>
      <c r="J60" s="1185">
        <f t="shared" si="26"/>
        <v>0</v>
      </c>
      <c r="K60" s="1185">
        <f t="shared" si="26"/>
        <v>10000</v>
      </c>
      <c r="L60" s="1185">
        <f t="shared" si="26"/>
        <v>0</v>
      </c>
      <c r="M60" s="1185">
        <f t="shared" si="26"/>
        <v>0</v>
      </c>
      <c r="N60" s="1185">
        <f t="shared" si="26"/>
        <v>24800</v>
      </c>
      <c r="O60" s="1185">
        <f t="shared" si="26"/>
        <v>3600</v>
      </c>
      <c r="P60" s="1185">
        <f t="shared" si="26"/>
        <v>3600</v>
      </c>
      <c r="Q60" s="1185">
        <f t="shared" si="26"/>
        <v>26200</v>
      </c>
      <c r="R60" s="1185">
        <f t="shared" si="26"/>
        <v>20400</v>
      </c>
      <c r="S60" s="1185">
        <f t="shared" si="26"/>
        <v>18000</v>
      </c>
      <c r="T60" s="1185">
        <f t="shared" si="26"/>
        <v>0</v>
      </c>
      <c r="U60" s="1185">
        <f t="shared" si="15"/>
        <v>158600</v>
      </c>
      <c r="V60" s="62"/>
      <c r="W60" s="1193"/>
    </row>
    <row r="61" spans="1:23" ht="21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>
        <v>20000</v>
      </c>
      <c r="F61" s="1179"/>
      <c r="G61" s="1179"/>
      <c r="H61" s="1179">
        <v>32000</v>
      </c>
      <c r="I61" s="1179"/>
      <c r="J61" s="1179"/>
      <c r="K61" s="1179">
        <v>10000</v>
      </c>
      <c r="L61" s="1179"/>
      <c r="M61" s="1179"/>
      <c r="N61" s="1179">
        <v>24800</v>
      </c>
      <c r="O61" s="1179">
        <v>3600</v>
      </c>
      <c r="P61" s="1179">
        <v>3600</v>
      </c>
      <c r="Q61" s="1179">
        <v>26200</v>
      </c>
      <c r="R61" s="1179">
        <v>20400</v>
      </c>
      <c r="S61" s="1179">
        <v>18000</v>
      </c>
      <c r="T61" s="1179"/>
      <c r="U61" s="1185">
        <f t="shared" si="15"/>
        <v>158600</v>
      </c>
      <c r="V61" s="1187"/>
      <c r="W61" s="1193"/>
    </row>
    <row r="62" spans="1:23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5">
        <f t="shared" si="15"/>
        <v>0</v>
      </c>
      <c r="V62" s="1189"/>
      <c r="W62" s="1193"/>
    </row>
    <row r="63" spans="1:23" ht="21.9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117</v>
      </c>
      <c r="F63" s="1198">
        <f t="shared" ref="F63:T63" si="27">F64+F65+F66+F67</f>
        <v>71</v>
      </c>
      <c r="G63" s="1198">
        <f t="shared" si="27"/>
        <v>71</v>
      </c>
      <c r="H63" s="1198">
        <f t="shared" si="27"/>
        <v>95</v>
      </c>
      <c r="I63" s="1198">
        <f t="shared" si="27"/>
        <v>66</v>
      </c>
      <c r="J63" s="1198">
        <f t="shared" si="27"/>
        <v>61</v>
      </c>
      <c r="K63" s="1198">
        <f t="shared" si="27"/>
        <v>115</v>
      </c>
      <c r="L63" s="1198">
        <f t="shared" si="27"/>
        <v>53</v>
      </c>
      <c r="M63" s="1198">
        <f t="shared" si="27"/>
        <v>40</v>
      </c>
      <c r="N63" s="1198">
        <f t="shared" si="27"/>
        <v>71</v>
      </c>
      <c r="O63" s="1198">
        <f t="shared" si="27"/>
        <v>44</v>
      </c>
      <c r="P63" s="1198">
        <f t="shared" si="27"/>
        <v>45</v>
      </c>
      <c r="Q63" s="1198">
        <f t="shared" si="27"/>
        <v>39</v>
      </c>
      <c r="R63" s="1198">
        <f t="shared" si="27"/>
        <v>18</v>
      </c>
      <c r="S63" s="1198">
        <f t="shared" si="27"/>
        <v>14</v>
      </c>
      <c r="T63" s="1198">
        <f t="shared" si="27"/>
        <v>4</v>
      </c>
      <c r="U63" s="1198">
        <f t="shared" si="15"/>
        <v>924</v>
      </c>
      <c r="V63" s="62"/>
      <c r="W63" s="1193"/>
    </row>
    <row r="64" spans="1:23" ht="21.95" customHeight="1">
      <c r="A64" s="66" t="s">
        <v>148</v>
      </c>
      <c r="B64" s="1199" t="s">
        <v>149</v>
      </c>
      <c r="C64" s="1199"/>
      <c r="D64" s="62"/>
      <c r="E64" s="1190">
        <v>55</v>
      </c>
      <c r="F64" s="1190">
        <v>71</v>
      </c>
      <c r="G64" s="1190">
        <v>71</v>
      </c>
      <c r="H64" s="1190">
        <v>95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8">
        <f t="shared" si="15"/>
        <v>292</v>
      </c>
      <c r="V64" s="62"/>
      <c r="W64" s="1193"/>
    </row>
    <row r="65" spans="1:23" ht="21.95" customHeight="1">
      <c r="A65" s="66" t="s">
        <v>150</v>
      </c>
      <c r="B65" s="1199" t="s">
        <v>151</v>
      </c>
      <c r="C65" s="1199"/>
      <c r="D65" s="62"/>
      <c r="E65" s="1190">
        <v>62</v>
      </c>
      <c r="F65" s="1190"/>
      <c r="G65" s="1190"/>
      <c r="H65" s="1190"/>
      <c r="I65" s="1190">
        <v>66</v>
      </c>
      <c r="J65" s="1190">
        <v>61</v>
      </c>
      <c r="K65" s="1190">
        <v>115</v>
      </c>
      <c r="L65" s="1190"/>
      <c r="M65" s="1190"/>
      <c r="N65" s="1190"/>
      <c r="O65" s="1190"/>
      <c r="P65" s="1190"/>
      <c r="Q65" s="1190"/>
      <c r="R65" s="1190"/>
      <c r="S65" s="1190"/>
      <c r="T65" s="1190"/>
      <c r="U65" s="1198">
        <f t="shared" si="15"/>
        <v>304</v>
      </c>
      <c r="V65" s="62"/>
      <c r="W65" s="1193"/>
    </row>
    <row r="66" spans="1:23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>
        <v>53</v>
      </c>
      <c r="M66" s="1190">
        <v>40</v>
      </c>
      <c r="N66" s="1190">
        <v>71</v>
      </c>
      <c r="O66" s="1190">
        <v>44</v>
      </c>
      <c r="P66" s="1190">
        <v>45</v>
      </c>
      <c r="Q66" s="1190">
        <v>39</v>
      </c>
      <c r="R66" s="1190">
        <v>18</v>
      </c>
      <c r="S66" s="1190">
        <v>14</v>
      </c>
      <c r="T66" s="1190"/>
      <c r="U66" s="1198">
        <f t="shared" si="15"/>
        <v>324</v>
      </c>
      <c r="V66" s="62"/>
      <c r="W66" s="1193"/>
    </row>
    <row r="67" spans="1:23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/>
      <c r="T67" s="1190">
        <v>4</v>
      </c>
      <c r="U67" s="1198">
        <f t="shared" si="15"/>
        <v>4</v>
      </c>
      <c r="V67" s="62"/>
      <c r="W67" s="1193"/>
    </row>
    <row r="68" spans="1:23" ht="21.9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1436</v>
      </c>
      <c r="F68" s="1198">
        <f t="shared" ref="F68:T68" si="28">F69+F70+F71+F72</f>
        <v>1080</v>
      </c>
      <c r="G68" s="1198">
        <f t="shared" si="28"/>
        <v>1127</v>
      </c>
      <c r="H68" s="1198">
        <f t="shared" si="28"/>
        <v>1505</v>
      </c>
      <c r="I68" s="1198">
        <f t="shared" si="28"/>
        <v>998</v>
      </c>
      <c r="J68" s="1198">
        <f t="shared" si="28"/>
        <v>766</v>
      </c>
      <c r="K68" s="1198">
        <f t="shared" si="28"/>
        <v>1824</v>
      </c>
      <c r="L68" s="1198">
        <f t="shared" si="28"/>
        <v>477</v>
      </c>
      <c r="M68" s="1198">
        <f t="shared" si="28"/>
        <v>424</v>
      </c>
      <c r="N68" s="1198">
        <f t="shared" si="28"/>
        <v>828</v>
      </c>
      <c r="O68" s="1198">
        <f t="shared" si="28"/>
        <v>421</v>
      </c>
      <c r="P68" s="1198">
        <f t="shared" si="28"/>
        <v>453</v>
      </c>
      <c r="Q68" s="1198">
        <f t="shared" si="28"/>
        <v>474</v>
      </c>
      <c r="R68" s="1198">
        <f t="shared" si="28"/>
        <v>229</v>
      </c>
      <c r="S68" s="1198">
        <f t="shared" si="28"/>
        <v>127</v>
      </c>
      <c r="T68" s="1198">
        <f t="shared" si="28"/>
        <v>0</v>
      </c>
      <c r="U68" s="1198">
        <f t="shared" si="15"/>
        <v>12169</v>
      </c>
      <c r="V68" s="62"/>
      <c r="W68" s="1193"/>
    </row>
    <row r="69" spans="1:23" ht="21.95" customHeight="1">
      <c r="A69" s="66" t="s">
        <v>158</v>
      </c>
      <c r="B69" s="1199" t="s">
        <v>149</v>
      </c>
      <c r="C69" s="1199"/>
      <c r="D69" s="62"/>
      <c r="E69" s="1190">
        <v>637</v>
      </c>
      <c r="F69" s="1190">
        <v>1080</v>
      </c>
      <c r="G69" s="1190">
        <v>1127</v>
      </c>
      <c r="H69" s="1190">
        <v>1505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8">
        <f t="shared" ref="U69:U75" si="29">SUM(E69:T69)</f>
        <v>4349</v>
      </c>
      <c r="V69" s="62"/>
      <c r="W69" s="1193"/>
    </row>
    <row r="70" spans="1:23" ht="21.95" customHeight="1">
      <c r="A70" s="66" t="s">
        <v>159</v>
      </c>
      <c r="B70" s="1199" t="s">
        <v>151</v>
      </c>
      <c r="C70" s="1199"/>
      <c r="D70" s="62"/>
      <c r="E70" s="1190">
        <v>799</v>
      </c>
      <c r="F70" s="1190"/>
      <c r="G70" s="1190"/>
      <c r="H70" s="1190"/>
      <c r="I70" s="1190">
        <v>998</v>
      </c>
      <c r="J70" s="1190">
        <v>766</v>
      </c>
      <c r="K70" s="1190">
        <v>1824</v>
      </c>
      <c r="L70" s="1190"/>
      <c r="M70" s="1190"/>
      <c r="N70" s="1190"/>
      <c r="O70" s="1190"/>
      <c r="P70" s="1190"/>
      <c r="Q70" s="1190"/>
      <c r="R70" s="1190"/>
      <c r="S70" s="1190"/>
      <c r="T70" s="1190"/>
      <c r="U70" s="1198">
        <f t="shared" si="29"/>
        <v>4387</v>
      </c>
      <c r="V70" s="62"/>
      <c r="W70" s="1193"/>
    </row>
    <row r="71" spans="1:23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>
        <v>477</v>
      </c>
      <c r="M71" s="1190">
        <v>424</v>
      </c>
      <c r="N71" s="1190">
        <v>828</v>
      </c>
      <c r="O71" s="1190">
        <v>421</v>
      </c>
      <c r="P71" s="1190">
        <v>453</v>
      </c>
      <c r="Q71" s="1190">
        <v>474</v>
      </c>
      <c r="R71" s="1190">
        <v>229</v>
      </c>
      <c r="S71" s="1190">
        <v>127</v>
      </c>
      <c r="T71" s="1190"/>
      <c r="U71" s="1198">
        <f t="shared" si="29"/>
        <v>3433</v>
      </c>
      <c r="V71" s="62"/>
      <c r="W71" s="1193"/>
    </row>
    <row r="72" spans="1:23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8">
        <f t="shared" si="29"/>
        <v>0</v>
      </c>
      <c r="V72" s="62"/>
      <c r="W72" s="1193"/>
    </row>
    <row r="73" spans="1:23" ht="21.95" customHeight="1">
      <c r="A73" s="66" t="s">
        <v>162</v>
      </c>
      <c r="B73" s="61" t="s">
        <v>3122</v>
      </c>
      <c r="C73" s="61"/>
      <c r="D73" s="62"/>
      <c r="E73" s="1190">
        <v>163</v>
      </c>
      <c r="F73" s="1190">
        <v>42</v>
      </c>
      <c r="G73" s="1190">
        <v>42</v>
      </c>
      <c r="H73" s="1190">
        <v>1</v>
      </c>
      <c r="I73" s="1190">
        <v>62</v>
      </c>
      <c r="J73" s="1190">
        <v>34</v>
      </c>
      <c r="K73" s="1190">
        <v>26</v>
      </c>
      <c r="L73" s="1190">
        <v>26</v>
      </c>
      <c r="M73" s="1190">
        <v>13</v>
      </c>
      <c r="N73" s="1190">
        <v>9</v>
      </c>
      <c r="O73" s="1190">
        <v>6</v>
      </c>
      <c r="P73" s="1190"/>
      <c r="Q73" s="1190"/>
      <c r="R73" s="1190"/>
      <c r="S73" s="1190"/>
      <c r="T73" s="1190">
        <v>4</v>
      </c>
      <c r="U73" s="1198">
        <f t="shared" si="29"/>
        <v>428</v>
      </c>
      <c r="V73" s="62"/>
      <c r="W73" s="1193"/>
    </row>
    <row r="74" spans="1:23" ht="21.95" customHeight="1">
      <c r="A74" s="66" t="s">
        <v>3011</v>
      </c>
      <c r="B74" s="1199" t="s">
        <v>3123</v>
      </c>
      <c r="C74" s="1199"/>
      <c r="D74" s="67"/>
      <c r="E74" s="1180">
        <v>24607.37</v>
      </c>
      <c r="F74" s="1180">
        <v>12319.48</v>
      </c>
      <c r="G74" s="1180">
        <v>22977.97</v>
      </c>
      <c r="H74" s="1180">
        <v>17286.64</v>
      </c>
      <c r="I74" s="1180">
        <v>10982.08</v>
      </c>
      <c r="J74" s="1180">
        <v>6545.95</v>
      </c>
      <c r="K74" s="1180">
        <v>20689.72</v>
      </c>
      <c r="L74" s="1180">
        <v>9404.5</v>
      </c>
      <c r="M74" s="1180">
        <v>4648.8900000000003</v>
      </c>
      <c r="N74" s="1180">
        <v>15187.41</v>
      </c>
      <c r="O74" s="1180">
        <v>8599.06</v>
      </c>
      <c r="P74" s="1180">
        <v>11829.41</v>
      </c>
      <c r="Q74" s="1180">
        <v>7947.39</v>
      </c>
      <c r="R74" s="1180">
        <v>5724.12</v>
      </c>
      <c r="S74" s="1180">
        <v>7630</v>
      </c>
      <c r="T74" s="1180"/>
      <c r="U74" s="1185">
        <f t="shared" si="29"/>
        <v>186379.99</v>
      </c>
      <c r="V74" s="62"/>
      <c r="W74" s="1193"/>
    </row>
    <row r="75" spans="1:23" ht="21.95" customHeight="1">
      <c r="A75" s="66" t="s">
        <v>3012</v>
      </c>
      <c r="B75" s="1199" t="s">
        <v>3124</v>
      </c>
      <c r="C75" s="1199"/>
      <c r="D75" s="67"/>
      <c r="E75" s="1180">
        <v>13238</v>
      </c>
      <c r="F75" s="1180">
        <v>3530</v>
      </c>
      <c r="G75" s="1180">
        <v>9560.9500000000007</v>
      </c>
      <c r="H75" s="1180">
        <v>8804.2000000000007</v>
      </c>
      <c r="I75" s="1180">
        <v>9586</v>
      </c>
      <c r="J75" s="1180">
        <v>3899</v>
      </c>
      <c r="K75" s="1180">
        <v>12205</v>
      </c>
      <c r="L75" s="1180">
        <v>4143</v>
      </c>
      <c r="M75" s="1180">
        <v>2486</v>
      </c>
      <c r="N75" s="1180">
        <v>5315.35</v>
      </c>
      <c r="O75" s="1180">
        <v>3543</v>
      </c>
      <c r="P75" s="1180">
        <v>4348.7</v>
      </c>
      <c r="Q75" s="1180">
        <v>5677.6</v>
      </c>
      <c r="R75" s="1180">
        <v>1964.4</v>
      </c>
      <c r="S75" s="1180">
        <v>2679.5</v>
      </c>
      <c r="T75" s="1180"/>
      <c r="U75" s="1185">
        <f t="shared" si="29"/>
        <v>90980.7</v>
      </c>
      <c r="V75" s="62"/>
      <c r="W75" s="1193"/>
    </row>
    <row r="81" spans="5:20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</sheetData>
  <protectedRanges>
    <protectedRange password="E9C1" sqref="D31 C32 A6:D7 B8:D30 Q3:R4 U6:V75 B33:D75 A8:A75 A3:P5 Q5:S5 T3:V5" name="区域1_1"/>
    <protectedRange password="E9C1" sqref="B31:C31 B32" name="区域1_1_1"/>
    <protectedRange password="E9C1" sqref="D32" name="区域1_2"/>
  </protectedRanges>
  <mergeCells count="7">
    <mergeCell ref="A1:V1"/>
    <mergeCell ref="A3:A4"/>
    <mergeCell ref="B3:B4"/>
    <mergeCell ref="C3:C4"/>
    <mergeCell ref="D3:D4"/>
    <mergeCell ref="U3:U4"/>
    <mergeCell ref="V3:V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opLeftCell="B1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J14" sqref="J14"/>
    </sheetView>
  </sheetViews>
  <sheetFormatPr defaultRowHeight="11.25"/>
  <cols>
    <col min="1" max="1" width="5.75" style="21" hidden="1" customWidth="1"/>
    <col min="2" max="2" width="22.75" style="3" customWidth="1"/>
    <col min="3" max="3" width="0" style="3" hidden="1" customWidth="1"/>
    <col min="4" max="4" width="0" style="1178" hidden="1" customWidth="1"/>
    <col min="5" max="5" width="13.125" style="3" customWidth="1"/>
    <col min="6" max="6" width="13.375" style="3" customWidth="1"/>
    <col min="7" max="7" width="12.125" style="3" customWidth="1"/>
    <col min="8" max="8" width="12.375" style="3" customWidth="1"/>
    <col min="9" max="9" width="11.5" style="3" customWidth="1"/>
    <col min="10" max="10" width="11.875" style="3" customWidth="1"/>
    <col min="11" max="11" width="11.5" style="3" customWidth="1"/>
    <col min="12" max="12" width="11.25" style="3" customWidth="1"/>
    <col min="13" max="13" width="11.125" style="3" customWidth="1"/>
    <col min="14" max="14" width="12.25" style="3" customWidth="1"/>
    <col min="15" max="15" width="12" style="3" customWidth="1"/>
    <col min="16" max="16" width="11.625" style="3" customWidth="1"/>
    <col min="17" max="17" width="12.5" style="3" customWidth="1"/>
    <col min="18" max="18" width="10.625" style="3" hidden="1" customWidth="1"/>
    <col min="19" max="19" width="9" style="3"/>
    <col min="20" max="20" width="9.75" style="3" bestFit="1" customWidth="1"/>
    <col min="21" max="16384" width="9" style="3"/>
  </cols>
  <sheetData>
    <row r="1" spans="1:20" ht="24.95" customHeight="1">
      <c r="A1" s="1361" t="s">
        <v>3164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</row>
    <row r="2" spans="1:20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252" t="s">
        <v>3242</v>
      </c>
      <c r="R2" s="1177"/>
    </row>
    <row r="3" spans="1:20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191" t="s">
        <v>3165</v>
      </c>
      <c r="F3" s="1191" t="s">
        <v>3166</v>
      </c>
      <c r="G3" s="1191" t="s">
        <v>3167</v>
      </c>
      <c r="H3" s="1191" t="s">
        <v>3168</v>
      </c>
      <c r="I3" s="1191" t="s">
        <v>3169</v>
      </c>
      <c r="J3" s="1191" t="s">
        <v>3170</v>
      </c>
      <c r="K3" s="1191" t="s">
        <v>3171</v>
      </c>
      <c r="L3" s="1191" t="s">
        <v>3172</v>
      </c>
      <c r="M3" s="1191" t="s">
        <v>3173</v>
      </c>
      <c r="N3" s="1191" t="s">
        <v>3174</v>
      </c>
      <c r="O3" s="1191" t="s">
        <v>3175</v>
      </c>
      <c r="P3" s="1191" t="s">
        <v>3176</v>
      </c>
      <c r="Q3" s="1610" t="s">
        <v>17</v>
      </c>
      <c r="R3" s="1610" t="s">
        <v>18</v>
      </c>
    </row>
    <row r="4" spans="1:20" ht="24.95" customHeight="1">
      <c r="A4" s="1609"/>
      <c r="B4" s="1609"/>
      <c r="C4" s="1609"/>
      <c r="D4" s="1609"/>
      <c r="E4" s="1191" t="s">
        <v>3083</v>
      </c>
      <c r="F4" s="1191" t="s">
        <v>3083</v>
      </c>
      <c r="G4" s="1191" t="s">
        <v>3177</v>
      </c>
      <c r="H4" s="1191" t="s">
        <v>3096</v>
      </c>
      <c r="I4" s="1191" t="s">
        <v>3081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3081</v>
      </c>
      <c r="P4" s="1191" t="s">
        <v>3082</v>
      </c>
      <c r="Q4" s="1611"/>
      <c r="R4" s="1611"/>
    </row>
    <row r="5" spans="1:20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P5" si="0">E6+E33+E40</f>
        <v>42061468.159999996</v>
      </c>
      <c r="F5" s="1185">
        <f t="shared" si="0"/>
        <v>28942521.139999997</v>
      </c>
      <c r="G5" s="1185">
        <f t="shared" si="0"/>
        <v>22089864.809999999</v>
      </c>
      <c r="H5" s="1185">
        <f t="shared" si="0"/>
        <v>41191025.350000001</v>
      </c>
      <c r="I5" s="1185">
        <f t="shared" si="0"/>
        <v>5358434.7200000007</v>
      </c>
      <c r="J5" s="1185">
        <f t="shared" si="0"/>
        <v>5823801.1299999999</v>
      </c>
      <c r="K5" s="1185">
        <f t="shared" si="0"/>
        <v>4913161.38</v>
      </c>
      <c r="L5" s="1185">
        <f t="shared" si="0"/>
        <v>5437945.0800000001</v>
      </c>
      <c r="M5" s="1185">
        <f t="shared" si="0"/>
        <v>6752754.9800000004</v>
      </c>
      <c r="N5" s="1185">
        <f t="shared" si="0"/>
        <v>4910200.76</v>
      </c>
      <c r="O5" s="1185">
        <f t="shared" si="0"/>
        <v>9466068.379999999</v>
      </c>
      <c r="P5" s="1185">
        <f t="shared" si="0"/>
        <v>2475847.44</v>
      </c>
      <c r="Q5" s="1201">
        <f t="shared" ref="Q5:Q68" si="1">SUM(E5:P5)</f>
        <v>179423093.32999998</v>
      </c>
      <c r="R5" s="62"/>
    </row>
    <row r="6" spans="1:20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29850041.259999998</v>
      </c>
      <c r="F6" s="1185">
        <f t="shared" ref="F6:P6" si="2">F7+F10+F14+F17+F22+F27+F29+F31+F32</f>
        <v>20524722.339999996</v>
      </c>
      <c r="G6" s="1185">
        <f t="shared" si="2"/>
        <v>15459292.059999999</v>
      </c>
      <c r="H6" s="1185">
        <f t="shared" si="2"/>
        <v>29916230.23</v>
      </c>
      <c r="I6" s="1185">
        <f t="shared" si="2"/>
        <v>4124342.1000000006</v>
      </c>
      <c r="J6" s="1185">
        <f t="shared" si="2"/>
        <v>4225786.04</v>
      </c>
      <c r="K6" s="1185">
        <f t="shared" si="2"/>
        <v>3661441.46</v>
      </c>
      <c r="L6" s="1185">
        <f t="shared" si="2"/>
        <v>3893708.2</v>
      </c>
      <c r="M6" s="1185">
        <f t="shared" si="2"/>
        <v>5212276.9800000004</v>
      </c>
      <c r="N6" s="1185">
        <f t="shared" si="2"/>
        <v>3679774.06</v>
      </c>
      <c r="O6" s="1185">
        <f t="shared" si="2"/>
        <v>6923418.96</v>
      </c>
      <c r="P6" s="1185">
        <f t="shared" si="2"/>
        <v>1830303.44</v>
      </c>
      <c r="Q6" s="1201">
        <f t="shared" si="1"/>
        <v>129301337.13</v>
      </c>
      <c r="R6" s="62"/>
    </row>
    <row r="7" spans="1:20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10178491</v>
      </c>
      <c r="F7" s="1185">
        <f t="shared" ref="F7:N7" si="3">F8+F9</f>
        <v>5521244.3600000003</v>
      </c>
      <c r="G7" s="1185">
        <f t="shared" si="3"/>
        <v>4013113</v>
      </c>
      <c r="H7" s="1185">
        <f t="shared" si="3"/>
        <v>8769976</v>
      </c>
      <c r="I7" s="1185">
        <f t="shared" si="3"/>
        <v>1268778.1000000001</v>
      </c>
      <c r="J7" s="1185">
        <f t="shared" si="3"/>
        <v>1243142</v>
      </c>
      <c r="K7" s="1185">
        <f t="shared" si="3"/>
        <v>1096068</v>
      </c>
      <c r="L7" s="1185">
        <f t="shared" si="3"/>
        <v>1193097</v>
      </c>
      <c r="M7" s="1185">
        <f t="shared" si="3"/>
        <v>1831521</v>
      </c>
      <c r="N7" s="1185">
        <f t="shared" si="3"/>
        <v>1203049</v>
      </c>
      <c r="O7" s="1185">
        <f>O8+O9</f>
        <v>2352770</v>
      </c>
      <c r="P7" s="1185">
        <f>P8+P9</f>
        <v>640019</v>
      </c>
      <c r="Q7" s="1201">
        <f t="shared" si="1"/>
        <v>39311268.460000001</v>
      </c>
      <c r="R7" s="62"/>
    </row>
    <row r="8" spans="1:20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4722096</v>
      </c>
      <c r="F8" s="1180">
        <v>3471240</v>
      </c>
      <c r="G8" s="1180">
        <v>2546342</v>
      </c>
      <c r="H8" s="1180">
        <v>5022521</v>
      </c>
      <c r="I8" s="1180">
        <v>762951.6</v>
      </c>
      <c r="J8" s="1180">
        <v>813299</v>
      </c>
      <c r="K8" s="1180">
        <v>680212</v>
      </c>
      <c r="L8" s="1180">
        <v>714318</v>
      </c>
      <c r="M8" s="1180">
        <f>679572+69289*3</f>
        <v>887439</v>
      </c>
      <c r="N8" s="1180">
        <v>692543</v>
      </c>
      <c r="O8" s="1180">
        <v>1431440</v>
      </c>
      <c r="P8" s="1180">
        <v>311648</v>
      </c>
      <c r="Q8" s="1201">
        <f t="shared" si="1"/>
        <v>22056049.600000001</v>
      </c>
      <c r="R8" s="1192"/>
    </row>
    <row r="9" spans="1:20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5456395</v>
      </c>
      <c r="F9" s="1180">
        <v>2050004.36</v>
      </c>
      <c r="G9" s="1180">
        <v>1466771</v>
      </c>
      <c r="H9" s="1180">
        <v>3747455</v>
      </c>
      <c r="I9" s="1180">
        <v>505826.5</v>
      </c>
      <c r="J9" s="1180">
        <v>429843</v>
      </c>
      <c r="K9" s="1180">
        <v>415856</v>
      </c>
      <c r="L9" s="1180">
        <v>478779</v>
      </c>
      <c r="M9" s="1180">
        <f>725775+72769*3</f>
        <v>944082</v>
      </c>
      <c r="N9" s="1180">
        <v>510506</v>
      </c>
      <c r="O9" s="1180">
        <v>921330</v>
      </c>
      <c r="P9" s="1180">
        <v>328371</v>
      </c>
      <c r="Q9" s="1201">
        <f t="shared" si="1"/>
        <v>17255218.859999999</v>
      </c>
      <c r="R9" s="62"/>
    </row>
    <row r="10" spans="1:20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762819</v>
      </c>
      <c r="F10" s="1185">
        <f t="shared" ref="F10:P10" si="4">F11+F12</f>
        <v>591068</v>
      </c>
      <c r="G10" s="1185">
        <f t="shared" si="4"/>
        <v>432773</v>
      </c>
      <c r="H10" s="1185">
        <f t="shared" si="4"/>
        <v>878754</v>
      </c>
      <c r="I10" s="1185">
        <f t="shared" si="4"/>
        <v>124953</v>
      </c>
      <c r="J10" s="1185">
        <f t="shared" si="4"/>
        <v>146205</v>
      </c>
      <c r="K10" s="1185">
        <f t="shared" si="4"/>
        <v>128724</v>
      </c>
      <c r="L10" s="1185">
        <f t="shared" si="4"/>
        <v>123880</v>
      </c>
      <c r="M10" s="1185">
        <f t="shared" si="4"/>
        <v>151738</v>
      </c>
      <c r="N10" s="1185">
        <f t="shared" si="4"/>
        <v>116514</v>
      </c>
      <c r="O10" s="1185">
        <f t="shared" si="4"/>
        <v>242817</v>
      </c>
      <c r="P10" s="1185">
        <f t="shared" si="4"/>
        <v>53556</v>
      </c>
      <c r="Q10" s="1201">
        <f t="shared" si="1"/>
        <v>3753801</v>
      </c>
      <c r="R10" s="62"/>
    </row>
    <row r="11" spans="1:20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14526</v>
      </c>
      <c r="F11" s="1180">
        <v>4108</v>
      </c>
      <c r="G11" s="1180">
        <v>3333</v>
      </c>
      <c r="H11" s="1180">
        <v>9754</v>
      </c>
      <c r="I11" s="1180">
        <v>1393</v>
      </c>
      <c r="J11" s="1180">
        <v>805</v>
      </c>
      <c r="K11" s="1180">
        <v>7284</v>
      </c>
      <c r="L11" s="1180">
        <v>1380</v>
      </c>
      <c r="M11" s="1180">
        <f>2226+244*3</f>
        <v>2958</v>
      </c>
      <c r="N11" s="1180">
        <v>1674</v>
      </c>
      <c r="O11" s="1180">
        <v>2857</v>
      </c>
      <c r="P11" s="1180">
        <v>756</v>
      </c>
      <c r="Q11" s="1201">
        <f t="shared" si="1"/>
        <v>50828</v>
      </c>
      <c r="R11" s="62"/>
    </row>
    <row r="12" spans="1:20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748293</v>
      </c>
      <c r="F12" s="1185">
        <f t="shared" ref="F12:P12" si="5">F13</f>
        <v>586960</v>
      </c>
      <c r="G12" s="1185">
        <f t="shared" si="5"/>
        <v>429440</v>
      </c>
      <c r="H12" s="1185">
        <f t="shared" si="5"/>
        <v>869000</v>
      </c>
      <c r="I12" s="1185">
        <f t="shared" si="5"/>
        <v>123560</v>
      </c>
      <c r="J12" s="1185">
        <f t="shared" si="5"/>
        <v>145400</v>
      </c>
      <c r="K12" s="1185">
        <f t="shared" si="5"/>
        <v>121440</v>
      </c>
      <c r="L12" s="1185">
        <f t="shared" si="5"/>
        <v>122500</v>
      </c>
      <c r="M12" s="1185">
        <f t="shared" si="5"/>
        <v>148780</v>
      </c>
      <c r="N12" s="1185">
        <f t="shared" si="5"/>
        <v>114840</v>
      </c>
      <c r="O12" s="1185">
        <f t="shared" si="5"/>
        <v>239960</v>
      </c>
      <c r="P12" s="1185">
        <f t="shared" si="5"/>
        <v>52800</v>
      </c>
      <c r="Q12" s="1201">
        <f t="shared" si="1"/>
        <v>3702973</v>
      </c>
      <c r="R12" s="62"/>
    </row>
    <row r="13" spans="1:20" ht="15.9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748293</v>
      </c>
      <c r="F13" s="1180">
        <v>586960</v>
      </c>
      <c r="G13" s="1180">
        <v>429440</v>
      </c>
      <c r="H13" s="1180">
        <v>869000</v>
      </c>
      <c r="I13" s="1180">
        <v>123560</v>
      </c>
      <c r="J13" s="1180">
        <v>145400</v>
      </c>
      <c r="K13" s="1180">
        <v>121440</v>
      </c>
      <c r="L13" s="1180">
        <v>122500</v>
      </c>
      <c r="M13" s="1180">
        <f>111820+12320*3</f>
        <v>148780</v>
      </c>
      <c r="N13" s="1180">
        <v>114840</v>
      </c>
      <c r="O13" s="1180">
        <v>239960</v>
      </c>
      <c r="P13" s="1180">
        <v>52800</v>
      </c>
      <c r="Q13" s="1201">
        <f t="shared" si="1"/>
        <v>3702973</v>
      </c>
      <c r="R13" s="62"/>
    </row>
    <row r="14" spans="1:20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321830.36</v>
      </c>
      <c r="F14" s="1185">
        <f t="shared" ref="F14:P14" si="6">F15+F16</f>
        <v>214183.82</v>
      </c>
      <c r="G14" s="1185">
        <f t="shared" si="6"/>
        <v>147753.49999999994</v>
      </c>
      <c r="H14" s="1185">
        <f t="shared" si="6"/>
        <v>330100</v>
      </c>
      <c r="I14" s="1185">
        <f t="shared" si="6"/>
        <v>39426.939999999995</v>
      </c>
      <c r="J14" s="1185">
        <f t="shared" si="6"/>
        <v>44085.21</v>
      </c>
      <c r="K14" s="1185">
        <f t="shared" si="6"/>
        <v>34474.03</v>
      </c>
      <c r="L14" s="1185">
        <f t="shared" si="6"/>
        <v>42685.4</v>
      </c>
      <c r="M14" s="1185">
        <f t="shared" si="6"/>
        <v>59986.979999999996</v>
      </c>
      <c r="N14" s="1185">
        <f t="shared" si="6"/>
        <v>40892.06</v>
      </c>
      <c r="O14" s="1185">
        <f t="shared" si="6"/>
        <v>73240.47</v>
      </c>
      <c r="P14" s="1185">
        <f t="shared" si="6"/>
        <v>21014.97</v>
      </c>
      <c r="Q14" s="1201">
        <f t="shared" si="1"/>
        <v>1369673.7399999998</v>
      </c>
      <c r="R14" s="62"/>
    </row>
    <row r="15" spans="1:20" ht="15.9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131952.07</v>
      </c>
      <c r="F15" s="1180">
        <v>71275.69</v>
      </c>
      <c r="G15" s="1180">
        <v>41725.310000000012</v>
      </c>
      <c r="H15" s="1180">
        <v>127486.97</v>
      </c>
      <c r="I15" s="1180">
        <v>11128.5</v>
      </c>
      <c r="J15" s="1180">
        <v>15197.77</v>
      </c>
      <c r="K15" s="1180">
        <v>9733.89</v>
      </c>
      <c r="L15" s="1180">
        <v>16626.72</v>
      </c>
      <c r="M15" s="1180">
        <f>3121.2*4+13418.68</f>
        <v>25903.48</v>
      </c>
      <c r="N15" s="1180">
        <v>17249.560000000001</v>
      </c>
      <c r="O15" s="1180">
        <v>28289.42</v>
      </c>
      <c r="P15" s="1180">
        <v>8110.05</v>
      </c>
      <c r="Q15" s="1201">
        <f t="shared" si="1"/>
        <v>504679.43</v>
      </c>
      <c r="R15" s="62"/>
      <c r="T15" s="23"/>
    </row>
    <row r="16" spans="1:20" ht="15.9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189878.29</v>
      </c>
      <c r="F16" s="1180">
        <v>142908.13</v>
      </c>
      <c r="G16" s="1180">
        <v>106028.18999999994</v>
      </c>
      <c r="H16" s="1180">
        <v>202613.03</v>
      </c>
      <c r="I16" s="1180">
        <v>28298.439999999995</v>
      </c>
      <c r="J16" s="1180">
        <v>28887.439999999999</v>
      </c>
      <c r="K16" s="1180">
        <v>24740.14</v>
      </c>
      <c r="L16" s="1180">
        <v>26058.68</v>
      </c>
      <c r="M16" s="1180">
        <f>2601*4+23679.5</f>
        <v>34083.5</v>
      </c>
      <c r="N16" s="1180">
        <v>23642.5</v>
      </c>
      <c r="O16" s="1180">
        <v>44951.05</v>
      </c>
      <c r="P16" s="1180">
        <v>12904.92</v>
      </c>
      <c r="Q16" s="1201">
        <f t="shared" si="1"/>
        <v>864994.31</v>
      </c>
      <c r="R16" s="62"/>
      <c r="T16" s="23"/>
    </row>
    <row r="17" spans="1:20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2738894</v>
      </c>
      <c r="F17" s="1185">
        <f t="shared" ref="F17:P17" si="7">F18+F19+F20+F21</f>
        <v>2492280.5</v>
      </c>
      <c r="G17" s="1185">
        <f t="shared" si="7"/>
        <v>2186603.5</v>
      </c>
      <c r="H17" s="1185">
        <f t="shared" si="7"/>
        <v>3290091.25</v>
      </c>
      <c r="I17" s="1185">
        <f t="shared" si="7"/>
        <v>391289</v>
      </c>
      <c r="J17" s="1185">
        <f t="shared" si="7"/>
        <v>412300</v>
      </c>
      <c r="K17" s="1185">
        <f t="shared" si="7"/>
        <v>370756</v>
      </c>
      <c r="L17" s="1185">
        <f t="shared" si="7"/>
        <v>392344</v>
      </c>
      <c r="M17" s="1185">
        <f t="shared" si="7"/>
        <v>403216</v>
      </c>
      <c r="N17" s="1185">
        <f t="shared" si="7"/>
        <v>372456</v>
      </c>
      <c r="O17" s="1185">
        <f t="shared" si="7"/>
        <v>545672</v>
      </c>
      <c r="P17" s="1185">
        <f t="shared" si="7"/>
        <v>60000</v>
      </c>
      <c r="Q17" s="1201">
        <f t="shared" si="1"/>
        <v>13655902.25</v>
      </c>
      <c r="R17" s="62"/>
    </row>
    <row r="18" spans="1:20" ht="15.9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201">
        <f t="shared" si="1"/>
        <v>0</v>
      </c>
      <c r="R18" s="62"/>
    </row>
    <row r="19" spans="1:20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593800-720</f>
        <v>593080</v>
      </c>
      <c r="F19" s="1180">
        <v>118385</v>
      </c>
      <c r="G19" s="1180">
        <v>263288</v>
      </c>
      <c r="H19" s="1180">
        <v>737248</v>
      </c>
      <c r="I19" s="1180">
        <v>237789</v>
      </c>
      <c r="J19" s="1180">
        <v>246844</v>
      </c>
      <c r="K19" s="1180">
        <v>232756</v>
      </c>
      <c r="L19" s="1180">
        <v>247844</v>
      </c>
      <c r="M19" s="1180">
        <v>233716</v>
      </c>
      <c r="N19" s="1180">
        <f>245556-3600</f>
        <v>241956</v>
      </c>
      <c r="O19" s="1180">
        <v>256672</v>
      </c>
      <c r="P19" s="1180"/>
      <c r="Q19" s="1201">
        <f t="shared" si="1"/>
        <v>3409578</v>
      </c>
      <c r="R19" s="62"/>
    </row>
    <row r="20" spans="1:20" ht="15.9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855500</v>
      </c>
      <c r="F20" s="1180">
        <v>679500</v>
      </c>
      <c r="G20" s="1180">
        <v>492500</v>
      </c>
      <c r="H20" s="1180">
        <v>1003000</v>
      </c>
      <c r="I20" s="1180">
        <v>153500</v>
      </c>
      <c r="J20" s="1180">
        <v>165456</v>
      </c>
      <c r="K20" s="1180">
        <v>138000</v>
      </c>
      <c r="L20" s="1180">
        <v>144500</v>
      </c>
      <c r="M20" s="1180">
        <f>28*500*3+127500</f>
        <v>169500</v>
      </c>
      <c r="N20" s="1180">
        <v>130500</v>
      </c>
      <c r="O20" s="1180">
        <v>289000</v>
      </c>
      <c r="P20" s="1180">
        <v>60000</v>
      </c>
      <c r="Q20" s="1201">
        <f t="shared" si="1"/>
        <v>4280956</v>
      </c>
      <c r="R20" s="62"/>
    </row>
    <row r="21" spans="1:20" ht="15.9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1290314</v>
      </c>
      <c r="F21" s="1180">
        <v>1694395.5</v>
      </c>
      <c r="G21" s="1180">
        <v>1430815.5</v>
      </c>
      <c r="H21" s="1180">
        <v>1549843.25</v>
      </c>
      <c r="I21" s="1180"/>
      <c r="J21" s="1180"/>
      <c r="K21" s="1180"/>
      <c r="L21" s="1180"/>
      <c r="M21" s="1180"/>
      <c r="N21" s="1180"/>
      <c r="O21" s="1180"/>
      <c r="P21" s="1180"/>
      <c r="Q21" s="1201">
        <f t="shared" si="1"/>
        <v>5965368.25</v>
      </c>
      <c r="R21" s="62"/>
    </row>
    <row r="22" spans="1:20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4032955.66</v>
      </c>
      <c r="F22" s="1185">
        <f t="shared" ref="F22:P22" si="8">F23+F24</f>
        <v>2791625.94</v>
      </c>
      <c r="G22" s="1185">
        <f t="shared" si="8"/>
        <v>2070684.4</v>
      </c>
      <c r="H22" s="1185">
        <f t="shared" si="8"/>
        <v>4021549.54</v>
      </c>
      <c r="I22" s="1185">
        <f t="shared" si="8"/>
        <v>573841.3600000001</v>
      </c>
      <c r="J22" s="1185">
        <f t="shared" si="8"/>
        <v>578630.94999999995</v>
      </c>
      <c r="K22" s="1185">
        <f t="shared" si="8"/>
        <v>490401.04</v>
      </c>
      <c r="L22" s="1185">
        <f t="shared" si="8"/>
        <v>519381.52</v>
      </c>
      <c r="M22" s="1185">
        <f t="shared" si="8"/>
        <v>682714</v>
      </c>
      <c r="N22" s="1185">
        <f t="shared" si="8"/>
        <v>472555</v>
      </c>
      <c r="O22" s="1185">
        <f t="shared" si="8"/>
        <v>909659.45</v>
      </c>
      <c r="P22" s="1185">
        <f t="shared" si="8"/>
        <v>255260.90999999997</v>
      </c>
      <c r="Q22" s="1201">
        <f t="shared" si="1"/>
        <v>17399259.769999996</v>
      </c>
      <c r="R22" s="62"/>
    </row>
    <row r="23" spans="1:20" ht="15.9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3417808.66</v>
      </c>
      <c r="F23" s="1180">
        <v>2572286.14</v>
      </c>
      <c r="G23" s="1180">
        <v>1910564.4</v>
      </c>
      <c r="H23" s="1180">
        <v>3646958.54</v>
      </c>
      <c r="I23" s="1180">
        <v>509371.36000000004</v>
      </c>
      <c r="J23" s="1180">
        <v>519970.95</v>
      </c>
      <c r="K23" s="1180">
        <v>449461.04</v>
      </c>
      <c r="L23" s="1180">
        <v>470746.52</v>
      </c>
      <c r="M23" s="1180">
        <v>613503</v>
      </c>
      <c r="N23" s="1180">
        <v>425565</v>
      </c>
      <c r="O23" s="1180">
        <v>809099.45</v>
      </c>
      <c r="P23" s="1180">
        <v>232287.35999999999</v>
      </c>
      <c r="Q23" s="1201">
        <f t="shared" si="1"/>
        <v>15577622.419999998</v>
      </c>
      <c r="R23" s="62"/>
      <c r="T23" s="23"/>
    </row>
    <row r="24" spans="1:20" ht="15.9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615147</v>
      </c>
      <c r="F24" s="1185">
        <f t="shared" ref="F24:P24" si="9">F25+F26</f>
        <v>219339.8</v>
      </c>
      <c r="G24" s="1185">
        <f t="shared" si="9"/>
        <v>160120</v>
      </c>
      <c r="H24" s="1185">
        <f t="shared" si="9"/>
        <v>374591</v>
      </c>
      <c r="I24" s="1185">
        <f t="shared" si="9"/>
        <v>64470</v>
      </c>
      <c r="J24" s="1185">
        <f t="shared" si="9"/>
        <v>58660</v>
      </c>
      <c r="K24" s="1185">
        <f t="shared" si="9"/>
        <v>40940</v>
      </c>
      <c r="L24" s="1185">
        <f t="shared" si="9"/>
        <v>48635</v>
      </c>
      <c r="M24" s="1185">
        <f t="shared" si="9"/>
        <v>69211</v>
      </c>
      <c r="N24" s="1185">
        <f t="shared" si="9"/>
        <v>46990</v>
      </c>
      <c r="O24" s="1185">
        <f t="shared" si="9"/>
        <v>100560</v>
      </c>
      <c r="P24" s="1185">
        <f t="shared" si="9"/>
        <v>22973.55</v>
      </c>
      <c r="Q24" s="1201">
        <f t="shared" si="1"/>
        <v>1821637.35</v>
      </c>
      <c r="R24" s="62"/>
    </row>
    <row r="25" spans="1:20" ht="15.9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>
        <v>134387</v>
      </c>
      <c r="F25" s="1180">
        <v>1079.8</v>
      </c>
      <c r="G25" s="1180"/>
      <c r="H25" s="1180">
        <v>17896</v>
      </c>
      <c r="I25" s="1180">
        <v>10000</v>
      </c>
      <c r="J25" s="1180">
        <v>8820</v>
      </c>
      <c r="K25" s="1180"/>
      <c r="L25" s="1180"/>
      <c r="M25" s="1180">
        <f>1400+1400+1451</f>
        <v>4251</v>
      </c>
      <c r="N25" s="1180"/>
      <c r="O25" s="1180"/>
      <c r="P25" s="1180">
        <v>223.55</v>
      </c>
      <c r="Q25" s="1201">
        <f t="shared" si="1"/>
        <v>176657.34999999998</v>
      </c>
      <c r="R25" s="62"/>
    </row>
    <row r="26" spans="1:20" ht="15.9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480760</v>
      </c>
      <c r="F26" s="1180">
        <v>218260</v>
      </c>
      <c r="G26" s="1180">
        <v>160120</v>
      </c>
      <c r="H26" s="1180">
        <v>356695</v>
      </c>
      <c r="I26" s="1180">
        <v>54470</v>
      </c>
      <c r="J26" s="1180">
        <v>49840</v>
      </c>
      <c r="K26" s="1180">
        <v>40940</v>
      </c>
      <c r="L26" s="1180">
        <v>48635</v>
      </c>
      <c r="M26" s="1180">
        <v>64960</v>
      </c>
      <c r="N26" s="1180">
        <v>46990</v>
      </c>
      <c r="O26" s="1180">
        <v>100560</v>
      </c>
      <c r="P26" s="1180">
        <v>22750</v>
      </c>
      <c r="Q26" s="1201">
        <f t="shared" si="1"/>
        <v>1644980</v>
      </c>
      <c r="R26" s="62"/>
    </row>
    <row r="27" spans="1:20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P27" si="10">E28</f>
        <v>6076104.1600000001</v>
      </c>
      <c r="F27" s="1185">
        <f t="shared" si="10"/>
        <v>4572939.8</v>
      </c>
      <c r="G27" s="1185">
        <f t="shared" si="10"/>
        <v>3392838.439999999</v>
      </c>
      <c r="H27" s="1185">
        <f t="shared" si="10"/>
        <v>6483464.96</v>
      </c>
      <c r="I27" s="1185">
        <f t="shared" si="10"/>
        <v>905548.95999999985</v>
      </c>
      <c r="J27" s="1185">
        <f t="shared" si="10"/>
        <v>924392.51</v>
      </c>
      <c r="K27" s="1185">
        <f t="shared" si="10"/>
        <v>791681.51</v>
      </c>
      <c r="L27" s="1185">
        <f t="shared" si="10"/>
        <v>833645.5199999999</v>
      </c>
      <c r="M27" s="1185">
        <f t="shared" si="10"/>
        <v>1090672</v>
      </c>
      <c r="N27" s="1185">
        <f t="shared" si="10"/>
        <v>756560</v>
      </c>
      <c r="O27" s="1185">
        <f t="shared" si="10"/>
        <v>1438387.36</v>
      </c>
      <c r="P27" s="1185">
        <f t="shared" si="10"/>
        <v>412955.04</v>
      </c>
      <c r="Q27" s="1201">
        <f t="shared" si="1"/>
        <v>27679190.260000002</v>
      </c>
      <c r="R27" s="62"/>
    </row>
    <row r="28" spans="1:20" ht="15.9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6076104.1600000001</v>
      </c>
      <c r="F28" s="1180">
        <v>4572939.8</v>
      </c>
      <c r="G28" s="1180">
        <v>3392838.439999999</v>
      </c>
      <c r="H28" s="1180">
        <v>6483464.96</v>
      </c>
      <c r="I28" s="1180">
        <v>905548.95999999985</v>
      </c>
      <c r="J28" s="1180">
        <v>924392.51</v>
      </c>
      <c r="K28" s="1180">
        <v>791681.51</v>
      </c>
      <c r="L28" s="1180">
        <v>833645.5199999999</v>
      </c>
      <c r="M28" s="1180">
        <f>83232*4+757744</f>
        <v>1090672</v>
      </c>
      <c r="N28" s="1180">
        <v>756560</v>
      </c>
      <c r="O28" s="1180">
        <v>1438387.36</v>
      </c>
      <c r="P28" s="1180">
        <v>412955.04</v>
      </c>
      <c r="Q28" s="1201">
        <f t="shared" si="1"/>
        <v>27679190.260000002</v>
      </c>
      <c r="R28" s="62"/>
      <c r="T28" s="23"/>
    </row>
    <row r="29" spans="1:20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P29" si="11">E30</f>
        <v>3038052.08</v>
      </c>
      <c r="F29" s="1185">
        <f t="shared" si="11"/>
        <v>2286469.92</v>
      </c>
      <c r="G29" s="1185">
        <f t="shared" si="11"/>
        <v>1696419.2199999995</v>
      </c>
      <c r="H29" s="1185">
        <f t="shared" si="11"/>
        <v>3241732.48</v>
      </c>
      <c r="I29" s="1185">
        <f t="shared" si="11"/>
        <v>417989.74</v>
      </c>
      <c r="J29" s="1185">
        <f t="shared" si="11"/>
        <v>462196.37</v>
      </c>
      <c r="K29" s="1185">
        <f t="shared" si="11"/>
        <v>395840.88</v>
      </c>
      <c r="L29" s="1185">
        <f t="shared" si="11"/>
        <v>416877.76</v>
      </c>
      <c r="M29" s="1185">
        <f t="shared" si="11"/>
        <v>545336</v>
      </c>
      <c r="N29" s="1185">
        <f t="shared" si="11"/>
        <v>378280</v>
      </c>
      <c r="O29" s="1185">
        <f t="shared" si="11"/>
        <v>719193.68</v>
      </c>
      <c r="P29" s="1185">
        <f t="shared" si="11"/>
        <v>206477.52</v>
      </c>
      <c r="Q29" s="1201">
        <f t="shared" si="1"/>
        <v>13804865.649999999</v>
      </c>
      <c r="R29" s="62"/>
    </row>
    <row r="30" spans="1:20" ht="15.9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3038052.08</v>
      </c>
      <c r="F30" s="1180">
        <v>2286469.92</v>
      </c>
      <c r="G30" s="1180">
        <v>1696419.2199999995</v>
      </c>
      <c r="H30" s="1180">
        <v>3241732.48</v>
      </c>
      <c r="I30" s="1180">
        <f>452774.48-34784.74</f>
        <v>417989.74</v>
      </c>
      <c r="J30" s="1180">
        <v>462196.37</v>
      </c>
      <c r="K30" s="1180">
        <v>395840.88</v>
      </c>
      <c r="L30" s="1180">
        <f>868589.74-451711.98</f>
        <v>416877.76</v>
      </c>
      <c r="M30" s="1180">
        <f>41616*4+378872</f>
        <v>545336</v>
      </c>
      <c r="N30" s="1180">
        <f>823075.77-444795.77</f>
        <v>378280</v>
      </c>
      <c r="O30" s="1180">
        <v>719193.68</v>
      </c>
      <c r="P30" s="1180">
        <v>206477.52</v>
      </c>
      <c r="Q30" s="1201">
        <f t="shared" si="1"/>
        <v>13804865.649999999</v>
      </c>
      <c r="R30" s="62"/>
      <c r="T30" s="23"/>
    </row>
    <row r="31" spans="1:20" ht="15.9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2649895</v>
      </c>
      <c r="F31" s="1180">
        <v>2016410</v>
      </c>
      <c r="G31" s="1180">
        <v>1494607</v>
      </c>
      <c r="H31" s="1180">
        <v>2832562</v>
      </c>
      <c r="I31" s="1180">
        <v>395015</v>
      </c>
      <c r="J31" s="1180">
        <v>407334</v>
      </c>
      <c r="K31" s="1180">
        <v>347496</v>
      </c>
      <c r="L31" s="1180">
        <v>365797</v>
      </c>
      <c r="M31" s="1180">
        <f>36414*3+330351</f>
        <v>439593</v>
      </c>
      <c r="N31" s="1180">
        <v>331968</v>
      </c>
      <c r="O31" s="1180">
        <v>623179</v>
      </c>
      <c r="P31" s="1180">
        <v>179520</v>
      </c>
      <c r="Q31" s="1201">
        <f t="shared" si="1"/>
        <v>12083376</v>
      </c>
      <c r="R31" s="62"/>
      <c r="T31" s="23"/>
    </row>
    <row r="32" spans="1:20" ht="15.9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51000</v>
      </c>
      <c r="F32" s="1180">
        <v>38500</v>
      </c>
      <c r="G32" s="1180">
        <v>24500</v>
      </c>
      <c r="H32" s="1180">
        <v>68000</v>
      </c>
      <c r="I32" s="1180">
        <v>7500</v>
      </c>
      <c r="J32" s="1180">
        <v>7500</v>
      </c>
      <c r="K32" s="1180">
        <v>6000</v>
      </c>
      <c r="L32" s="1180">
        <v>6000</v>
      </c>
      <c r="M32" s="1180">
        <v>7500</v>
      </c>
      <c r="N32" s="1180">
        <v>7500</v>
      </c>
      <c r="O32" s="1180">
        <v>18500</v>
      </c>
      <c r="P32" s="1180">
        <v>1500</v>
      </c>
      <c r="Q32" s="1201">
        <f t="shared" si="1"/>
        <v>244000</v>
      </c>
      <c r="R32" s="62"/>
    </row>
    <row r="33" spans="1:18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3278775</v>
      </c>
      <c r="F33" s="1185">
        <f t="shared" ref="F33:P33" si="12">F34+F36+F38</f>
        <v>33210</v>
      </c>
      <c r="G33" s="1185">
        <f t="shared" si="12"/>
        <v>36690</v>
      </c>
      <c r="H33" s="1185">
        <f t="shared" si="12"/>
        <v>526635</v>
      </c>
      <c r="I33" s="1185">
        <f t="shared" si="12"/>
        <v>240</v>
      </c>
      <c r="J33" s="1185">
        <f t="shared" si="12"/>
        <v>360</v>
      </c>
      <c r="K33" s="1185">
        <f t="shared" si="12"/>
        <v>2520</v>
      </c>
      <c r="L33" s="1185">
        <f t="shared" si="12"/>
        <v>11205</v>
      </c>
      <c r="M33" s="1185">
        <f t="shared" si="12"/>
        <v>251565</v>
      </c>
      <c r="N33" s="1185">
        <f t="shared" si="12"/>
        <v>35580</v>
      </c>
      <c r="O33" s="1185">
        <f t="shared" si="12"/>
        <v>1440</v>
      </c>
      <c r="P33" s="1185">
        <f t="shared" si="12"/>
        <v>220080</v>
      </c>
      <c r="Q33" s="1201">
        <f t="shared" si="1"/>
        <v>4398300</v>
      </c>
      <c r="R33" s="62"/>
    </row>
    <row r="34" spans="1:18" ht="15.95" customHeight="1">
      <c r="A34" s="66" t="s">
        <v>85</v>
      </c>
      <c r="B34" s="61" t="s">
        <v>3109</v>
      </c>
      <c r="C34" s="61" t="s">
        <v>87</v>
      </c>
      <c r="D34" s="62" t="s">
        <v>3148</v>
      </c>
      <c r="E34" s="1185">
        <f>E35</f>
        <v>3274825</v>
      </c>
      <c r="F34" s="1185">
        <f t="shared" ref="F34:P34" si="13">F35</f>
        <v>32280</v>
      </c>
      <c r="G34" s="1185">
        <f t="shared" si="13"/>
        <v>35280</v>
      </c>
      <c r="H34" s="1185">
        <f t="shared" si="13"/>
        <v>521595</v>
      </c>
      <c r="I34" s="1185">
        <f t="shared" si="13"/>
        <v>0</v>
      </c>
      <c r="J34" s="1185">
        <f t="shared" si="13"/>
        <v>0</v>
      </c>
      <c r="K34" s="1185">
        <f t="shared" si="13"/>
        <v>0</v>
      </c>
      <c r="L34" s="1185">
        <f t="shared" si="13"/>
        <v>9765</v>
      </c>
      <c r="M34" s="1185">
        <f t="shared" si="13"/>
        <v>250665</v>
      </c>
      <c r="N34" s="1185">
        <f t="shared" si="13"/>
        <v>34740</v>
      </c>
      <c r="O34" s="1185">
        <f t="shared" si="13"/>
        <v>0</v>
      </c>
      <c r="P34" s="1185">
        <f t="shared" si="13"/>
        <v>219360</v>
      </c>
      <c r="Q34" s="1201">
        <f t="shared" si="1"/>
        <v>4378510</v>
      </c>
      <c r="R34" s="62"/>
    </row>
    <row r="35" spans="1:18" ht="15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f>3001380+273445</f>
        <v>3274825</v>
      </c>
      <c r="F35" s="1180">
        <v>32280</v>
      </c>
      <c r="G35" s="1180">
        <v>35280</v>
      </c>
      <c r="H35" s="1180">
        <v>521595</v>
      </c>
      <c r="I35" s="1180"/>
      <c r="J35" s="1180"/>
      <c r="K35" s="1180"/>
      <c r="L35" s="1180">
        <f>1085*9</f>
        <v>9765</v>
      </c>
      <c r="M35" s="1180">
        <f>21160*3+187185</f>
        <v>250665</v>
      </c>
      <c r="N35" s="1180">
        <v>34740</v>
      </c>
      <c r="O35" s="1180"/>
      <c r="P35" s="1180">
        <v>219360</v>
      </c>
      <c r="Q35" s="1201">
        <f t="shared" si="1"/>
        <v>4378510</v>
      </c>
      <c r="R35" s="62"/>
    </row>
    <row r="36" spans="1:18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3950</v>
      </c>
      <c r="F36" s="1185">
        <f t="shared" ref="F36:P36" si="14">F37</f>
        <v>930</v>
      </c>
      <c r="G36" s="1185">
        <f t="shared" si="14"/>
        <v>1410</v>
      </c>
      <c r="H36" s="1185">
        <f t="shared" si="14"/>
        <v>5040</v>
      </c>
      <c r="I36" s="1185">
        <f t="shared" si="14"/>
        <v>240</v>
      </c>
      <c r="J36" s="1185">
        <f t="shared" si="14"/>
        <v>360</v>
      </c>
      <c r="K36" s="1185">
        <f t="shared" si="14"/>
        <v>2520</v>
      </c>
      <c r="L36" s="1185">
        <f t="shared" si="14"/>
        <v>1440</v>
      </c>
      <c r="M36" s="1185">
        <f t="shared" si="14"/>
        <v>900</v>
      </c>
      <c r="N36" s="1185">
        <f t="shared" si="14"/>
        <v>840</v>
      </c>
      <c r="O36" s="1185">
        <f t="shared" si="14"/>
        <v>1440</v>
      </c>
      <c r="P36" s="1185">
        <f t="shared" si="14"/>
        <v>720</v>
      </c>
      <c r="Q36" s="1201">
        <f t="shared" si="1"/>
        <v>19790</v>
      </c>
      <c r="R36" s="62"/>
    </row>
    <row r="37" spans="1:18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3950</v>
      </c>
      <c r="F37" s="1180">
        <v>930</v>
      </c>
      <c r="G37" s="1180">
        <v>1410</v>
      </c>
      <c r="H37" s="1180">
        <v>5040</v>
      </c>
      <c r="I37" s="1180">
        <v>240</v>
      </c>
      <c r="J37" s="1180">
        <v>360</v>
      </c>
      <c r="K37" s="1180">
        <v>2520</v>
      </c>
      <c r="L37" s="1180">
        <v>1440</v>
      </c>
      <c r="M37" s="1180">
        <f>780+60+60</f>
        <v>900</v>
      </c>
      <c r="N37" s="1180">
        <v>840</v>
      </c>
      <c r="O37" s="1180">
        <v>1440</v>
      </c>
      <c r="P37" s="1180">
        <v>720</v>
      </c>
      <c r="Q37" s="1201">
        <f t="shared" si="1"/>
        <v>19790</v>
      </c>
      <c r="R37" s="62"/>
    </row>
    <row r="38" spans="1:18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P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201">
        <f t="shared" si="1"/>
        <v>0</v>
      </c>
      <c r="R38" s="62"/>
    </row>
    <row r="39" spans="1:18" ht="15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201">
        <f t="shared" si="1"/>
        <v>0</v>
      </c>
      <c r="R39" s="62"/>
    </row>
    <row r="40" spans="1:18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P40" si="16">E41+E43+E45+E47+E49+E52+E54+E56+E60</f>
        <v>8932651.9000000004</v>
      </c>
      <c r="F40" s="1185">
        <f t="shared" si="16"/>
        <v>8384588.7999999998</v>
      </c>
      <c r="G40" s="1185">
        <f t="shared" si="16"/>
        <v>6593882.75</v>
      </c>
      <c r="H40" s="1185">
        <f t="shared" si="16"/>
        <v>10748160.119999999</v>
      </c>
      <c r="I40" s="1185">
        <f t="shared" si="16"/>
        <v>1233852.6199999999</v>
      </c>
      <c r="J40" s="1185">
        <f t="shared" si="16"/>
        <v>1597655.09</v>
      </c>
      <c r="K40" s="1185">
        <f t="shared" si="16"/>
        <v>1249199.9200000002</v>
      </c>
      <c r="L40" s="1185">
        <f t="shared" si="16"/>
        <v>1533031.88</v>
      </c>
      <c r="M40" s="1185">
        <f t="shared" si="16"/>
        <v>1288913</v>
      </c>
      <c r="N40" s="1185">
        <f t="shared" si="16"/>
        <v>1194846.7</v>
      </c>
      <c r="O40" s="1185">
        <f t="shared" si="16"/>
        <v>2541209.42</v>
      </c>
      <c r="P40" s="1185">
        <f t="shared" si="16"/>
        <v>425464</v>
      </c>
      <c r="Q40" s="1201">
        <f t="shared" si="1"/>
        <v>45723456.20000001</v>
      </c>
      <c r="R40" s="62"/>
    </row>
    <row r="41" spans="1:18" ht="15.95" customHeight="1">
      <c r="A41" s="66" t="s">
        <v>99</v>
      </c>
      <c r="B41" s="61" t="s">
        <v>100</v>
      </c>
      <c r="C41" s="61"/>
      <c r="D41" s="62" t="s">
        <v>101</v>
      </c>
      <c r="E41" s="1180">
        <v>6173070</v>
      </c>
      <c r="F41" s="1180">
        <f>(1191/2*3210+1231/2*3210)+(727/2*3850+784/2*3850)+(10000-3210)*2+(10000-3850)*1</f>
        <v>6815715</v>
      </c>
      <c r="G41" s="1180">
        <v>5421550</v>
      </c>
      <c r="H41" s="1180">
        <v>8293405</v>
      </c>
      <c r="I41" s="1180">
        <v>858000</v>
      </c>
      <c r="J41" s="1180">
        <v>1181170</v>
      </c>
      <c r="K41" s="1180">
        <v>872280</v>
      </c>
      <c r="L41" s="1180">
        <v>1165440</v>
      </c>
      <c r="M41" s="1180">
        <v>865140</v>
      </c>
      <c r="N41" s="1180">
        <v>865140</v>
      </c>
      <c r="O41" s="1180">
        <v>1884730</v>
      </c>
      <c r="P41" s="1180">
        <f>22400*10</f>
        <v>224000</v>
      </c>
      <c r="Q41" s="1201">
        <f t="shared" si="1"/>
        <v>34619640</v>
      </c>
      <c r="R41" s="62"/>
    </row>
    <row r="42" spans="1:18" ht="15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f>E41*0.05</f>
        <v>308653.5</v>
      </c>
      <c r="F42" s="1180">
        <f>F41*0.05</f>
        <v>340785.75</v>
      </c>
      <c r="G42" s="1180">
        <v>271077.5</v>
      </c>
      <c r="H42" s="1180">
        <v>414670.25</v>
      </c>
      <c r="I42" s="1180">
        <v>38538.5</v>
      </c>
      <c r="J42" s="1180">
        <v>59058.5</v>
      </c>
      <c r="K42" s="1180">
        <v>38394.5</v>
      </c>
      <c r="L42" s="1180">
        <v>58272</v>
      </c>
      <c r="M42" s="1180">
        <v>37680</v>
      </c>
      <c r="N42" s="1180">
        <v>34748.5</v>
      </c>
      <c r="O42" s="1180">
        <v>81509.5</v>
      </c>
      <c r="P42" s="1180">
        <f>224000*0.05</f>
        <v>11200</v>
      </c>
      <c r="Q42" s="1201">
        <f t="shared" si="1"/>
        <v>1694588.5</v>
      </c>
      <c r="R42" s="62"/>
    </row>
    <row r="43" spans="1:18" ht="15.95" customHeight="1">
      <c r="A43" s="66" t="s">
        <v>106</v>
      </c>
      <c r="B43" s="61" t="s">
        <v>107</v>
      </c>
      <c r="C43" s="61"/>
      <c r="D43" s="62"/>
      <c r="E43" s="1185">
        <f>E44</f>
        <v>56000</v>
      </c>
      <c r="F43" s="1185">
        <f t="shared" ref="F43:P43" si="17">F44</f>
        <v>45300</v>
      </c>
      <c r="G43" s="1185">
        <f t="shared" si="17"/>
        <v>0</v>
      </c>
      <c r="H43" s="1185">
        <f t="shared" si="17"/>
        <v>0</v>
      </c>
      <c r="I43" s="1185">
        <f t="shared" si="17"/>
        <v>10400</v>
      </c>
      <c r="J43" s="1185">
        <f t="shared" si="17"/>
        <v>11034</v>
      </c>
      <c r="K43" s="1185">
        <f t="shared" si="17"/>
        <v>9200</v>
      </c>
      <c r="L43" s="1185">
        <f t="shared" si="17"/>
        <v>9600</v>
      </c>
      <c r="M43" s="1185">
        <f t="shared" si="17"/>
        <v>11200</v>
      </c>
      <c r="N43" s="1185">
        <f t="shared" si="17"/>
        <v>8800</v>
      </c>
      <c r="O43" s="1185">
        <f t="shared" si="17"/>
        <v>19266</v>
      </c>
      <c r="P43" s="1185">
        <f t="shared" si="17"/>
        <v>4000</v>
      </c>
      <c r="Q43" s="1201">
        <f t="shared" si="1"/>
        <v>184800</v>
      </c>
      <c r="R43" s="62"/>
    </row>
    <row r="44" spans="1:18" ht="15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f>E63*400</f>
        <v>56000</v>
      </c>
      <c r="F44" s="1180">
        <f>1359/12*400</f>
        <v>45300</v>
      </c>
      <c r="G44" s="1180"/>
      <c r="H44" s="1180"/>
      <c r="I44" s="1180">
        <v>10400</v>
      </c>
      <c r="J44" s="1180">
        <v>11034</v>
      </c>
      <c r="K44" s="1180">
        <v>9200</v>
      </c>
      <c r="L44" s="1180">
        <v>9600</v>
      </c>
      <c r="M44" s="1180">
        <f>28*400</f>
        <v>11200</v>
      </c>
      <c r="N44" s="1180">
        <v>8800</v>
      </c>
      <c r="O44" s="1180">
        <v>19266</v>
      </c>
      <c r="P44" s="1180">
        <v>4000</v>
      </c>
      <c r="Q44" s="1201">
        <f t="shared" si="1"/>
        <v>184800</v>
      </c>
      <c r="R44" s="62"/>
    </row>
    <row r="45" spans="1:18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302412.90000000002</v>
      </c>
      <c r="F45" s="1185">
        <f t="shared" ref="F45:P45" si="18">F46</f>
        <v>300871.8</v>
      </c>
      <c r="G45" s="1185">
        <f t="shared" si="18"/>
        <v>278907.75</v>
      </c>
      <c r="H45" s="1185">
        <f t="shared" si="18"/>
        <v>571320</v>
      </c>
      <c r="I45" s="1185">
        <f t="shared" si="18"/>
        <v>85185</v>
      </c>
      <c r="J45" s="1185">
        <f t="shared" si="18"/>
        <v>110250</v>
      </c>
      <c r="K45" s="1185">
        <f t="shared" si="18"/>
        <v>110181.3</v>
      </c>
      <c r="L45" s="1185">
        <f t="shared" si="18"/>
        <v>92082.45</v>
      </c>
      <c r="M45" s="1185">
        <f t="shared" si="18"/>
        <v>71205</v>
      </c>
      <c r="N45" s="1185">
        <f t="shared" si="18"/>
        <v>74342.7</v>
      </c>
      <c r="O45" s="1185">
        <f t="shared" si="18"/>
        <v>173535</v>
      </c>
      <c r="P45" s="1185">
        <f t="shared" si="18"/>
        <v>20325</v>
      </c>
      <c r="Q45" s="1201">
        <f t="shared" si="1"/>
        <v>2190618.9</v>
      </c>
      <c r="R45" s="62"/>
    </row>
    <row r="46" spans="1:18" ht="15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f>E74*15</f>
        <v>302412.90000000002</v>
      </c>
      <c r="F46" s="1180">
        <f>F74*15</f>
        <v>300871.8</v>
      </c>
      <c r="G46" s="1180">
        <v>278907.75</v>
      </c>
      <c r="H46" s="1180">
        <v>571320</v>
      </c>
      <c r="I46" s="1180">
        <f>I74*15</f>
        <v>85185</v>
      </c>
      <c r="J46" s="1180">
        <v>110250</v>
      </c>
      <c r="K46" s="1180">
        <v>110181.3</v>
      </c>
      <c r="L46" s="1180">
        <v>92082.45</v>
      </c>
      <c r="M46" s="1180">
        <f>15*4747</f>
        <v>71205</v>
      </c>
      <c r="N46" s="1180">
        <v>74342.7</v>
      </c>
      <c r="O46" s="1180">
        <v>173535</v>
      </c>
      <c r="P46" s="1180">
        <v>20325</v>
      </c>
      <c r="Q46" s="1201">
        <f t="shared" si="1"/>
        <v>2190618.9</v>
      </c>
      <c r="R46" s="62"/>
    </row>
    <row r="47" spans="1:18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97216</v>
      </c>
      <c r="F47" s="1185">
        <f t="shared" ref="F47:P47" si="19">F48</f>
        <v>112080</v>
      </c>
      <c r="G47" s="1185">
        <f t="shared" si="19"/>
        <v>78250</v>
      </c>
      <c r="H47" s="1185">
        <f t="shared" si="19"/>
        <v>163552</v>
      </c>
      <c r="I47" s="1185">
        <f t="shared" si="19"/>
        <v>20904</v>
      </c>
      <c r="J47" s="1185">
        <f t="shared" si="19"/>
        <v>25792</v>
      </c>
      <c r="K47" s="1185">
        <f t="shared" si="19"/>
        <v>27218.400000000001</v>
      </c>
      <c r="L47" s="1185">
        <f t="shared" si="19"/>
        <v>20616</v>
      </c>
      <c r="M47" s="1185">
        <f t="shared" si="19"/>
        <v>20480</v>
      </c>
      <c r="N47" s="1185">
        <f t="shared" si="19"/>
        <v>15744</v>
      </c>
      <c r="O47" s="1185">
        <f t="shared" si="19"/>
        <v>37800</v>
      </c>
      <c r="P47" s="1185">
        <f t="shared" si="19"/>
        <v>14400</v>
      </c>
      <c r="Q47" s="1201">
        <f t="shared" si="1"/>
        <v>634052.4</v>
      </c>
      <c r="R47" s="62"/>
    </row>
    <row r="48" spans="1:18" ht="15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f>E75*8</f>
        <v>97216</v>
      </c>
      <c r="F48" s="1180">
        <f>F75*8</f>
        <v>112080</v>
      </c>
      <c r="G48" s="1180">
        <v>78250</v>
      </c>
      <c r="H48" s="1180">
        <v>163552</v>
      </c>
      <c r="I48" s="1180">
        <f>I75*8</f>
        <v>20904</v>
      </c>
      <c r="J48" s="1180">
        <v>25792</v>
      </c>
      <c r="K48" s="1180">
        <v>27218.400000000001</v>
      </c>
      <c r="L48" s="1180">
        <v>20616</v>
      </c>
      <c r="M48" s="1180">
        <f>2560*8</f>
        <v>20480</v>
      </c>
      <c r="N48" s="1180">
        <v>15744</v>
      </c>
      <c r="O48" s="1180">
        <v>37800</v>
      </c>
      <c r="P48" s="1180">
        <v>14400</v>
      </c>
      <c r="Q48" s="1201">
        <f t="shared" si="1"/>
        <v>634052.4</v>
      </c>
      <c r="R48" s="62"/>
    </row>
    <row r="49" spans="1:18" ht="15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1405440</v>
      </c>
      <c r="F49" s="1185">
        <f t="shared" ref="F49:P49" si="20">F50+F51</f>
        <v>497880</v>
      </c>
      <c r="G49" s="1185">
        <f t="shared" si="20"/>
        <v>363240</v>
      </c>
      <c r="H49" s="1185">
        <f t="shared" si="20"/>
        <v>855000</v>
      </c>
      <c r="I49" s="1185">
        <f t="shared" si="20"/>
        <v>110520</v>
      </c>
      <c r="J49" s="1185">
        <f t="shared" si="20"/>
        <v>119160</v>
      </c>
      <c r="K49" s="1185">
        <f t="shared" si="20"/>
        <v>99360</v>
      </c>
      <c r="L49" s="1185">
        <f t="shared" si="20"/>
        <v>107280</v>
      </c>
      <c r="M49" s="1185">
        <f t="shared" si="20"/>
        <v>181440</v>
      </c>
      <c r="N49" s="1185">
        <f t="shared" si="20"/>
        <v>102600</v>
      </c>
      <c r="O49" s="1185">
        <f t="shared" si="20"/>
        <v>208080</v>
      </c>
      <c r="P49" s="1185">
        <f t="shared" si="20"/>
        <v>90720</v>
      </c>
      <c r="Q49" s="1201">
        <f t="shared" si="1"/>
        <v>4140720</v>
      </c>
      <c r="R49" s="62"/>
    </row>
    <row r="50" spans="1:18" ht="15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615960</v>
      </c>
      <c r="F50" s="1180">
        <v>489240</v>
      </c>
      <c r="G50" s="1180">
        <v>354600</v>
      </c>
      <c r="H50" s="1180">
        <v>722160</v>
      </c>
      <c r="I50" s="1180">
        <v>110520</v>
      </c>
      <c r="J50" s="1180">
        <v>119160</v>
      </c>
      <c r="K50" s="1180">
        <v>99360</v>
      </c>
      <c r="L50" s="1180">
        <v>104040</v>
      </c>
      <c r="M50" s="1180">
        <f>28*4320+360*3</f>
        <v>122040</v>
      </c>
      <c r="N50" s="1180">
        <v>93960</v>
      </c>
      <c r="O50" s="1180">
        <v>208080</v>
      </c>
      <c r="P50" s="1180">
        <f>10*4320</f>
        <v>43200</v>
      </c>
      <c r="Q50" s="1201">
        <f t="shared" si="1"/>
        <v>3082320</v>
      </c>
      <c r="R50" s="62"/>
    </row>
    <row r="51" spans="1:18" ht="15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789480</v>
      </c>
      <c r="F51" s="1180">
        <v>8640</v>
      </c>
      <c r="G51" s="1180">
        <v>8640</v>
      </c>
      <c r="H51" s="1180">
        <v>132840</v>
      </c>
      <c r="I51" s="1180"/>
      <c r="J51" s="1180"/>
      <c r="K51" s="1180"/>
      <c r="L51" s="1180">
        <v>3240</v>
      </c>
      <c r="M51" s="1180">
        <f>13*4320+360*9</f>
        <v>59400</v>
      </c>
      <c r="N51" s="1180">
        <v>8640</v>
      </c>
      <c r="O51" s="1180"/>
      <c r="P51" s="1180">
        <f>11*4320</f>
        <v>47520</v>
      </c>
      <c r="Q51" s="1201">
        <f t="shared" si="1"/>
        <v>1058400</v>
      </c>
      <c r="R51" s="62"/>
    </row>
    <row r="52" spans="1:18" ht="15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759513</v>
      </c>
      <c r="F52" s="1185">
        <f t="shared" ref="F52:P52" si="21">F53</f>
        <v>571617</v>
      </c>
      <c r="G52" s="1185">
        <f t="shared" si="21"/>
        <v>424105</v>
      </c>
      <c r="H52" s="1185">
        <f t="shared" si="21"/>
        <v>810433.11999999988</v>
      </c>
      <c r="I52" s="1185">
        <f t="shared" si="21"/>
        <v>113193.61999999998</v>
      </c>
      <c r="J52" s="1185">
        <f t="shared" si="21"/>
        <v>115549.09</v>
      </c>
      <c r="K52" s="1185">
        <f t="shared" si="21"/>
        <v>98960.22</v>
      </c>
      <c r="L52" s="1185">
        <f t="shared" si="21"/>
        <v>104513.43</v>
      </c>
      <c r="M52" s="1185">
        <f t="shared" si="21"/>
        <v>125598</v>
      </c>
      <c r="N52" s="1185">
        <f t="shared" si="21"/>
        <v>94570</v>
      </c>
      <c r="O52" s="1185">
        <f t="shared" si="21"/>
        <v>179798.42</v>
      </c>
      <c r="P52" s="1185">
        <f t="shared" si="21"/>
        <v>51619</v>
      </c>
      <c r="Q52" s="1201">
        <f t="shared" si="1"/>
        <v>3449469.9000000004</v>
      </c>
      <c r="R52" s="62"/>
    </row>
    <row r="53" spans="1:18" ht="15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220">
        <v>759513</v>
      </c>
      <c r="F53" s="1220">
        <v>571617</v>
      </c>
      <c r="G53" s="1220">
        <v>424105</v>
      </c>
      <c r="H53" s="1183">
        <v>810433.11999999988</v>
      </c>
      <c r="I53" s="1183">
        <v>113193.61999999998</v>
      </c>
      <c r="J53" s="1183">
        <v>115549.09</v>
      </c>
      <c r="K53" s="1183">
        <v>98960.22</v>
      </c>
      <c r="L53" s="1183">
        <v>104513.43</v>
      </c>
      <c r="M53" s="1183">
        <f>ROUND(M31/0.07*0.02,2)</f>
        <v>125598</v>
      </c>
      <c r="N53" s="1183">
        <v>94570</v>
      </c>
      <c r="O53" s="1183">
        <v>179798.42</v>
      </c>
      <c r="P53" s="1183">
        <v>51619</v>
      </c>
      <c r="Q53" s="1201">
        <f t="shared" si="1"/>
        <v>3449469.9000000004</v>
      </c>
      <c r="R53" s="62"/>
    </row>
    <row r="54" spans="1:18" ht="15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60000</v>
      </c>
      <c r="F54" s="1185">
        <f t="shared" ref="F54:P54" si="22">F55</f>
        <v>0</v>
      </c>
      <c r="G54" s="1185">
        <f t="shared" si="22"/>
        <v>25000</v>
      </c>
      <c r="H54" s="1185">
        <f t="shared" si="22"/>
        <v>0</v>
      </c>
      <c r="I54" s="1185">
        <f t="shared" si="22"/>
        <v>0</v>
      </c>
      <c r="J54" s="1185">
        <f t="shared" si="22"/>
        <v>0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22"/>
        <v>0</v>
      </c>
      <c r="O54" s="1185">
        <f t="shared" si="22"/>
        <v>0</v>
      </c>
      <c r="P54" s="1185">
        <f t="shared" si="22"/>
        <v>0</v>
      </c>
      <c r="Q54" s="1201">
        <f t="shared" si="1"/>
        <v>85000</v>
      </c>
      <c r="R54" s="62"/>
    </row>
    <row r="55" spans="1:18" ht="15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60000</v>
      </c>
      <c r="F55" s="1180"/>
      <c r="G55" s="1180">
        <v>25000</v>
      </c>
      <c r="H55" s="1180"/>
      <c r="I55" s="1180"/>
      <c r="J55" s="1180"/>
      <c r="K55" s="1180"/>
      <c r="L55" s="1180"/>
      <c r="M55" s="1180"/>
      <c r="N55" s="1180"/>
      <c r="O55" s="1180"/>
      <c r="P55" s="1180"/>
      <c r="Q55" s="1201">
        <f t="shared" si="1"/>
        <v>85000</v>
      </c>
      <c r="R55" s="62"/>
    </row>
    <row r="56" spans="1:18" ht="15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79000</v>
      </c>
      <c r="F56" s="1185">
        <f t="shared" ref="F56:P56" si="23">F57+F59</f>
        <v>9125</v>
      </c>
      <c r="G56" s="1185">
        <f t="shared" si="23"/>
        <v>2830</v>
      </c>
      <c r="H56" s="1185">
        <f t="shared" si="23"/>
        <v>22450</v>
      </c>
      <c r="I56" s="1185">
        <f t="shared" si="23"/>
        <v>3650</v>
      </c>
      <c r="J56" s="1185">
        <f t="shared" si="23"/>
        <v>2700</v>
      </c>
      <c r="K56" s="1185">
        <f t="shared" si="23"/>
        <v>0</v>
      </c>
      <c r="L56" s="1185">
        <f t="shared" si="23"/>
        <v>4500</v>
      </c>
      <c r="M56" s="1185">
        <f t="shared" si="23"/>
        <v>6850</v>
      </c>
      <c r="N56" s="1185">
        <f t="shared" si="23"/>
        <v>1650</v>
      </c>
      <c r="O56" s="1185">
        <f t="shared" si="23"/>
        <v>6000</v>
      </c>
      <c r="P56" s="1185">
        <f t="shared" si="23"/>
        <v>4400</v>
      </c>
      <c r="Q56" s="1201">
        <f t="shared" si="1"/>
        <v>143155</v>
      </c>
      <c r="R56" s="62"/>
    </row>
    <row r="57" spans="1:18" ht="15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74000</v>
      </c>
      <c r="F57" s="1185">
        <f t="shared" ref="F57:P57" si="24">F58</f>
        <v>800</v>
      </c>
      <c r="G57" s="1185">
        <f t="shared" si="24"/>
        <v>280</v>
      </c>
      <c r="H57" s="1185">
        <f t="shared" si="24"/>
        <v>12400</v>
      </c>
      <c r="I57" s="1185">
        <f t="shared" si="24"/>
        <v>0</v>
      </c>
      <c r="J57" s="1185">
        <f t="shared" si="24"/>
        <v>0</v>
      </c>
      <c r="K57" s="1185">
        <f t="shared" si="24"/>
        <v>0</v>
      </c>
      <c r="L57" s="1185">
        <f t="shared" si="24"/>
        <v>400</v>
      </c>
      <c r="M57" s="1185">
        <f t="shared" si="24"/>
        <v>5600</v>
      </c>
      <c r="N57" s="1185">
        <f t="shared" si="24"/>
        <v>800</v>
      </c>
      <c r="O57" s="1185">
        <f t="shared" si="24"/>
        <v>0</v>
      </c>
      <c r="P57" s="1185">
        <f t="shared" si="24"/>
        <v>4400</v>
      </c>
      <c r="Q57" s="1201">
        <f t="shared" si="1"/>
        <v>98680</v>
      </c>
      <c r="R57" s="62"/>
    </row>
    <row r="58" spans="1:18" ht="15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f>E73*400</f>
        <v>74000</v>
      </c>
      <c r="F58" s="1180">
        <v>800</v>
      </c>
      <c r="G58" s="1180">
        <v>280</v>
      </c>
      <c r="H58" s="1180">
        <v>12400</v>
      </c>
      <c r="I58" s="1180"/>
      <c r="J58" s="1180"/>
      <c r="K58" s="1180"/>
      <c r="L58" s="1180">
        <v>400</v>
      </c>
      <c r="M58" s="1180">
        <v>5600</v>
      </c>
      <c r="N58" s="1180">
        <v>800</v>
      </c>
      <c r="O58" s="1180"/>
      <c r="P58" s="1180">
        <v>4400</v>
      </c>
      <c r="Q58" s="1201">
        <f t="shared" si="1"/>
        <v>98680</v>
      </c>
      <c r="R58" s="62"/>
    </row>
    <row r="59" spans="1:18" ht="15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5000</v>
      </c>
      <c r="F59" s="1186">
        <v>8325</v>
      </c>
      <c r="G59" s="1186">
        <v>2550</v>
      </c>
      <c r="H59" s="1186">
        <v>10050</v>
      </c>
      <c r="I59" s="1186">
        <v>3650</v>
      </c>
      <c r="J59" s="1186">
        <v>2700</v>
      </c>
      <c r="K59" s="1186"/>
      <c r="L59" s="1186">
        <v>4100</v>
      </c>
      <c r="M59" s="1186">
        <v>1250</v>
      </c>
      <c r="N59" s="1186">
        <v>850</v>
      </c>
      <c r="O59" s="1186">
        <v>6000</v>
      </c>
      <c r="P59" s="1186"/>
      <c r="Q59" s="1201">
        <f t="shared" si="1"/>
        <v>44475</v>
      </c>
      <c r="R59" s="62"/>
    </row>
    <row r="60" spans="1:18" ht="15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P60" si="25">F61</f>
        <v>32000</v>
      </c>
      <c r="G60" s="1185">
        <f t="shared" si="25"/>
        <v>0</v>
      </c>
      <c r="H60" s="1185">
        <f t="shared" si="25"/>
        <v>32000</v>
      </c>
      <c r="I60" s="1185">
        <f t="shared" si="25"/>
        <v>32000</v>
      </c>
      <c r="J60" s="1185">
        <f t="shared" si="25"/>
        <v>32000</v>
      </c>
      <c r="K60" s="1185">
        <f t="shared" si="25"/>
        <v>32000</v>
      </c>
      <c r="L60" s="1185">
        <f t="shared" si="25"/>
        <v>29000</v>
      </c>
      <c r="M60" s="1185">
        <f t="shared" si="25"/>
        <v>7000</v>
      </c>
      <c r="N60" s="1185">
        <f t="shared" si="25"/>
        <v>32000</v>
      </c>
      <c r="O60" s="1185">
        <f t="shared" si="25"/>
        <v>32000</v>
      </c>
      <c r="P60" s="1185">
        <f t="shared" si="25"/>
        <v>16000</v>
      </c>
      <c r="Q60" s="1201">
        <f t="shared" si="1"/>
        <v>276000</v>
      </c>
      <c r="R60" s="62"/>
    </row>
    <row r="61" spans="1:18" ht="15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32000</v>
      </c>
      <c r="G61" s="1179"/>
      <c r="H61" s="1179">
        <v>32000</v>
      </c>
      <c r="I61" s="1179">
        <v>32000</v>
      </c>
      <c r="J61" s="1179">
        <v>32000</v>
      </c>
      <c r="K61" s="1179">
        <v>32000</v>
      </c>
      <c r="L61" s="1179">
        <v>29000</v>
      </c>
      <c r="M61" s="1179">
        <v>7000</v>
      </c>
      <c r="N61" s="1179">
        <v>32000</v>
      </c>
      <c r="O61" s="1179">
        <v>32000</v>
      </c>
      <c r="P61" s="1179">
        <v>16000</v>
      </c>
      <c r="Q61" s="1201">
        <f t="shared" si="1"/>
        <v>276000</v>
      </c>
      <c r="R61" s="1187"/>
    </row>
    <row r="62" spans="1:18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201">
        <f t="shared" si="1"/>
        <v>0</v>
      </c>
      <c r="R62" s="1189"/>
    </row>
    <row r="63" spans="1:18" ht="15.95" customHeight="1">
      <c r="A63" s="66" t="s">
        <v>146</v>
      </c>
      <c r="B63" s="61" t="s">
        <v>147</v>
      </c>
      <c r="C63" s="61"/>
      <c r="D63" s="62" t="s">
        <v>3162</v>
      </c>
      <c r="E63" s="1204">
        <f>E64+E65+E66+E67</f>
        <v>140</v>
      </c>
      <c r="F63" s="1204">
        <f t="shared" ref="F63:P63" si="26">F64+F65+F66+F67</f>
        <v>119</v>
      </c>
      <c r="G63" s="1204">
        <f t="shared" si="26"/>
        <v>88</v>
      </c>
      <c r="H63" s="1204">
        <f t="shared" si="26"/>
        <v>166</v>
      </c>
      <c r="I63" s="1204">
        <f t="shared" si="26"/>
        <v>25</v>
      </c>
      <c r="J63" s="1204">
        <f t="shared" si="26"/>
        <v>27</v>
      </c>
      <c r="K63" s="1204">
        <f t="shared" si="26"/>
        <v>23</v>
      </c>
      <c r="L63" s="1204">
        <f t="shared" si="26"/>
        <v>25</v>
      </c>
      <c r="M63" s="1204">
        <f t="shared" si="26"/>
        <v>28</v>
      </c>
      <c r="N63" s="1204">
        <f t="shared" si="26"/>
        <v>22</v>
      </c>
      <c r="O63" s="1204">
        <f t="shared" si="26"/>
        <v>48</v>
      </c>
      <c r="P63" s="1204">
        <f t="shared" si="26"/>
        <v>10</v>
      </c>
      <c r="Q63" s="1204">
        <f t="shared" si="1"/>
        <v>721</v>
      </c>
      <c r="R63" s="62"/>
    </row>
    <row r="64" spans="1:18" ht="15.95" customHeight="1">
      <c r="A64" s="66" t="s">
        <v>148</v>
      </c>
      <c r="B64" s="1199" t="s">
        <v>149</v>
      </c>
      <c r="C64" s="1199"/>
      <c r="D64" s="62"/>
      <c r="E64" s="1181">
        <v>69</v>
      </c>
      <c r="F64" s="1181">
        <v>49</v>
      </c>
      <c r="G64" s="1181">
        <v>88</v>
      </c>
      <c r="H64" s="1181"/>
      <c r="I64" s="1181"/>
      <c r="J64" s="1181"/>
      <c r="K64" s="1181"/>
      <c r="L64" s="1181"/>
      <c r="M64" s="1181"/>
      <c r="N64" s="1181"/>
      <c r="O64" s="1181"/>
      <c r="P64" s="1181"/>
      <c r="Q64" s="1204">
        <f t="shared" si="1"/>
        <v>206</v>
      </c>
      <c r="R64" s="62"/>
    </row>
    <row r="65" spans="1:18" ht="15.95" customHeight="1">
      <c r="A65" s="66" t="s">
        <v>150</v>
      </c>
      <c r="B65" s="1199" t="s">
        <v>151</v>
      </c>
      <c r="C65" s="1199"/>
      <c r="D65" s="62"/>
      <c r="E65" s="1181">
        <v>71</v>
      </c>
      <c r="F65" s="1181">
        <v>70</v>
      </c>
      <c r="G65" s="1181"/>
      <c r="H65" s="1181">
        <v>166</v>
      </c>
      <c r="I65" s="1181"/>
      <c r="J65" s="1181"/>
      <c r="K65" s="1181"/>
      <c r="L65" s="1181"/>
      <c r="M65" s="1181"/>
      <c r="N65" s="1181"/>
      <c r="O65" s="1181"/>
      <c r="P65" s="1181"/>
      <c r="Q65" s="1204">
        <f t="shared" si="1"/>
        <v>307</v>
      </c>
      <c r="R65" s="62"/>
    </row>
    <row r="66" spans="1:18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>
        <v>25</v>
      </c>
      <c r="J66" s="1181">
        <v>27</v>
      </c>
      <c r="K66" s="1181">
        <v>23</v>
      </c>
      <c r="L66" s="1181">
        <v>25</v>
      </c>
      <c r="M66" s="1181">
        <v>28</v>
      </c>
      <c r="N66" s="1181">
        <v>22</v>
      </c>
      <c r="O66" s="1181">
        <v>48</v>
      </c>
      <c r="P66" s="1181"/>
      <c r="Q66" s="1204">
        <f t="shared" si="1"/>
        <v>198</v>
      </c>
      <c r="R66" s="62"/>
    </row>
    <row r="67" spans="1:18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10</v>
      </c>
      <c r="Q67" s="1204">
        <f t="shared" si="1"/>
        <v>10</v>
      </c>
      <c r="R67" s="62"/>
    </row>
    <row r="68" spans="1:18" ht="15.95" customHeight="1">
      <c r="A68" s="66" t="s">
        <v>156</v>
      </c>
      <c r="B68" s="61" t="s">
        <v>157</v>
      </c>
      <c r="C68" s="61"/>
      <c r="D68" s="62" t="s">
        <v>3163</v>
      </c>
      <c r="E68" s="1204">
        <f>E69+E70+E71+E72</f>
        <v>1746</v>
      </c>
      <c r="F68" s="1204">
        <f t="shared" ref="F68:P68" si="27">F69+F70+F71+F72</f>
        <v>2015</v>
      </c>
      <c r="G68" s="1204">
        <f t="shared" si="27"/>
        <v>1503</v>
      </c>
      <c r="H68" s="1204">
        <f t="shared" si="27"/>
        <v>2631</v>
      </c>
      <c r="I68" s="1204">
        <f t="shared" si="27"/>
        <v>260</v>
      </c>
      <c r="J68" s="1204">
        <f t="shared" si="27"/>
        <v>360</v>
      </c>
      <c r="K68" s="1204">
        <f t="shared" si="27"/>
        <v>279</v>
      </c>
      <c r="L68" s="1204">
        <f t="shared" si="27"/>
        <v>392</v>
      </c>
      <c r="M68" s="1204">
        <f t="shared" si="27"/>
        <v>267</v>
      </c>
      <c r="N68" s="1204">
        <f t="shared" si="27"/>
        <v>256</v>
      </c>
      <c r="O68" s="1204">
        <f t="shared" si="27"/>
        <v>573</v>
      </c>
      <c r="P68" s="1204">
        <f t="shared" si="27"/>
        <v>0</v>
      </c>
      <c r="Q68" s="1204">
        <f t="shared" si="1"/>
        <v>10282</v>
      </c>
      <c r="R68" s="62"/>
    </row>
    <row r="69" spans="1:18" ht="15.95" customHeight="1">
      <c r="A69" s="66" t="s">
        <v>158</v>
      </c>
      <c r="B69" s="1199" t="s">
        <v>149</v>
      </c>
      <c r="C69" s="1199"/>
      <c r="D69" s="62"/>
      <c r="E69" s="1181">
        <v>878</v>
      </c>
      <c r="F69" s="1181">
        <v>784</v>
      </c>
      <c r="G69" s="1181">
        <v>1503</v>
      </c>
      <c r="H69" s="1181"/>
      <c r="I69" s="1181"/>
      <c r="J69" s="1181"/>
      <c r="K69" s="1181"/>
      <c r="L69" s="1181"/>
      <c r="M69" s="1181"/>
      <c r="N69" s="1181"/>
      <c r="O69" s="1181"/>
      <c r="P69" s="1181"/>
      <c r="Q69" s="1204">
        <f t="shared" ref="Q69:Q75" si="28">SUM(E69:P69)</f>
        <v>3165</v>
      </c>
      <c r="R69" s="62"/>
    </row>
    <row r="70" spans="1:18" ht="15.95" customHeight="1">
      <c r="A70" s="66" t="s">
        <v>159</v>
      </c>
      <c r="B70" s="1199" t="s">
        <v>151</v>
      </c>
      <c r="C70" s="1199"/>
      <c r="D70" s="62"/>
      <c r="E70" s="1181">
        <v>868</v>
      </c>
      <c r="F70" s="1181">
        <v>1231</v>
      </c>
      <c r="G70" s="1181"/>
      <c r="H70" s="1181">
        <v>2631</v>
      </c>
      <c r="I70" s="1181"/>
      <c r="J70" s="1181"/>
      <c r="K70" s="1181"/>
      <c r="L70" s="1181"/>
      <c r="M70" s="1181"/>
      <c r="N70" s="1181"/>
      <c r="O70" s="1181"/>
      <c r="P70" s="1181"/>
      <c r="Q70" s="1204">
        <f t="shared" si="28"/>
        <v>4730</v>
      </c>
      <c r="R70" s="62"/>
    </row>
    <row r="71" spans="1:18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>
        <v>260</v>
      </c>
      <c r="J71" s="1181">
        <v>360</v>
      </c>
      <c r="K71" s="1181">
        <v>279</v>
      </c>
      <c r="L71" s="1181">
        <v>392</v>
      </c>
      <c r="M71" s="1181">
        <v>267</v>
      </c>
      <c r="N71" s="1181">
        <v>256</v>
      </c>
      <c r="O71" s="1181">
        <v>573</v>
      </c>
      <c r="P71" s="1181"/>
      <c r="Q71" s="1204">
        <f t="shared" si="28"/>
        <v>2387</v>
      </c>
      <c r="R71" s="62"/>
    </row>
    <row r="72" spans="1:18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204">
        <f t="shared" si="28"/>
        <v>0</v>
      </c>
      <c r="R72" s="62"/>
    </row>
    <row r="73" spans="1:18" ht="15.95" customHeight="1">
      <c r="A73" s="66" t="s">
        <v>162</v>
      </c>
      <c r="B73" s="61" t="s">
        <v>3122</v>
      </c>
      <c r="C73" s="61"/>
      <c r="D73" s="62"/>
      <c r="E73" s="1181">
        <v>185</v>
      </c>
      <c r="F73" s="1181">
        <v>2</v>
      </c>
      <c r="G73" s="1181">
        <v>2</v>
      </c>
      <c r="H73" s="1181">
        <v>31</v>
      </c>
      <c r="I73" s="1181"/>
      <c r="J73" s="1181"/>
      <c r="K73" s="1181"/>
      <c r="L73" s="1181">
        <v>1</v>
      </c>
      <c r="M73" s="1181">
        <v>14</v>
      </c>
      <c r="N73" s="1181">
        <v>2</v>
      </c>
      <c r="O73" s="1181"/>
      <c r="P73" s="1181">
        <v>11</v>
      </c>
      <c r="Q73" s="1204">
        <f t="shared" si="28"/>
        <v>248</v>
      </c>
      <c r="R73" s="62"/>
    </row>
    <row r="74" spans="1:18" ht="15.95" customHeight="1">
      <c r="A74" s="66" t="s">
        <v>3011</v>
      </c>
      <c r="B74" s="1199" t="s">
        <v>3123</v>
      </c>
      <c r="C74" s="1199"/>
      <c r="D74" s="67"/>
      <c r="E74" s="1180">
        <v>20160.86</v>
      </c>
      <c r="F74" s="1180">
        <v>20058.12</v>
      </c>
      <c r="G74" s="1180">
        <v>18593.849999999999</v>
      </c>
      <c r="H74" s="1180">
        <v>38088</v>
      </c>
      <c r="I74" s="1180">
        <v>5679</v>
      </c>
      <c r="J74" s="1180">
        <v>7350</v>
      </c>
      <c r="K74" s="1180">
        <v>7345.42</v>
      </c>
      <c r="L74" s="1180">
        <v>6138.83</v>
      </c>
      <c r="M74" s="1180">
        <v>4747</v>
      </c>
      <c r="N74" s="1180">
        <v>4956.18</v>
      </c>
      <c r="O74" s="1180">
        <v>11569</v>
      </c>
      <c r="P74" s="1180">
        <v>1355</v>
      </c>
      <c r="Q74" s="1201">
        <f t="shared" si="28"/>
        <v>146041.25999999998</v>
      </c>
      <c r="R74" s="62"/>
    </row>
    <row r="75" spans="1:18" ht="15.95" customHeight="1">
      <c r="A75" s="66" t="s">
        <v>3012</v>
      </c>
      <c r="B75" s="1199" t="s">
        <v>3124</v>
      </c>
      <c r="C75" s="1199"/>
      <c r="D75" s="67"/>
      <c r="E75" s="1180">
        <v>12152</v>
      </c>
      <c r="F75" s="1180">
        <v>14010</v>
      </c>
      <c r="G75" s="1180">
        <v>9821</v>
      </c>
      <c r="H75" s="1180">
        <v>20444</v>
      </c>
      <c r="I75" s="1180">
        <v>2613</v>
      </c>
      <c r="J75" s="1180">
        <v>3224</v>
      </c>
      <c r="K75" s="1180">
        <v>3402.3</v>
      </c>
      <c r="L75" s="1180">
        <v>2577</v>
      </c>
      <c r="M75" s="1180">
        <v>2560</v>
      </c>
      <c r="N75" s="1180">
        <v>1968</v>
      </c>
      <c r="O75" s="1180">
        <v>4725</v>
      </c>
      <c r="P75" s="1180">
        <v>1800</v>
      </c>
      <c r="Q75" s="1201">
        <f t="shared" si="28"/>
        <v>79296.3</v>
      </c>
      <c r="R75" s="62"/>
    </row>
    <row r="76" spans="1:18">
      <c r="E76" s="3" t="s">
        <v>3183</v>
      </c>
    </row>
    <row r="81" spans="5:16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</sheetData>
  <protectedRanges>
    <protectedRange password="E9C1" sqref="D31 C32 A6:D7 B8:D30 Q6:R75 B33:D75 A8:A75 A3:R5" name="区域1_1"/>
    <protectedRange password="E9C1" sqref="B31:C31 B32" name="区域1_1_1"/>
    <protectedRange password="E9C1" sqref="D32" name="区域1_2"/>
  </protectedRanges>
  <mergeCells count="7">
    <mergeCell ref="A1:R1"/>
    <mergeCell ref="A3:A4"/>
    <mergeCell ref="B3:B4"/>
    <mergeCell ref="C3:C4"/>
    <mergeCell ref="D3:D4"/>
    <mergeCell ref="Q3:Q4"/>
    <mergeCell ref="R3:R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B1" workbookViewId="0">
      <selection activeCell="J50" sqref="J50"/>
    </sheetView>
  </sheetViews>
  <sheetFormatPr defaultRowHeight="11.25"/>
  <cols>
    <col min="1" max="1" width="5.75" style="21" hidden="1" customWidth="1"/>
    <col min="2" max="2" width="33.25" style="3" customWidth="1"/>
    <col min="3" max="3" width="0" style="3" hidden="1" customWidth="1"/>
    <col min="4" max="4" width="9" style="1178" hidden="1" customWidth="1"/>
    <col min="5" max="5" width="13.375" style="3" customWidth="1"/>
    <col min="6" max="6" width="13.75" style="3" customWidth="1"/>
    <col min="7" max="7" width="14.25" style="3" customWidth="1"/>
    <col min="8" max="10" width="13.625" style="3" customWidth="1"/>
    <col min="11" max="11" width="13.125" style="3" customWidth="1"/>
    <col min="12" max="12" width="13.75" style="3" customWidth="1"/>
    <col min="13" max="13" width="14.625" style="3" customWidth="1"/>
    <col min="14" max="14" width="15.625" style="3" customWidth="1"/>
    <col min="15" max="15" width="15.625" style="3" hidden="1" customWidth="1"/>
    <col min="16" max="16384" width="9" style="3"/>
  </cols>
  <sheetData>
    <row r="1" spans="1:17" ht="24.95" customHeight="1">
      <c r="A1" s="1361" t="s">
        <v>3066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</row>
    <row r="2" spans="1:17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252" t="s">
        <v>3242</v>
      </c>
      <c r="O2" s="1184" t="s">
        <v>3000</v>
      </c>
    </row>
    <row r="3" spans="1:17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191" t="s">
        <v>410</v>
      </c>
      <c r="F3" s="1191" t="s">
        <v>273</v>
      </c>
      <c r="G3" s="1191" t="s">
        <v>405</v>
      </c>
      <c r="H3" s="1191" t="s">
        <v>411</v>
      </c>
      <c r="I3" s="1191" t="s">
        <v>409</v>
      </c>
      <c r="J3" s="1191" t="s">
        <v>407</v>
      </c>
      <c r="K3" s="1191" t="s">
        <v>408</v>
      </c>
      <c r="L3" s="1191" t="s">
        <v>412</v>
      </c>
      <c r="M3" s="1191" t="s">
        <v>406</v>
      </c>
      <c r="N3" s="1610" t="s">
        <v>17</v>
      </c>
      <c r="O3" s="1610" t="s">
        <v>18</v>
      </c>
    </row>
    <row r="4" spans="1:17" ht="24.95" customHeight="1">
      <c r="A4" s="1609"/>
      <c r="B4" s="1609"/>
      <c r="C4" s="1609"/>
      <c r="D4" s="1609"/>
      <c r="E4" s="1191" t="s">
        <v>2371</v>
      </c>
      <c r="F4" s="1191" t="s">
        <v>3071</v>
      </c>
      <c r="G4" s="1191" t="s">
        <v>460</v>
      </c>
      <c r="H4" s="1191" t="s">
        <v>2371</v>
      </c>
      <c r="I4" s="1191" t="s">
        <v>460</v>
      </c>
      <c r="J4" s="1191" t="s">
        <v>2371</v>
      </c>
      <c r="K4" s="1191" t="s">
        <v>460</v>
      </c>
      <c r="L4" s="1191" t="s">
        <v>2371</v>
      </c>
      <c r="M4" s="1191" t="s">
        <v>460</v>
      </c>
      <c r="N4" s="1611"/>
      <c r="O4" s="1611"/>
    </row>
    <row r="5" spans="1:17" ht="15" customHeight="1">
      <c r="A5" s="66" t="s">
        <v>19</v>
      </c>
      <c r="B5" s="61" t="s">
        <v>20</v>
      </c>
      <c r="C5" s="61"/>
      <c r="D5" s="62" t="s">
        <v>21</v>
      </c>
      <c r="E5" s="1185">
        <f t="shared" ref="E5:M5" si="0">E6+E33+E40</f>
        <v>43960712.409999996</v>
      </c>
      <c r="F5" s="1185">
        <f t="shared" si="0"/>
        <v>1680790.04</v>
      </c>
      <c r="G5" s="1185">
        <f t="shared" si="0"/>
        <v>6344018.5999999996</v>
      </c>
      <c r="H5" s="1185">
        <f t="shared" si="0"/>
        <v>32437992.780000001</v>
      </c>
      <c r="I5" s="1185">
        <f t="shared" si="0"/>
        <v>8117161.2200000007</v>
      </c>
      <c r="J5" s="1185">
        <f t="shared" si="0"/>
        <v>41335985.530000001</v>
      </c>
      <c r="K5" s="1185">
        <f t="shared" si="0"/>
        <v>9217298.6999999993</v>
      </c>
      <c r="L5" s="1185">
        <f t="shared" si="0"/>
        <v>12890665.950000001</v>
      </c>
      <c r="M5" s="1185">
        <f t="shared" si="0"/>
        <v>3744908.07</v>
      </c>
      <c r="N5" s="1201">
        <f t="shared" ref="N5:N68" si="1">SUM(E5:M5)</f>
        <v>159729533.29999998</v>
      </c>
      <c r="O5" s="62"/>
    </row>
    <row r="6" spans="1:17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28786531.649999999</v>
      </c>
      <c r="F6" s="1185">
        <f t="shared" ref="F6:M6" si="2">F7+F10+F14+F17+F22+F27+F29+F31+F32</f>
        <v>1331888.75</v>
      </c>
      <c r="G6" s="1185">
        <f t="shared" si="2"/>
        <v>4841030.17</v>
      </c>
      <c r="H6" s="1185">
        <f t="shared" si="2"/>
        <v>23711918.490000002</v>
      </c>
      <c r="I6" s="1185">
        <f t="shared" si="2"/>
        <v>5875091.3300000001</v>
      </c>
      <c r="J6" s="1185">
        <f t="shared" si="2"/>
        <v>28292482.109999999</v>
      </c>
      <c r="K6" s="1185">
        <f t="shared" si="2"/>
        <v>6805655.5599999996</v>
      </c>
      <c r="L6" s="1185">
        <f t="shared" si="2"/>
        <v>9945811.5500000007</v>
      </c>
      <c r="M6" s="1185">
        <f t="shared" si="2"/>
        <v>1774968.0699999998</v>
      </c>
      <c r="N6" s="1185">
        <f t="shared" si="1"/>
        <v>111365377.67999999</v>
      </c>
      <c r="O6" s="62"/>
    </row>
    <row r="7" spans="1:17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9191200</v>
      </c>
      <c r="F7" s="1185">
        <f t="shared" ref="F7:M7" si="3">F8+F9</f>
        <v>502590</v>
      </c>
      <c r="G7" s="1185">
        <f t="shared" si="3"/>
        <v>1743639</v>
      </c>
      <c r="H7" s="1185">
        <f t="shared" si="3"/>
        <v>7747988</v>
      </c>
      <c r="I7" s="1185">
        <f t="shared" si="3"/>
        <v>1933980</v>
      </c>
      <c r="J7" s="1185">
        <f t="shared" si="3"/>
        <v>8932047</v>
      </c>
      <c r="K7" s="1185">
        <f t="shared" si="3"/>
        <v>2191029</v>
      </c>
      <c r="L7" s="1185">
        <f t="shared" si="3"/>
        <v>3445050</v>
      </c>
      <c r="M7" s="1185">
        <f t="shared" si="3"/>
        <v>562837</v>
      </c>
      <c r="N7" s="1185">
        <f t="shared" si="1"/>
        <v>36250360</v>
      </c>
      <c r="O7" s="62"/>
    </row>
    <row r="8" spans="1:17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4873171</v>
      </c>
      <c r="F8" s="1180">
        <v>220854</v>
      </c>
      <c r="G8" s="1180">
        <v>881123</v>
      </c>
      <c r="H8" s="1180">
        <v>3779059</v>
      </c>
      <c r="I8" s="1180">
        <v>1118202</v>
      </c>
      <c r="J8" s="1180">
        <v>4676673</v>
      </c>
      <c r="K8" s="1180">
        <v>1278414</v>
      </c>
      <c r="L8" s="1180">
        <v>1941064</v>
      </c>
      <c r="M8" s="1180">
        <v>338289</v>
      </c>
      <c r="N8" s="1185">
        <f t="shared" si="1"/>
        <v>19106849</v>
      </c>
      <c r="O8" s="1192"/>
    </row>
    <row r="9" spans="1:17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4318029</v>
      </c>
      <c r="F9" s="1180">
        <v>281736</v>
      </c>
      <c r="G9" s="1180">
        <v>862516</v>
      </c>
      <c r="H9" s="1180">
        <v>3968929</v>
      </c>
      <c r="I9" s="1180">
        <v>815778</v>
      </c>
      <c r="J9" s="1180">
        <v>4255374</v>
      </c>
      <c r="K9" s="1180">
        <v>912615</v>
      </c>
      <c r="L9" s="1180">
        <v>1503986</v>
      </c>
      <c r="M9" s="1180">
        <v>224548</v>
      </c>
      <c r="N9" s="1185">
        <f t="shared" si="1"/>
        <v>17143511</v>
      </c>
      <c r="O9" s="62"/>
    </row>
    <row r="10" spans="1:17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784152</v>
      </c>
      <c r="F10" s="1185">
        <f t="shared" ref="F10:M10" si="4">F11+F12</f>
        <v>36294</v>
      </c>
      <c r="G10" s="1185">
        <f t="shared" si="4"/>
        <v>149564</v>
      </c>
      <c r="H10" s="1185">
        <f t="shared" si="4"/>
        <v>616167</v>
      </c>
      <c r="I10" s="1185">
        <f t="shared" si="4"/>
        <v>192756</v>
      </c>
      <c r="J10" s="1185">
        <f t="shared" si="4"/>
        <v>771574</v>
      </c>
      <c r="K10" s="1185">
        <f t="shared" si="4"/>
        <v>232070</v>
      </c>
      <c r="L10" s="1185">
        <f t="shared" si="4"/>
        <v>322866</v>
      </c>
      <c r="M10" s="1185">
        <f t="shared" si="4"/>
        <v>60978</v>
      </c>
      <c r="N10" s="1185">
        <f t="shared" si="1"/>
        <v>3166421</v>
      </c>
      <c r="O10" s="62"/>
    </row>
    <row r="11" spans="1:17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12392</v>
      </c>
      <c r="F11" s="1180">
        <v>654</v>
      </c>
      <c r="G11" s="1180">
        <v>2604</v>
      </c>
      <c r="H11" s="1180">
        <v>11607</v>
      </c>
      <c r="I11" s="1180">
        <v>2676</v>
      </c>
      <c r="J11" s="1180">
        <v>12134</v>
      </c>
      <c r="K11" s="1180">
        <v>14710</v>
      </c>
      <c r="L11" s="1180">
        <v>4746</v>
      </c>
      <c r="M11" s="1180">
        <v>698</v>
      </c>
      <c r="N11" s="1185">
        <f t="shared" si="1"/>
        <v>62221</v>
      </c>
      <c r="O11" s="62"/>
    </row>
    <row r="12" spans="1:17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771760</v>
      </c>
      <c r="F12" s="1185">
        <f t="shared" ref="F12:M12" si="5">F13</f>
        <v>35640</v>
      </c>
      <c r="G12" s="1185">
        <f t="shared" si="5"/>
        <v>146960</v>
      </c>
      <c r="H12" s="1185">
        <f t="shared" si="5"/>
        <v>604560</v>
      </c>
      <c r="I12" s="1185">
        <f t="shared" si="5"/>
        <v>190080</v>
      </c>
      <c r="J12" s="1185">
        <f t="shared" si="5"/>
        <v>759440</v>
      </c>
      <c r="K12" s="1185">
        <f t="shared" si="5"/>
        <v>217360</v>
      </c>
      <c r="L12" s="1185">
        <f t="shared" si="5"/>
        <v>318120</v>
      </c>
      <c r="M12" s="1185">
        <f t="shared" si="5"/>
        <v>60280</v>
      </c>
      <c r="N12" s="1185">
        <f t="shared" si="1"/>
        <v>3104200</v>
      </c>
      <c r="O12" s="62"/>
    </row>
    <row r="13" spans="1:17" ht="1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771760</v>
      </c>
      <c r="F13" s="1180">
        <v>35640</v>
      </c>
      <c r="G13" s="1180">
        <v>146960</v>
      </c>
      <c r="H13" s="1180">
        <v>604560</v>
      </c>
      <c r="I13" s="1180">
        <v>190080</v>
      </c>
      <c r="J13" s="1180">
        <v>759440</v>
      </c>
      <c r="K13" s="1180">
        <v>217360</v>
      </c>
      <c r="L13" s="1180">
        <v>318120</v>
      </c>
      <c r="M13" s="1180">
        <v>60280</v>
      </c>
      <c r="N13" s="1185">
        <f t="shared" si="1"/>
        <v>3104200</v>
      </c>
      <c r="O13" s="62"/>
    </row>
    <row r="14" spans="1:17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302556.92000000004</v>
      </c>
      <c r="F14" s="1185">
        <f t="shared" ref="F14:M14" si="6">F15+F16</f>
        <v>12596.99</v>
      </c>
      <c r="G14" s="1185">
        <f t="shared" si="6"/>
        <v>42316.05</v>
      </c>
      <c r="H14" s="1185">
        <f t="shared" si="6"/>
        <v>242035.21000000002</v>
      </c>
      <c r="I14" s="1185">
        <f t="shared" si="6"/>
        <v>63343.61</v>
      </c>
      <c r="J14" s="1185">
        <f t="shared" si="6"/>
        <v>292786.36</v>
      </c>
      <c r="K14" s="1185">
        <f t="shared" si="6"/>
        <v>75155.64</v>
      </c>
      <c r="L14" s="1185">
        <f t="shared" si="6"/>
        <v>91652.78</v>
      </c>
      <c r="M14" s="1185">
        <f t="shared" si="6"/>
        <v>13817.95</v>
      </c>
      <c r="N14" s="1185">
        <f t="shared" si="1"/>
        <v>1136261.51</v>
      </c>
      <c r="O14" s="62"/>
    </row>
    <row r="15" spans="1:17" ht="1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116823.1</v>
      </c>
      <c r="F15" s="1180">
        <v>3554.16</v>
      </c>
      <c r="G15" s="1180">
        <v>11950.81</v>
      </c>
      <c r="H15" s="1180">
        <v>93463.76</v>
      </c>
      <c r="I15" s="1180">
        <v>24468.61</v>
      </c>
      <c r="J15" s="1180">
        <v>113076.56</v>
      </c>
      <c r="K15" s="1180">
        <v>29025.09</v>
      </c>
      <c r="L15" s="1180">
        <v>25879.88</v>
      </c>
      <c r="M15" s="1180">
        <v>3698.5</v>
      </c>
      <c r="N15" s="1185">
        <f t="shared" si="1"/>
        <v>421940.47000000003</v>
      </c>
      <c r="O15" s="62"/>
      <c r="Q15" s="24"/>
    </row>
    <row r="16" spans="1:17" ht="1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185733.82</v>
      </c>
      <c r="F16" s="1180">
        <v>9042.83</v>
      </c>
      <c r="G16" s="1180">
        <v>30365.24</v>
      </c>
      <c r="H16" s="1180">
        <v>148571.45000000001</v>
      </c>
      <c r="I16" s="1180">
        <v>38875</v>
      </c>
      <c r="J16" s="1180">
        <v>179709.8</v>
      </c>
      <c r="K16" s="1180">
        <v>46130.55</v>
      </c>
      <c r="L16" s="1180">
        <v>65772.899999999994</v>
      </c>
      <c r="M16" s="1180">
        <v>10119.450000000001</v>
      </c>
      <c r="N16" s="1185">
        <f t="shared" si="1"/>
        <v>714321.03999999992</v>
      </c>
      <c r="O16" s="62"/>
      <c r="Q16" s="24"/>
    </row>
    <row r="17" spans="1:17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3206035</v>
      </c>
      <c r="F17" s="1185">
        <f t="shared" ref="F17:M17" si="7">F18+F19+F20+F21</f>
        <v>40500</v>
      </c>
      <c r="G17" s="1185">
        <f t="shared" si="7"/>
        <v>403836</v>
      </c>
      <c r="H17" s="1185">
        <f t="shared" si="7"/>
        <v>2894546.5</v>
      </c>
      <c r="I17" s="1185">
        <f t="shared" si="7"/>
        <v>464104</v>
      </c>
      <c r="J17" s="1185">
        <f t="shared" si="7"/>
        <v>3548873.75</v>
      </c>
      <c r="K17" s="1185">
        <f t="shared" si="7"/>
        <v>499304</v>
      </c>
      <c r="L17" s="1185">
        <f t="shared" si="7"/>
        <v>648256</v>
      </c>
      <c r="M17" s="1185">
        <f t="shared" si="7"/>
        <v>292552</v>
      </c>
      <c r="N17" s="1185">
        <f t="shared" si="1"/>
        <v>11998007.25</v>
      </c>
      <c r="O17" s="62"/>
    </row>
    <row r="18" spans="1:17" ht="1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5">
        <f t="shared" si="1"/>
        <v>0</v>
      </c>
      <c r="O18" s="62"/>
    </row>
    <row r="19" spans="1:17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376848</v>
      </c>
      <c r="F19" s="1180"/>
      <c r="G19" s="1180">
        <v>236836</v>
      </c>
      <c r="H19" s="1180">
        <v>566388</v>
      </c>
      <c r="I19" s="1180">
        <v>248104</v>
      </c>
      <c r="J19" s="1180">
        <v>695308</v>
      </c>
      <c r="K19" s="1180">
        <v>246304</v>
      </c>
      <c r="L19" s="1180">
        <v>286756</v>
      </c>
      <c r="M19" s="1180">
        <v>224052</v>
      </c>
      <c r="N19" s="1185">
        <f t="shared" si="1"/>
        <v>2880596</v>
      </c>
      <c r="O19" s="62"/>
    </row>
    <row r="20" spans="1:17" ht="1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877000</v>
      </c>
      <c r="F20" s="1180">
        <v>40500</v>
      </c>
      <c r="G20" s="1180">
        <v>167000</v>
      </c>
      <c r="H20" s="1180">
        <v>688000</v>
      </c>
      <c r="I20" s="1180">
        <v>216000</v>
      </c>
      <c r="J20" s="1180">
        <v>862500</v>
      </c>
      <c r="K20" s="1180">
        <v>253000</v>
      </c>
      <c r="L20" s="1180">
        <v>361500</v>
      </c>
      <c r="M20" s="1180">
        <v>68500</v>
      </c>
      <c r="N20" s="1185">
        <f t="shared" si="1"/>
        <v>3534000</v>
      </c>
      <c r="O20" s="62"/>
    </row>
    <row r="21" spans="1:17" ht="1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1952187</v>
      </c>
      <c r="F21" s="1180"/>
      <c r="G21" s="1180"/>
      <c r="H21" s="1180">
        <v>1640158.5</v>
      </c>
      <c r="I21" s="1180"/>
      <c r="J21" s="1180">
        <v>1991065.75</v>
      </c>
      <c r="K21" s="1180"/>
      <c r="L21" s="1180"/>
      <c r="M21" s="1180"/>
      <c r="N21" s="1185">
        <f t="shared" si="1"/>
        <v>5583411.25</v>
      </c>
      <c r="O21" s="62"/>
    </row>
    <row r="22" spans="1:17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3743407.4099999997</v>
      </c>
      <c r="F22" s="1185">
        <f t="shared" ref="F22:M22" si="8">F23+F24</f>
        <v>179764.89</v>
      </c>
      <c r="G22" s="1185">
        <f t="shared" si="8"/>
        <v>608105.75</v>
      </c>
      <c r="H22" s="1185">
        <f t="shared" si="8"/>
        <v>2960209.09</v>
      </c>
      <c r="I22" s="1185">
        <f t="shared" si="8"/>
        <v>795660.12</v>
      </c>
      <c r="J22" s="1185">
        <f t="shared" si="8"/>
        <v>3569462.27</v>
      </c>
      <c r="K22" s="1185">
        <f t="shared" si="8"/>
        <v>919687.46</v>
      </c>
      <c r="L22" s="1185">
        <f t="shared" si="8"/>
        <v>1335090.29</v>
      </c>
      <c r="M22" s="1185">
        <f t="shared" si="8"/>
        <v>194718.19</v>
      </c>
      <c r="N22" s="1185">
        <f t="shared" si="1"/>
        <v>14306105.469999997</v>
      </c>
      <c r="O22" s="62"/>
    </row>
    <row r="23" spans="1:17" ht="1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3343205.05</v>
      </c>
      <c r="F23" s="1180">
        <v>162769.89000000001</v>
      </c>
      <c r="G23" s="1180">
        <v>546573.82999999996</v>
      </c>
      <c r="H23" s="1180">
        <v>2673341.31</v>
      </c>
      <c r="I23" s="1180">
        <v>699735.2</v>
      </c>
      <c r="J23" s="1180">
        <v>3234772.27</v>
      </c>
      <c r="K23" s="1180">
        <v>830347.46</v>
      </c>
      <c r="L23" s="1180">
        <v>1183904.97</v>
      </c>
      <c r="M23" s="1180">
        <v>182148.19</v>
      </c>
      <c r="N23" s="1185">
        <f t="shared" si="1"/>
        <v>12856798.170000002</v>
      </c>
      <c r="O23" s="62"/>
      <c r="Q23" s="24"/>
    </row>
    <row r="24" spans="1:17" ht="1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400202.36</v>
      </c>
      <c r="F24" s="1185">
        <f t="shared" ref="F24:M24" si="9">F25+F26</f>
        <v>16995</v>
      </c>
      <c r="G24" s="1185">
        <f t="shared" si="9"/>
        <v>61531.92</v>
      </c>
      <c r="H24" s="1185">
        <f t="shared" si="9"/>
        <v>286867.78000000003</v>
      </c>
      <c r="I24" s="1185">
        <f t="shared" si="9"/>
        <v>95924.92</v>
      </c>
      <c r="J24" s="1185">
        <f t="shared" si="9"/>
        <v>334690</v>
      </c>
      <c r="K24" s="1185">
        <f t="shared" si="9"/>
        <v>89340</v>
      </c>
      <c r="L24" s="1185">
        <f t="shared" si="9"/>
        <v>151185.32</v>
      </c>
      <c r="M24" s="1185">
        <f t="shared" si="9"/>
        <v>12570</v>
      </c>
      <c r="N24" s="1185">
        <f t="shared" si="1"/>
        <v>1449307.3</v>
      </c>
      <c r="O24" s="62"/>
    </row>
    <row r="25" spans="1:17" ht="1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f>11002.36+700</f>
        <v>11702.36</v>
      </c>
      <c r="F25" s="1180"/>
      <c r="G25" s="1180">
        <v>16.920000000000002</v>
      </c>
      <c r="H25" s="1180">
        <v>7397.78</v>
      </c>
      <c r="I25" s="1180">
        <v>13889.92</v>
      </c>
      <c r="J25" s="1180">
        <v>2800</v>
      </c>
      <c r="K25" s="1180"/>
      <c r="L25" s="1180">
        <v>19635.32</v>
      </c>
      <c r="M25" s="1180"/>
      <c r="N25" s="1185">
        <f t="shared" si="1"/>
        <v>55442.3</v>
      </c>
      <c r="O25" s="62"/>
    </row>
    <row r="26" spans="1:17" ht="1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388500</v>
      </c>
      <c r="F26" s="1180">
        <v>16995</v>
      </c>
      <c r="G26" s="1180">
        <v>61515</v>
      </c>
      <c r="H26" s="1180">
        <v>279470</v>
      </c>
      <c r="I26" s="1180">
        <v>82035</v>
      </c>
      <c r="J26" s="1180">
        <v>331890</v>
      </c>
      <c r="K26" s="1180">
        <v>89340</v>
      </c>
      <c r="L26" s="1180">
        <v>131550</v>
      </c>
      <c r="M26" s="1180">
        <v>12570</v>
      </c>
      <c r="N26" s="1185">
        <f t="shared" si="1"/>
        <v>1393865</v>
      </c>
      <c r="O26" s="62"/>
    </row>
    <row r="27" spans="1:17" ht="1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M27" si="10">E28</f>
        <v>5943474.8799999999</v>
      </c>
      <c r="F27" s="1185">
        <f t="shared" si="10"/>
        <v>289368.57</v>
      </c>
      <c r="G27" s="1185">
        <f t="shared" si="10"/>
        <v>971686.31</v>
      </c>
      <c r="H27" s="1185">
        <f t="shared" si="10"/>
        <v>4753945.4000000004</v>
      </c>
      <c r="I27" s="1185">
        <f t="shared" si="10"/>
        <v>1243970.3999999999</v>
      </c>
      <c r="J27" s="1185">
        <f t="shared" si="10"/>
        <v>5743841.7599999998</v>
      </c>
      <c r="K27" s="1185">
        <f t="shared" si="10"/>
        <v>1488972.99</v>
      </c>
      <c r="L27" s="1185">
        <f t="shared" si="10"/>
        <v>2104718.86</v>
      </c>
      <c r="M27" s="1185">
        <f t="shared" si="10"/>
        <v>323818.69</v>
      </c>
      <c r="N27" s="1185">
        <f t="shared" si="1"/>
        <v>22863797.859999999</v>
      </c>
      <c r="O27" s="62"/>
    </row>
    <row r="28" spans="1:17" ht="1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5943474.8799999999</v>
      </c>
      <c r="F28" s="1180">
        <v>289368.57</v>
      </c>
      <c r="G28" s="1180">
        <v>971686.31</v>
      </c>
      <c r="H28" s="1180">
        <v>4753945.4000000004</v>
      </c>
      <c r="I28" s="1180">
        <v>1243970.3999999999</v>
      </c>
      <c r="J28" s="1180">
        <v>5743841.7599999998</v>
      </c>
      <c r="K28" s="1180">
        <v>1488972.99</v>
      </c>
      <c r="L28" s="1180">
        <v>2104718.86</v>
      </c>
      <c r="M28" s="1180">
        <v>323818.69</v>
      </c>
      <c r="N28" s="1185">
        <f t="shared" si="1"/>
        <v>22863797.859999999</v>
      </c>
      <c r="O28" s="62"/>
      <c r="Q28" s="24"/>
    </row>
    <row r="29" spans="1:17" ht="1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M29" si="11">E30</f>
        <v>2971737.44</v>
      </c>
      <c r="F29" s="1185">
        <f t="shared" si="11"/>
        <v>144684.29999999999</v>
      </c>
      <c r="G29" s="1185">
        <f t="shared" si="11"/>
        <v>485843.06</v>
      </c>
      <c r="H29" s="1185">
        <f t="shared" si="11"/>
        <v>2379903.29</v>
      </c>
      <c r="I29" s="1185">
        <f t="shared" si="11"/>
        <v>621985.19999999995</v>
      </c>
      <c r="J29" s="1185">
        <f t="shared" si="11"/>
        <v>2868667.97</v>
      </c>
      <c r="K29" s="1185">
        <f t="shared" si="11"/>
        <v>738086.47</v>
      </c>
      <c r="L29" s="1185">
        <f t="shared" si="11"/>
        <v>1052389.6200000001</v>
      </c>
      <c r="M29" s="1185">
        <f t="shared" si="11"/>
        <v>161909.24</v>
      </c>
      <c r="N29" s="1185">
        <f t="shared" si="1"/>
        <v>11425206.590000002</v>
      </c>
      <c r="O29" s="62"/>
    </row>
    <row r="30" spans="1:17" ht="1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2971737.44</v>
      </c>
      <c r="F30" s="1180">
        <v>144684.29999999999</v>
      </c>
      <c r="G30" s="1180">
        <v>485843.06</v>
      </c>
      <c r="H30" s="1180">
        <v>2379903.29</v>
      </c>
      <c r="I30" s="1180">
        <v>621985.19999999995</v>
      </c>
      <c r="J30" s="1180">
        <v>2868667.97</v>
      </c>
      <c r="K30" s="1180">
        <v>738086.47</v>
      </c>
      <c r="L30" s="1180">
        <v>1052389.6200000001</v>
      </c>
      <c r="M30" s="1180">
        <v>161909.24</v>
      </c>
      <c r="N30" s="1185">
        <f t="shared" si="1"/>
        <v>11425206.590000002</v>
      </c>
      <c r="O30" s="62"/>
      <c r="Q30" s="24"/>
    </row>
    <row r="31" spans="1:17" ht="1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2592968</v>
      </c>
      <c r="F31" s="1180">
        <v>124590</v>
      </c>
      <c r="G31" s="1180">
        <v>427040</v>
      </c>
      <c r="H31" s="1180">
        <v>2075624</v>
      </c>
      <c r="I31" s="1180">
        <v>545292</v>
      </c>
      <c r="J31" s="1180">
        <v>2514229</v>
      </c>
      <c r="K31" s="1180">
        <v>645850</v>
      </c>
      <c r="L31" s="1180">
        <v>924288</v>
      </c>
      <c r="M31" s="1180">
        <v>164337</v>
      </c>
      <c r="N31" s="1185">
        <f t="shared" si="1"/>
        <v>10014218</v>
      </c>
      <c r="O31" s="62"/>
      <c r="Q31" s="24"/>
    </row>
    <row r="32" spans="1:17" ht="1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51000</v>
      </c>
      <c r="F32" s="1180">
        <v>1500</v>
      </c>
      <c r="G32" s="1180">
        <v>9000</v>
      </c>
      <c r="H32" s="1180">
        <v>41500</v>
      </c>
      <c r="I32" s="1180">
        <v>14000</v>
      </c>
      <c r="J32" s="1180">
        <v>51000</v>
      </c>
      <c r="K32" s="1180">
        <v>15500</v>
      </c>
      <c r="L32" s="1180">
        <v>21500</v>
      </c>
      <c r="M32" s="1180">
        <v>0</v>
      </c>
      <c r="N32" s="1185">
        <f t="shared" si="1"/>
        <v>205000</v>
      </c>
      <c r="O32" s="62"/>
    </row>
    <row r="33" spans="1:15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3156735</v>
      </c>
      <c r="F33" s="1185">
        <f t="shared" ref="F33:M33" si="12">F34+F36+F38</f>
        <v>57240</v>
      </c>
      <c r="G33" s="1185">
        <f t="shared" si="12"/>
        <v>184440</v>
      </c>
      <c r="H33" s="1185">
        <f t="shared" si="12"/>
        <v>1839430</v>
      </c>
      <c r="I33" s="1185">
        <f t="shared" si="12"/>
        <v>259620</v>
      </c>
      <c r="J33" s="1185">
        <f t="shared" si="12"/>
        <v>2289480</v>
      </c>
      <c r="K33" s="1185">
        <f t="shared" si="12"/>
        <v>42470</v>
      </c>
      <c r="L33" s="1185">
        <f t="shared" si="12"/>
        <v>234370</v>
      </c>
      <c r="M33" s="1185">
        <f t="shared" si="12"/>
        <v>120</v>
      </c>
      <c r="N33" s="1185">
        <f t="shared" si="1"/>
        <v>8063905</v>
      </c>
      <c r="O33" s="62"/>
    </row>
    <row r="34" spans="1:15" ht="1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3153495</v>
      </c>
      <c r="F34" s="1185">
        <f t="shared" ref="F34:M34" si="13">F35</f>
        <v>57240</v>
      </c>
      <c r="G34" s="1185">
        <f t="shared" si="13"/>
        <v>184440</v>
      </c>
      <c r="H34" s="1185">
        <f t="shared" si="13"/>
        <v>1834780</v>
      </c>
      <c r="I34" s="1185">
        <f t="shared" si="13"/>
        <v>256380</v>
      </c>
      <c r="J34" s="1185">
        <f t="shared" si="13"/>
        <v>2285400</v>
      </c>
      <c r="K34" s="1185">
        <f t="shared" si="13"/>
        <v>41030</v>
      </c>
      <c r="L34" s="1185">
        <f t="shared" si="13"/>
        <v>231550</v>
      </c>
      <c r="M34" s="1185">
        <f t="shared" si="13"/>
        <v>0</v>
      </c>
      <c r="N34" s="1185">
        <f t="shared" si="1"/>
        <v>8044315</v>
      </c>
      <c r="O34" s="62"/>
    </row>
    <row r="35" spans="1:15" ht="1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3153495</v>
      </c>
      <c r="F35" s="1180">
        <v>57240</v>
      </c>
      <c r="G35" s="1180">
        <v>184440</v>
      </c>
      <c r="H35" s="1180">
        <f>1534780+300000</f>
        <v>1834780</v>
      </c>
      <c r="I35" s="1180">
        <v>256380</v>
      </c>
      <c r="J35" s="1180">
        <v>2285400</v>
      </c>
      <c r="K35" s="1180">
        <v>41030</v>
      </c>
      <c r="L35" s="1180">
        <v>231550</v>
      </c>
      <c r="M35" s="1180"/>
      <c r="N35" s="1185">
        <f t="shared" si="1"/>
        <v>8044315</v>
      </c>
      <c r="O35" s="62"/>
    </row>
    <row r="36" spans="1:15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3240</v>
      </c>
      <c r="F36" s="1185">
        <f t="shared" ref="F36:M36" si="14">F37</f>
        <v>0</v>
      </c>
      <c r="G36" s="1185">
        <f t="shared" si="14"/>
        <v>0</v>
      </c>
      <c r="H36" s="1185">
        <f t="shared" si="14"/>
        <v>4650</v>
      </c>
      <c r="I36" s="1185">
        <f t="shared" si="14"/>
        <v>3240</v>
      </c>
      <c r="J36" s="1185">
        <f t="shared" si="14"/>
        <v>4080</v>
      </c>
      <c r="K36" s="1185">
        <f t="shared" si="14"/>
        <v>1440</v>
      </c>
      <c r="L36" s="1185">
        <f t="shared" si="14"/>
        <v>2820</v>
      </c>
      <c r="M36" s="1185">
        <f t="shared" si="14"/>
        <v>120</v>
      </c>
      <c r="N36" s="1185">
        <f t="shared" si="1"/>
        <v>19590</v>
      </c>
      <c r="O36" s="62"/>
    </row>
    <row r="37" spans="1:15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3240</v>
      </c>
      <c r="F37" s="1180"/>
      <c r="G37" s="1180"/>
      <c r="H37" s="1180">
        <v>4650</v>
      </c>
      <c r="I37" s="1180">
        <v>3240</v>
      </c>
      <c r="J37" s="1180">
        <v>4080</v>
      </c>
      <c r="K37" s="1180">
        <v>1440</v>
      </c>
      <c r="L37" s="1180">
        <v>2820</v>
      </c>
      <c r="M37" s="1180">
        <v>120</v>
      </c>
      <c r="N37" s="1185">
        <f t="shared" si="1"/>
        <v>19590</v>
      </c>
      <c r="O37" s="62"/>
    </row>
    <row r="38" spans="1:15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M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"/>
        <v>0</v>
      </c>
      <c r="O38" s="62"/>
    </row>
    <row r="39" spans="1:15" ht="1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5">
        <f t="shared" si="1"/>
        <v>0</v>
      </c>
      <c r="O39" s="62"/>
    </row>
    <row r="40" spans="1:15" ht="1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M40" si="16">E41+E43+E45+E47+E49+E52+E54+E56+E60</f>
        <v>12017445.76</v>
      </c>
      <c r="F40" s="1185">
        <f t="shared" si="16"/>
        <v>291661.28999999998</v>
      </c>
      <c r="G40" s="1185">
        <f t="shared" si="16"/>
        <v>1318548.43</v>
      </c>
      <c r="H40" s="1185">
        <f t="shared" si="16"/>
        <v>6886644.29</v>
      </c>
      <c r="I40" s="1185">
        <f t="shared" si="16"/>
        <v>1982449.8900000001</v>
      </c>
      <c r="J40" s="1185">
        <f t="shared" si="16"/>
        <v>10754023.42</v>
      </c>
      <c r="K40" s="1185">
        <f t="shared" si="16"/>
        <v>2369173.14</v>
      </c>
      <c r="L40" s="1185">
        <f t="shared" si="16"/>
        <v>2710484.4</v>
      </c>
      <c r="M40" s="1185">
        <f t="shared" si="16"/>
        <v>1969820</v>
      </c>
      <c r="N40" s="1185">
        <f t="shared" si="1"/>
        <v>40300250.619999997</v>
      </c>
      <c r="O40" s="62"/>
    </row>
    <row r="41" spans="1:15" ht="15" customHeight="1">
      <c r="A41" s="66" t="s">
        <v>99</v>
      </c>
      <c r="B41" s="61" t="s">
        <v>100</v>
      </c>
      <c r="C41" s="61"/>
      <c r="D41" s="62" t="s">
        <v>101</v>
      </c>
      <c r="E41" s="1180">
        <v>9345295</v>
      </c>
      <c r="F41" s="1180">
        <v>156800</v>
      </c>
      <c r="G41" s="1180">
        <v>898030</v>
      </c>
      <c r="H41" s="1180">
        <v>5073385</v>
      </c>
      <c r="I41" s="1180">
        <v>1422850</v>
      </c>
      <c r="J41" s="1180">
        <v>8259515</v>
      </c>
      <c r="K41" s="1180">
        <v>1723140</v>
      </c>
      <c r="L41" s="1180">
        <v>1981930</v>
      </c>
      <c r="M41" s="1180">
        <v>1716000</v>
      </c>
      <c r="N41" s="1185">
        <f t="shared" si="1"/>
        <v>30576945</v>
      </c>
      <c r="O41" s="62"/>
    </row>
    <row r="42" spans="1:15" ht="1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467264.75</v>
      </c>
      <c r="F42" s="1180">
        <v>7840</v>
      </c>
      <c r="G42" s="1180">
        <v>44901.5</v>
      </c>
      <c r="H42" s="1180">
        <v>253669.25</v>
      </c>
      <c r="I42" s="1180">
        <v>59631</v>
      </c>
      <c r="J42" s="1180">
        <v>412975.75</v>
      </c>
      <c r="K42" s="1180">
        <v>71070.5</v>
      </c>
      <c r="L42" s="1180">
        <v>99096.5</v>
      </c>
      <c r="M42" s="1180">
        <v>28385.5</v>
      </c>
      <c r="N42" s="1185">
        <f t="shared" si="1"/>
        <v>1444834.75</v>
      </c>
      <c r="O42" s="62"/>
    </row>
    <row r="43" spans="1:15" ht="15" customHeight="1">
      <c r="A43" s="66" t="s">
        <v>106</v>
      </c>
      <c r="B43" s="61" t="s">
        <v>107</v>
      </c>
      <c r="C43" s="61"/>
      <c r="D43" s="62"/>
      <c r="E43" s="1185">
        <f>E44</f>
        <v>58400</v>
      </c>
      <c r="F43" s="1185">
        <f t="shared" ref="F43:M43" si="17">F44</f>
        <v>2800</v>
      </c>
      <c r="G43" s="1185">
        <f t="shared" si="17"/>
        <v>11600</v>
      </c>
      <c r="H43" s="1185">
        <f t="shared" si="17"/>
        <v>46000</v>
      </c>
      <c r="I43" s="1185">
        <f t="shared" si="17"/>
        <v>14400</v>
      </c>
      <c r="J43" s="1185">
        <f t="shared" si="17"/>
        <v>57600</v>
      </c>
      <c r="K43" s="1185">
        <f t="shared" si="17"/>
        <v>17200</v>
      </c>
      <c r="L43" s="1185">
        <f t="shared" si="17"/>
        <v>24000</v>
      </c>
      <c r="M43" s="1185">
        <f t="shared" si="17"/>
        <v>4560</v>
      </c>
      <c r="N43" s="1185">
        <f t="shared" si="1"/>
        <v>236560</v>
      </c>
      <c r="O43" s="62"/>
    </row>
    <row r="44" spans="1:15" ht="15" customHeight="1">
      <c r="A44" s="66">
        <v>56</v>
      </c>
      <c r="B44" s="61" t="s">
        <v>109</v>
      </c>
      <c r="C44" s="61" t="s">
        <v>27</v>
      </c>
      <c r="D44" s="67" t="s">
        <v>3152</v>
      </c>
      <c r="E44" s="1180">
        <v>58400</v>
      </c>
      <c r="F44" s="1180">
        <v>2800</v>
      </c>
      <c r="G44" s="1180">
        <v>11600</v>
      </c>
      <c r="H44" s="1180">
        <v>46000</v>
      </c>
      <c r="I44" s="1180">
        <v>14400</v>
      </c>
      <c r="J44" s="1180">
        <v>57600</v>
      </c>
      <c r="K44" s="1180">
        <v>17200</v>
      </c>
      <c r="L44" s="1180">
        <v>24000</v>
      </c>
      <c r="M44" s="1180">
        <v>4560</v>
      </c>
      <c r="N44" s="1185">
        <f t="shared" si="1"/>
        <v>236560</v>
      </c>
      <c r="O44" s="62"/>
    </row>
    <row r="45" spans="1:15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281524.05</v>
      </c>
      <c r="F45" s="1185">
        <f t="shared" ref="F45:M45" si="18">F46</f>
        <v>0</v>
      </c>
      <c r="G45" s="1185">
        <f t="shared" si="18"/>
        <v>64068.6</v>
      </c>
      <c r="H45" s="1185">
        <f t="shared" si="18"/>
        <v>174225</v>
      </c>
      <c r="I45" s="1185">
        <f t="shared" si="18"/>
        <v>97749.75</v>
      </c>
      <c r="J45" s="1185">
        <f t="shared" si="18"/>
        <v>371567.5</v>
      </c>
      <c r="K45" s="1185">
        <f t="shared" si="18"/>
        <v>162938.4</v>
      </c>
      <c r="L45" s="1185">
        <f t="shared" si="18"/>
        <v>58073.4</v>
      </c>
      <c r="M45" s="1185">
        <f t="shared" si="18"/>
        <v>93315</v>
      </c>
      <c r="N45" s="1185">
        <f t="shared" si="1"/>
        <v>1303461.6999999997</v>
      </c>
      <c r="O45" s="62"/>
    </row>
    <row r="46" spans="1:15" ht="1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281524.05</v>
      </c>
      <c r="F46" s="1180"/>
      <c r="G46" s="1180">
        <v>64068.6</v>
      </c>
      <c r="H46" s="1180">
        <v>174225</v>
      </c>
      <c r="I46" s="1180">
        <v>97749.75</v>
      </c>
      <c r="J46" s="1180">
        <f>436567.5-65000</f>
        <v>371567.5</v>
      </c>
      <c r="K46" s="1180">
        <v>162938.4</v>
      </c>
      <c r="L46" s="1180">
        <v>58073.4</v>
      </c>
      <c r="M46" s="1180">
        <f>118315-25000</f>
        <v>93315</v>
      </c>
      <c r="N46" s="1185">
        <f t="shared" si="1"/>
        <v>1303461.6999999997</v>
      </c>
      <c r="O46" s="62"/>
    </row>
    <row r="47" spans="1:15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144000</v>
      </c>
      <c r="F47" s="1185">
        <f t="shared" ref="F47:M47" si="19">F48</f>
        <v>28739</v>
      </c>
      <c r="G47" s="1185">
        <f t="shared" si="19"/>
        <v>23898.400000000001</v>
      </c>
      <c r="H47" s="1185">
        <f t="shared" si="19"/>
        <v>96000</v>
      </c>
      <c r="I47" s="1185">
        <f t="shared" si="19"/>
        <v>37600</v>
      </c>
      <c r="J47" s="1185">
        <f t="shared" si="19"/>
        <v>100900.8</v>
      </c>
      <c r="K47" s="1185">
        <f t="shared" si="19"/>
        <v>50073.599999999999</v>
      </c>
      <c r="L47" s="1185">
        <f t="shared" si="19"/>
        <v>33100</v>
      </c>
      <c r="M47" s="1185">
        <f t="shared" si="19"/>
        <v>27672</v>
      </c>
      <c r="N47" s="1185">
        <f t="shared" si="1"/>
        <v>541983.80000000005</v>
      </c>
      <c r="O47" s="62"/>
    </row>
    <row r="48" spans="1:15" ht="1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144000</v>
      </c>
      <c r="F48" s="1180">
        <v>28739</v>
      </c>
      <c r="G48" s="1180">
        <v>23898.400000000001</v>
      </c>
      <c r="H48" s="1180">
        <v>96000</v>
      </c>
      <c r="I48" s="1180">
        <v>37600</v>
      </c>
      <c r="J48" s="1180">
        <v>100900.8</v>
      </c>
      <c r="K48" s="1180">
        <v>50073.599999999999</v>
      </c>
      <c r="L48" s="1180">
        <v>33100</v>
      </c>
      <c r="M48" s="1180">
        <v>27672</v>
      </c>
      <c r="N48" s="1185">
        <f t="shared" si="1"/>
        <v>541983.80000000005</v>
      </c>
      <c r="O48" s="62"/>
    </row>
    <row r="49" spans="1:15" ht="1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1355400</v>
      </c>
      <c r="F49" s="1185">
        <f t="shared" ref="F49:M49" si="20">F50+F51</f>
        <v>45360</v>
      </c>
      <c r="G49" s="1185">
        <f t="shared" si="20"/>
        <v>167760</v>
      </c>
      <c r="H49" s="1185">
        <f t="shared" si="20"/>
        <v>856080</v>
      </c>
      <c r="I49" s="1185">
        <f t="shared" si="20"/>
        <v>216000</v>
      </c>
      <c r="J49" s="1185">
        <f t="shared" si="20"/>
        <v>1150560</v>
      </c>
      <c r="K49" s="1185">
        <f t="shared" si="20"/>
        <v>194400</v>
      </c>
      <c r="L49" s="1185">
        <f t="shared" si="20"/>
        <v>317160</v>
      </c>
      <c r="M49" s="1185">
        <f t="shared" si="20"/>
        <v>49320</v>
      </c>
      <c r="N49" s="1185">
        <f t="shared" si="1"/>
        <v>4352040</v>
      </c>
      <c r="O49" s="62"/>
    </row>
    <row r="50" spans="1:15" ht="1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631440</v>
      </c>
      <c r="F50" s="1180">
        <v>30240</v>
      </c>
      <c r="G50" s="1180">
        <v>120240</v>
      </c>
      <c r="H50" s="1180">
        <v>501120</v>
      </c>
      <c r="I50" s="1180">
        <v>155520</v>
      </c>
      <c r="J50" s="1180">
        <v>621360</v>
      </c>
      <c r="K50" s="1180">
        <v>182160</v>
      </c>
      <c r="L50" s="1180">
        <v>260280</v>
      </c>
      <c r="M50" s="1180">
        <v>49320</v>
      </c>
      <c r="N50" s="1185">
        <f t="shared" si="1"/>
        <v>2551680</v>
      </c>
      <c r="O50" s="62"/>
    </row>
    <row r="51" spans="1:15" ht="1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723960</v>
      </c>
      <c r="F51" s="1180">
        <v>15120</v>
      </c>
      <c r="G51" s="1180">
        <v>47520</v>
      </c>
      <c r="H51" s="1180">
        <v>354960</v>
      </c>
      <c r="I51" s="1180">
        <v>60480</v>
      </c>
      <c r="J51" s="1180">
        <v>529200</v>
      </c>
      <c r="K51" s="1180">
        <v>12240</v>
      </c>
      <c r="L51" s="1180">
        <v>56880</v>
      </c>
      <c r="M51" s="1180"/>
      <c r="N51" s="1185">
        <f t="shared" si="1"/>
        <v>1800360</v>
      </c>
      <c r="O51" s="62"/>
    </row>
    <row r="52" spans="1:15" ht="1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743574.86</v>
      </c>
      <c r="F52" s="1185">
        <f t="shared" ref="F52:M52" si="21">F53</f>
        <v>37762.29</v>
      </c>
      <c r="G52" s="1185">
        <f t="shared" si="21"/>
        <v>116691.43</v>
      </c>
      <c r="H52" s="1185">
        <f t="shared" si="21"/>
        <v>595714.29</v>
      </c>
      <c r="I52" s="1185">
        <f t="shared" si="21"/>
        <v>154025.14000000001</v>
      </c>
      <c r="J52" s="1185">
        <f t="shared" si="21"/>
        <v>726144</v>
      </c>
      <c r="K52" s="1185">
        <f t="shared" si="21"/>
        <v>187121.14</v>
      </c>
      <c r="L52" s="1185">
        <f t="shared" si="21"/>
        <v>257496</v>
      </c>
      <c r="M52" s="1185">
        <f t="shared" si="21"/>
        <v>46953</v>
      </c>
      <c r="N52" s="1185">
        <f t="shared" si="1"/>
        <v>2865482.1500000004</v>
      </c>
      <c r="O52" s="62"/>
    </row>
    <row r="53" spans="1:15" ht="1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743574.86</v>
      </c>
      <c r="F53" s="1180">
        <v>37762.29</v>
      </c>
      <c r="G53" s="1180">
        <v>116691.43</v>
      </c>
      <c r="H53" s="1180">
        <v>595714.29</v>
      </c>
      <c r="I53" s="1180">
        <v>154025.14000000001</v>
      </c>
      <c r="J53" s="1180">
        <v>726144</v>
      </c>
      <c r="K53" s="1180">
        <v>187121.14</v>
      </c>
      <c r="L53" s="1180">
        <v>257496</v>
      </c>
      <c r="M53" s="1180">
        <v>46953</v>
      </c>
      <c r="N53" s="1185">
        <f t="shared" si="1"/>
        <v>2865482.1500000004</v>
      </c>
      <c r="O53" s="62"/>
    </row>
    <row r="54" spans="1:15" ht="1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18701.849999999999</v>
      </c>
      <c r="F54" s="1185">
        <f t="shared" ref="F54:M54" si="22">F55</f>
        <v>0</v>
      </c>
      <c r="G54" s="1185">
        <f t="shared" si="22"/>
        <v>0</v>
      </c>
      <c r="H54" s="1185">
        <f t="shared" si="22"/>
        <v>9290</v>
      </c>
      <c r="I54" s="1185">
        <f t="shared" si="22"/>
        <v>0</v>
      </c>
      <c r="J54" s="1185">
        <f t="shared" si="22"/>
        <v>33166.120000000003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1"/>
        <v>61157.97</v>
      </c>
      <c r="O54" s="62"/>
    </row>
    <row r="55" spans="1:15" ht="1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18701.849999999999</v>
      </c>
      <c r="F55" s="1180"/>
      <c r="G55" s="1180"/>
      <c r="H55" s="1180">
        <v>9290</v>
      </c>
      <c r="I55" s="1180"/>
      <c r="J55" s="1180">
        <v>33166.120000000003</v>
      </c>
      <c r="K55" s="1180"/>
      <c r="L55" s="1180"/>
      <c r="M55" s="1180"/>
      <c r="N55" s="1185">
        <f t="shared" si="1"/>
        <v>61157.97</v>
      </c>
      <c r="O55" s="62"/>
    </row>
    <row r="56" spans="1:15" ht="1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70550</v>
      </c>
      <c r="F56" s="1185">
        <f t="shared" ref="F56:M56" si="23">F57+F59</f>
        <v>1600</v>
      </c>
      <c r="G56" s="1185">
        <f t="shared" si="23"/>
        <v>4500</v>
      </c>
      <c r="H56" s="1185">
        <f t="shared" si="23"/>
        <v>35950</v>
      </c>
      <c r="I56" s="1185">
        <f t="shared" si="23"/>
        <v>7825</v>
      </c>
      <c r="J56" s="1185">
        <f t="shared" si="23"/>
        <v>54570</v>
      </c>
      <c r="K56" s="1185">
        <f t="shared" si="23"/>
        <v>2300</v>
      </c>
      <c r="L56" s="1185">
        <f t="shared" si="23"/>
        <v>6725</v>
      </c>
      <c r="M56" s="1185">
        <f t="shared" si="23"/>
        <v>0</v>
      </c>
      <c r="N56" s="1185">
        <f t="shared" si="1"/>
        <v>184020</v>
      </c>
      <c r="O56" s="62"/>
    </row>
    <row r="57" spans="1:15" ht="1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67200</v>
      </c>
      <c r="F57" s="1185">
        <f t="shared" ref="F57:M57" si="24">F58</f>
        <v>1600</v>
      </c>
      <c r="G57" s="1185">
        <f t="shared" si="24"/>
        <v>4400</v>
      </c>
      <c r="H57" s="1185">
        <f t="shared" si="24"/>
        <v>32800</v>
      </c>
      <c r="I57" s="1185">
        <f t="shared" si="24"/>
        <v>5600</v>
      </c>
      <c r="J57" s="1185">
        <f t="shared" si="24"/>
        <v>49000</v>
      </c>
      <c r="K57" s="1185">
        <f t="shared" si="24"/>
        <v>1200</v>
      </c>
      <c r="L57" s="1185">
        <f t="shared" si="24"/>
        <v>5200</v>
      </c>
      <c r="M57" s="1185">
        <f t="shared" si="24"/>
        <v>0</v>
      </c>
      <c r="N57" s="1185">
        <f t="shared" si="1"/>
        <v>167000</v>
      </c>
      <c r="O57" s="62"/>
    </row>
    <row r="58" spans="1:15" ht="1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67200</v>
      </c>
      <c r="F58" s="1180">
        <v>1600</v>
      </c>
      <c r="G58" s="1180">
        <v>4400</v>
      </c>
      <c r="H58" s="1180">
        <v>32800</v>
      </c>
      <c r="I58" s="1180">
        <v>5600</v>
      </c>
      <c r="J58" s="1180">
        <v>49000</v>
      </c>
      <c r="K58" s="1180">
        <v>1200</v>
      </c>
      <c r="L58" s="1180">
        <v>5200</v>
      </c>
      <c r="M58" s="1180"/>
      <c r="N58" s="1185">
        <f t="shared" si="1"/>
        <v>167000</v>
      </c>
      <c r="O58" s="62"/>
    </row>
    <row r="59" spans="1:15" ht="1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3350</v>
      </c>
      <c r="F59" s="1186"/>
      <c r="G59" s="1186">
        <v>100</v>
      </c>
      <c r="H59" s="1186">
        <v>3150</v>
      </c>
      <c r="I59" s="1186">
        <v>2225</v>
      </c>
      <c r="J59" s="1186">
        <v>5570</v>
      </c>
      <c r="K59" s="1186">
        <v>1100</v>
      </c>
      <c r="L59" s="1186">
        <v>1525</v>
      </c>
      <c r="M59" s="1186"/>
      <c r="N59" s="1185">
        <f t="shared" si="1"/>
        <v>17020</v>
      </c>
      <c r="O59" s="62"/>
    </row>
    <row r="60" spans="1:15" ht="1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M60" si="25">F61</f>
        <v>18600</v>
      </c>
      <c r="G60" s="1185">
        <f t="shared" si="25"/>
        <v>32000</v>
      </c>
      <c r="H60" s="1185">
        <f t="shared" si="25"/>
        <v>0</v>
      </c>
      <c r="I60" s="1185">
        <f t="shared" si="25"/>
        <v>32000</v>
      </c>
      <c r="J60" s="1185">
        <f t="shared" si="25"/>
        <v>0</v>
      </c>
      <c r="K60" s="1185">
        <f t="shared" si="25"/>
        <v>32000</v>
      </c>
      <c r="L60" s="1185">
        <f t="shared" si="25"/>
        <v>32000</v>
      </c>
      <c r="M60" s="1185">
        <f t="shared" si="25"/>
        <v>32000</v>
      </c>
      <c r="N60" s="1185">
        <f t="shared" si="1"/>
        <v>178600</v>
      </c>
      <c r="O60" s="62"/>
    </row>
    <row r="61" spans="1:15" ht="1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18600</v>
      </c>
      <c r="G61" s="1179">
        <v>32000</v>
      </c>
      <c r="H61" s="1179"/>
      <c r="I61" s="1179">
        <v>32000</v>
      </c>
      <c r="J61" s="1179"/>
      <c r="K61" s="1179">
        <v>32000</v>
      </c>
      <c r="L61" s="1179">
        <v>32000</v>
      </c>
      <c r="M61" s="1179">
        <v>32000</v>
      </c>
      <c r="N61" s="1185">
        <f t="shared" si="1"/>
        <v>178600</v>
      </c>
      <c r="O61" s="1187"/>
    </row>
    <row r="62" spans="1:15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5">
        <f t="shared" si="1"/>
        <v>0</v>
      </c>
      <c r="O62" s="1189"/>
    </row>
    <row r="63" spans="1:15" ht="1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148</v>
      </c>
      <c r="F63" s="1198">
        <f t="shared" ref="F63:M63" si="26">F64+F65+F66+F67</f>
        <v>7</v>
      </c>
      <c r="G63" s="1198">
        <f t="shared" si="26"/>
        <v>29</v>
      </c>
      <c r="H63" s="1198">
        <f t="shared" si="26"/>
        <v>114</v>
      </c>
      <c r="I63" s="1198">
        <f t="shared" si="26"/>
        <v>36</v>
      </c>
      <c r="J63" s="1198">
        <f t="shared" si="26"/>
        <v>144</v>
      </c>
      <c r="K63" s="1198">
        <f t="shared" si="26"/>
        <v>42</v>
      </c>
      <c r="L63" s="1198">
        <f t="shared" si="26"/>
        <v>61</v>
      </c>
      <c r="M63" s="1198">
        <f t="shared" si="26"/>
        <v>19</v>
      </c>
      <c r="N63" s="1198">
        <f t="shared" si="1"/>
        <v>600</v>
      </c>
      <c r="O63" s="62"/>
    </row>
    <row r="64" spans="1:15" ht="15" customHeight="1">
      <c r="A64" s="66" t="s">
        <v>148</v>
      </c>
      <c r="B64" s="1199" t="s">
        <v>149</v>
      </c>
      <c r="C64" s="1199"/>
      <c r="D64" s="62"/>
      <c r="E64" s="1190">
        <v>71</v>
      </c>
      <c r="F64" s="1190"/>
      <c r="G64" s="1190"/>
      <c r="H64" s="1190">
        <v>53</v>
      </c>
      <c r="I64" s="1190"/>
      <c r="J64" s="1190">
        <v>66</v>
      </c>
      <c r="K64" s="1190"/>
      <c r="L64" s="1190"/>
      <c r="M64" s="1190"/>
      <c r="N64" s="1198">
        <f t="shared" si="1"/>
        <v>190</v>
      </c>
      <c r="O64" s="62"/>
    </row>
    <row r="65" spans="1:15" ht="15" customHeight="1">
      <c r="A65" s="66" t="s">
        <v>150</v>
      </c>
      <c r="B65" s="1199" t="s">
        <v>151</v>
      </c>
      <c r="C65" s="1199"/>
      <c r="D65" s="62"/>
      <c r="E65" s="1190">
        <v>77</v>
      </c>
      <c r="F65" s="1190"/>
      <c r="G65" s="1190"/>
      <c r="H65" s="1190">
        <v>61</v>
      </c>
      <c r="I65" s="1190"/>
      <c r="J65" s="1190">
        <v>78</v>
      </c>
      <c r="K65" s="1190"/>
      <c r="L65" s="1190"/>
      <c r="M65" s="1190"/>
      <c r="N65" s="1198">
        <f t="shared" si="1"/>
        <v>216</v>
      </c>
      <c r="O65" s="62"/>
    </row>
    <row r="66" spans="1:15" ht="1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>
        <v>29</v>
      </c>
      <c r="H66" s="1190"/>
      <c r="I66" s="1190">
        <v>36</v>
      </c>
      <c r="J66" s="1190"/>
      <c r="K66" s="1190">
        <v>42</v>
      </c>
      <c r="L66" s="1190">
        <v>61</v>
      </c>
      <c r="M66" s="1190">
        <v>19</v>
      </c>
      <c r="N66" s="1198">
        <f t="shared" si="1"/>
        <v>187</v>
      </c>
      <c r="O66" s="62"/>
    </row>
    <row r="67" spans="1:15" ht="15" customHeight="1">
      <c r="A67" s="66" t="s">
        <v>154</v>
      </c>
      <c r="B67" s="1199" t="s">
        <v>155</v>
      </c>
      <c r="C67" s="1199"/>
      <c r="D67" s="62"/>
      <c r="E67" s="1190"/>
      <c r="F67" s="1190">
        <v>7</v>
      </c>
      <c r="G67" s="1190"/>
      <c r="H67" s="1190"/>
      <c r="I67" s="1190"/>
      <c r="J67" s="1190"/>
      <c r="K67" s="1190"/>
      <c r="L67" s="1190"/>
      <c r="M67" s="1190"/>
      <c r="N67" s="1198">
        <f t="shared" si="1"/>
        <v>7</v>
      </c>
      <c r="O67" s="62"/>
    </row>
    <row r="68" spans="1:15" ht="1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2886</v>
      </c>
      <c r="F68" s="1198">
        <f t="shared" ref="F68:M68" si="27">F69+F70+F71+F72</f>
        <v>0</v>
      </c>
      <c r="G68" s="1198">
        <f t="shared" si="27"/>
        <v>307</v>
      </c>
      <c r="H68" s="1198">
        <f t="shared" si="27"/>
        <v>1417</v>
      </c>
      <c r="I68" s="1198">
        <f t="shared" si="27"/>
        <v>413</v>
      </c>
      <c r="J68" s="1198">
        <f t="shared" si="27"/>
        <v>2417</v>
      </c>
      <c r="K68" s="1198">
        <f t="shared" si="27"/>
        <v>463</v>
      </c>
      <c r="L68" s="1198">
        <f t="shared" si="27"/>
        <v>644</v>
      </c>
      <c r="M68" s="1198">
        <f t="shared" si="27"/>
        <v>312</v>
      </c>
      <c r="N68" s="1198">
        <f t="shared" si="1"/>
        <v>8859</v>
      </c>
      <c r="O68" s="62"/>
    </row>
    <row r="69" spans="1:15" ht="15" customHeight="1">
      <c r="A69" s="66" t="s">
        <v>158</v>
      </c>
      <c r="B69" s="1199" t="s">
        <v>149</v>
      </c>
      <c r="C69" s="1199"/>
      <c r="D69" s="62"/>
      <c r="E69" s="1190">
        <v>1099</v>
      </c>
      <c r="F69" s="1190"/>
      <c r="G69" s="1190"/>
      <c r="H69" s="1190">
        <v>706</v>
      </c>
      <c r="I69" s="1190"/>
      <c r="J69" s="1190">
        <v>1097</v>
      </c>
      <c r="K69" s="1190"/>
      <c r="L69" s="1190"/>
      <c r="M69" s="1190"/>
      <c r="N69" s="1198">
        <f t="shared" ref="N69:N75" si="28">SUM(E69:M69)</f>
        <v>2902</v>
      </c>
      <c r="O69" s="62"/>
    </row>
    <row r="70" spans="1:15" ht="15" customHeight="1">
      <c r="A70" s="66" t="s">
        <v>159</v>
      </c>
      <c r="B70" s="1199" t="s">
        <v>151</v>
      </c>
      <c r="C70" s="1199"/>
      <c r="D70" s="62"/>
      <c r="E70" s="1190">
        <v>1787</v>
      </c>
      <c r="F70" s="1190"/>
      <c r="G70" s="1190"/>
      <c r="H70" s="1190">
        <v>711</v>
      </c>
      <c r="I70" s="1190"/>
      <c r="J70" s="1190">
        <v>1320</v>
      </c>
      <c r="K70" s="1190"/>
      <c r="L70" s="1190"/>
      <c r="M70" s="1190"/>
      <c r="N70" s="1198">
        <f t="shared" si="28"/>
        <v>3818</v>
      </c>
      <c r="O70" s="62"/>
    </row>
    <row r="71" spans="1:15" ht="1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>
        <v>307</v>
      </c>
      <c r="H71" s="1190"/>
      <c r="I71" s="1190">
        <v>413</v>
      </c>
      <c r="J71" s="1190"/>
      <c r="K71" s="1190">
        <v>463</v>
      </c>
      <c r="L71" s="1190">
        <v>644</v>
      </c>
      <c r="M71" s="1190">
        <v>312</v>
      </c>
      <c r="N71" s="1198">
        <f t="shared" si="28"/>
        <v>2139</v>
      </c>
      <c r="O71" s="62"/>
    </row>
    <row r="72" spans="1:15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8">
        <f t="shared" si="28"/>
        <v>0</v>
      </c>
      <c r="O72" s="62"/>
    </row>
    <row r="73" spans="1:15" ht="15" customHeight="1">
      <c r="A73" s="66" t="s">
        <v>162</v>
      </c>
      <c r="B73" s="61" t="s">
        <v>3122</v>
      </c>
      <c r="C73" s="61"/>
      <c r="D73" s="62"/>
      <c r="E73" s="1190">
        <v>171</v>
      </c>
      <c r="F73" s="1190">
        <v>4</v>
      </c>
      <c r="G73" s="1190">
        <v>11</v>
      </c>
      <c r="H73" s="1190">
        <v>82</v>
      </c>
      <c r="I73" s="1190">
        <v>14</v>
      </c>
      <c r="J73" s="1190">
        <v>123</v>
      </c>
      <c r="K73" s="1190">
        <v>3</v>
      </c>
      <c r="L73" s="1190">
        <v>14</v>
      </c>
      <c r="M73" s="1190">
        <v>0</v>
      </c>
      <c r="N73" s="1198">
        <f t="shared" si="28"/>
        <v>422</v>
      </c>
      <c r="O73" s="62"/>
    </row>
    <row r="74" spans="1:15" ht="15" customHeight="1">
      <c r="A74" s="66" t="s">
        <v>3011</v>
      </c>
      <c r="B74" s="1199" t="s">
        <v>3123</v>
      </c>
      <c r="C74" s="1199"/>
      <c r="D74" s="67"/>
      <c r="E74" s="1180">
        <v>18768.27</v>
      </c>
      <c r="F74" s="1180">
        <v>2216</v>
      </c>
      <c r="G74" s="1180">
        <v>4271.24</v>
      </c>
      <c r="H74" s="1180">
        <v>11615</v>
      </c>
      <c r="I74" s="1180">
        <v>6516.65</v>
      </c>
      <c r="J74" s="1180">
        <v>29104.5</v>
      </c>
      <c r="K74" s="1180">
        <v>10862.56</v>
      </c>
      <c r="L74" s="1180">
        <v>7862.42</v>
      </c>
      <c r="M74" s="1180">
        <v>7998</v>
      </c>
      <c r="N74" s="1185">
        <f t="shared" si="28"/>
        <v>99214.64</v>
      </c>
      <c r="O74" s="62"/>
    </row>
    <row r="75" spans="1:15" ht="15" customHeight="1">
      <c r="A75" s="66" t="s">
        <v>3012</v>
      </c>
      <c r="B75" s="1199" t="s">
        <v>3124</v>
      </c>
      <c r="C75" s="1199"/>
      <c r="D75" s="67"/>
      <c r="E75" s="1180">
        <v>18000</v>
      </c>
      <c r="F75" s="1180">
        <v>6252</v>
      </c>
      <c r="G75" s="1180">
        <v>2987.3</v>
      </c>
      <c r="H75" s="1180">
        <v>12000</v>
      </c>
      <c r="I75" s="1180">
        <v>4700</v>
      </c>
      <c r="J75" s="1180">
        <v>12612.6</v>
      </c>
      <c r="K75" s="1180">
        <v>6259.2</v>
      </c>
      <c r="L75" s="1180">
        <v>4137.5</v>
      </c>
      <c r="M75" s="1180">
        <v>3459</v>
      </c>
      <c r="N75" s="1185">
        <f t="shared" si="28"/>
        <v>70407.600000000006</v>
      </c>
      <c r="O75" s="62"/>
    </row>
  </sheetData>
  <protectedRanges>
    <protectedRange password="E9C1" sqref="D31 C32 A6:D7 B8:D30 N6:O75 B33:D75 A8:A75 A3:O5" name="区域1_1"/>
    <protectedRange password="E9C1" sqref="B31:C31 B32" name="区域1_1_1"/>
    <protectedRange password="E9C1" sqref="D32" name="区域1_2"/>
  </protectedRanges>
  <mergeCells count="7">
    <mergeCell ref="A1:O1"/>
    <mergeCell ref="A3:A4"/>
    <mergeCell ref="B3:B4"/>
    <mergeCell ref="C3:C4"/>
    <mergeCell ref="D3:D4"/>
    <mergeCell ref="N3:N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354" t="s">
        <v>830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  <c r="P1" s="1355"/>
      <c r="Q1" s="1355"/>
    </row>
    <row r="2" spans="1:17" ht="45" customHeight="1">
      <c r="A2" s="1358" t="s">
        <v>12</v>
      </c>
      <c r="B2" s="1358" t="s">
        <v>13</v>
      </c>
      <c r="C2" s="1358" t="s">
        <v>14</v>
      </c>
      <c r="D2" s="1358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358" t="s">
        <v>17</v>
      </c>
    </row>
    <row r="3" spans="1:17">
      <c r="A3" s="1359"/>
      <c r="B3" s="1359"/>
      <c r="C3" s="1359"/>
      <c r="D3" s="1359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359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B1" workbookViewId="0">
      <pane xSplit="3" ySplit="4" topLeftCell="E6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" style="21" hidden="1" customWidth="1"/>
    <col min="2" max="2" width="25.875" style="3" customWidth="1"/>
    <col min="3" max="3" width="0" style="3" hidden="1" customWidth="1"/>
    <col min="4" max="4" width="0" style="1241" hidden="1" customWidth="1"/>
    <col min="5" max="5" width="12.75" style="3" customWidth="1"/>
    <col min="6" max="6" width="12.25" style="3" customWidth="1"/>
    <col min="7" max="7" width="13.125" style="3" customWidth="1"/>
    <col min="8" max="8" width="13.25" style="3" customWidth="1"/>
    <col min="9" max="9" width="12.5" style="3" customWidth="1"/>
    <col min="10" max="10" width="12.875" style="3" customWidth="1"/>
    <col min="11" max="11" width="12.25" style="3" customWidth="1"/>
    <col min="12" max="13" width="12.375" style="3" customWidth="1"/>
    <col min="14" max="14" width="12.75" style="3" customWidth="1"/>
    <col min="15" max="15" width="11.75" style="3" customWidth="1"/>
    <col min="16" max="16" width="11.625" style="3" customWidth="1"/>
    <col min="17" max="17" width="12.875" style="3" customWidth="1"/>
    <col min="18" max="18" width="11.875" style="3" customWidth="1"/>
    <col min="19" max="19" width="12.375" style="3" customWidth="1"/>
    <col min="20" max="20" width="15.625" style="3" customWidth="1"/>
    <col min="21" max="21" width="15.625" style="3" hidden="1" customWidth="1"/>
    <col min="22" max="22" width="9" style="3"/>
    <col min="23" max="23" width="9.75" style="23" bestFit="1" customWidth="1"/>
    <col min="24" max="16384" width="9" style="3"/>
  </cols>
  <sheetData>
    <row r="1" spans="1:21" ht="24.95" customHeight="1">
      <c r="A1" s="1361" t="s">
        <v>3068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  <c r="U1" s="1361"/>
    </row>
    <row r="2" spans="1:21" ht="20.100000000000001" customHeight="1">
      <c r="A2" s="1240"/>
      <c r="B2" s="1240"/>
      <c r="C2" s="1240"/>
      <c r="D2" s="1240"/>
      <c r="E2" s="1240"/>
      <c r="F2" s="1240"/>
      <c r="G2" s="1240"/>
      <c r="H2" s="1240"/>
      <c r="I2" s="1240"/>
      <c r="J2" s="1240"/>
      <c r="K2" s="1240"/>
      <c r="L2" s="1240"/>
      <c r="M2" s="1240"/>
      <c r="N2" s="1240"/>
      <c r="O2" s="1240"/>
      <c r="P2" s="1240"/>
      <c r="Q2" s="1240"/>
      <c r="R2" s="1240"/>
      <c r="S2" s="1240"/>
      <c r="T2" s="1252" t="s">
        <v>3242</v>
      </c>
      <c r="U2" s="1184" t="s">
        <v>3000</v>
      </c>
    </row>
    <row r="3" spans="1:21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191" t="s">
        <v>176</v>
      </c>
      <c r="F3" s="1191" t="s">
        <v>177</v>
      </c>
      <c r="G3" s="1191" t="s">
        <v>178</v>
      </c>
      <c r="H3" s="1191" t="s">
        <v>179</v>
      </c>
      <c r="I3" s="1191" t="s">
        <v>180</v>
      </c>
      <c r="J3" s="1191" t="s">
        <v>181</v>
      </c>
      <c r="K3" s="1191" t="s">
        <v>182</v>
      </c>
      <c r="L3" s="1191" t="s">
        <v>183</v>
      </c>
      <c r="M3" s="1191" t="s">
        <v>184</v>
      </c>
      <c r="N3" s="1191" t="s">
        <v>185</v>
      </c>
      <c r="O3" s="1191" t="s">
        <v>186</v>
      </c>
      <c r="P3" s="1191" t="s">
        <v>187</v>
      </c>
      <c r="Q3" s="1191" t="s">
        <v>416</v>
      </c>
      <c r="R3" s="1191" t="s">
        <v>417</v>
      </c>
      <c r="S3" s="1191" t="s">
        <v>418</v>
      </c>
      <c r="T3" s="1610" t="s">
        <v>17</v>
      </c>
      <c r="U3" s="1610" t="s">
        <v>18</v>
      </c>
    </row>
    <row r="4" spans="1:21" ht="24.95" customHeight="1">
      <c r="A4" s="1609"/>
      <c r="B4" s="1609"/>
      <c r="C4" s="1609"/>
      <c r="D4" s="1609"/>
      <c r="E4" s="1191" t="s">
        <v>3177</v>
      </c>
      <c r="F4" s="1191" t="s">
        <v>3177</v>
      </c>
      <c r="G4" s="1191" t="s">
        <v>3096</v>
      </c>
      <c r="H4" s="1191" t="s">
        <v>3096</v>
      </c>
      <c r="I4" s="1191" t="s">
        <v>3096</v>
      </c>
      <c r="J4" s="1191" t="s">
        <v>3096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3083</v>
      </c>
      <c r="P4" s="1191" t="s">
        <v>3082</v>
      </c>
      <c r="Q4" s="1191" t="s">
        <v>3081</v>
      </c>
      <c r="R4" s="1191" t="s">
        <v>3177</v>
      </c>
      <c r="S4" s="1191" t="s">
        <v>3081</v>
      </c>
      <c r="T4" s="1611"/>
      <c r="U4" s="1611"/>
    </row>
    <row r="5" spans="1:21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S5" si="0">E6+E33+E40</f>
        <v>33767273.159999996</v>
      </c>
      <c r="F5" s="1185">
        <f t="shared" si="0"/>
        <v>20167935.599999998</v>
      </c>
      <c r="G5" s="1185">
        <f t="shared" si="0"/>
        <v>21897873.469999999</v>
      </c>
      <c r="H5" s="1185">
        <f t="shared" si="0"/>
        <v>20959473.460000001</v>
      </c>
      <c r="I5" s="1185">
        <f t="shared" si="0"/>
        <v>45958532.649999999</v>
      </c>
      <c r="J5" s="1185">
        <f t="shared" si="0"/>
        <v>14125465.15</v>
      </c>
      <c r="K5" s="1185">
        <f t="shared" si="0"/>
        <v>12095558.670000002</v>
      </c>
      <c r="L5" s="1185">
        <f t="shared" si="0"/>
        <v>11247702.99</v>
      </c>
      <c r="M5" s="1185">
        <f t="shared" si="0"/>
        <v>9211096.25</v>
      </c>
      <c r="N5" s="1185">
        <f t="shared" si="0"/>
        <v>9456355.3900000006</v>
      </c>
      <c r="O5" s="1185">
        <f t="shared" si="0"/>
        <v>32589020.68</v>
      </c>
      <c r="P5" s="1185">
        <f t="shared" si="0"/>
        <v>1185075.6500000001</v>
      </c>
      <c r="Q5" s="1185">
        <f t="shared" si="0"/>
        <v>3856424.51</v>
      </c>
      <c r="R5" s="1185">
        <f t="shared" si="0"/>
        <v>22046263.779999997</v>
      </c>
      <c r="S5" s="1185">
        <f t="shared" si="0"/>
        <v>6922273.4299999997</v>
      </c>
      <c r="T5" s="1221">
        <f t="shared" ref="T5:T68" si="1">SUM(E5:S5)</f>
        <v>265486324.84000003</v>
      </c>
      <c r="U5" s="62"/>
    </row>
    <row r="6" spans="1:21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23385691.019999996</v>
      </c>
      <c r="F6" s="1185">
        <f t="shared" ref="F6:S6" si="2">F7+F10+F14+F17+F22+F27+F29+F31+F32</f>
        <v>14031494.739999998</v>
      </c>
      <c r="G6" s="1185">
        <f t="shared" si="2"/>
        <v>15413220.469999999</v>
      </c>
      <c r="H6" s="1185">
        <f t="shared" si="2"/>
        <v>15273636.17</v>
      </c>
      <c r="I6" s="1185">
        <f t="shared" si="2"/>
        <v>32955464.619999997</v>
      </c>
      <c r="J6" s="1185">
        <f t="shared" si="2"/>
        <v>10310410.640000001</v>
      </c>
      <c r="K6" s="1185">
        <f t="shared" si="2"/>
        <v>9160320.2100000009</v>
      </c>
      <c r="L6" s="1185">
        <f t="shared" si="2"/>
        <v>7669505.3700000001</v>
      </c>
      <c r="M6" s="1185">
        <f t="shared" si="2"/>
        <v>6686929.3600000003</v>
      </c>
      <c r="N6" s="1185">
        <f t="shared" si="2"/>
        <v>7145688.7300000004</v>
      </c>
      <c r="O6" s="1185">
        <f t="shared" si="2"/>
        <v>23858460.16</v>
      </c>
      <c r="P6" s="1185">
        <f t="shared" si="2"/>
        <v>891469.94000000006</v>
      </c>
      <c r="Q6" s="1185">
        <f t="shared" si="2"/>
        <v>2734244.08</v>
      </c>
      <c r="R6" s="1185">
        <f t="shared" si="2"/>
        <v>15438548.369999997</v>
      </c>
      <c r="S6" s="1185">
        <f t="shared" si="2"/>
        <v>4953285.49</v>
      </c>
      <c r="T6" s="1221">
        <f t="shared" si="1"/>
        <v>189908369.37</v>
      </c>
      <c r="U6" s="62"/>
    </row>
    <row r="7" spans="1:21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6941762</v>
      </c>
      <c r="F7" s="1185">
        <f t="shared" ref="F7:S7" si="3">F8+F9</f>
        <v>4075587</v>
      </c>
      <c r="G7" s="1185">
        <f t="shared" si="3"/>
        <v>4884124</v>
      </c>
      <c r="H7" s="1185">
        <f t="shared" si="3"/>
        <v>5003519</v>
      </c>
      <c r="I7" s="1185">
        <f t="shared" si="3"/>
        <v>9834120.1999999993</v>
      </c>
      <c r="J7" s="1185">
        <f t="shared" si="3"/>
        <v>2972482</v>
      </c>
      <c r="K7" s="1185">
        <f t="shared" si="3"/>
        <v>3118411.44</v>
      </c>
      <c r="L7" s="1185">
        <f t="shared" si="3"/>
        <v>2527594</v>
      </c>
      <c r="M7" s="1185">
        <f t="shared" si="3"/>
        <v>2180258.9900000002</v>
      </c>
      <c r="N7" s="1185">
        <f t="shared" si="3"/>
        <v>2380867.6800000002</v>
      </c>
      <c r="O7" s="1185">
        <f t="shared" si="3"/>
        <v>6954233</v>
      </c>
      <c r="P7" s="1185">
        <f t="shared" si="3"/>
        <v>305197</v>
      </c>
      <c r="Q7" s="1185">
        <f t="shared" si="3"/>
        <v>816131</v>
      </c>
      <c r="R7" s="1185">
        <f t="shared" si="3"/>
        <v>4233183.8</v>
      </c>
      <c r="S7" s="1185">
        <f t="shared" si="3"/>
        <v>1554331.07</v>
      </c>
      <c r="T7" s="1221">
        <f t="shared" si="1"/>
        <v>57781802.18</v>
      </c>
      <c r="U7" s="62"/>
    </row>
    <row r="8" spans="1:21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f>[1]底稿!G2</f>
        <v>3718213</v>
      </c>
      <c r="F8" s="1180">
        <f>[1]底稿!G20-300000</f>
        <v>2123819</v>
      </c>
      <c r="G8" s="1180">
        <f>[1]底稿!G38-100000</f>
        <v>2358016</v>
      </c>
      <c r="H8" s="1180">
        <f>[1]底稿!G57-100000</f>
        <v>2567704</v>
      </c>
      <c r="I8" s="1180">
        <f>[1]底稿!G75-300000</f>
        <v>5577483.4000000004</v>
      </c>
      <c r="J8" s="1180">
        <f>[1]底稿!G93</f>
        <v>1875827</v>
      </c>
      <c r="K8" s="1180">
        <f>[1]底稿!G111</f>
        <v>1670022.44</v>
      </c>
      <c r="L8" s="1180">
        <f>[1]底稿!G129</f>
        <v>1413400</v>
      </c>
      <c r="M8" s="1180">
        <f>[1]底稿!G147</f>
        <v>1296001.99</v>
      </c>
      <c r="N8" s="1180">
        <f>[1]底稿!G166</f>
        <v>1365272</v>
      </c>
      <c r="O8" s="1180">
        <f>[1]底稿!G185-300000</f>
        <v>4120721</v>
      </c>
      <c r="P8" s="1180">
        <f>[1]底稿!G203</f>
        <v>164918</v>
      </c>
      <c r="Q8" s="1180">
        <f>[1]底稿!G222</f>
        <v>517177</v>
      </c>
      <c r="R8" s="1180">
        <f>[1]底稿!G240</f>
        <v>2639804.2999999998</v>
      </c>
      <c r="S8" s="1180">
        <f>[1]底稿!G258</f>
        <v>927131.75</v>
      </c>
      <c r="T8" s="1221">
        <f t="shared" si="1"/>
        <v>32335510.879999999</v>
      </c>
      <c r="U8" s="1192"/>
    </row>
    <row r="9" spans="1:21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f>[1]底稿!G3</f>
        <v>3223549</v>
      </c>
      <c r="F9" s="1180">
        <f>[1]底稿!G21</f>
        <v>1951768</v>
      </c>
      <c r="G9" s="1180">
        <f>[1]底稿!G39</f>
        <v>2526108</v>
      </c>
      <c r="H9" s="1180">
        <f>[1]底稿!G58</f>
        <v>2435815</v>
      </c>
      <c r="I9" s="1180">
        <f>[1]底稿!G76</f>
        <v>4256636.8</v>
      </c>
      <c r="J9" s="1180">
        <f>[1]底稿!G94</f>
        <v>1096655</v>
      </c>
      <c r="K9" s="1180">
        <f>[1]底稿!G112</f>
        <v>1448389</v>
      </c>
      <c r="L9" s="1180">
        <f>[1]底稿!G130</f>
        <v>1114194</v>
      </c>
      <c r="M9" s="1180">
        <f>[1]底稿!G148</f>
        <v>884257</v>
      </c>
      <c r="N9" s="1180">
        <f>[1]底稿!G167</f>
        <v>1015595.68</v>
      </c>
      <c r="O9" s="1180">
        <f>[1]底稿!G186</f>
        <v>2833512</v>
      </c>
      <c r="P9" s="1180">
        <f>[1]底稿!G204</f>
        <v>140279</v>
      </c>
      <c r="Q9" s="1180">
        <f>[1]底稿!G223</f>
        <v>298954</v>
      </c>
      <c r="R9" s="1180">
        <f>[1]底稿!G241</f>
        <v>1593379.5</v>
      </c>
      <c r="S9" s="1180">
        <f>[1]底稿!G259</f>
        <v>627199.32000000007</v>
      </c>
      <c r="T9" s="1221">
        <f t="shared" si="1"/>
        <v>25446291.300000001</v>
      </c>
      <c r="U9" s="62"/>
    </row>
    <row r="10" spans="1:21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592157</v>
      </c>
      <c r="F10" s="1185">
        <f t="shared" ref="F10:S10" si="4">F11+F12</f>
        <v>379885</v>
      </c>
      <c r="G10" s="1185">
        <f t="shared" si="4"/>
        <v>397988</v>
      </c>
      <c r="H10" s="1185">
        <f t="shared" si="4"/>
        <v>433352</v>
      </c>
      <c r="I10" s="1185">
        <f t="shared" si="4"/>
        <v>943195</v>
      </c>
      <c r="J10" s="1185">
        <f t="shared" si="4"/>
        <v>317444</v>
      </c>
      <c r="K10" s="1185">
        <f t="shared" si="4"/>
        <v>290532</v>
      </c>
      <c r="L10" s="1185">
        <f t="shared" si="4"/>
        <v>234890</v>
      </c>
      <c r="M10" s="1185">
        <f t="shared" si="4"/>
        <v>223726.4</v>
      </c>
      <c r="N10" s="1185">
        <f t="shared" si="4"/>
        <v>231153</v>
      </c>
      <c r="O10" s="1185">
        <f t="shared" si="4"/>
        <v>688176</v>
      </c>
      <c r="P10" s="1185">
        <f t="shared" si="4"/>
        <v>26772</v>
      </c>
      <c r="Q10" s="1185">
        <f t="shared" si="4"/>
        <v>92866</v>
      </c>
      <c r="R10" s="1185">
        <f t="shared" si="4"/>
        <v>446093</v>
      </c>
      <c r="S10" s="1185">
        <f t="shared" si="4"/>
        <v>165919</v>
      </c>
      <c r="T10" s="1221">
        <f t="shared" si="1"/>
        <v>5464148.4000000004</v>
      </c>
      <c r="U10" s="62"/>
    </row>
    <row r="11" spans="1:21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f>[1]底稿!G4</f>
        <v>9157</v>
      </c>
      <c r="F11" s="1180">
        <f>[1]底稿!G22</f>
        <v>5445</v>
      </c>
      <c r="G11" s="1180">
        <f>[1]底稿!G40</f>
        <v>7308</v>
      </c>
      <c r="H11" s="1180">
        <f>[1]底稿!G59</f>
        <v>6112</v>
      </c>
      <c r="I11" s="1180">
        <f>[1]底稿!G77</f>
        <v>10915</v>
      </c>
      <c r="J11" s="1180">
        <f>[1]底稿!G95</f>
        <v>2844</v>
      </c>
      <c r="K11" s="1180">
        <f>[1]底稿!G113</f>
        <v>4532</v>
      </c>
      <c r="L11" s="1180">
        <f>[1]底稿!G131</f>
        <v>3350</v>
      </c>
      <c r="M11" s="1180">
        <f>[1]底稿!G149</f>
        <v>7246.4</v>
      </c>
      <c r="N11" s="1180">
        <f>[1]底稿!G168</f>
        <v>3233</v>
      </c>
      <c r="O11" s="1180">
        <f>[1]底稿!G187</f>
        <v>8816</v>
      </c>
      <c r="P11" s="1180">
        <f>[1]底稿!G205</f>
        <v>372</v>
      </c>
      <c r="Q11" s="1180">
        <f>[1]底稿!G224</f>
        <v>906</v>
      </c>
      <c r="R11" s="1180">
        <f>[1]底稿!G242</f>
        <v>2973</v>
      </c>
      <c r="S11" s="1180">
        <f>[1]底稿!G260</f>
        <v>1799</v>
      </c>
      <c r="T11" s="1221">
        <f t="shared" si="1"/>
        <v>75008.399999999994</v>
      </c>
      <c r="U11" s="62"/>
    </row>
    <row r="12" spans="1:21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583000</v>
      </c>
      <c r="F12" s="1185">
        <f t="shared" ref="F12:S12" si="5">F13</f>
        <v>374440</v>
      </c>
      <c r="G12" s="1185">
        <f t="shared" si="5"/>
        <v>390680</v>
      </c>
      <c r="H12" s="1185">
        <f t="shared" si="5"/>
        <v>427240</v>
      </c>
      <c r="I12" s="1185">
        <f t="shared" si="5"/>
        <v>932280</v>
      </c>
      <c r="J12" s="1185">
        <f t="shared" si="5"/>
        <v>314600</v>
      </c>
      <c r="K12" s="1185">
        <f t="shared" si="5"/>
        <v>286000</v>
      </c>
      <c r="L12" s="1185">
        <f t="shared" si="5"/>
        <v>231540</v>
      </c>
      <c r="M12" s="1185">
        <f t="shared" si="5"/>
        <v>216480</v>
      </c>
      <c r="N12" s="1185">
        <f t="shared" si="5"/>
        <v>227920</v>
      </c>
      <c r="O12" s="1185">
        <f t="shared" si="5"/>
        <v>679360</v>
      </c>
      <c r="P12" s="1185">
        <f t="shared" si="5"/>
        <v>26400</v>
      </c>
      <c r="Q12" s="1185">
        <f t="shared" si="5"/>
        <v>91960</v>
      </c>
      <c r="R12" s="1185">
        <f t="shared" si="5"/>
        <v>443120</v>
      </c>
      <c r="S12" s="1185">
        <f t="shared" si="5"/>
        <v>164120</v>
      </c>
      <c r="T12" s="1221">
        <f t="shared" si="1"/>
        <v>5389140</v>
      </c>
      <c r="U12" s="62"/>
    </row>
    <row r="13" spans="1:21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f>[1]底稿!G5</f>
        <v>583000</v>
      </c>
      <c r="F13" s="1180">
        <f>[1]底稿!G23</f>
        <v>374440</v>
      </c>
      <c r="G13" s="1180">
        <f>[1]底稿!G41</f>
        <v>390680</v>
      </c>
      <c r="H13" s="1180">
        <f>[1]底稿!G60</f>
        <v>427240</v>
      </c>
      <c r="I13" s="1180">
        <f>[1]底稿!G78</f>
        <v>932280</v>
      </c>
      <c r="J13" s="1180">
        <f>[1]底稿!G96</f>
        <v>314600</v>
      </c>
      <c r="K13" s="1180">
        <f>[1]底稿!G114</f>
        <v>286000</v>
      </c>
      <c r="L13" s="1180">
        <f>[1]底稿!G132</f>
        <v>231540</v>
      </c>
      <c r="M13" s="1180">
        <f>[1]底稿!G150</f>
        <v>216480</v>
      </c>
      <c r="N13" s="1180">
        <f>[1]底稿!G169</f>
        <v>227920</v>
      </c>
      <c r="O13" s="1180">
        <f>[1]底稿!G188</f>
        <v>679360</v>
      </c>
      <c r="P13" s="1180">
        <f>[1]底稿!G206</f>
        <v>26400</v>
      </c>
      <c r="Q13" s="1180">
        <f>[1]底稿!G225</f>
        <v>91960</v>
      </c>
      <c r="R13" s="1180">
        <f>[1]底稿!G243</f>
        <v>443120</v>
      </c>
      <c r="S13" s="1180">
        <f>[1]底稿!G261</f>
        <v>164120</v>
      </c>
      <c r="T13" s="1221">
        <f t="shared" si="1"/>
        <v>5389140</v>
      </c>
      <c r="U13" s="62"/>
    </row>
    <row r="14" spans="1:21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246164.13</v>
      </c>
      <c r="F14" s="1185">
        <f t="shared" ref="F14:S14" si="6">F15+F16</f>
        <v>130223.92999999998</v>
      </c>
      <c r="G14" s="1185">
        <f t="shared" si="6"/>
        <v>159270.43</v>
      </c>
      <c r="H14" s="1185">
        <f t="shared" si="6"/>
        <v>159338.38999999998</v>
      </c>
      <c r="I14" s="1185">
        <f t="shared" si="6"/>
        <v>356275.3</v>
      </c>
      <c r="J14" s="1185">
        <f t="shared" si="6"/>
        <v>99019.07</v>
      </c>
      <c r="K14" s="1185">
        <f t="shared" si="6"/>
        <v>104006.12999999999</v>
      </c>
      <c r="L14" s="1185">
        <f t="shared" si="6"/>
        <v>86215.15</v>
      </c>
      <c r="M14" s="1185">
        <f t="shared" si="6"/>
        <v>77976.039999999994</v>
      </c>
      <c r="N14" s="1185">
        <f t="shared" si="6"/>
        <v>67607.199999999983</v>
      </c>
      <c r="O14" s="1185">
        <f t="shared" si="6"/>
        <v>247450.22000000003</v>
      </c>
      <c r="P14" s="1185">
        <f t="shared" si="6"/>
        <v>8883.7800000000007</v>
      </c>
      <c r="Q14" s="1185">
        <f t="shared" si="6"/>
        <v>29050.28</v>
      </c>
      <c r="R14" s="1185">
        <f t="shared" si="6"/>
        <v>150707.01</v>
      </c>
      <c r="S14" s="1185">
        <f t="shared" si="6"/>
        <v>46650.42</v>
      </c>
      <c r="T14" s="1221">
        <f t="shared" si="1"/>
        <v>1968837.4799999997</v>
      </c>
      <c r="U14" s="62"/>
    </row>
    <row r="15" spans="1:21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f>[1]底稿!G6</f>
        <v>94925.290000000008</v>
      </c>
      <c r="F15" s="1180">
        <f>[1]底稿!G24</f>
        <v>36631.589999999997</v>
      </c>
      <c r="G15" s="1180">
        <f>[1]底稿!G42</f>
        <v>61510.540000000008</v>
      </c>
      <c r="H15" s="1180">
        <f>[1]底稿!G61</f>
        <v>61522.739999999991</v>
      </c>
      <c r="I15" s="1180">
        <f>[1]底稿!G79</f>
        <v>138470.72999999998</v>
      </c>
      <c r="J15" s="1180">
        <f>[1]底稿!G97</f>
        <v>36532.42</v>
      </c>
      <c r="K15" s="1180">
        <f>[1]底稿!G115</f>
        <v>42675.209999999992</v>
      </c>
      <c r="L15" s="1180">
        <f>[1]底稿!G133</f>
        <v>34053.979999999996</v>
      </c>
      <c r="M15" s="1180">
        <f>[1]底稿!G151</f>
        <v>32553.48</v>
      </c>
      <c r="N15" s="1180">
        <f>[1]底稿!G170</f>
        <v>18950.120000000003</v>
      </c>
      <c r="O15" s="1180">
        <f>[1]底稿!G189</f>
        <v>88736.680000000008</v>
      </c>
      <c r="P15" s="1180">
        <f>[1]底稿!G207</f>
        <v>2507.96</v>
      </c>
      <c r="Q15" s="1180">
        <f>[1]底稿!G226</f>
        <v>11225.140000000001</v>
      </c>
      <c r="R15" s="1180">
        <f>[1]底稿!G244</f>
        <v>43447.3</v>
      </c>
      <c r="S15" s="1180">
        <v>13174.24</v>
      </c>
      <c r="T15" s="1221">
        <f t="shared" si="1"/>
        <v>716917.42</v>
      </c>
      <c r="U15" s="62"/>
    </row>
    <row r="16" spans="1:21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f>[1]底稿!G7</f>
        <v>151238.84</v>
      </c>
      <c r="F16" s="1180">
        <f>[1]底稿!G25</f>
        <v>93592.339999999982</v>
      </c>
      <c r="G16" s="1180">
        <f>[1]底稿!G43</f>
        <v>97759.889999999985</v>
      </c>
      <c r="H16" s="1180">
        <f>[1]底稿!G62</f>
        <v>97815.65</v>
      </c>
      <c r="I16" s="1180">
        <f>[1]底稿!G80</f>
        <v>217804.57</v>
      </c>
      <c r="J16" s="1180">
        <f>[1]底稿!G98</f>
        <v>62486.65</v>
      </c>
      <c r="K16" s="1180">
        <f>[1]底稿!G116</f>
        <v>61330.92</v>
      </c>
      <c r="L16" s="1180">
        <f>[1]底稿!G134</f>
        <v>52161.17</v>
      </c>
      <c r="M16" s="1180">
        <f>[1]底稿!G152</f>
        <v>45422.559999999998</v>
      </c>
      <c r="N16" s="1180">
        <f>[1]底稿!G171</f>
        <v>48657.079999999987</v>
      </c>
      <c r="O16" s="1180">
        <f>[1]底稿!G190</f>
        <v>158713.54</v>
      </c>
      <c r="P16" s="1180">
        <f>[1]底稿!G208</f>
        <v>6375.8200000000006</v>
      </c>
      <c r="Q16" s="1180">
        <f>[1]底稿!G227</f>
        <v>17825.14</v>
      </c>
      <c r="R16" s="1180">
        <f>[1]底稿!G245</f>
        <v>107259.71</v>
      </c>
      <c r="S16" s="1180">
        <v>33476.18</v>
      </c>
      <c r="T16" s="1221">
        <f t="shared" si="1"/>
        <v>1251920.0599999998</v>
      </c>
      <c r="U16" s="62"/>
    </row>
    <row r="17" spans="1:21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3105608.5</v>
      </c>
      <c r="F17" s="1185">
        <f t="shared" ref="F17:S17" si="7">F18+F19+F20+F21</f>
        <v>1785417</v>
      </c>
      <c r="G17" s="1185">
        <f t="shared" si="7"/>
        <v>1854915.5</v>
      </c>
      <c r="H17" s="1185">
        <f t="shared" si="7"/>
        <v>1606402</v>
      </c>
      <c r="I17" s="1185">
        <f t="shared" si="7"/>
        <v>3714508.5</v>
      </c>
      <c r="J17" s="1185">
        <f t="shared" si="7"/>
        <v>1187240</v>
      </c>
      <c r="K17" s="1185">
        <f t="shared" si="7"/>
        <v>585065</v>
      </c>
      <c r="L17" s="1185">
        <f t="shared" si="7"/>
        <v>555164</v>
      </c>
      <c r="M17" s="1185">
        <f t="shared" si="7"/>
        <v>466344</v>
      </c>
      <c r="N17" s="1185">
        <f t="shared" si="7"/>
        <v>518648</v>
      </c>
      <c r="O17" s="1185">
        <f t="shared" si="7"/>
        <v>2949790</v>
      </c>
      <c r="P17" s="1185">
        <f t="shared" si="7"/>
        <v>30000</v>
      </c>
      <c r="Q17" s="1185">
        <f t="shared" si="7"/>
        <v>329216</v>
      </c>
      <c r="R17" s="1185">
        <f t="shared" si="7"/>
        <v>1851644</v>
      </c>
      <c r="S17" s="1185">
        <f t="shared" si="7"/>
        <v>425273</v>
      </c>
      <c r="T17" s="1221">
        <f t="shared" si="1"/>
        <v>20965235.5</v>
      </c>
      <c r="U17" s="62"/>
    </row>
    <row r="18" spans="1:21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221">
        <f t="shared" si="1"/>
        <v>0</v>
      </c>
      <c r="U18" s="62"/>
    </row>
    <row r="19" spans="1:21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734305-46276</f>
        <v>688029</v>
      </c>
      <c r="F19" s="1180">
        <f>279717+595</f>
        <v>280312</v>
      </c>
      <c r="G19" s="1180">
        <v>638020</v>
      </c>
      <c r="H19" s="1180">
        <v>322696</v>
      </c>
      <c r="I19" s="1180">
        <f>732008</f>
        <v>732008</v>
      </c>
      <c r="J19" s="1180">
        <v>260352</v>
      </c>
      <c r="K19" s="1180">
        <v>254665</v>
      </c>
      <c r="L19" s="1180">
        <v>288664</v>
      </c>
      <c r="M19" s="1180">
        <v>216344</v>
      </c>
      <c r="N19" s="1180">
        <v>259648</v>
      </c>
      <c r="O19" s="1180">
        <v>639622</v>
      </c>
      <c r="P19" s="1180"/>
      <c r="Q19" s="1180">
        <f>226566-1850</f>
        <v>224716</v>
      </c>
      <c r="R19" s="1180">
        <v>279932</v>
      </c>
      <c r="S19" s="1180">
        <v>236773</v>
      </c>
      <c r="T19" s="1221">
        <f t="shared" si="1"/>
        <v>5321781</v>
      </c>
      <c r="U19" s="62"/>
    </row>
    <row r="20" spans="1:21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f>[1]底稿!G8</f>
        <v>662500</v>
      </c>
      <c r="F20" s="1180">
        <f>[1]底稿!G26</f>
        <v>381571</v>
      </c>
      <c r="G20" s="1180">
        <f>[1]底稿!G44</f>
        <v>453000</v>
      </c>
      <c r="H20" s="1180">
        <f>[1]底稿!G63</f>
        <v>498000</v>
      </c>
      <c r="I20" s="1180">
        <f>[1]底稿!G81</f>
        <v>1152500</v>
      </c>
      <c r="J20" s="1180">
        <f>[1]底稿!G99</f>
        <v>358200</v>
      </c>
      <c r="K20" s="1180">
        <f>[1]底稿!G117</f>
        <v>330400</v>
      </c>
      <c r="L20" s="1180">
        <f>[1]底稿!G135</f>
        <v>266500</v>
      </c>
      <c r="M20" s="1180">
        <f>[1]底稿!G153</f>
        <v>250000</v>
      </c>
      <c r="N20" s="1180">
        <f>[1]底稿!G172</f>
        <v>259000</v>
      </c>
      <c r="O20" s="1180">
        <f>[1]底稿!G191</f>
        <v>769000</v>
      </c>
      <c r="P20" s="1180">
        <f>[1]底稿!G209</f>
        <v>30000</v>
      </c>
      <c r="Q20" s="1180">
        <f>[1]底稿!G228</f>
        <v>104500</v>
      </c>
      <c r="R20" s="1180">
        <f>[1]底稿!G246</f>
        <v>507500</v>
      </c>
      <c r="S20" s="1180">
        <f>[1]底稿!G264</f>
        <v>188500</v>
      </c>
      <c r="T20" s="1221">
        <f t="shared" si="1"/>
        <v>6211171</v>
      </c>
      <c r="U20" s="62"/>
    </row>
    <row r="21" spans="1:21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1755079.5</v>
      </c>
      <c r="F21" s="1180">
        <v>1123534</v>
      </c>
      <c r="G21" s="1180">
        <v>763895.5</v>
      </c>
      <c r="H21" s="1180">
        <v>785706</v>
      </c>
      <c r="I21" s="1180">
        <v>1830000.5</v>
      </c>
      <c r="J21" s="1180">
        <v>568688</v>
      </c>
      <c r="K21" s="1180"/>
      <c r="L21" s="1180"/>
      <c r="M21" s="1180"/>
      <c r="N21" s="1180"/>
      <c r="O21" s="1180">
        <v>1541168</v>
      </c>
      <c r="P21" s="1180"/>
      <c r="Q21" s="1180"/>
      <c r="R21" s="1180">
        <v>1064212</v>
      </c>
      <c r="S21" s="1180"/>
      <c r="T21" s="1221">
        <f t="shared" si="1"/>
        <v>9432283.5</v>
      </c>
      <c r="U21" s="62"/>
    </row>
    <row r="22" spans="1:21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3103101.3099999996</v>
      </c>
      <c r="F22" s="1185">
        <f t="shared" ref="F22:S22" si="8">F23+F24</f>
        <v>1851563.63</v>
      </c>
      <c r="G22" s="1185">
        <f t="shared" si="8"/>
        <v>2043613.9800000004</v>
      </c>
      <c r="H22" s="1185">
        <f t="shared" si="8"/>
        <v>2005098.4500000004</v>
      </c>
      <c r="I22" s="1185">
        <f t="shared" si="8"/>
        <v>4388911.2</v>
      </c>
      <c r="J22" s="1185">
        <f t="shared" si="8"/>
        <v>1382942.4300000002</v>
      </c>
      <c r="K22" s="1185">
        <f t="shared" si="8"/>
        <v>1242205.9099999999</v>
      </c>
      <c r="L22" s="1185">
        <f t="shared" si="8"/>
        <v>1052035.06</v>
      </c>
      <c r="M22" s="1185">
        <f t="shared" si="8"/>
        <v>897703.12</v>
      </c>
      <c r="N22" s="1185">
        <f t="shared" si="8"/>
        <v>949967.1399999999</v>
      </c>
      <c r="O22" s="1185">
        <f t="shared" si="8"/>
        <v>3135123.39</v>
      </c>
      <c r="P22" s="1185">
        <f t="shared" si="8"/>
        <v>130464.96000000001</v>
      </c>
      <c r="Q22" s="1185">
        <f t="shared" si="8"/>
        <v>356458.16000000003</v>
      </c>
      <c r="R22" s="1185">
        <f t="shared" si="8"/>
        <v>2099404.1799999997</v>
      </c>
      <c r="S22" s="1185">
        <f t="shared" si="8"/>
        <v>671224.54999999993</v>
      </c>
      <c r="T22" s="1221">
        <f t="shared" si="1"/>
        <v>25309817.470000003</v>
      </c>
      <c r="U22" s="62"/>
    </row>
    <row r="23" spans="1:21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f>[1]底稿!G9</f>
        <v>2778648.8599999994</v>
      </c>
      <c r="F23" s="1180">
        <f>[1]底稿!G27</f>
        <v>1645636.22</v>
      </c>
      <c r="G23" s="1180">
        <f>[1]底稿!G45</f>
        <v>1759677.9800000004</v>
      </c>
      <c r="H23" s="1180">
        <f>[1]底稿!G64</f>
        <v>1760640.9000000004</v>
      </c>
      <c r="I23" s="1180">
        <f>[1]底稿!G82</f>
        <v>3998415.86</v>
      </c>
      <c r="J23" s="1180">
        <f>[1]底稿!G100</f>
        <v>1255842.4300000002</v>
      </c>
      <c r="K23" s="1180">
        <f>[1]底稿!G118</f>
        <v>1124653.19</v>
      </c>
      <c r="L23" s="1180">
        <f>[1]底稿!G136</f>
        <v>938889.06</v>
      </c>
      <c r="M23" s="1180">
        <f>[1]底稿!G154</f>
        <v>816603.12</v>
      </c>
      <c r="N23" s="1180">
        <f>[1]底稿!G173</f>
        <v>867197.1399999999</v>
      </c>
      <c r="O23" s="1180">
        <f>[1]底稿!G192</f>
        <v>2856850.0900000003</v>
      </c>
      <c r="P23" s="1180">
        <f>[1]底稿!G210</f>
        <v>114761.32</v>
      </c>
      <c r="Q23" s="1180">
        <f>[1]底稿!G229</f>
        <v>320843.16000000003</v>
      </c>
      <c r="R23" s="1180">
        <f>[1]底稿!G247</f>
        <v>1941684.1799999997</v>
      </c>
      <c r="S23" s="1180">
        <v>602555.68999999994</v>
      </c>
      <c r="T23" s="1221">
        <f t="shared" si="1"/>
        <v>22782899.199999999</v>
      </c>
      <c r="U23" s="62"/>
    </row>
    <row r="24" spans="1:21" ht="21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324452.45</v>
      </c>
      <c r="F24" s="1185">
        <f t="shared" ref="F24:S24" si="9">F25+F26</f>
        <v>205927.41</v>
      </c>
      <c r="G24" s="1185">
        <f t="shared" si="9"/>
        <v>283936</v>
      </c>
      <c r="H24" s="1185">
        <f t="shared" si="9"/>
        <v>244457.55</v>
      </c>
      <c r="I24" s="1185">
        <f t="shared" si="9"/>
        <v>390495.34</v>
      </c>
      <c r="J24" s="1185">
        <f t="shared" si="9"/>
        <v>127100</v>
      </c>
      <c r="K24" s="1185">
        <f t="shared" si="9"/>
        <v>117552.72</v>
      </c>
      <c r="L24" s="1185">
        <f t="shared" si="9"/>
        <v>113146</v>
      </c>
      <c r="M24" s="1185">
        <f t="shared" si="9"/>
        <v>81100</v>
      </c>
      <c r="N24" s="1185">
        <f t="shared" si="9"/>
        <v>82770</v>
      </c>
      <c r="O24" s="1185">
        <f t="shared" si="9"/>
        <v>278273.3</v>
      </c>
      <c r="P24" s="1185">
        <f t="shared" si="9"/>
        <v>15703.64</v>
      </c>
      <c r="Q24" s="1185">
        <f t="shared" si="9"/>
        <v>35615</v>
      </c>
      <c r="R24" s="1185">
        <f t="shared" si="9"/>
        <v>157720</v>
      </c>
      <c r="S24" s="1185">
        <f t="shared" si="9"/>
        <v>68668.86</v>
      </c>
      <c r="T24" s="1221">
        <f t="shared" si="1"/>
        <v>2526918.27</v>
      </c>
      <c r="U24" s="62"/>
    </row>
    <row r="25" spans="1:21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f>[1]底稿!G10</f>
        <v>68352.45</v>
      </c>
      <c r="F25" s="1180">
        <f>[1]底稿!G28</f>
        <v>44857.41</v>
      </c>
      <c r="G25" s="1180">
        <f>[1]底稿!G46</f>
        <v>98546</v>
      </c>
      <c r="H25" s="1180">
        <f>[1]底稿!G65</f>
        <v>58827.55</v>
      </c>
      <c r="I25" s="1180">
        <f>[1]底稿!G83</f>
        <v>18155.34</v>
      </c>
      <c r="J25" s="1180">
        <f>[1]底稿!G101</f>
        <v>1400</v>
      </c>
      <c r="K25" s="1180">
        <f>[1]底稿!G119</f>
        <v>5862.7199999999993</v>
      </c>
      <c r="L25" s="1180">
        <f>[1]底稿!G137</f>
        <v>21376</v>
      </c>
      <c r="M25" s="1180">
        <f>[1]底稿!G155</f>
        <v>0</v>
      </c>
      <c r="N25" s="1180">
        <f>[1]底稿!G174</f>
        <v>0</v>
      </c>
      <c r="O25" s="1180">
        <f>[1]底稿!G193</f>
        <v>7413.3</v>
      </c>
      <c r="P25" s="1180">
        <f>[1]底稿!G211</f>
        <v>1403.64</v>
      </c>
      <c r="Q25" s="1180">
        <f>[1]底稿!G230</f>
        <v>0</v>
      </c>
      <c r="R25" s="1180">
        <f>[1]底稿!G248</f>
        <v>0</v>
      </c>
      <c r="S25" s="1180">
        <f>[1]底稿!G266</f>
        <v>2958.86</v>
      </c>
      <c r="T25" s="1221">
        <f t="shared" si="1"/>
        <v>329153.26999999996</v>
      </c>
      <c r="U25" s="62"/>
    </row>
    <row r="26" spans="1:21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f>[1]底稿!G11</f>
        <v>256100</v>
      </c>
      <c r="F26" s="1180">
        <f>[1]底稿!G29</f>
        <v>161070</v>
      </c>
      <c r="G26" s="1180">
        <f>[1]底稿!G47</f>
        <v>185390</v>
      </c>
      <c r="H26" s="1180">
        <f>[1]底稿!G66</f>
        <v>185630</v>
      </c>
      <c r="I26" s="1180">
        <f>[1]底稿!G84</f>
        <v>372340</v>
      </c>
      <c r="J26" s="1180">
        <f>[1]底稿!G102</f>
        <v>125700</v>
      </c>
      <c r="K26" s="1180">
        <f>[1]底稿!G120</f>
        <v>111690</v>
      </c>
      <c r="L26" s="1180">
        <f>[1]底稿!G138</f>
        <v>91770</v>
      </c>
      <c r="M26" s="1180">
        <f>[1]底稿!G156</f>
        <v>81100</v>
      </c>
      <c r="N26" s="1180">
        <f>[1]底稿!G175</f>
        <v>82770</v>
      </c>
      <c r="O26" s="1180">
        <f>[1]底稿!G194</f>
        <v>270860</v>
      </c>
      <c r="P26" s="1180">
        <f>[1]底稿!G212</f>
        <v>14300</v>
      </c>
      <c r="Q26" s="1180">
        <f>[1]底稿!G231</f>
        <v>35615</v>
      </c>
      <c r="R26" s="1180">
        <f>[1]底稿!G249</f>
        <v>157720</v>
      </c>
      <c r="S26" s="1180">
        <f>[1]底稿!G267</f>
        <v>65710</v>
      </c>
      <c r="T26" s="1221">
        <f t="shared" si="1"/>
        <v>2197765</v>
      </c>
      <c r="U26" s="62"/>
    </row>
    <row r="27" spans="1:21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S27" si="10">E28</f>
        <v>4835058.68</v>
      </c>
      <c r="F27" s="1185">
        <f t="shared" si="10"/>
        <v>2995012.1799999997</v>
      </c>
      <c r="G27" s="1185">
        <f t="shared" si="10"/>
        <v>3114312.1800000006</v>
      </c>
      <c r="H27" s="1185">
        <f t="shared" si="10"/>
        <v>3102568.73</v>
      </c>
      <c r="I27" s="1185">
        <f t="shared" si="10"/>
        <v>7020134.7000000002</v>
      </c>
      <c r="J27" s="1185">
        <f t="shared" si="10"/>
        <v>2225467.7000000002</v>
      </c>
      <c r="K27" s="1185">
        <f t="shared" si="10"/>
        <v>1962593.0200000003</v>
      </c>
      <c r="L27" s="1185">
        <f t="shared" si="10"/>
        <v>1629133.44</v>
      </c>
      <c r="M27" s="1185">
        <f t="shared" si="10"/>
        <v>1450373.67</v>
      </c>
      <c r="N27" s="1185">
        <f t="shared" si="10"/>
        <v>1499123.2700000003</v>
      </c>
      <c r="O27" s="1185">
        <f t="shared" si="10"/>
        <v>5078843.93</v>
      </c>
      <c r="P27" s="1185">
        <f t="shared" si="10"/>
        <v>204019.36</v>
      </c>
      <c r="Q27" s="1185">
        <f t="shared" si="10"/>
        <v>570385.76</v>
      </c>
      <c r="R27" s="1185">
        <f t="shared" si="10"/>
        <v>3460214.88</v>
      </c>
      <c r="S27" s="1185">
        <f t="shared" si="10"/>
        <v>1071206.6599999999</v>
      </c>
      <c r="T27" s="1221">
        <f t="shared" si="1"/>
        <v>40218448.159999996</v>
      </c>
      <c r="U27" s="62"/>
    </row>
    <row r="28" spans="1:21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f>[1]底稿!G12</f>
        <v>4835058.68</v>
      </c>
      <c r="F28" s="1180">
        <f>[1]底稿!G30</f>
        <v>2995012.1799999997</v>
      </c>
      <c r="G28" s="1180">
        <f>[1]底稿!G48</f>
        <v>3114312.1800000006</v>
      </c>
      <c r="H28" s="1180">
        <f>[1]底稿!G67</f>
        <v>3102568.73</v>
      </c>
      <c r="I28" s="1180">
        <f>[1]底稿!G85</f>
        <v>7020134.7000000002</v>
      </c>
      <c r="J28" s="1180">
        <f>[1]底稿!G103</f>
        <v>2225467.7000000002</v>
      </c>
      <c r="K28" s="1180">
        <f>[1]底稿!G121</f>
        <v>1962593.0200000003</v>
      </c>
      <c r="L28" s="1180">
        <f>[1]底稿!G139</f>
        <v>1629133.44</v>
      </c>
      <c r="M28" s="1180">
        <f>[1]底稿!G157</f>
        <v>1450373.67</v>
      </c>
      <c r="N28" s="1180">
        <f>[1]底稿!G176</f>
        <v>1499123.2700000003</v>
      </c>
      <c r="O28" s="1180">
        <f>[1]底稿!G195</f>
        <v>5078843.93</v>
      </c>
      <c r="P28" s="1180">
        <f>[1]底稿!G213</f>
        <v>204019.36</v>
      </c>
      <c r="Q28" s="1180">
        <f>[1]底稿!G232</f>
        <v>570385.76</v>
      </c>
      <c r="R28" s="1180">
        <f>[1]底稿!G250</f>
        <v>3460214.88</v>
      </c>
      <c r="S28" s="1180">
        <v>1071206.6599999999</v>
      </c>
      <c r="T28" s="1221">
        <f t="shared" si="1"/>
        <v>40218448.159999996</v>
      </c>
      <c r="U28" s="62"/>
    </row>
    <row r="29" spans="1:21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S29" si="11">E30</f>
        <v>2419764.4</v>
      </c>
      <c r="F29" s="1185">
        <f t="shared" si="11"/>
        <v>1489720</v>
      </c>
      <c r="G29" s="1185">
        <f t="shared" si="11"/>
        <v>1564158.38</v>
      </c>
      <c r="H29" s="1185">
        <f t="shared" si="11"/>
        <v>1565009.6</v>
      </c>
      <c r="I29" s="1185">
        <f t="shared" si="11"/>
        <v>3520806.72</v>
      </c>
      <c r="J29" s="1185">
        <f t="shared" si="11"/>
        <v>1117391.44</v>
      </c>
      <c r="K29" s="1185">
        <f t="shared" si="11"/>
        <v>981300.7100000002</v>
      </c>
      <c r="L29" s="1185">
        <f t="shared" si="11"/>
        <v>834566.72</v>
      </c>
      <c r="M29" s="1185">
        <f t="shared" si="11"/>
        <v>725135.14</v>
      </c>
      <c r="N29" s="1185">
        <f t="shared" si="11"/>
        <v>799262.44</v>
      </c>
      <c r="O29" s="1185">
        <f t="shared" si="11"/>
        <v>2539421.6200000006</v>
      </c>
      <c r="P29" s="1185">
        <f t="shared" si="11"/>
        <v>95292.84</v>
      </c>
      <c r="Q29" s="1185">
        <f t="shared" si="11"/>
        <v>285192.88</v>
      </c>
      <c r="R29" s="1185">
        <f t="shared" si="11"/>
        <v>1703902.5</v>
      </c>
      <c r="S29" s="1185">
        <f t="shared" si="11"/>
        <v>535181.79</v>
      </c>
      <c r="T29" s="1221">
        <f t="shared" si="1"/>
        <v>20176107.18</v>
      </c>
      <c r="U29" s="62"/>
    </row>
    <row r="30" spans="1:21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f>[1]底稿!G13</f>
        <v>2419764.4</v>
      </c>
      <c r="F30" s="1180">
        <f>[1]底稿!G31</f>
        <v>1489720</v>
      </c>
      <c r="G30" s="1180">
        <f>[1]底稿!G49</f>
        <v>1564158.38</v>
      </c>
      <c r="H30" s="1180">
        <f>[1]底稿!G68</f>
        <v>1565009.6</v>
      </c>
      <c r="I30" s="1180">
        <f>[1]底稿!G86</f>
        <v>3520806.72</v>
      </c>
      <c r="J30" s="1180">
        <f>[1]底稿!G104</f>
        <v>1117391.44</v>
      </c>
      <c r="K30" s="1180">
        <f>[1]底稿!G122</f>
        <v>981300.7100000002</v>
      </c>
      <c r="L30" s="1180">
        <f>[1]底稿!G140</f>
        <v>834566.72</v>
      </c>
      <c r="M30" s="1180">
        <f>[1]底稿!G158</f>
        <v>725135.14</v>
      </c>
      <c r="N30" s="1180">
        <v>799262.44</v>
      </c>
      <c r="O30" s="1180">
        <f>[1]底稿!G196</f>
        <v>2539421.6200000006</v>
      </c>
      <c r="P30" s="1180">
        <f>[1]底稿!G214</f>
        <v>95292.84</v>
      </c>
      <c r="Q30" s="1180">
        <f>[1]底稿!G233</f>
        <v>285192.88</v>
      </c>
      <c r="R30" s="1180">
        <f>[1]底稿!G251</f>
        <v>1703902.5</v>
      </c>
      <c r="S30" s="1180">
        <v>535181.79</v>
      </c>
      <c r="T30" s="1221">
        <f t="shared" si="1"/>
        <v>20176107.18</v>
      </c>
      <c r="U30" s="62"/>
    </row>
    <row r="31" spans="1:21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f>[1]底稿!G14</f>
        <v>2094075</v>
      </c>
      <c r="F31" s="1180">
        <f>[1]底稿!G32</f>
        <v>1301086</v>
      </c>
      <c r="G31" s="1180">
        <f>[1]底稿!G50</f>
        <v>1363838</v>
      </c>
      <c r="H31" s="1180">
        <f>[1]底稿!G69</f>
        <v>1365848</v>
      </c>
      <c r="I31" s="1180">
        <f>[1]底稿!G87</f>
        <v>3102013</v>
      </c>
      <c r="J31" s="1180">
        <f>[1]底稿!G105</f>
        <v>988424</v>
      </c>
      <c r="K31" s="1180">
        <f>[1]底稿!G123</f>
        <v>857706</v>
      </c>
      <c r="L31" s="1180">
        <f>[1]底稿!G141</f>
        <v>734407</v>
      </c>
      <c r="M31" s="1180">
        <f>[1]底稿!G159</f>
        <v>649912</v>
      </c>
      <c r="N31" s="1180">
        <f>[1]底稿!G178</f>
        <v>683560</v>
      </c>
      <c r="O31" s="1180">
        <f>[1]底稿!G197</f>
        <v>2219422</v>
      </c>
      <c r="P31" s="1180">
        <f>[1]底稿!G215</f>
        <v>89340</v>
      </c>
      <c r="Q31" s="1180">
        <f>[1]底稿!G234</f>
        <v>250444</v>
      </c>
      <c r="R31" s="1180">
        <f>[1]底稿!G252</f>
        <v>1464399</v>
      </c>
      <c r="S31" s="1180">
        <f>[1]底稿!G270</f>
        <v>470999</v>
      </c>
      <c r="T31" s="1221">
        <f t="shared" si="1"/>
        <v>17635473</v>
      </c>
      <c r="U31" s="62"/>
    </row>
    <row r="32" spans="1:21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48000</v>
      </c>
      <c r="F32" s="1180">
        <v>23000</v>
      </c>
      <c r="G32" s="1180">
        <v>31000</v>
      </c>
      <c r="H32" s="1180">
        <v>32500</v>
      </c>
      <c r="I32" s="1180">
        <v>75500</v>
      </c>
      <c r="J32" s="1180">
        <v>20000</v>
      </c>
      <c r="K32" s="1180">
        <v>18500</v>
      </c>
      <c r="L32" s="1180">
        <v>15500</v>
      </c>
      <c r="M32" s="1180">
        <v>15500</v>
      </c>
      <c r="N32" s="1180">
        <v>15500</v>
      </c>
      <c r="O32" s="1180">
        <v>46000</v>
      </c>
      <c r="P32" s="1180">
        <v>1500</v>
      </c>
      <c r="Q32" s="1180">
        <v>4500</v>
      </c>
      <c r="R32" s="1180">
        <v>29000</v>
      </c>
      <c r="S32" s="1180">
        <v>12500</v>
      </c>
      <c r="T32" s="1221">
        <f t="shared" si="1"/>
        <v>388500</v>
      </c>
      <c r="U32" s="62"/>
    </row>
    <row r="33" spans="1:21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1778570</v>
      </c>
      <c r="F33" s="1185">
        <f t="shared" ref="F33:S33" si="12">F34+F36+F38</f>
        <v>1099430</v>
      </c>
      <c r="G33" s="1185">
        <f t="shared" si="12"/>
        <v>1360420</v>
      </c>
      <c r="H33" s="1185">
        <f t="shared" si="12"/>
        <v>915940</v>
      </c>
      <c r="I33" s="1185">
        <f t="shared" si="12"/>
        <v>424715</v>
      </c>
      <c r="J33" s="1185">
        <f t="shared" si="12"/>
        <v>2430</v>
      </c>
      <c r="K33" s="1185">
        <f t="shared" si="12"/>
        <v>218580</v>
      </c>
      <c r="L33" s="1185">
        <f t="shared" si="12"/>
        <v>350170</v>
      </c>
      <c r="M33" s="1185">
        <f t="shared" si="12"/>
        <v>99300</v>
      </c>
      <c r="N33" s="1185">
        <f t="shared" si="12"/>
        <v>16260</v>
      </c>
      <c r="O33" s="1185">
        <f t="shared" si="12"/>
        <v>87710</v>
      </c>
      <c r="P33" s="1185">
        <f t="shared" si="12"/>
        <v>78900</v>
      </c>
      <c r="Q33" s="1185">
        <f t="shared" si="12"/>
        <v>90</v>
      </c>
      <c r="R33" s="1185">
        <f t="shared" si="12"/>
        <v>83140</v>
      </c>
      <c r="S33" s="1185">
        <f t="shared" si="12"/>
        <v>187380</v>
      </c>
      <c r="T33" s="1221">
        <f t="shared" si="1"/>
        <v>6703035</v>
      </c>
      <c r="U33" s="62"/>
    </row>
    <row r="34" spans="1:21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1776200</v>
      </c>
      <c r="F34" s="1185">
        <f t="shared" ref="F34:S34" si="13">F35</f>
        <v>1096730</v>
      </c>
      <c r="G34" s="1185">
        <f t="shared" si="13"/>
        <v>1358230</v>
      </c>
      <c r="H34" s="1185">
        <f t="shared" si="13"/>
        <v>913780</v>
      </c>
      <c r="I34" s="1185">
        <f t="shared" si="13"/>
        <v>420245</v>
      </c>
      <c r="J34" s="1185">
        <f t="shared" si="13"/>
        <v>0</v>
      </c>
      <c r="K34" s="1185">
        <f t="shared" si="13"/>
        <v>215340</v>
      </c>
      <c r="L34" s="1185">
        <f t="shared" si="13"/>
        <v>347020</v>
      </c>
      <c r="M34" s="1185">
        <f t="shared" si="13"/>
        <v>95340</v>
      </c>
      <c r="N34" s="1185">
        <f t="shared" si="13"/>
        <v>13020</v>
      </c>
      <c r="O34" s="1185">
        <f t="shared" si="13"/>
        <v>84230</v>
      </c>
      <c r="P34" s="1185">
        <f t="shared" si="13"/>
        <v>78900</v>
      </c>
      <c r="Q34" s="1185">
        <f t="shared" si="13"/>
        <v>0</v>
      </c>
      <c r="R34" s="1185">
        <f t="shared" si="13"/>
        <v>79300</v>
      </c>
      <c r="S34" s="1185">
        <f t="shared" si="13"/>
        <v>186300</v>
      </c>
      <c r="T34" s="1221">
        <f t="shared" si="1"/>
        <v>6664635</v>
      </c>
      <c r="U34" s="62"/>
    </row>
    <row r="35" spans="1:21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f>[1]底稿!G15</f>
        <v>1776200</v>
      </c>
      <c r="F35" s="1180">
        <f>[1]底稿!G33</f>
        <v>1096730</v>
      </c>
      <c r="G35" s="1180">
        <f>[1]底稿!G51</f>
        <v>1358230</v>
      </c>
      <c r="H35" s="1180">
        <f>[1]底稿!G70</f>
        <v>913780</v>
      </c>
      <c r="I35" s="1180">
        <f>[1]底稿!G88</f>
        <v>420245</v>
      </c>
      <c r="J35" s="1180">
        <f>[1]底稿!G106</f>
        <v>0</v>
      </c>
      <c r="K35" s="1180">
        <v>215340</v>
      </c>
      <c r="L35" s="1180">
        <f>[1]底稿!G142</f>
        <v>347020</v>
      </c>
      <c r="M35" s="1180">
        <f>[1]底稿!G160</f>
        <v>95340</v>
      </c>
      <c r="N35" s="1180">
        <f>[1]底稿!G179</f>
        <v>13020</v>
      </c>
      <c r="O35" s="1180">
        <f>[1]底稿!G198</f>
        <v>84230</v>
      </c>
      <c r="P35" s="1180">
        <f>[1]底稿!G216</f>
        <v>78900</v>
      </c>
      <c r="Q35" s="1180">
        <f>[1]底稿!G235</f>
        <v>0</v>
      </c>
      <c r="R35" s="1180">
        <f>[1]底稿!G253</f>
        <v>79300</v>
      </c>
      <c r="S35" s="1180">
        <f>[1]底稿!G271</f>
        <v>186300</v>
      </c>
      <c r="T35" s="1221">
        <f t="shared" si="1"/>
        <v>6664635</v>
      </c>
      <c r="U35" s="62"/>
    </row>
    <row r="36" spans="1:21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2370</v>
      </c>
      <c r="F36" s="1185">
        <f t="shared" ref="F36:S36" si="14">F37</f>
        <v>2700</v>
      </c>
      <c r="G36" s="1185">
        <f t="shared" si="14"/>
        <v>2190</v>
      </c>
      <c r="H36" s="1185">
        <f t="shared" si="14"/>
        <v>2160</v>
      </c>
      <c r="I36" s="1185">
        <f t="shared" si="14"/>
        <v>4470</v>
      </c>
      <c r="J36" s="1185">
        <f t="shared" si="14"/>
        <v>2430</v>
      </c>
      <c r="K36" s="1185">
        <f t="shared" si="14"/>
        <v>3240</v>
      </c>
      <c r="L36" s="1185">
        <f t="shared" si="14"/>
        <v>3150</v>
      </c>
      <c r="M36" s="1185">
        <f t="shared" si="14"/>
        <v>3960</v>
      </c>
      <c r="N36" s="1185">
        <f t="shared" si="14"/>
        <v>3240</v>
      </c>
      <c r="O36" s="1185">
        <f t="shared" si="14"/>
        <v>3480</v>
      </c>
      <c r="P36" s="1185">
        <f t="shared" si="14"/>
        <v>0</v>
      </c>
      <c r="Q36" s="1185">
        <f t="shared" si="14"/>
        <v>90</v>
      </c>
      <c r="R36" s="1185">
        <f t="shared" si="14"/>
        <v>3840</v>
      </c>
      <c r="S36" s="1185">
        <f t="shared" si="14"/>
        <v>1080</v>
      </c>
      <c r="T36" s="1221">
        <f t="shared" si="1"/>
        <v>38400</v>
      </c>
      <c r="U36" s="62"/>
    </row>
    <row r="37" spans="1:21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f>[1]底稿!G16</f>
        <v>2370</v>
      </c>
      <c r="F37" s="1180">
        <f>[1]底稿!G34</f>
        <v>2700</v>
      </c>
      <c r="G37" s="1180">
        <f>[1]底稿!G52</f>
        <v>2190</v>
      </c>
      <c r="H37" s="1180">
        <f>[1]底稿!G71</f>
        <v>2160</v>
      </c>
      <c r="I37" s="1180">
        <f>[1]底稿!G89</f>
        <v>4470</v>
      </c>
      <c r="J37" s="1180">
        <f>[1]底稿!G107</f>
        <v>2430</v>
      </c>
      <c r="K37" s="1180">
        <f>[1]底稿!G125</f>
        <v>3240</v>
      </c>
      <c r="L37" s="1180">
        <f>[1]底稿!G143</f>
        <v>3150</v>
      </c>
      <c r="M37" s="1180">
        <f>[1]底稿!G161</f>
        <v>3960</v>
      </c>
      <c r="N37" s="1180">
        <f>[1]底稿!G180</f>
        <v>3240</v>
      </c>
      <c r="O37" s="1180">
        <f>[1]底稿!G199</f>
        <v>3480</v>
      </c>
      <c r="P37" s="1180">
        <f>[1]底稿!G217</f>
        <v>0</v>
      </c>
      <c r="Q37" s="1180">
        <f>[1]底稿!G236</f>
        <v>90</v>
      </c>
      <c r="R37" s="1180">
        <f>[1]底稿!G254</f>
        <v>3840</v>
      </c>
      <c r="S37" s="1180">
        <f>[1]底稿!G272</f>
        <v>1080</v>
      </c>
      <c r="T37" s="1221">
        <f t="shared" si="1"/>
        <v>38400</v>
      </c>
      <c r="U37" s="62"/>
    </row>
    <row r="38" spans="1:21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S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185">
        <f t="shared" si="15"/>
        <v>0</v>
      </c>
      <c r="R38" s="1185">
        <f t="shared" si="15"/>
        <v>0</v>
      </c>
      <c r="S38" s="1185">
        <f t="shared" si="15"/>
        <v>0</v>
      </c>
      <c r="T38" s="1221">
        <f t="shared" si="1"/>
        <v>0</v>
      </c>
      <c r="U38" s="62"/>
    </row>
    <row r="39" spans="1:21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221">
        <f t="shared" si="1"/>
        <v>0</v>
      </c>
      <c r="U39" s="62"/>
    </row>
    <row r="40" spans="1:21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S40" si="16">E41+E43+E45+E47+E49+E52+E54+E56+E60</f>
        <v>8603012.1400000006</v>
      </c>
      <c r="F40" s="1185">
        <f t="shared" si="16"/>
        <v>5037010.8600000003</v>
      </c>
      <c r="G40" s="1185">
        <f t="shared" si="16"/>
        <v>5124233</v>
      </c>
      <c r="H40" s="1185">
        <f t="shared" si="16"/>
        <v>4769897.29</v>
      </c>
      <c r="I40" s="1185">
        <f t="shared" si="16"/>
        <v>12578353.029999999</v>
      </c>
      <c r="J40" s="1185">
        <f t="shared" si="16"/>
        <v>3812624.51</v>
      </c>
      <c r="K40" s="1185">
        <f t="shared" si="16"/>
        <v>2716658.46</v>
      </c>
      <c r="L40" s="1185">
        <f t="shared" si="16"/>
        <v>3228027.6199999996</v>
      </c>
      <c r="M40" s="1185">
        <f t="shared" si="16"/>
        <v>2424866.89</v>
      </c>
      <c r="N40" s="1185">
        <f t="shared" si="16"/>
        <v>2294406.66</v>
      </c>
      <c r="O40" s="1185">
        <f t="shared" si="16"/>
        <v>8642850.5199999996</v>
      </c>
      <c r="P40" s="1185">
        <f t="shared" si="16"/>
        <v>214705.71</v>
      </c>
      <c r="Q40" s="1185">
        <f t="shared" si="16"/>
        <v>1122090.43</v>
      </c>
      <c r="R40" s="1185">
        <f t="shared" si="16"/>
        <v>6524575.4100000001</v>
      </c>
      <c r="S40" s="1185">
        <f t="shared" si="16"/>
        <v>1781607.94</v>
      </c>
      <c r="T40" s="1221">
        <f t="shared" si="1"/>
        <v>68874920.469999984</v>
      </c>
      <c r="U40" s="62"/>
    </row>
    <row r="41" spans="1:21" ht="21.95" customHeight="1">
      <c r="A41" s="66" t="s">
        <v>99</v>
      </c>
      <c r="B41" s="61" t="s">
        <v>100</v>
      </c>
      <c r="C41" s="61"/>
      <c r="D41" s="62" t="s">
        <v>101</v>
      </c>
      <c r="E41" s="1180">
        <f>'[1]2025中小学生均'!X9</f>
        <v>6298175</v>
      </c>
      <c r="F41" s="1180">
        <f>'[1]2025中小学生均'!X8</f>
        <v>3848400</v>
      </c>
      <c r="G41" s="1180">
        <f>'[1]2025中小学生均'!X5</f>
        <v>3707920</v>
      </c>
      <c r="H41" s="1180">
        <v>3388895</v>
      </c>
      <c r="I41" s="1180">
        <f>'[1]2025中小学生均'!X3+'[1]2025中小学生均'!X4</f>
        <v>10112980</v>
      </c>
      <c r="J41" s="1180">
        <f>'[1]2025中小学生均'!X7</f>
        <v>2976780</v>
      </c>
      <c r="K41" s="1180">
        <f>'[1]2025幼儿园生均'!L6+'[1]2025幼儿园生均'!L7</f>
        <v>1881870</v>
      </c>
      <c r="L41" s="1180">
        <f>'[1]2025幼儿园生均'!L2+'[1]2025幼儿园生均'!L3+'[1]2025幼儿园生均'!L4+'[1]2025幼儿园生均'!L5</f>
        <v>2398070</v>
      </c>
      <c r="M41" s="1180">
        <f>'[1]2025幼儿园生均'!L8+'[1]2025幼儿园生均'!L9</f>
        <v>1751700</v>
      </c>
      <c r="N41" s="1180">
        <f>'[1]2025幼儿园生均'!L10+'[1]2025幼儿园生均'!L11</f>
        <v>1701670</v>
      </c>
      <c r="O41" s="1180">
        <f>'[1]2025中小学生均'!X10</f>
        <v>6804495</v>
      </c>
      <c r="P41" s="1180">
        <v>112000</v>
      </c>
      <c r="Q41" s="1180">
        <f>'[1]2025幼儿园生均'!L14</f>
        <v>858000</v>
      </c>
      <c r="R41" s="1180">
        <v>5387975</v>
      </c>
      <c r="S41" s="1180">
        <f>'[1]2025幼儿园生均'!L12+'[1]2025幼儿园生均'!L13</f>
        <v>1322700</v>
      </c>
      <c r="T41" s="1221">
        <f t="shared" si="1"/>
        <v>52551630</v>
      </c>
      <c r="U41" s="62"/>
    </row>
    <row r="42" spans="1:21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'[1]2025中小学生均'!Y9</f>
        <v>314908.75</v>
      </c>
      <c r="F42" s="1180">
        <f>'[1]2025中小学生均'!Y8</f>
        <v>192420</v>
      </c>
      <c r="G42" s="1180">
        <f>'[1]2025中小学生均'!Y5</f>
        <v>185396</v>
      </c>
      <c r="H42" s="1180">
        <v>169444.75</v>
      </c>
      <c r="I42" s="1180">
        <f>'[1]2025中小学生均'!Y3+'[1]2025中小学生均'!Y4</f>
        <v>505649</v>
      </c>
      <c r="J42" s="1180">
        <f>'[1]2025中小学生均'!Y7</f>
        <v>148839</v>
      </c>
      <c r="K42" s="1180">
        <f>'[1]2025幼儿园生均'!M6+'[1]2025幼儿园生均'!M7</f>
        <v>88945.5</v>
      </c>
      <c r="L42" s="1180">
        <f>'[1]2025幼儿园生均'!M2+'[1]2025幼儿园生均'!M3+'[1]2025幼儿园生均'!M4+'[1]2025幼儿园生均'!M5</f>
        <v>78934</v>
      </c>
      <c r="M42" s="1180">
        <f>'[1]2025幼儿园生均'!M8+'[1]2025幼儿园生均'!M9</f>
        <v>75144</v>
      </c>
      <c r="N42" s="1180">
        <f>'[1]2025幼儿园生均'!M10+'[1]2025幼儿园生均'!M11</f>
        <v>78005</v>
      </c>
      <c r="O42" s="1180">
        <f>'[1]2025中小学生均'!Y10</f>
        <v>340224.75</v>
      </c>
      <c r="P42" s="1180">
        <v>5600</v>
      </c>
      <c r="Q42" s="1180">
        <f>'[1]2025幼儿园生均'!M14</f>
        <v>31746</v>
      </c>
      <c r="R42" s="1180">
        <v>269398.75</v>
      </c>
      <c r="S42" s="1180">
        <f>'[1]2025幼儿园生均'!M12+'[1]2025幼儿园生均'!M13</f>
        <v>53908.5</v>
      </c>
      <c r="T42" s="1221">
        <f t="shared" si="1"/>
        <v>2538564</v>
      </c>
      <c r="U42" s="62"/>
    </row>
    <row r="43" spans="1:21" ht="21.95" customHeight="1">
      <c r="A43" s="66" t="s">
        <v>106</v>
      </c>
      <c r="B43" s="61" t="s">
        <v>107</v>
      </c>
      <c r="C43" s="61"/>
      <c r="D43" s="62"/>
      <c r="E43" s="1185">
        <f>E44</f>
        <v>44000</v>
      </c>
      <c r="F43" s="1185">
        <f t="shared" ref="F43:S43" si="17">F44</f>
        <v>27600</v>
      </c>
      <c r="G43" s="1185">
        <f t="shared" si="17"/>
        <v>29600</v>
      </c>
      <c r="H43" s="1185">
        <f t="shared" si="17"/>
        <v>33200</v>
      </c>
      <c r="I43" s="1185">
        <f t="shared" si="17"/>
        <v>74400</v>
      </c>
      <c r="J43" s="1185">
        <f t="shared" si="17"/>
        <v>23600</v>
      </c>
      <c r="K43" s="1185">
        <f t="shared" si="17"/>
        <v>21600</v>
      </c>
      <c r="L43" s="1185">
        <f t="shared" si="17"/>
        <v>18800</v>
      </c>
      <c r="M43" s="1185">
        <f t="shared" si="17"/>
        <v>17600</v>
      </c>
      <c r="N43" s="1185">
        <f t="shared" si="17"/>
        <v>17600</v>
      </c>
      <c r="O43" s="1185">
        <f t="shared" si="17"/>
        <v>51200</v>
      </c>
      <c r="P43" s="1185">
        <f t="shared" si="17"/>
        <v>2000</v>
      </c>
      <c r="Q43" s="1185">
        <f t="shared" si="17"/>
        <v>7200</v>
      </c>
      <c r="R43" s="1185">
        <f t="shared" si="17"/>
        <v>36000</v>
      </c>
      <c r="S43" s="1185">
        <f t="shared" si="17"/>
        <v>12800</v>
      </c>
      <c r="T43" s="1221">
        <f t="shared" si="1"/>
        <v>417200</v>
      </c>
      <c r="U43" s="62"/>
    </row>
    <row r="44" spans="1:21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E63*400</f>
        <v>44000</v>
      </c>
      <c r="F44" s="1180">
        <f t="shared" ref="F44:S44" si="18">F63*400</f>
        <v>27600</v>
      </c>
      <c r="G44" s="1180">
        <f t="shared" si="18"/>
        <v>29600</v>
      </c>
      <c r="H44" s="1180">
        <f t="shared" si="18"/>
        <v>33200</v>
      </c>
      <c r="I44" s="1180">
        <f t="shared" si="18"/>
        <v>74400</v>
      </c>
      <c r="J44" s="1180">
        <f t="shared" si="18"/>
        <v>23600</v>
      </c>
      <c r="K44" s="1180">
        <f t="shared" si="18"/>
        <v>21600</v>
      </c>
      <c r="L44" s="1180">
        <f t="shared" si="18"/>
        <v>18800</v>
      </c>
      <c r="M44" s="1180">
        <f t="shared" si="18"/>
        <v>17600</v>
      </c>
      <c r="N44" s="1180">
        <f t="shared" si="18"/>
        <v>17600</v>
      </c>
      <c r="O44" s="1180">
        <f t="shared" si="18"/>
        <v>51200</v>
      </c>
      <c r="P44" s="1180">
        <f t="shared" si="18"/>
        <v>2000</v>
      </c>
      <c r="Q44" s="1180">
        <f t="shared" si="18"/>
        <v>7200</v>
      </c>
      <c r="R44" s="1180">
        <f t="shared" si="18"/>
        <v>36000</v>
      </c>
      <c r="S44" s="1180">
        <f t="shared" si="18"/>
        <v>12800</v>
      </c>
      <c r="T44" s="1221">
        <f t="shared" si="1"/>
        <v>417200</v>
      </c>
      <c r="U44" s="62"/>
    </row>
    <row r="45" spans="1:21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489330</v>
      </c>
      <c r="F45" s="1185">
        <f t="shared" ref="F45:S45" si="19">F46</f>
        <v>135690</v>
      </c>
      <c r="G45" s="1185">
        <f t="shared" si="19"/>
        <v>204405</v>
      </c>
      <c r="H45" s="1185">
        <f t="shared" si="19"/>
        <v>268530</v>
      </c>
      <c r="I45" s="1185">
        <f t="shared" si="19"/>
        <v>386583.60000000003</v>
      </c>
      <c r="J45" s="1185">
        <f t="shared" si="19"/>
        <v>196585.65</v>
      </c>
      <c r="K45" s="1185">
        <f t="shared" si="19"/>
        <v>205953.60000000003</v>
      </c>
      <c r="L45" s="1185">
        <f t="shared" si="19"/>
        <v>228626.25</v>
      </c>
      <c r="M45" s="1185">
        <f t="shared" si="19"/>
        <v>172176.15</v>
      </c>
      <c r="N45" s="1185">
        <f t="shared" si="19"/>
        <v>136753.79999999999</v>
      </c>
      <c r="O45" s="1185">
        <f t="shared" si="19"/>
        <v>395674.94999999995</v>
      </c>
      <c r="P45" s="1185">
        <f t="shared" si="19"/>
        <v>34500</v>
      </c>
      <c r="Q45" s="1185">
        <f t="shared" si="19"/>
        <v>65355</v>
      </c>
      <c r="R45" s="1185">
        <f t="shared" si="19"/>
        <v>199268.7</v>
      </c>
      <c r="S45" s="1185">
        <f t="shared" si="19"/>
        <v>59392.800000000003</v>
      </c>
      <c r="T45" s="1221">
        <f t="shared" si="1"/>
        <v>3178825.5</v>
      </c>
      <c r="U45" s="62"/>
    </row>
    <row r="46" spans="1:21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15*E74</f>
        <v>489330</v>
      </c>
      <c r="F46" s="1180">
        <f t="shared" ref="F46:S46" si="20">15*F74</f>
        <v>135690</v>
      </c>
      <c r="G46" s="1180">
        <f t="shared" si="20"/>
        <v>204405</v>
      </c>
      <c r="H46" s="1180">
        <f t="shared" si="20"/>
        <v>268530</v>
      </c>
      <c r="I46" s="1180">
        <f t="shared" si="20"/>
        <v>386583.60000000003</v>
      </c>
      <c r="J46" s="1180">
        <f t="shared" si="20"/>
        <v>196585.65</v>
      </c>
      <c r="K46" s="1180">
        <f t="shared" si="20"/>
        <v>205953.60000000003</v>
      </c>
      <c r="L46" s="1180">
        <f t="shared" si="20"/>
        <v>228626.25</v>
      </c>
      <c r="M46" s="1180">
        <f t="shared" si="20"/>
        <v>172176.15</v>
      </c>
      <c r="N46" s="1180">
        <f t="shared" si="20"/>
        <v>136753.79999999999</v>
      </c>
      <c r="O46" s="1180">
        <f t="shared" si="20"/>
        <v>395674.94999999995</v>
      </c>
      <c r="P46" s="1180">
        <f t="shared" si="20"/>
        <v>34500</v>
      </c>
      <c r="Q46" s="1180">
        <f t="shared" si="20"/>
        <v>65355</v>
      </c>
      <c r="R46" s="1180">
        <f t="shared" si="20"/>
        <v>199268.7</v>
      </c>
      <c r="S46" s="1180">
        <f t="shared" si="20"/>
        <v>59392.800000000003</v>
      </c>
      <c r="T46" s="1221">
        <f t="shared" si="1"/>
        <v>3178825.5</v>
      </c>
      <c r="U46" s="62"/>
    </row>
    <row r="47" spans="1:21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238592</v>
      </c>
      <c r="F47" s="1185">
        <f t="shared" ref="F47:S47" si="21">F48</f>
        <v>69296</v>
      </c>
      <c r="G47" s="1185">
        <f t="shared" si="21"/>
        <v>64000</v>
      </c>
      <c r="H47" s="1185">
        <f t="shared" si="21"/>
        <v>64000</v>
      </c>
      <c r="I47" s="1185">
        <f t="shared" si="21"/>
        <v>126840</v>
      </c>
      <c r="J47" s="1185">
        <f t="shared" si="21"/>
        <v>37352</v>
      </c>
      <c r="K47" s="1185">
        <f t="shared" si="21"/>
        <v>51136</v>
      </c>
      <c r="L47" s="1185">
        <f t="shared" si="21"/>
        <v>53540.800000000003</v>
      </c>
      <c r="M47" s="1185">
        <f t="shared" si="21"/>
        <v>52681.599999999999</v>
      </c>
      <c r="N47" s="1185">
        <f t="shared" si="21"/>
        <v>24480</v>
      </c>
      <c r="O47" s="1185">
        <f t="shared" si="21"/>
        <v>138080</v>
      </c>
      <c r="P47" s="1185">
        <f t="shared" si="21"/>
        <v>0</v>
      </c>
      <c r="Q47" s="1185">
        <f t="shared" si="21"/>
        <v>12040</v>
      </c>
      <c r="R47" s="1185">
        <f t="shared" si="21"/>
        <v>54272</v>
      </c>
      <c r="S47" s="1185">
        <f t="shared" si="21"/>
        <v>32104</v>
      </c>
      <c r="T47" s="1221">
        <f t="shared" si="1"/>
        <v>1018414.4</v>
      </c>
      <c r="U47" s="62"/>
    </row>
    <row r="48" spans="1:21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8*E75</f>
        <v>238592</v>
      </c>
      <c r="F48" s="1180">
        <f t="shared" ref="F48:S48" si="22">8*F75</f>
        <v>69296</v>
      </c>
      <c r="G48" s="1180">
        <f t="shared" si="22"/>
        <v>64000</v>
      </c>
      <c r="H48" s="1180">
        <f t="shared" si="22"/>
        <v>64000</v>
      </c>
      <c r="I48" s="1180">
        <f t="shared" si="22"/>
        <v>126840</v>
      </c>
      <c r="J48" s="1180">
        <f t="shared" si="22"/>
        <v>37352</v>
      </c>
      <c r="K48" s="1180">
        <f t="shared" si="22"/>
        <v>51136</v>
      </c>
      <c r="L48" s="1180">
        <f t="shared" si="22"/>
        <v>53540.800000000003</v>
      </c>
      <c r="M48" s="1180">
        <f t="shared" si="22"/>
        <v>52681.599999999999</v>
      </c>
      <c r="N48" s="1180">
        <f t="shared" si="22"/>
        <v>24480</v>
      </c>
      <c r="O48" s="1180">
        <f t="shared" si="22"/>
        <v>138080</v>
      </c>
      <c r="P48" s="1180">
        <f t="shared" si="22"/>
        <v>0</v>
      </c>
      <c r="Q48" s="1180">
        <f t="shared" si="22"/>
        <v>12040</v>
      </c>
      <c r="R48" s="1180">
        <f t="shared" si="22"/>
        <v>54272</v>
      </c>
      <c r="S48" s="1180">
        <f t="shared" si="22"/>
        <v>32104</v>
      </c>
      <c r="T48" s="1221">
        <f t="shared" si="1"/>
        <v>1018414.4</v>
      </c>
      <c r="U48" s="62"/>
    </row>
    <row r="49" spans="1:21" ht="21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867960</v>
      </c>
      <c r="F49" s="1185">
        <f t="shared" ref="F49:S49" si="23">F50+F51</f>
        <v>547560</v>
      </c>
      <c r="G49" s="1185">
        <f t="shared" si="23"/>
        <v>663120</v>
      </c>
      <c r="H49" s="1185">
        <f t="shared" si="23"/>
        <v>580680</v>
      </c>
      <c r="I49" s="1185">
        <f t="shared" si="23"/>
        <v>911160</v>
      </c>
      <c r="J49" s="1185">
        <f t="shared" si="23"/>
        <v>257400</v>
      </c>
      <c r="K49" s="1185">
        <f t="shared" si="23"/>
        <v>289440</v>
      </c>
      <c r="L49" s="1185">
        <f t="shared" si="23"/>
        <v>281160</v>
      </c>
      <c r="M49" s="1185">
        <f t="shared" si="23"/>
        <v>205920</v>
      </c>
      <c r="N49" s="1185">
        <f t="shared" si="23"/>
        <v>190800</v>
      </c>
      <c r="O49" s="1185">
        <f t="shared" si="23"/>
        <v>578880</v>
      </c>
      <c r="P49" s="1185">
        <f t="shared" si="23"/>
        <v>38880</v>
      </c>
      <c r="Q49" s="1185">
        <f t="shared" si="23"/>
        <v>75240</v>
      </c>
      <c r="R49" s="1185">
        <f t="shared" si="23"/>
        <v>392760</v>
      </c>
      <c r="S49" s="1185">
        <f t="shared" si="23"/>
        <v>183240</v>
      </c>
      <c r="T49" s="1221">
        <f t="shared" si="1"/>
        <v>6064200</v>
      </c>
      <c r="U49" s="62"/>
    </row>
    <row r="50" spans="1:21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112*4320+(-18)*360</f>
        <v>477360</v>
      </c>
      <c r="F50" s="1180">
        <f>72*4320+(-21)*360</f>
        <v>303480</v>
      </c>
      <c r="G50" s="1180">
        <f>77*4320+(-18)*360</f>
        <v>326160</v>
      </c>
      <c r="H50" s="1180">
        <f>85*4320+(-19)*360</f>
        <v>360360</v>
      </c>
      <c r="I50" s="1180">
        <f>189*4320+(-38)*360</f>
        <v>802800</v>
      </c>
      <c r="J50" s="1180">
        <f>60*4320+(-5)*360</f>
        <v>257400</v>
      </c>
      <c r="K50" s="1180">
        <f>55*4320+(-12)*360</f>
        <v>233280</v>
      </c>
      <c r="L50" s="1180">
        <f>44*4320+5*360</f>
        <v>191880</v>
      </c>
      <c r="M50" s="1180">
        <f>40*4320+20*360</f>
        <v>180000</v>
      </c>
      <c r="N50" s="1180">
        <f>43*4320+2*360</f>
        <v>186480</v>
      </c>
      <c r="O50" s="1180">
        <f>129*4320+(-10)*360</f>
        <v>553680</v>
      </c>
      <c r="P50" s="1180">
        <f>5*4320</f>
        <v>21600</v>
      </c>
      <c r="Q50" s="1180">
        <f>17*4320+5*360</f>
        <v>75240</v>
      </c>
      <c r="R50" s="1180">
        <f>84*4320+11*360</f>
        <v>366840</v>
      </c>
      <c r="S50" s="1180">
        <f>31*4320+5*360</f>
        <v>135720</v>
      </c>
      <c r="T50" s="1221">
        <f t="shared" si="1"/>
        <v>4472280</v>
      </c>
      <c r="U50" s="62"/>
    </row>
    <row r="51" spans="1:21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91*4320+(-7)*360</f>
        <v>390600</v>
      </c>
      <c r="F51" s="1180">
        <f>54*4320+30*360</f>
        <v>244080</v>
      </c>
      <c r="G51" s="1180">
        <f>77*4320+12*360</f>
        <v>336960</v>
      </c>
      <c r="H51" s="1180">
        <f>50*4320+12*360</f>
        <v>220320</v>
      </c>
      <c r="I51" s="1180">
        <f>22*4320+37*360</f>
        <v>108360</v>
      </c>
      <c r="J51" s="1180"/>
      <c r="K51" s="1180">
        <f>12*4320+12*360</f>
        <v>56160</v>
      </c>
      <c r="L51" s="1180">
        <f>20*4320+8*360</f>
        <v>89280</v>
      </c>
      <c r="M51" s="1180">
        <f>6*4320</f>
        <v>25920</v>
      </c>
      <c r="N51" s="1180">
        <f>1*4320</f>
        <v>4320</v>
      </c>
      <c r="O51" s="1180">
        <f>5*4320+10*360</f>
        <v>25200</v>
      </c>
      <c r="P51" s="1180">
        <f>4*4320</f>
        <v>17280</v>
      </c>
      <c r="Q51" s="1180"/>
      <c r="R51" s="1180">
        <f>5*4320+12*360</f>
        <v>25920</v>
      </c>
      <c r="S51" s="1180">
        <f>11*4320</f>
        <v>47520</v>
      </c>
      <c r="T51" s="1221">
        <f t="shared" si="1"/>
        <v>1591920</v>
      </c>
      <c r="U51" s="62"/>
    </row>
    <row r="52" spans="1:21" ht="21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598307.14</v>
      </c>
      <c r="F52" s="1185">
        <f t="shared" ref="F52:S52" si="24">F53</f>
        <v>371738.86</v>
      </c>
      <c r="G52" s="1185">
        <f t="shared" si="24"/>
        <v>389668</v>
      </c>
      <c r="H52" s="1185">
        <f t="shared" si="24"/>
        <v>390242.29</v>
      </c>
      <c r="I52" s="1185">
        <f t="shared" si="24"/>
        <v>886289.43</v>
      </c>
      <c r="J52" s="1185">
        <f t="shared" si="24"/>
        <v>282406.86</v>
      </c>
      <c r="K52" s="1185">
        <f t="shared" si="24"/>
        <v>245058.86</v>
      </c>
      <c r="L52" s="1185">
        <f t="shared" si="24"/>
        <v>209830.57</v>
      </c>
      <c r="M52" s="1185">
        <f t="shared" si="24"/>
        <v>185689.14</v>
      </c>
      <c r="N52" s="1185">
        <f t="shared" si="24"/>
        <v>195302.86</v>
      </c>
      <c r="O52" s="1185">
        <f t="shared" si="24"/>
        <v>634120.56999999995</v>
      </c>
      <c r="P52" s="1185">
        <f t="shared" si="24"/>
        <v>25525.71</v>
      </c>
      <c r="Q52" s="1185">
        <f t="shared" si="24"/>
        <v>71555.429999999993</v>
      </c>
      <c r="R52" s="1185">
        <f t="shared" si="24"/>
        <v>418399.71</v>
      </c>
      <c r="S52" s="1185">
        <f t="shared" si="24"/>
        <v>134571.14000000001</v>
      </c>
      <c r="T52" s="1221">
        <f t="shared" si="1"/>
        <v>5038706.5699999994</v>
      </c>
      <c r="U52" s="62"/>
    </row>
    <row r="53" spans="1:21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23">
        <f>ROUND(E31/0.07*0.02,2)</f>
        <v>598307.14</v>
      </c>
      <c r="F53" s="1223">
        <f>ROUND(F31/0.07*0.02,2)</f>
        <v>371738.86</v>
      </c>
      <c r="G53" s="1223">
        <f>G31/0.07*0.02</f>
        <v>389668</v>
      </c>
      <c r="H53" s="1223">
        <f t="shared" ref="H53:S53" si="25">ROUND(H31/0.07*0.02,2)</f>
        <v>390242.29</v>
      </c>
      <c r="I53" s="1223">
        <f t="shared" si="25"/>
        <v>886289.43</v>
      </c>
      <c r="J53" s="1223">
        <f t="shared" si="25"/>
        <v>282406.86</v>
      </c>
      <c r="K53" s="1223">
        <f t="shared" si="25"/>
        <v>245058.86</v>
      </c>
      <c r="L53" s="1223">
        <f t="shared" si="25"/>
        <v>209830.57</v>
      </c>
      <c r="M53" s="1223">
        <f t="shared" si="25"/>
        <v>185689.14</v>
      </c>
      <c r="N53" s="1223">
        <f t="shared" si="25"/>
        <v>195302.86</v>
      </c>
      <c r="O53" s="1223">
        <f t="shared" si="25"/>
        <v>634120.56999999995</v>
      </c>
      <c r="P53" s="1223">
        <f t="shared" si="25"/>
        <v>25525.71</v>
      </c>
      <c r="Q53" s="1223">
        <f t="shared" si="25"/>
        <v>71555.429999999993</v>
      </c>
      <c r="R53" s="1223">
        <f t="shared" si="25"/>
        <v>418399.71</v>
      </c>
      <c r="S53" s="1223">
        <f t="shared" si="25"/>
        <v>134571.14000000001</v>
      </c>
      <c r="T53" s="1221">
        <f t="shared" si="1"/>
        <v>5038706.5699999994</v>
      </c>
      <c r="U53" s="62"/>
    </row>
    <row r="54" spans="1:21" ht="21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26798</v>
      </c>
      <c r="F54" s="1185">
        <f t="shared" ref="F54:S54" si="26">F55</f>
        <v>12176</v>
      </c>
      <c r="G54" s="1185">
        <f t="shared" si="26"/>
        <v>32000</v>
      </c>
      <c r="H54" s="1185">
        <f t="shared" si="26"/>
        <v>19000</v>
      </c>
      <c r="I54" s="1185">
        <f t="shared" si="26"/>
        <v>62000</v>
      </c>
      <c r="J54" s="1185">
        <f t="shared" si="26"/>
        <v>0</v>
      </c>
      <c r="K54" s="1185">
        <f t="shared" si="26"/>
        <v>15000</v>
      </c>
      <c r="L54" s="1185">
        <f t="shared" si="26"/>
        <v>25000</v>
      </c>
      <c r="M54" s="1185">
        <f t="shared" si="26"/>
        <v>0</v>
      </c>
      <c r="N54" s="1185">
        <f t="shared" si="26"/>
        <v>0</v>
      </c>
      <c r="O54" s="1185">
        <f t="shared" si="26"/>
        <v>28000</v>
      </c>
      <c r="P54" s="1185">
        <f t="shared" si="26"/>
        <v>200</v>
      </c>
      <c r="Q54" s="1185">
        <f t="shared" si="26"/>
        <v>0</v>
      </c>
      <c r="R54" s="1185">
        <f t="shared" si="26"/>
        <v>0</v>
      </c>
      <c r="S54" s="1185">
        <f t="shared" si="26"/>
        <v>0</v>
      </c>
      <c r="T54" s="1221">
        <f t="shared" si="1"/>
        <v>220174</v>
      </c>
      <c r="U54" s="62"/>
    </row>
    <row r="55" spans="1:21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222">
        <v>26798</v>
      </c>
      <c r="F55" s="1222">
        <v>12176</v>
      </c>
      <c r="G55" s="1222">
        <v>32000</v>
      </c>
      <c r="H55" s="1222">
        <v>19000</v>
      </c>
      <c r="I55" s="1222">
        <v>62000</v>
      </c>
      <c r="J55" s="1222"/>
      <c r="K55" s="1222">
        <v>15000</v>
      </c>
      <c r="L55" s="1222">
        <v>25000</v>
      </c>
      <c r="M55" s="1222"/>
      <c r="N55" s="1222"/>
      <c r="O55" s="1222">
        <v>28000</v>
      </c>
      <c r="P55" s="1222">
        <v>200</v>
      </c>
      <c r="Q55" s="1222"/>
      <c r="R55" s="1222"/>
      <c r="S55" s="1222"/>
      <c r="T55" s="1221">
        <f t="shared" si="1"/>
        <v>220174</v>
      </c>
      <c r="U55" s="62"/>
    </row>
    <row r="56" spans="1:21" ht="21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39850</v>
      </c>
      <c r="F56" s="1185">
        <f t="shared" ref="F56:S56" si="27">F57+F59</f>
        <v>24550</v>
      </c>
      <c r="G56" s="1185">
        <f t="shared" si="27"/>
        <v>33520</v>
      </c>
      <c r="H56" s="1185">
        <f t="shared" si="27"/>
        <v>25350</v>
      </c>
      <c r="I56" s="1185">
        <f t="shared" si="27"/>
        <v>18100</v>
      </c>
      <c r="J56" s="1185">
        <f t="shared" si="27"/>
        <v>6500</v>
      </c>
      <c r="K56" s="1185">
        <f t="shared" si="27"/>
        <v>6600</v>
      </c>
      <c r="L56" s="1185">
        <f t="shared" si="27"/>
        <v>13000</v>
      </c>
      <c r="M56" s="1185">
        <f t="shared" si="27"/>
        <v>7100</v>
      </c>
      <c r="N56" s="1185">
        <f t="shared" si="27"/>
        <v>1800</v>
      </c>
      <c r="O56" s="1185">
        <f t="shared" si="27"/>
        <v>12400</v>
      </c>
      <c r="P56" s="1185">
        <f t="shared" si="27"/>
        <v>1600</v>
      </c>
      <c r="Q56" s="1185">
        <f t="shared" si="27"/>
        <v>700</v>
      </c>
      <c r="R56" s="1185">
        <f t="shared" si="27"/>
        <v>3900</v>
      </c>
      <c r="S56" s="1185">
        <f t="shared" si="27"/>
        <v>5600</v>
      </c>
      <c r="T56" s="1221">
        <f t="shared" si="1"/>
        <v>200570</v>
      </c>
      <c r="U56" s="62"/>
    </row>
    <row r="57" spans="1:21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36000</v>
      </c>
      <c r="F57" s="1185">
        <f t="shared" ref="F57:S57" si="28">F58</f>
        <v>22800</v>
      </c>
      <c r="G57" s="1185">
        <f t="shared" si="28"/>
        <v>31600</v>
      </c>
      <c r="H57" s="1185">
        <f t="shared" si="28"/>
        <v>20800</v>
      </c>
      <c r="I57" s="1185">
        <f t="shared" si="28"/>
        <v>10400</v>
      </c>
      <c r="J57" s="1185">
        <f t="shared" si="28"/>
        <v>0</v>
      </c>
      <c r="K57" s="1185">
        <f t="shared" si="28"/>
        <v>5600</v>
      </c>
      <c r="L57" s="1185">
        <f t="shared" si="28"/>
        <v>8400</v>
      </c>
      <c r="M57" s="1185">
        <f t="shared" si="28"/>
        <v>2400</v>
      </c>
      <c r="N57" s="1185">
        <f t="shared" si="28"/>
        <v>400</v>
      </c>
      <c r="O57" s="1185">
        <f t="shared" si="28"/>
        <v>2400</v>
      </c>
      <c r="P57" s="1185">
        <f t="shared" si="28"/>
        <v>1600</v>
      </c>
      <c r="Q57" s="1185">
        <f t="shared" si="28"/>
        <v>0</v>
      </c>
      <c r="R57" s="1185">
        <f t="shared" si="28"/>
        <v>2800</v>
      </c>
      <c r="S57" s="1185">
        <f t="shared" si="28"/>
        <v>4400</v>
      </c>
      <c r="T57" s="1221">
        <f t="shared" si="1"/>
        <v>149600</v>
      </c>
      <c r="U57" s="62"/>
    </row>
    <row r="58" spans="1:21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-1*400+91*400</f>
        <v>36000</v>
      </c>
      <c r="F58" s="1180">
        <f>3*400+54*400</f>
        <v>22800</v>
      </c>
      <c r="G58" s="1180">
        <f>2*400+77*400</f>
        <v>31600</v>
      </c>
      <c r="H58" s="1180">
        <f>2*400+50*400</f>
        <v>20800</v>
      </c>
      <c r="I58" s="1180">
        <f>4*400+22*400</f>
        <v>10400</v>
      </c>
      <c r="J58" s="1180"/>
      <c r="K58" s="1180">
        <f>12*400+2*400</f>
        <v>5600</v>
      </c>
      <c r="L58" s="1180">
        <f>20*400+1*400</f>
        <v>8400</v>
      </c>
      <c r="M58" s="1180">
        <f>6*400</f>
        <v>2400</v>
      </c>
      <c r="N58" s="1180">
        <v>400</v>
      </c>
      <c r="O58" s="1180">
        <f>5*400+1*400</f>
        <v>2400</v>
      </c>
      <c r="P58" s="1180">
        <f>4*400</f>
        <v>1600</v>
      </c>
      <c r="Q58" s="1180"/>
      <c r="R58" s="1180">
        <f>5*400+2*400</f>
        <v>2800</v>
      </c>
      <c r="S58" s="1180">
        <f>11*400</f>
        <v>4400</v>
      </c>
      <c r="T58" s="1221">
        <f t="shared" si="1"/>
        <v>149600</v>
      </c>
      <c r="U58" s="62"/>
    </row>
    <row r="59" spans="1:21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f>[1]底稿!G17</f>
        <v>3850</v>
      </c>
      <c r="F59" s="1186">
        <f>[1]底稿!G35</f>
        <v>1750</v>
      </c>
      <c r="G59" s="1186">
        <f>[1]底稿!G53</f>
        <v>1920</v>
      </c>
      <c r="H59" s="1186">
        <f>[1]底稿!G72</f>
        <v>4550</v>
      </c>
      <c r="I59" s="1186">
        <f>[1]底稿!G90</f>
        <v>7700</v>
      </c>
      <c r="J59" s="1186">
        <f>[1]底稿!G108</f>
        <v>6500</v>
      </c>
      <c r="K59" s="1186">
        <f>[1]底稿!G126</f>
        <v>1000</v>
      </c>
      <c r="L59" s="1186">
        <f>[1]底稿!G144</f>
        <v>4600</v>
      </c>
      <c r="M59" s="1186">
        <f>[1]底稿!G162</f>
        <v>4700</v>
      </c>
      <c r="N59" s="1186">
        <f>[1]底稿!G181</f>
        <v>1400</v>
      </c>
      <c r="O59" s="1186">
        <f>[1]底稿!G200</f>
        <v>10000</v>
      </c>
      <c r="P59" s="1186">
        <f>[1]底稿!G218</f>
        <v>0</v>
      </c>
      <c r="Q59" s="1186">
        <f>[1]底稿!G237</f>
        <v>700</v>
      </c>
      <c r="R59" s="1186">
        <f>[1]底稿!G255</f>
        <v>1100</v>
      </c>
      <c r="S59" s="1186">
        <f>[1]底稿!G273</f>
        <v>1200</v>
      </c>
      <c r="T59" s="1221">
        <f t="shared" si="1"/>
        <v>50970</v>
      </c>
      <c r="U59" s="62"/>
    </row>
    <row r="60" spans="1:21" ht="21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S60" si="29">F61</f>
        <v>0</v>
      </c>
      <c r="G60" s="1185">
        <f t="shared" si="29"/>
        <v>0</v>
      </c>
      <c r="H60" s="1185">
        <f t="shared" si="29"/>
        <v>0</v>
      </c>
      <c r="I60" s="1185">
        <f t="shared" si="29"/>
        <v>0</v>
      </c>
      <c r="J60" s="1185">
        <f t="shared" si="29"/>
        <v>32000</v>
      </c>
      <c r="K60" s="1185">
        <f t="shared" si="29"/>
        <v>0</v>
      </c>
      <c r="L60" s="1185">
        <f t="shared" si="29"/>
        <v>0</v>
      </c>
      <c r="M60" s="1185">
        <f t="shared" si="29"/>
        <v>32000</v>
      </c>
      <c r="N60" s="1185">
        <f t="shared" si="29"/>
        <v>26000</v>
      </c>
      <c r="O60" s="1185">
        <f t="shared" si="29"/>
        <v>0</v>
      </c>
      <c r="P60" s="1185">
        <f t="shared" si="29"/>
        <v>0</v>
      </c>
      <c r="Q60" s="1185">
        <f t="shared" si="29"/>
        <v>32000</v>
      </c>
      <c r="R60" s="1185">
        <f t="shared" si="29"/>
        <v>32000</v>
      </c>
      <c r="S60" s="1185">
        <f t="shared" si="29"/>
        <v>31200</v>
      </c>
      <c r="T60" s="1221">
        <f t="shared" si="1"/>
        <v>185200</v>
      </c>
      <c r="U60" s="62"/>
    </row>
    <row r="61" spans="1:21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/>
      <c r="G61" s="1179"/>
      <c r="H61" s="1179"/>
      <c r="I61" s="1179"/>
      <c r="J61" s="1179">
        <v>32000</v>
      </c>
      <c r="K61" s="1179"/>
      <c r="L61" s="1179"/>
      <c r="M61" s="1179">
        <v>32000</v>
      </c>
      <c r="N61" s="1179">
        <v>26000</v>
      </c>
      <c r="O61" s="1179"/>
      <c r="P61" s="1179"/>
      <c r="Q61" s="1179">
        <v>32000</v>
      </c>
      <c r="R61" s="1179">
        <v>32000</v>
      </c>
      <c r="S61" s="1179">
        <v>31200</v>
      </c>
      <c r="T61" s="1221">
        <f t="shared" si="1"/>
        <v>185200</v>
      </c>
      <c r="U61" s="1187"/>
    </row>
    <row r="62" spans="1:21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224">
        <f t="shared" si="1"/>
        <v>0</v>
      </c>
      <c r="U62" s="1189"/>
    </row>
    <row r="63" spans="1:21" ht="21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110</v>
      </c>
      <c r="F63" s="1204">
        <f t="shared" ref="F63:S63" si="30">F64+F65+F66+F67</f>
        <v>69</v>
      </c>
      <c r="G63" s="1204">
        <f t="shared" si="30"/>
        <v>74</v>
      </c>
      <c r="H63" s="1204">
        <f t="shared" si="30"/>
        <v>83</v>
      </c>
      <c r="I63" s="1204">
        <f t="shared" si="30"/>
        <v>186</v>
      </c>
      <c r="J63" s="1204">
        <f t="shared" si="30"/>
        <v>59</v>
      </c>
      <c r="K63" s="1204">
        <f t="shared" si="30"/>
        <v>54</v>
      </c>
      <c r="L63" s="1204">
        <f t="shared" si="30"/>
        <v>47</v>
      </c>
      <c r="M63" s="1204">
        <f t="shared" si="30"/>
        <v>44</v>
      </c>
      <c r="N63" s="1204">
        <f t="shared" si="30"/>
        <v>44</v>
      </c>
      <c r="O63" s="1204">
        <f t="shared" si="30"/>
        <v>128</v>
      </c>
      <c r="P63" s="1204">
        <f t="shared" si="30"/>
        <v>5</v>
      </c>
      <c r="Q63" s="1204">
        <f t="shared" si="30"/>
        <v>18</v>
      </c>
      <c r="R63" s="1204">
        <f t="shared" si="30"/>
        <v>90</v>
      </c>
      <c r="S63" s="1204">
        <f t="shared" si="30"/>
        <v>32</v>
      </c>
      <c r="T63" s="1204">
        <f t="shared" si="1"/>
        <v>1043</v>
      </c>
      <c r="U63" s="62"/>
    </row>
    <row r="64" spans="1:21" ht="21.95" customHeight="1">
      <c r="A64" s="66" t="s">
        <v>148</v>
      </c>
      <c r="B64" s="1199" t="s">
        <v>149</v>
      </c>
      <c r="C64" s="1199"/>
      <c r="D64" s="62"/>
      <c r="E64" s="1181">
        <v>110</v>
      </c>
      <c r="F64" s="1181">
        <v>69</v>
      </c>
      <c r="G64" s="1181"/>
      <c r="H64" s="1181"/>
      <c r="I64" s="1181"/>
      <c r="J64" s="1181"/>
      <c r="K64" s="1181"/>
      <c r="L64" s="1181"/>
      <c r="M64" s="1181"/>
      <c r="N64" s="1181"/>
      <c r="O64" s="1181">
        <v>63</v>
      </c>
      <c r="P64" s="1181"/>
      <c r="Q64" s="1181"/>
      <c r="R64" s="1181">
        <v>90</v>
      </c>
      <c r="S64" s="1181"/>
      <c r="T64" s="1204">
        <f t="shared" si="1"/>
        <v>332</v>
      </c>
      <c r="U64" s="62"/>
    </row>
    <row r="65" spans="1:21" ht="21.95" customHeight="1">
      <c r="A65" s="66" t="s">
        <v>150</v>
      </c>
      <c r="B65" s="1199" t="s">
        <v>151</v>
      </c>
      <c r="C65" s="1199"/>
      <c r="D65" s="62"/>
      <c r="E65" s="1181"/>
      <c r="F65" s="1181"/>
      <c r="G65" s="1181">
        <v>74</v>
      </c>
      <c r="H65" s="1181">
        <v>83</v>
      </c>
      <c r="I65" s="1181">
        <v>186</v>
      </c>
      <c r="J65" s="1181">
        <v>59</v>
      </c>
      <c r="K65" s="1181"/>
      <c r="L65" s="1181"/>
      <c r="M65" s="1181"/>
      <c r="N65" s="1181"/>
      <c r="O65" s="1181">
        <v>65</v>
      </c>
      <c r="P65" s="1181"/>
      <c r="Q65" s="1181"/>
      <c r="R65" s="1181"/>
      <c r="S65" s="1181"/>
      <c r="T65" s="1204">
        <f t="shared" si="1"/>
        <v>467</v>
      </c>
      <c r="U65" s="62"/>
    </row>
    <row r="66" spans="1:21" ht="21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/>
      <c r="J66" s="1181"/>
      <c r="K66" s="1181">
        <v>54</v>
      </c>
      <c r="L66" s="1181">
        <v>47</v>
      </c>
      <c r="M66" s="1181">
        <v>44</v>
      </c>
      <c r="N66" s="1181">
        <v>44</v>
      </c>
      <c r="O66" s="1181"/>
      <c r="P66" s="1181"/>
      <c r="Q66" s="1181">
        <v>18</v>
      </c>
      <c r="R66" s="1181"/>
      <c r="S66" s="1181">
        <v>32</v>
      </c>
      <c r="T66" s="1204">
        <f t="shared" si="1"/>
        <v>239</v>
      </c>
      <c r="U66" s="62"/>
    </row>
    <row r="67" spans="1:21" ht="21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5</v>
      </c>
      <c r="Q67" s="1181"/>
      <c r="R67" s="1181"/>
      <c r="S67" s="1181"/>
      <c r="T67" s="1204">
        <f t="shared" si="1"/>
        <v>5</v>
      </c>
      <c r="U67" s="62"/>
    </row>
    <row r="68" spans="1:21" ht="21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1773</v>
      </c>
      <c r="F68" s="1204">
        <f t="shared" ref="F68:S68" si="31">F69+F70+F71+F72</f>
        <v>1028</v>
      </c>
      <c r="G68" s="1204">
        <f t="shared" si="31"/>
        <v>1215</v>
      </c>
      <c r="H68" s="1204">
        <f t="shared" si="31"/>
        <v>1064</v>
      </c>
      <c r="I68" s="1204">
        <f t="shared" si="31"/>
        <v>3078</v>
      </c>
      <c r="J68" s="1204">
        <f t="shared" si="31"/>
        <v>950</v>
      </c>
      <c r="K68" s="1204">
        <f t="shared" si="31"/>
        <v>560</v>
      </c>
      <c r="L68" s="1204">
        <f t="shared" si="31"/>
        <v>578</v>
      </c>
      <c r="M68" s="1204">
        <f t="shared" si="31"/>
        <v>513</v>
      </c>
      <c r="N68" s="1204">
        <f t="shared" si="31"/>
        <v>528</v>
      </c>
      <c r="O68" s="1204">
        <f t="shared" si="31"/>
        <v>2003</v>
      </c>
      <c r="P68" s="1204">
        <f t="shared" si="31"/>
        <v>0</v>
      </c>
      <c r="Q68" s="1204">
        <f t="shared" si="31"/>
        <v>205</v>
      </c>
      <c r="R68" s="1204">
        <f t="shared" si="31"/>
        <v>1485</v>
      </c>
      <c r="S68" s="1204">
        <f t="shared" si="31"/>
        <v>341</v>
      </c>
      <c r="T68" s="1204">
        <f t="shared" si="1"/>
        <v>15321</v>
      </c>
      <c r="U68" s="62"/>
    </row>
    <row r="69" spans="1:21" ht="21.95" customHeight="1">
      <c r="A69" s="66" t="s">
        <v>158</v>
      </c>
      <c r="B69" s="1199" t="s">
        <v>149</v>
      </c>
      <c r="C69" s="1199"/>
      <c r="D69" s="62"/>
      <c r="E69" s="1181">
        <v>1773</v>
      </c>
      <c r="F69" s="1181">
        <v>1028</v>
      </c>
      <c r="G69" s="1181"/>
      <c r="H69" s="1181"/>
      <c r="I69" s="1181"/>
      <c r="J69" s="1181"/>
      <c r="K69" s="1181"/>
      <c r="L69" s="1181"/>
      <c r="M69" s="1181"/>
      <c r="N69" s="1181"/>
      <c r="O69" s="1181">
        <v>908</v>
      </c>
      <c r="P69" s="1181"/>
      <c r="Q69" s="1181"/>
      <c r="R69" s="1181">
        <v>1485</v>
      </c>
      <c r="S69" s="1181"/>
      <c r="T69" s="1204">
        <f t="shared" ref="T69:T75" si="32">SUM(E69:S69)</f>
        <v>5194</v>
      </c>
      <c r="U69" s="62"/>
    </row>
    <row r="70" spans="1:21" ht="21.95" customHeight="1">
      <c r="A70" s="66" t="s">
        <v>159</v>
      </c>
      <c r="B70" s="1199" t="s">
        <v>151</v>
      </c>
      <c r="C70" s="1199"/>
      <c r="D70" s="62"/>
      <c r="E70" s="1181"/>
      <c r="F70" s="1181"/>
      <c r="G70" s="1181">
        <v>1215</v>
      </c>
      <c r="H70" s="1181">
        <v>1064</v>
      </c>
      <c r="I70" s="1181">
        <v>3078</v>
      </c>
      <c r="J70" s="1181">
        <v>950</v>
      </c>
      <c r="K70" s="1181"/>
      <c r="L70" s="1181"/>
      <c r="M70" s="1181"/>
      <c r="N70" s="1181"/>
      <c r="O70" s="1181">
        <v>1095</v>
      </c>
      <c r="P70" s="1181"/>
      <c r="Q70" s="1181"/>
      <c r="R70" s="1181"/>
      <c r="S70" s="1181"/>
      <c r="T70" s="1204">
        <f t="shared" si="32"/>
        <v>7402</v>
      </c>
      <c r="U70" s="62"/>
    </row>
    <row r="71" spans="1:21" ht="21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/>
      <c r="J71" s="1181"/>
      <c r="K71" s="1181">
        <v>560</v>
      </c>
      <c r="L71" s="1181">
        <v>578</v>
      </c>
      <c r="M71" s="1181">
        <v>513</v>
      </c>
      <c r="N71" s="1181">
        <v>528</v>
      </c>
      <c r="O71" s="1181"/>
      <c r="P71" s="1181"/>
      <c r="Q71" s="1181">
        <v>205</v>
      </c>
      <c r="R71" s="1181"/>
      <c r="S71" s="1181">
        <v>341</v>
      </c>
      <c r="T71" s="1204">
        <f t="shared" si="32"/>
        <v>2725</v>
      </c>
      <c r="U71" s="62"/>
    </row>
    <row r="72" spans="1:21" ht="21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204">
        <f t="shared" si="32"/>
        <v>0</v>
      </c>
      <c r="U72" s="62"/>
    </row>
    <row r="73" spans="1:21" ht="21.95" customHeight="1">
      <c r="A73" s="66" t="s">
        <v>162</v>
      </c>
      <c r="B73" s="61" t="s">
        <v>218</v>
      </c>
      <c r="C73" s="61"/>
      <c r="D73" s="62"/>
      <c r="E73" s="1181">
        <v>90</v>
      </c>
      <c r="F73" s="1181">
        <v>57</v>
      </c>
      <c r="G73" s="1181">
        <v>79</v>
      </c>
      <c r="H73" s="1181">
        <v>51</v>
      </c>
      <c r="I73" s="1181">
        <v>26</v>
      </c>
      <c r="J73" s="1181"/>
      <c r="K73" s="1181">
        <v>13</v>
      </c>
      <c r="L73" s="1181">
        <v>21</v>
      </c>
      <c r="M73" s="1181">
        <v>6</v>
      </c>
      <c r="N73" s="1181">
        <v>1</v>
      </c>
      <c r="O73" s="1181">
        <v>6</v>
      </c>
      <c r="P73" s="1181">
        <v>4</v>
      </c>
      <c r="Q73" s="1181"/>
      <c r="R73" s="1181">
        <v>7</v>
      </c>
      <c r="S73" s="1181">
        <v>11</v>
      </c>
      <c r="T73" s="1204">
        <f t="shared" si="32"/>
        <v>372</v>
      </c>
      <c r="U73" s="62"/>
    </row>
    <row r="74" spans="1:21" ht="21.95" customHeight="1">
      <c r="A74" s="66" t="s">
        <v>3011</v>
      </c>
      <c r="B74" s="1199" t="s">
        <v>219</v>
      </c>
      <c r="C74" s="1199"/>
      <c r="D74" s="67"/>
      <c r="E74" s="1180">
        <v>32622</v>
      </c>
      <c r="F74" s="1180">
        <v>9046</v>
      </c>
      <c r="G74" s="1180">
        <v>13627</v>
      </c>
      <c r="H74" s="1180">
        <v>17902</v>
      </c>
      <c r="I74" s="1180">
        <v>25772.240000000002</v>
      </c>
      <c r="J74" s="1180">
        <v>13105.71</v>
      </c>
      <c r="K74" s="1180">
        <f>10602.95+3127.29</f>
        <v>13730.240000000002</v>
      </c>
      <c r="L74" s="1180">
        <f>6627.96+9667-2106.42+1053.21</f>
        <v>15241.75</v>
      </c>
      <c r="M74" s="1180">
        <v>11478.41</v>
      </c>
      <c r="N74" s="1180">
        <v>9116.92</v>
      </c>
      <c r="O74" s="1180">
        <f>14906.88/2+18924.89</f>
        <v>26378.329999999998</v>
      </c>
      <c r="P74" s="1180">
        <v>2300</v>
      </c>
      <c r="Q74" s="1180">
        <v>4357</v>
      </c>
      <c r="R74" s="1180">
        <v>13284.58</v>
      </c>
      <c r="S74" s="1180">
        <f>2564.98+1394.54</f>
        <v>3959.52</v>
      </c>
      <c r="T74" s="1221">
        <f t="shared" si="32"/>
        <v>211921.69999999998</v>
      </c>
      <c r="U74" s="62"/>
    </row>
    <row r="75" spans="1:21" ht="21.95" customHeight="1">
      <c r="A75" s="66" t="s">
        <v>3012</v>
      </c>
      <c r="B75" s="1199" t="s">
        <v>220</v>
      </c>
      <c r="C75" s="1199"/>
      <c r="D75" s="67"/>
      <c r="E75" s="1180">
        <v>29824</v>
      </c>
      <c r="F75" s="1180">
        <v>8662</v>
      </c>
      <c r="G75" s="1180">
        <v>8000</v>
      </c>
      <c r="H75" s="1180">
        <v>8000</v>
      </c>
      <c r="I75" s="1180">
        <v>15855</v>
      </c>
      <c r="J75" s="1180">
        <v>4669</v>
      </c>
      <c r="K75" s="1180">
        <f>4900+1492</f>
        <v>6392</v>
      </c>
      <c r="L75" s="1180">
        <f>4663.8+2548.8-1040+520</f>
        <v>6692.6</v>
      </c>
      <c r="M75" s="1180">
        <v>6585.2</v>
      </c>
      <c r="N75" s="1180">
        <v>3060</v>
      </c>
      <c r="O75" s="1180">
        <f>7600/2+13460</f>
        <v>17260</v>
      </c>
      <c r="P75" s="1180"/>
      <c r="Q75" s="1180">
        <v>1505</v>
      </c>
      <c r="R75" s="1180">
        <v>6784</v>
      </c>
      <c r="S75" s="1180">
        <v>4013</v>
      </c>
      <c r="T75" s="1221">
        <f t="shared" si="32"/>
        <v>127301.8</v>
      </c>
      <c r="U75" s="62"/>
    </row>
    <row r="77" spans="1:21">
      <c r="B77" s="3" t="s">
        <v>3067</v>
      </c>
    </row>
    <row r="84" spans="5:19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</sheetData>
  <protectedRanges>
    <protectedRange password="E9C1" sqref="D31 C32 A6:D7 B8:D30 T6:U75 B33:D75 A8:A75 A3:U5" name="区域1_1"/>
    <protectedRange password="E9C1" sqref="B31:C31 B32" name="区域1_1_1"/>
    <protectedRange password="E9C1" sqref="D32" name="区域1_2"/>
  </protectedRanges>
  <mergeCells count="7">
    <mergeCell ref="A1:U1"/>
    <mergeCell ref="A3:A4"/>
    <mergeCell ref="B3:B4"/>
    <mergeCell ref="C3:C4"/>
    <mergeCell ref="D3:D4"/>
    <mergeCell ref="T3:T4"/>
    <mergeCell ref="U3:U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B1" workbookViewId="0">
      <pane xSplit="3" ySplit="4" topLeftCell="E62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.125" style="21" hidden="1" customWidth="1"/>
    <col min="2" max="2" width="32" style="3" customWidth="1"/>
    <col min="3" max="3" width="0" style="3" hidden="1" customWidth="1"/>
    <col min="4" max="4" width="0.125" style="1178" hidden="1" customWidth="1"/>
    <col min="5" max="5" width="12.625" style="3" customWidth="1"/>
    <col min="6" max="6" width="13.25" style="3" customWidth="1"/>
    <col min="7" max="7" width="12.625" style="3" customWidth="1"/>
    <col min="8" max="8" width="12.25" style="3" customWidth="1"/>
    <col min="9" max="9" width="12.375" style="3" customWidth="1"/>
    <col min="10" max="10" width="13" style="3" customWidth="1"/>
    <col min="11" max="11" width="11.875" style="3" customWidth="1"/>
    <col min="12" max="12" width="12.125" style="3" customWidth="1"/>
    <col min="13" max="13" width="11.375" style="3" customWidth="1"/>
    <col min="14" max="14" width="11.875" style="3" customWidth="1"/>
    <col min="15" max="15" width="10.625" style="3" customWidth="1"/>
    <col min="16" max="16" width="13.5" style="3" customWidth="1"/>
    <col min="17" max="17" width="10.625" style="3" hidden="1" customWidth="1"/>
    <col min="18" max="16384" width="9" style="3"/>
  </cols>
  <sheetData>
    <row r="1" spans="1:19" ht="24.95" customHeight="1">
      <c r="A1" s="1361" t="s">
        <v>3184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</row>
    <row r="2" spans="1:19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252" t="s">
        <v>3242</v>
      </c>
      <c r="Q2" s="1177"/>
    </row>
    <row r="3" spans="1:19" ht="24.95" customHeight="1">
      <c r="A3" s="1608" t="s">
        <v>12</v>
      </c>
      <c r="B3" s="1608" t="s">
        <v>13</v>
      </c>
      <c r="C3" s="1608" t="s">
        <v>14</v>
      </c>
      <c r="D3" s="1608" t="s">
        <v>15</v>
      </c>
      <c r="E3" s="1191" t="s">
        <v>188</v>
      </c>
      <c r="F3" s="1191" t="s">
        <v>189</v>
      </c>
      <c r="G3" s="1191" t="s">
        <v>3185</v>
      </c>
      <c r="H3" s="1191" t="s">
        <v>3069</v>
      </c>
      <c r="I3" s="1191" t="s">
        <v>190</v>
      </c>
      <c r="J3" s="1191" t="s">
        <v>191</v>
      </c>
      <c r="K3" s="1191" t="s">
        <v>192</v>
      </c>
      <c r="L3" s="1191" t="s">
        <v>193</v>
      </c>
      <c r="M3" s="1191" t="s">
        <v>194</v>
      </c>
      <c r="N3" s="1191" t="s">
        <v>3070</v>
      </c>
      <c r="O3" s="1191" t="s">
        <v>187</v>
      </c>
      <c r="P3" s="1610" t="s">
        <v>17</v>
      </c>
      <c r="Q3" s="1610" t="s">
        <v>18</v>
      </c>
    </row>
    <row r="4" spans="1:19" ht="24.95" customHeight="1">
      <c r="A4" s="1609"/>
      <c r="B4" s="1609"/>
      <c r="C4" s="1609"/>
      <c r="D4" s="1609"/>
      <c r="E4" s="1191" t="s">
        <v>3177</v>
      </c>
      <c r="F4" s="1191" t="s">
        <v>3177</v>
      </c>
      <c r="G4" s="1191" t="s">
        <v>3083</v>
      </c>
      <c r="H4" s="1191" t="s">
        <v>3096</v>
      </c>
      <c r="I4" s="1191" t="s">
        <v>3096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3082</v>
      </c>
      <c r="P4" s="1611"/>
      <c r="Q4" s="1611"/>
    </row>
    <row r="5" spans="1:19" ht="16.5" customHeight="1">
      <c r="A5" s="66" t="s">
        <v>19</v>
      </c>
      <c r="B5" s="61" t="s">
        <v>20</v>
      </c>
      <c r="C5" s="61"/>
      <c r="D5" s="62" t="s">
        <v>21</v>
      </c>
      <c r="E5" s="1185">
        <f t="shared" ref="E5:O5" si="0">E6+E33+E40</f>
        <v>19931344.5</v>
      </c>
      <c r="F5" s="1185">
        <f t="shared" si="0"/>
        <v>16519290.85</v>
      </c>
      <c r="G5" s="1185">
        <f t="shared" si="0"/>
        <v>26897924.449999999</v>
      </c>
      <c r="H5" s="1185">
        <f t="shared" si="0"/>
        <v>17134567.649999999</v>
      </c>
      <c r="I5" s="1185">
        <f t="shared" si="0"/>
        <v>22753274</v>
      </c>
      <c r="J5" s="1185">
        <f t="shared" si="0"/>
        <v>10971000</v>
      </c>
      <c r="K5" s="1185">
        <f t="shared" si="0"/>
        <v>9074295.75</v>
      </c>
      <c r="L5" s="1185">
        <f t="shared" si="0"/>
        <v>8519894.5999999996</v>
      </c>
      <c r="M5" s="1185">
        <f t="shared" si="0"/>
        <v>9530062.25</v>
      </c>
      <c r="N5" s="1185">
        <f t="shared" si="0"/>
        <v>2253828.4</v>
      </c>
      <c r="O5" s="1185">
        <f t="shared" si="0"/>
        <v>519265</v>
      </c>
      <c r="P5" s="1185">
        <f t="shared" ref="P5:P68" si="1">SUM(E5:O5)</f>
        <v>144104747.44999999</v>
      </c>
      <c r="Q5" s="62"/>
    </row>
    <row r="6" spans="1:19" ht="16.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13873715.5</v>
      </c>
      <c r="F6" s="1185">
        <f t="shared" ref="F6:O6" si="2">F7+F10+F14+F17+F22+F27+F29+F31+F32</f>
        <v>11854189.5</v>
      </c>
      <c r="G6" s="1185">
        <f t="shared" si="2"/>
        <v>20164531.25</v>
      </c>
      <c r="H6" s="1185">
        <f t="shared" si="2"/>
        <v>12379291.5</v>
      </c>
      <c r="I6" s="1185">
        <f t="shared" si="2"/>
        <v>14997798</v>
      </c>
      <c r="J6" s="1185">
        <f t="shared" si="2"/>
        <v>8302382</v>
      </c>
      <c r="K6" s="1185">
        <f t="shared" si="2"/>
        <v>6892047</v>
      </c>
      <c r="L6" s="1185">
        <f t="shared" si="2"/>
        <v>5982528</v>
      </c>
      <c r="M6" s="1185">
        <f t="shared" si="2"/>
        <v>7367521</v>
      </c>
      <c r="N6" s="1185">
        <f t="shared" si="2"/>
        <v>1187882</v>
      </c>
      <c r="O6" s="1185">
        <f t="shared" si="2"/>
        <v>412765</v>
      </c>
      <c r="P6" s="1185">
        <f t="shared" si="1"/>
        <v>103414650.75</v>
      </c>
      <c r="Q6" s="62"/>
    </row>
    <row r="7" spans="1:19" ht="16.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4236060</v>
      </c>
      <c r="F7" s="1185">
        <f t="shared" ref="F7:O7" si="3">F8+F9</f>
        <v>3527950</v>
      </c>
      <c r="G7" s="1185">
        <f t="shared" si="3"/>
        <v>6474380</v>
      </c>
      <c r="H7" s="1185">
        <f t="shared" si="3"/>
        <v>3931770</v>
      </c>
      <c r="I7" s="1185">
        <f t="shared" si="3"/>
        <v>4837670</v>
      </c>
      <c r="J7" s="1185">
        <f t="shared" si="3"/>
        <v>2754910</v>
      </c>
      <c r="K7" s="1185">
        <f t="shared" si="3"/>
        <v>2276050</v>
      </c>
      <c r="L7" s="1185">
        <f t="shared" si="3"/>
        <v>1970610</v>
      </c>
      <c r="M7" s="1185">
        <f t="shared" si="3"/>
        <v>2458480</v>
      </c>
      <c r="N7" s="1185">
        <f t="shared" si="3"/>
        <v>337550</v>
      </c>
      <c r="O7" s="1185">
        <f t="shared" si="3"/>
        <v>150320</v>
      </c>
      <c r="P7" s="1185">
        <f t="shared" si="1"/>
        <v>32955750</v>
      </c>
      <c r="Q7" s="62"/>
    </row>
    <row r="8" spans="1:19" ht="16.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2276115</v>
      </c>
      <c r="F8" s="1180">
        <v>1930820</v>
      </c>
      <c r="G8" s="1180">
        <v>3258840</v>
      </c>
      <c r="H8" s="1180">
        <v>2051020</v>
      </c>
      <c r="I8" s="1180">
        <v>2582160</v>
      </c>
      <c r="J8" s="1180">
        <v>1583330</v>
      </c>
      <c r="K8" s="1180">
        <v>1291530</v>
      </c>
      <c r="L8" s="1180">
        <v>1102850</v>
      </c>
      <c r="M8" s="1180">
        <v>1352330</v>
      </c>
      <c r="N8" s="1180">
        <v>196680</v>
      </c>
      <c r="O8" s="1180">
        <v>78360</v>
      </c>
      <c r="P8" s="1185">
        <f t="shared" si="1"/>
        <v>17704035</v>
      </c>
      <c r="Q8" s="1192"/>
    </row>
    <row r="9" spans="1:19" ht="16.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1959945</v>
      </c>
      <c r="F9" s="1180">
        <v>1597130</v>
      </c>
      <c r="G9" s="1180">
        <v>3215540</v>
      </c>
      <c r="H9" s="1180">
        <v>1880750</v>
      </c>
      <c r="I9" s="1180">
        <v>2255510</v>
      </c>
      <c r="J9" s="1180">
        <v>1171580</v>
      </c>
      <c r="K9" s="1180">
        <v>984520</v>
      </c>
      <c r="L9" s="1180">
        <v>867760</v>
      </c>
      <c r="M9" s="1180">
        <v>1106150</v>
      </c>
      <c r="N9" s="1180">
        <v>140870</v>
      </c>
      <c r="O9" s="1180">
        <v>71960</v>
      </c>
      <c r="P9" s="1185">
        <f t="shared" si="1"/>
        <v>15251715</v>
      </c>
      <c r="Q9" s="62"/>
    </row>
    <row r="10" spans="1:19" ht="16.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353000</v>
      </c>
      <c r="F10" s="1185">
        <f t="shared" ref="F10:O10" si="4">F11+F12</f>
        <v>292600</v>
      </c>
      <c r="G10" s="1185">
        <f t="shared" si="4"/>
        <v>522780</v>
      </c>
      <c r="H10" s="1185">
        <f t="shared" si="4"/>
        <v>341313</v>
      </c>
      <c r="I10" s="1185">
        <f t="shared" si="4"/>
        <v>423304</v>
      </c>
      <c r="J10" s="1185">
        <f t="shared" si="4"/>
        <v>274900</v>
      </c>
      <c r="K10" s="1185">
        <f t="shared" si="4"/>
        <v>219870</v>
      </c>
      <c r="L10" s="1185">
        <f t="shared" si="4"/>
        <v>187570</v>
      </c>
      <c r="M10" s="1185">
        <f t="shared" si="4"/>
        <v>224138</v>
      </c>
      <c r="N10" s="1185">
        <f t="shared" si="4"/>
        <v>32576</v>
      </c>
      <c r="O10" s="1185">
        <f t="shared" si="4"/>
        <v>12062</v>
      </c>
      <c r="P10" s="1185">
        <f t="shared" si="1"/>
        <v>2884113</v>
      </c>
      <c r="Q10" s="62"/>
    </row>
    <row r="11" spans="1:19" ht="16.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5400</v>
      </c>
      <c r="F11" s="1180">
        <v>4400</v>
      </c>
      <c r="G11" s="1180">
        <v>8860</v>
      </c>
      <c r="H11" s="1180">
        <v>5593</v>
      </c>
      <c r="I11" s="1180">
        <v>6184</v>
      </c>
      <c r="J11" s="1180">
        <v>3420</v>
      </c>
      <c r="K11" s="1180">
        <v>2950</v>
      </c>
      <c r="L11" s="1180">
        <v>2770</v>
      </c>
      <c r="M11" s="1180">
        <v>3698</v>
      </c>
      <c r="N11" s="1180">
        <v>456</v>
      </c>
      <c r="O11" s="1180">
        <v>182</v>
      </c>
      <c r="P11" s="1185">
        <f t="shared" si="1"/>
        <v>43913</v>
      </c>
      <c r="Q11" s="62"/>
    </row>
    <row r="12" spans="1:19" ht="16.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347600</v>
      </c>
      <c r="F12" s="1185">
        <f t="shared" ref="F12:O12" si="5">F13</f>
        <v>288200</v>
      </c>
      <c r="G12" s="1185">
        <f t="shared" si="5"/>
        <v>513920</v>
      </c>
      <c r="H12" s="1185">
        <f t="shared" si="5"/>
        <v>335720</v>
      </c>
      <c r="I12" s="1185">
        <f t="shared" si="5"/>
        <v>417120</v>
      </c>
      <c r="J12" s="1185">
        <f t="shared" si="5"/>
        <v>271480</v>
      </c>
      <c r="K12" s="1185">
        <f t="shared" si="5"/>
        <v>216920</v>
      </c>
      <c r="L12" s="1185">
        <f t="shared" si="5"/>
        <v>184800</v>
      </c>
      <c r="M12" s="1185">
        <f t="shared" si="5"/>
        <v>220440</v>
      </c>
      <c r="N12" s="1185">
        <f t="shared" si="5"/>
        <v>32120</v>
      </c>
      <c r="O12" s="1185">
        <f t="shared" si="5"/>
        <v>11880</v>
      </c>
      <c r="P12" s="1185">
        <f t="shared" si="1"/>
        <v>2840200</v>
      </c>
      <c r="Q12" s="62"/>
    </row>
    <row r="13" spans="1:19" ht="16.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347600</v>
      </c>
      <c r="F13" s="1180">
        <v>288200</v>
      </c>
      <c r="G13" s="1180">
        <v>513920</v>
      </c>
      <c r="H13" s="1180">
        <v>335720</v>
      </c>
      <c r="I13" s="1180">
        <v>417120</v>
      </c>
      <c r="J13" s="1180">
        <v>271480</v>
      </c>
      <c r="K13" s="1180">
        <v>216920</v>
      </c>
      <c r="L13" s="1180">
        <v>184800</v>
      </c>
      <c r="M13" s="1180">
        <v>220440</v>
      </c>
      <c r="N13" s="1180">
        <v>32120</v>
      </c>
      <c r="O13" s="1180">
        <v>11880</v>
      </c>
      <c r="P13" s="1185">
        <f t="shared" si="1"/>
        <v>2840200</v>
      </c>
      <c r="Q13" s="62"/>
    </row>
    <row r="14" spans="1:19" ht="16.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146750</v>
      </c>
      <c r="F14" s="1185">
        <f t="shared" ref="F14:O14" si="6">F15+F16</f>
        <v>133605</v>
      </c>
      <c r="G14" s="1185">
        <f t="shared" si="6"/>
        <v>211970</v>
      </c>
      <c r="H14" s="1185">
        <f t="shared" si="6"/>
        <v>127000</v>
      </c>
      <c r="I14" s="1185">
        <f t="shared" si="6"/>
        <v>163800</v>
      </c>
      <c r="J14" s="1185">
        <f t="shared" si="6"/>
        <v>81970</v>
      </c>
      <c r="K14" s="1185">
        <f t="shared" si="6"/>
        <v>76060</v>
      </c>
      <c r="L14" s="1185">
        <f t="shared" si="6"/>
        <v>72680</v>
      </c>
      <c r="M14" s="1185">
        <f t="shared" si="6"/>
        <v>84320</v>
      </c>
      <c r="N14" s="1185">
        <f t="shared" si="6"/>
        <v>12330</v>
      </c>
      <c r="O14" s="1185">
        <f t="shared" si="6"/>
        <v>4513</v>
      </c>
      <c r="P14" s="1185">
        <f t="shared" si="1"/>
        <v>1114998</v>
      </c>
      <c r="Q14" s="62"/>
    </row>
    <row r="15" spans="1:19" ht="16.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57010</v>
      </c>
      <c r="F15" s="1180">
        <v>55350</v>
      </c>
      <c r="G15" s="1180">
        <v>82280</v>
      </c>
      <c r="H15" s="1180">
        <v>45000</v>
      </c>
      <c r="I15" s="1180">
        <v>65340</v>
      </c>
      <c r="J15" s="1180">
        <v>24010</v>
      </c>
      <c r="K15" s="1180">
        <v>29730</v>
      </c>
      <c r="L15" s="1180">
        <v>32830</v>
      </c>
      <c r="M15" s="1180">
        <v>34650</v>
      </c>
      <c r="N15" s="1180">
        <v>4620</v>
      </c>
      <c r="O15" s="1180">
        <v>1538</v>
      </c>
      <c r="P15" s="1185">
        <f t="shared" si="1"/>
        <v>432358</v>
      </c>
      <c r="Q15" s="62"/>
      <c r="S15" s="24"/>
    </row>
    <row r="16" spans="1:19" ht="16.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89740</v>
      </c>
      <c r="F16" s="1180">
        <v>78255</v>
      </c>
      <c r="G16" s="1180">
        <v>129690</v>
      </c>
      <c r="H16" s="1180">
        <v>82000</v>
      </c>
      <c r="I16" s="1180">
        <v>98460</v>
      </c>
      <c r="J16" s="1180">
        <v>57960</v>
      </c>
      <c r="K16" s="1180">
        <v>46330</v>
      </c>
      <c r="L16" s="1180">
        <v>39850</v>
      </c>
      <c r="M16" s="1180">
        <v>49670</v>
      </c>
      <c r="N16" s="1180">
        <v>7710</v>
      </c>
      <c r="O16" s="1180">
        <v>2975</v>
      </c>
      <c r="P16" s="1185">
        <f t="shared" si="1"/>
        <v>682640</v>
      </c>
      <c r="Q16" s="62"/>
      <c r="S16" s="24"/>
    </row>
    <row r="17" spans="1:19" ht="16.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1894270.5</v>
      </c>
      <c r="F17" s="1185">
        <f t="shared" ref="F17:O17" si="7">F18+F19+F20+F21</f>
        <v>1639674.5</v>
      </c>
      <c r="G17" s="1185">
        <f t="shared" si="7"/>
        <v>2354316.25</v>
      </c>
      <c r="H17" s="1185">
        <f t="shared" si="7"/>
        <v>1228578.5</v>
      </c>
      <c r="I17" s="1185">
        <f t="shared" si="7"/>
        <v>1437674</v>
      </c>
      <c r="J17" s="1185">
        <f t="shared" si="7"/>
        <v>559792</v>
      </c>
      <c r="K17" s="1185">
        <f t="shared" si="7"/>
        <v>521576</v>
      </c>
      <c r="L17" s="1185">
        <f t="shared" si="7"/>
        <v>497572</v>
      </c>
      <c r="M17" s="1185">
        <f t="shared" si="7"/>
        <v>533116</v>
      </c>
      <c r="N17" s="1185">
        <f t="shared" si="7"/>
        <v>247056</v>
      </c>
      <c r="O17" s="1185">
        <f t="shared" si="7"/>
        <v>13500</v>
      </c>
      <c r="P17" s="1185">
        <f t="shared" si="1"/>
        <v>10927125.75</v>
      </c>
      <c r="Q17" s="62"/>
    </row>
    <row r="18" spans="1:19" ht="16.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5">
        <f t="shared" si="1"/>
        <v>0</v>
      </c>
      <c r="Q18" s="62"/>
    </row>
    <row r="19" spans="1:19" ht="16.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456904</v>
      </c>
      <c r="F19" s="1180">
        <v>254392</v>
      </c>
      <c r="G19" s="1180">
        <v>243692</v>
      </c>
      <c r="H19" s="1180">
        <v>259587</v>
      </c>
      <c r="I19" s="1180">
        <v>337856</v>
      </c>
      <c r="J19" s="1180">
        <v>250792</v>
      </c>
      <c r="K19" s="1180">
        <v>268076</v>
      </c>
      <c r="L19" s="1180">
        <v>287572</v>
      </c>
      <c r="M19" s="1180">
        <v>276616</v>
      </c>
      <c r="N19" s="1180">
        <v>210556</v>
      </c>
      <c r="O19" s="1180"/>
      <c r="P19" s="1185">
        <f t="shared" si="1"/>
        <v>2846043</v>
      </c>
      <c r="Q19" s="62"/>
    </row>
    <row r="20" spans="1:19" ht="16.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384000</v>
      </c>
      <c r="F20" s="1180">
        <v>328000</v>
      </c>
      <c r="G20" s="1180">
        <v>600500</v>
      </c>
      <c r="H20" s="1180">
        <v>386500</v>
      </c>
      <c r="I20" s="1180">
        <v>473500</v>
      </c>
      <c r="J20" s="1180">
        <v>309000</v>
      </c>
      <c r="K20" s="1180">
        <v>253500</v>
      </c>
      <c r="L20" s="1180">
        <v>210000</v>
      </c>
      <c r="M20" s="1180">
        <v>256500</v>
      </c>
      <c r="N20" s="1180">
        <v>36500</v>
      </c>
      <c r="O20" s="1180">
        <v>13500</v>
      </c>
      <c r="P20" s="1185">
        <f t="shared" si="1"/>
        <v>3251500</v>
      </c>
      <c r="Q20" s="62"/>
    </row>
    <row r="21" spans="1:19" ht="16.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1053366.5</v>
      </c>
      <c r="F21" s="1180">
        <v>1057282.5</v>
      </c>
      <c r="G21" s="1180">
        <v>1510124.25</v>
      </c>
      <c r="H21" s="1180">
        <v>582491.5</v>
      </c>
      <c r="I21" s="1180">
        <v>626318</v>
      </c>
      <c r="J21" s="1180"/>
      <c r="K21" s="1180"/>
      <c r="L21" s="1180"/>
      <c r="M21" s="1180"/>
      <c r="N21" s="1180"/>
      <c r="O21" s="1180"/>
      <c r="P21" s="1185">
        <f t="shared" si="1"/>
        <v>4829582.75</v>
      </c>
      <c r="Q21" s="62"/>
    </row>
    <row r="22" spans="1:19" ht="16.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1764745</v>
      </c>
      <c r="F22" s="1185">
        <f t="shared" ref="F22:O22" si="8">F23+F24</f>
        <v>1611230</v>
      </c>
      <c r="G22" s="1185">
        <f t="shared" si="8"/>
        <v>2560555</v>
      </c>
      <c r="H22" s="1185">
        <f t="shared" si="8"/>
        <v>1632670</v>
      </c>
      <c r="I22" s="1185">
        <f t="shared" si="8"/>
        <v>1978550</v>
      </c>
      <c r="J22" s="1185">
        <f t="shared" si="8"/>
        <v>1131580</v>
      </c>
      <c r="K22" s="1185">
        <f t="shared" si="8"/>
        <v>925365</v>
      </c>
      <c r="L22" s="1185">
        <f t="shared" si="8"/>
        <v>796455</v>
      </c>
      <c r="M22" s="1185">
        <f t="shared" si="8"/>
        <v>991985</v>
      </c>
      <c r="N22" s="1185">
        <f t="shared" si="8"/>
        <v>131730</v>
      </c>
      <c r="O22" s="1185">
        <f t="shared" si="8"/>
        <v>51770</v>
      </c>
      <c r="P22" s="1185">
        <f t="shared" si="1"/>
        <v>13576635</v>
      </c>
      <c r="Q22" s="62"/>
    </row>
    <row r="23" spans="1:19" ht="16.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1584370</v>
      </c>
      <c r="F23" s="1180">
        <v>1477555</v>
      </c>
      <c r="G23" s="1180">
        <v>2326610</v>
      </c>
      <c r="H23" s="1180">
        <v>1476850</v>
      </c>
      <c r="I23" s="1180">
        <v>1774210</v>
      </c>
      <c r="J23" s="1180">
        <v>1012290</v>
      </c>
      <c r="K23" s="1180">
        <v>831230</v>
      </c>
      <c r="L23" s="1180">
        <v>712140</v>
      </c>
      <c r="M23" s="1180">
        <v>893520</v>
      </c>
      <c r="N23" s="1180">
        <v>123350</v>
      </c>
      <c r="O23" s="1180">
        <v>51770</v>
      </c>
      <c r="P23" s="1185">
        <f t="shared" si="1"/>
        <v>12263895</v>
      </c>
      <c r="Q23" s="62"/>
      <c r="S23" s="24"/>
    </row>
    <row r="24" spans="1:19" ht="16.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180375</v>
      </c>
      <c r="F24" s="1185">
        <f t="shared" ref="F24:O24" si="9">F25+F26</f>
        <v>133675</v>
      </c>
      <c r="G24" s="1185">
        <f t="shared" si="9"/>
        <v>233945</v>
      </c>
      <c r="H24" s="1185">
        <f t="shared" si="9"/>
        <v>155820</v>
      </c>
      <c r="I24" s="1185">
        <f t="shared" si="9"/>
        <v>204340</v>
      </c>
      <c r="J24" s="1185">
        <f t="shared" si="9"/>
        <v>119290</v>
      </c>
      <c r="K24" s="1185">
        <f t="shared" si="9"/>
        <v>94135</v>
      </c>
      <c r="L24" s="1185">
        <f t="shared" si="9"/>
        <v>84315</v>
      </c>
      <c r="M24" s="1185">
        <f t="shared" si="9"/>
        <v>98465</v>
      </c>
      <c r="N24" s="1185">
        <f t="shared" si="9"/>
        <v>8380</v>
      </c>
      <c r="O24" s="1185">
        <f t="shared" si="9"/>
        <v>0</v>
      </c>
      <c r="P24" s="1185">
        <f t="shared" si="1"/>
        <v>1312740</v>
      </c>
      <c r="Q24" s="62"/>
    </row>
    <row r="25" spans="1:19" ht="16.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/>
      <c r="F25" s="1180"/>
      <c r="G25" s="1180">
        <v>2100</v>
      </c>
      <c r="H25" s="1180"/>
      <c r="I25" s="1180"/>
      <c r="J25" s="1180"/>
      <c r="K25" s="1180"/>
      <c r="L25" s="1180">
        <v>1400</v>
      </c>
      <c r="M25" s="1180">
        <v>2100</v>
      </c>
      <c r="N25" s="1180"/>
      <c r="O25" s="1180"/>
      <c r="P25" s="1185">
        <f t="shared" si="1"/>
        <v>5600</v>
      </c>
      <c r="Q25" s="62"/>
    </row>
    <row r="26" spans="1:19" ht="16.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180375</v>
      </c>
      <c r="F26" s="1180">
        <v>133675</v>
      </c>
      <c r="G26" s="1180">
        <v>231845</v>
      </c>
      <c r="H26" s="1180">
        <v>155820</v>
      </c>
      <c r="I26" s="1180">
        <v>204340</v>
      </c>
      <c r="J26" s="1180">
        <v>119290</v>
      </c>
      <c r="K26" s="1180">
        <v>94135</v>
      </c>
      <c r="L26" s="1180">
        <v>82915</v>
      </c>
      <c r="M26" s="1180">
        <v>96365</v>
      </c>
      <c r="N26" s="1180">
        <v>8380</v>
      </c>
      <c r="O26" s="1180"/>
      <c r="P26" s="1185">
        <f t="shared" si="1"/>
        <v>1307140</v>
      </c>
      <c r="Q26" s="62"/>
    </row>
    <row r="27" spans="1:19" ht="16.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O27" si="10">E28</f>
        <v>2812770</v>
      </c>
      <c r="F27" s="1185">
        <f t="shared" si="10"/>
        <v>2389850</v>
      </c>
      <c r="G27" s="1185">
        <f t="shared" si="10"/>
        <v>4134860</v>
      </c>
      <c r="H27" s="1185">
        <f t="shared" si="10"/>
        <v>2607550</v>
      </c>
      <c r="I27" s="1185">
        <f t="shared" si="10"/>
        <v>3158590</v>
      </c>
      <c r="J27" s="1185">
        <f t="shared" si="10"/>
        <v>1795750</v>
      </c>
      <c r="K27" s="1185">
        <f t="shared" si="10"/>
        <v>1474550</v>
      </c>
      <c r="L27" s="1185">
        <f t="shared" si="10"/>
        <v>1265590</v>
      </c>
      <c r="M27" s="1185">
        <f t="shared" si="10"/>
        <v>1583590</v>
      </c>
      <c r="N27" s="1185">
        <f t="shared" si="10"/>
        <v>226570</v>
      </c>
      <c r="O27" s="1185">
        <f t="shared" si="10"/>
        <v>92630</v>
      </c>
      <c r="P27" s="1185">
        <f t="shared" si="1"/>
        <v>21542300</v>
      </c>
      <c r="Q27" s="62"/>
    </row>
    <row r="28" spans="1:19" ht="16.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2812770</v>
      </c>
      <c r="F28" s="1180">
        <v>2389850</v>
      </c>
      <c r="G28" s="1180">
        <v>4134860</v>
      </c>
      <c r="H28" s="1180">
        <v>2607550</v>
      </c>
      <c r="I28" s="1180">
        <v>3158590</v>
      </c>
      <c r="J28" s="1180">
        <v>1795750</v>
      </c>
      <c r="K28" s="1180">
        <v>1474550</v>
      </c>
      <c r="L28" s="1180">
        <v>1265590</v>
      </c>
      <c r="M28" s="1180">
        <v>1583590</v>
      </c>
      <c r="N28" s="1180">
        <v>226570</v>
      </c>
      <c r="O28" s="1180">
        <v>92630</v>
      </c>
      <c r="P28" s="1185">
        <f t="shared" si="1"/>
        <v>21542300</v>
      </c>
      <c r="Q28" s="62"/>
      <c r="S28" s="24"/>
    </row>
    <row r="29" spans="1:19" ht="16.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O29" si="11">E30</f>
        <v>1408880</v>
      </c>
      <c r="F29" s="1185">
        <f t="shared" si="11"/>
        <v>1198525</v>
      </c>
      <c r="G29" s="1185">
        <f t="shared" si="11"/>
        <v>2067930</v>
      </c>
      <c r="H29" s="1185">
        <f t="shared" si="11"/>
        <v>1330750</v>
      </c>
      <c r="I29" s="1185">
        <f t="shared" si="11"/>
        <v>1579290</v>
      </c>
      <c r="J29" s="1185">
        <f t="shared" si="11"/>
        <v>898380</v>
      </c>
      <c r="K29" s="1185">
        <f t="shared" si="11"/>
        <v>738751</v>
      </c>
      <c r="L29" s="1185">
        <f t="shared" si="11"/>
        <v>631991</v>
      </c>
      <c r="M29" s="1185">
        <f t="shared" si="11"/>
        <v>790682</v>
      </c>
      <c r="N29" s="1185">
        <f t="shared" si="11"/>
        <v>108540</v>
      </c>
      <c r="O29" s="1185">
        <f t="shared" si="11"/>
        <v>46820</v>
      </c>
      <c r="P29" s="1185">
        <f t="shared" si="1"/>
        <v>10800539</v>
      </c>
      <c r="Q29" s="62"/>
    </row>
    <row r="30" spans="1:19" ht="16.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1408880</v>
      </c>
      <c r="F30" s="1180">
        <v>1198525</v>
      </c>
      <c r="G30" s="1180">
        <v>2067930</v>
      </c>
      <c r="H30" s="1180">
        <v>1330750</v>
      </c>
      <c r="I30" s="1180">
        <v>1579290</v>
      </c>
      <c r="J30" s="1180">
        <f>898380</f>
        <v>898380</v>
      </c>
      <c r="K30" s="1180">
        <v>738751</v>
      </c>
      <c r="L30" s="1180">
        <v>631991</v>
      </c>
      <c r="M30" s="1180">
        <v>790682</v>
      </c>
      <c r="N30" s="1180">
        <v>108540</v>
      </c>
      <c r="O30" s="1180">
        <v>46820</v>
      </c>
      <c r="P30" s="1185">
        <f t="shared" si="1"/>
        <v>10800539</v>
      </c>
      <c r="Q30" s="62"/>
      <c r="S30" s="24"/>
    </row>
    <row r="31" spans="1:19" ht="16.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1232740</v>
      </c>
      <c r="F31" s="1180">
        <v>1042255</v>
      </c>
      <c r="G31" s="1180">
        <v>1803740</v>
      </c>
      <c r="H31" s="1180">
        <v>1156660</v>
      </c>
      <c r="I31" s="1180">
        <v>1386420</v>
      </c>
      <c r="J31" s="1180">
        <v>785100</v>
      </c>
      <c r="K31" s="1180">
        <v>641325</v>
      </c>
      <c r="L31" s="1180">
        <v>544560</v>
      </c>
      <c r="M31" s="1180">
        <v>684210</v>
      </c>
      <c r="N31" s="1180">
        <v>91530</v>
      </c>
      <c r="O31" s="1180">
        <v>41150</v>
      </c>
      <c r="P31" s="1185">
        <f t="shared" si="1"/>
        <v>9409690</v>
      </c>
      <c r="Q31" s="62"/>
      <c r="S31" s="24"/>
    </row>
    <row r="32" spans="1:19" ht="16.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24500</v>
      </c>
      <c r="F32" s="1180">
        <v>18500</v>
      </c>
      <c r="G32" s="1180">
        <v>34000</v>
      </c>
      <c r="H32" s="1180">
        <v>23000</v>
      </c>
      <c r="I32" s="1180">
        <v>32500</v>
      </c>
      <c r="J32" s="1180">
        <v>20000</v>
      </c>
      <c r="K32" s="1180">
        <v>18500</v>
      </c>
      <c r="L32" s="1180">
        <v>15500</v>
      </c>
      <c r="M32" s="1180">
        <v>17000</v>
      </c>
      <c r="N32" s="1180"/>
      <c r="O32" s="1180"/>
      <c r="P32" s="1185">
        <f t="shared" si="1"/>
        <v>203500</v>
      </c>
      <c r="Q32" s="62"/>
    </row>
    <row r="33" spans="1:17" ht="16.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1608750</v>
      </c>
      <c r="F33" s="1185">
        <f t="shared" ref="F33:O33" si="12">F34+F36+F38</f>
        <v>745270</v>
      </c>
      <c r="G33" s="1185">
        <f t="shared" si="12"/>
        <v>770775</v>
      </c>
      <c r="H33" s="1185">
        <f t="shared" si="12"/>
        <v>662780</v>
      </c>
      <c r="I33" s="1185">
        <f t="shared" si="12"/>
        <v>2084945</v>
      </c>
      <c r="J33" s="1185">
        <f t="shared" si="12"/>
        <v>392240</v>
      </c>
      <c r="K33" s="1185">
        <f t="shared" si="12"/>
        <v>137010</v>
      </c>
      <c r="L33" s="1185">
        <f t="shared" si="12"/>
        <v>205760</v>
      </c>
      <c r="M33" s="1185">
        <f t="shared" si="12"/>
        <v>163525</v>
      </c>
      <c r="N33" s="1185">
        <f t="shared" si="12"/>
        <v>0</v>
      </c>
      <c r="O33" s="1185">
        <f t="shared" si="12"/>
        <v>0</v>
      </c>
      <c r="P33" s="1185">
        <f t="shared" si="1"/>
        <v>6771055</v>
      </c>
      <c r="Q33" s="62"/>
    </row>
    <row r="34" spans="1:17" ht="16.5" customHeight="1">
      <c r="A34" s="66" t="s">
        <v>85</v>
      </c>
      <c r="B34" s="61" t="s">
        <v>324</v>
      </c>
      <c r="C34" s="61" t="s">
        <v>87</v>
      </c>
      <c r="D34" s="62" t="s">
        <v>3186</v>
      </c>
      <c r="E34" s="1185">
        <f>E35</f>
        <v>1605990</v>
      </c>
      <c r="F34" s="1185">
        <f t="shared" ref="F34:O34" si="13">F35</f>
        <v>743950</v>
      </c>
      <c r="G34" s="1185">
        <f t="shared" si="13"/>
        <v>764565</v>
      </c>
      <c r="H34" s="1185">
        <f t="shared" si="13"/>
        <v>660980</v>
      </c>
      <c r="I34" s="1185">
        <f t="shared" si="13"/>
        <v>2083365</v>
      </c>
      <c r="J34" s="1185">
        <f t="shared" si="13"/>
        <v>391160</v>
      </c>
      <c r="K34" s="1185">
        <f t="shared" si="13"/>
        <v>135420</v>
      </c>
      <c r="L34" s="1185">
        <f t="shared" si="13"/>
        <v>203360</v>
      </c>
      <c r="M34" s="1185">
        <f t="shared" si="13"/>
        <v>161365</v>
      </c>
      <c r="N34" s="1185">
        <f t="shared" si="13"/>
        <v>0</v>
      </c>
      <c r="O34" s="1185">
        <f t="shared" si="13"/>
        <v>0</v>
      </c>
      <c r="P34" s="1185">
        <f t="shared" si="1"/>
        <v>6750155</v>
      </c>
      <c r="Q34" s="62"/>
    </row>
    <row r="35" spans="1:17" ht="16.5" customHeight="1">
      <c r="A35" s="66" t="s">
        <v>89</v>
      </c>
      <c r="B35" s="61" t="s">
        <v>3110</v>
      </c>
      <c r="C35" s="61" t="s">
        <v>87</v>
      </c>
      <c r="D35" s="62" t="s">
        <v>3186</v>
      </c>
      <c r="E35" s="1180">
        <v>1605990</v>
      </c>
      <c r="F35" s="1180">
        <v>743950</v>
      </c>
      <c r="G35" s="1180">
        <v>764565</v>
      </c>
      <c r="H35" s="1180">
        <v>660980</v>
      </c>
      <c r="I35" s="1180">
        <v>2083365</v>
      </c>
      <c r="J35" s="1180">
        <v>391160</v>
      </c>
      <c r="K35" s="1180">
        <v>135420</v>
      </c>
      <c r="L35" s="1180">
        <v>203360</v>
      </c>
      <c r="M35" s="1180">
        <v>161365</v>
      </c>
      <c r="N35" s="1180"/>
      <c r="O35" s="1180"/>
      <c r="P35" s="1185">
        <f t="shared" si="1"/>
        <v>6750155</v>
      </c>
      <c r="Q35" s="62"/>
    </row>
    <row r="36" spans="1:17" ht="16.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2760</v>
      </c>
      <c r="F36" s="1185">
        <f t="shared" ref="F36:O36" si="14">F37</f>
        <v>1320</v>
      </c>
      <c r="G36" s="1185">
        <f t="shared" si="14"/>
        <v>6210</v>
      </c>
      <c r="H36" s="1185">
        <f t="shared" si="14"/>
        <v>1800</v>
      </c>
      <c r="I36" s="1185">
        <f t="shared" si="14"/>
        <v>1580</v>
      </c>
      <c r="J36" s="1185">
        <f t="shared" si="14"/>
        <v>1080</v>
      </c>
      <c r="K36" s="1185">
        <f t="shared" si="14"/>
        <v>1590</v>
      </c>
      <c r="L36" s="1185">
        <f t="shared" si="14"/>
        <v>2400</v>
      </c>
      <c r="M36" s="1185">
        <f t="shared" si="14"/>
        <v>2160</v>
      </c>
      <c r="N36" s="1185">
        <f t="shared" si="14"/>
        <v>0</v>
      </c>
      <c r="O36" s="1185">
        <f t="shared" si="14"/>
        <v>0</v>
      </c>
      <c r="P36" s="1185">
        <f t="shared" si="1"/>
        <v>20900</v>
      </c>
      <c r="Q36" s="62"/>
    </row>
    <row r="37" spans="1:17" ht="16.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2760</v>
      </c>
      <c r="F37" s="1180">
        <v>1320</v>
      </c>
      <c r="G37" s="1180">
        <v>6210</v>
      </c>
      <c r="H37" s="1180">
        <v>1800</v>
      </c>
      <c r="I37" s="1180">
        <v>1580</v>
      </c>
      <c r="J37" s="1180">
        <v>1080</v>
      </c>
      <c r="K37" s="1180">
        <v>1590</v>
      </c>
      <c r="L37" s="1180">
        <v>2400</v>
      </c>
      <c r="M37" s="1180">
        <v>2160</v>
      </c>
      <c r="N37" s="1180"/>
      <c r="O37" s="1180"/>
      <c r="P37" s="1185">
        <f t="shared" si="1"/>
        <v>20900</v>
      </c>
      <c r="Q37" s="62"/>
    </row>
    <row r="38" spans="1:17" ht="16.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O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"/>
        <v>0</v>
      </c>
      <c r="Q38" s="62"/>
    </row>
    <row r="39" spans="1:17" ht="16.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5">
        <f t="shared" si="1"/>
        <v>0</v>
      </c>
      <c r="Q39" s="62"/>
    </row>
    <row r="40" spans="1:17" ht="16.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O40" si="16">E41+E43+E45+E47+E49+E52+E54+E56+E60</f>
        <v>4448879</v>
      </c>
      <c r="F40" s="1185">
        <f t="shared" si="16"/>
        <v>3919831.35</v>
      </c>
      <c r="G40" s="1185">
        <f t="shared" si="16"/>
        <v>5962618.2000000002</v>
      </c>
      <c r="H40" s="1185">
        <f t="shared" si="16"/>
        <v>4092496.15</v>
      </c>
      <c r="I40" s="1185">
        <f t="shared" si="16"/>
        <v>5670531</v>
      </c>
      <c r="J40" s="1185">
        <f t="shared" si="16"/>
        <v>2276378</v>
      </c>
      <c r="K40" s="1185">
        <f t="shared" si="16"/>
        <v>2045238.75</v>
      </c>
      <c r="L40" s="1185">
        <f t="shared" si="16"/>
        <v>2331606.6</v>
      </c>
      <c r="M40" s="1185">
        <f t="shared" si="16"/>
        <v>1999016.25</v>
      </c>
      <c r="N40" s="1185">
        <f t="shared" si="16"/>
        <v>1065946.3999999999</v>
      </c>
      <c r="O40" s="1185">
        <f t="shared" si="16"/>
        <v>106500</v>
      </c>
      <c r="P40" s="1185">
        <f t="shared" si="1"/>
        <v>33919041.700000003</v>
      </c>
      <c r="Q40" s="62"/>
    </row>
    <row r="41" spans="1:17" ht="16.5" customHeight="1">
      <c r="A41" s="66" t="s">
        <v>99</v>
      </c>
      <c r="B41" s="61" t="s">
        <v>100</v>
      </c>
      <c r="C41" s="61"/>
      <c r="D41" s="62" t="s">
        <v>101</v>
      </c>
      <c r="E41" s="1180">
        <v>3209675</v>
      </c>
      <c r="F41" s="1180">
        <v>2904025</v>
      </c>
      <c r="G41" s="1180">
        <v>4354510</v>
      </c>
      <c r="H41" s="1180">
        <v>3086415</v>
      </c>
      <c r="I41" s="1180">
        <v>4145095</v>
      </c>
      <c r="J41" s="1180">
        <v>1467160</v>
      </c>
      <c r="K41" s="1180">
        <v>1507760</v>
      </c>
      <c r="L41" s="1180">
        <v>1859000</v>
      </c>
      <c r="M41" s="1180">
        <v>1390880</v>
      </c>
      <c r="N41" s="1180">
        <v>858000</v>
      </c>
      <c r="O41" s="1180">
        <v>22400</v>
      </c>
      <c r="P41" s="1185">
        <f t="shared" si="1"/>
        <v>24804920</v>
      </c>
      <c r="Q41" s="62"/>
    </row>
    <row r="42" spans="1:17" ht="16.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160483.75</v>
      </c>
      <c r="F42" s="1180">
        <v>145201.25</v>
      </c>
      <c r="G42" s="1180">
        <v>217725.5</v>
      </c>
      <c r="H42" s="1180">
        <v>154320.75</v>
      </c>
      <c r="I42" s="1180">
        <v>207254.75</v>
      </c>
      <c r="J42" s="1180">
        <v>65493</v>
      </c>
      <c r="K42" s="1180">
        <v>53328.5</v>
      </c>
      <c r="L42" s="1180">
        <v>38967.5</v>
      </c>
      <c r="M42" s="1180">
        <v>49501</v>
      </c>
      <c r="N42" s="1180">
        <v>8437</v>
      </c>
      <c r="O42" s="1180">
        <v>1120</v>
      </c>
      <c r="P42" s="1185">
        <f t="shared" si="1"/>
        <v>1101833</v>
      </c>
      <c r="Q42" s="62"/>
    </row>
    <row r="43" spans="1:17" ht="16.5" customHeight="1">
      <c r="A43" s="66" t="s">
        <v>106</v>
      </c>
      <c r="B43" s="61" t="s">
        <v>107</v>
      </c>
      <c r="C43" s="61"/>
      <c r="D43" s="62"/>
      <c r="E43" s="1185">
        <f>E44</f>
        <v>0</v>
      </c>
      <c r="F43" s="1185">
        <f t="shared" ref="F43:O43" si="17">F44</f>
        <v>23320</v>
      </c>
      <c r="G43" s="1185">
        <f t="shared" si="17"/>
        <v>39200</v>
      </c>
      <c r="H43" s="1185">
        <f t="shared" si="17"/>
        <v>0</v>
      </c>
      <c r="I43" s="1185">
        <f t="shared" si="17"/>
        <v>0</v>
      </c>
      <c r="J43" s="1185">
        <f t="shared" si="17"/>
        <v>20000</v>
      </c>
      <c r="K43" s="1185">
        <f t="shared" si="17"/>
        <v>0</v>
      </c>
      <c r="L43" s="1185">
        <f t="shared" si="17"/>
        <v>0</v>
      </c>
      <c r="M43" s="1185">
        <f t="shared" si="17"/>
        <v>16400</v>
      </c>
      <c r="N43" s="1185">
        <f t="shared" si="17"/>
        <v>2600</v>
      </c>
      <c r="O43" s="1185">
        <f t="shared" si="17"/>
        <v>1600</v>
      </c>
      <c r="P43" s="1185">
        <f t="shared" si="1"/>
        <v>103120</v>
      </c>
      <c r="Q43" s="62"/>
    </row>
    <row r="44" spans="1:17" ht="16.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0</v>
      </c>
      <c r="F44" s="1180">
        <v>23320</v>
      </c>
      <c r="G44" s="1180">
        <v>39200</v>
      </c>
      <c r="H44" s="1180"/>
      <c r="I44" s="1180"/>
      <c r="J44" s="1180">
        <v>20000</v>
      </c>
      <c r="K44" s="1180"/>
      <c r="L44" s="1180"/>
      <c r="M44" s="1180">
        <v>16400</v>
      </c>
      <c r="N44" s="1180">
        <v>2600</v>
      </c>
      <c r="O44" s="1180">
        <v>1600</v>
      </c>
      <c r="P44" s="1185">
        <f t="shared" si="1"/>
        <v>103120</v>
      </c>
      <c r="Q44" s="62"/>
    </row>
    <row r="45" spans="1:17" ht="16.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173580</v>
      </c>
      <c r="F45" s="1185">
        <f t="shared" ref="F45:O45" si="18">F46</f>
        <v>181200.75</v>
      </c>
      <c r="G45" s="1185">
        <f t="shared" si="18"/>
        <v>287341.8</v>
      </c>
      <c r="H45" s="1185">
        <f t="shared" si="18"/>
        <v>170337.15</v>
      </c>
      <c r="I45" s="1185">
        <f t="shared" si="18"/>
        <v>180000</v>
      </c>
      <c r="J45" s="1185">
        <f t="shared" si="18"/>
        <v>183470</v>
      </c>
      <c r="K45" s="1185">
        <f t="shared" si="18"/>
        <v>86520.75</v>
      </c>
      <c r="L45" s="1185">
        <f t="shared" si="18"/>
        <v>68538.600000000006</v>
      </c>
      <c r="M45" s="1185">
        <f t="shared" si="18"/>
        <v>97676.25</v>
      </c>
      <c r="N45" s="1185">
        <f t="shared" si="18"/>
        <v>109320</v>
      </c>
      <c r="O45" s="1185">
        <f t="shared" si="18"/>
        <v>64605</v>
      </c>
      <c r="P45" s="1185">
        <f t="shared" si="1"/>
        <v>1602590.3000000003</v>
      </c>
      <c r="Q45" s="62"/>
    </row>
    <row r="46" spans="1:17" ht="16.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173580</v>
      </c>
      <c r="F46" s="1180">
        <v>181200.75</v>
      </c>
      <c r="G46" s="1180">
        <v>287341.8</v>
      </c>
      <c r="H46" s="1180">
        <v>170337.15</v>
      </c>
      <c r="I46" s="1180">
        <v>180000</v>
      </c>
      <c r="J46" s="1180">
        <v>183470</v>
      </c>
      <c r="K46" s="1180">
        <v>86520.75</v>
      </c>
      <c r="L46" s="1180">
        <v>68538.600000000006</v>
      </c>
      <c r="M46" s="1180">
        <v>97676.25</v>
      </c>
      <c r="N46" s="1180">
        <v>109320</v>
      </c>
      <c r="O46" s="1180">
        <v>64605</v>
      </c>
      <c r="P46" s="1185">
        <f t="shared" si="1"/>
        <v>1602590.3000000003</v>
      </c>
      <c r="Q46" s="62"/>
    </row>
    <row r="47" spans="1:17" ht="16.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29256</v>
      </c>
      <c r="F47" s="1185">
        <f t="shared" ref="F47:O47" si="19">F48</f>
        <v>48905.599999999999</v>
      </c>
      <c r="G47" s="1185">
        <f t="shared" si="19"/>
        <v>71286.399999999994</v>
      </c>
      <c r="H47" s="1185">
        <f t="shared" si="19"/>
        <v>26500</v>
      </c>
      <c r="I47" s="1185">
        <f t="shared" si="19"/>
        <v>63744</v>
      </c>
      <c r="J47" s="1185">
        <f t="shared" si="19"/>
        <v>30240</v>
      </c>
      <c r="K47" s="1185">
        <f t="shared" si="19"/>
        <v>23868</v>
      </c>
      <c r="L47" s="1185">
        <f t="shared" si="19"/>
        <v>7328</v>
      </c>
      <c r="M47" s="1185">
        <f t="shared" si="19"/>
        <v>28232</v>
      </c>
      <c r="N47" s="1185">
        <f t="shared" si="19"/>
        <v>31858.400000000001</v>
      </c>
      <c r="O47" s="1185">
        <f t="shared" si="19"/>
        <v>2240</v>
      </c>
      <c r="P47" s="1185">
        <f t="shared" si="1"/>
        <v>363458.4</v>
      </c>
      <c r="Q47" s="62"/>
    </row>
    <row r="48" spans="1:17" ht="16.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29256</v>
      </c>
      <c r="F48" s="1180">
        <v>48905.599999999999</v>
      </c>
      <c r="G48" s="1180">
        <v>71286.399999999994</v>
      </c>
      <c r="H48" s="1180">
        <v>26500</v>
      </c>
      <c r="I48" s="1180">
        <v>63744</v>
      </c>
      <c r="J48" s="1180">
        <v>30240</v>
      </c>
      <c r="K48" s="1180">
        <v>23868</v>
      </c>
      <c r="L48" s="1180">
        <v>7328</v>
      </c>
      <c r="M48" s="1180">
        <v>28232</v>
      </c>
      <c r="N48" s="1180">
        <v>31858.400000000001</v>
      </c>
      <c r="O48" s="1180">
        <v>2240</v>
      </c>
      <c r="P48" s="1185">
        <f t="shared" si="1"/>
        <v>363458.4</v>
      </c>
      <c r="Q48" s="62"/>
    </row>
    <row r="49" spans="1:17" ht="16.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637200</v>
      </c>
      <c r="F49" s="1185">
        <f t="shared" ref="F49:O49" si="20">F50+F51</f>
        <v>399600</v>
      </c>
      <c r="G49" s="1185">
        <f t="shared" si="20"/>
        <v>630720</v>
      </c>
      <c r="H49" s="1185">
        <f t="shared" si="20"/>
        <v>442440</v>
      </c>
      <c r="I49" s="1185">
        <f t="shared" si="20"/>
        <v>838080</v>
      </c>
      <c r="J49" s="1185">
        <f t="shared" si="20"/>
        <v>319680</v>
      </c>
      <c r="K49" s="1185">
        <f t="shared" si="20"/>
        <v>219240</v>
      </c>
      <c r="L49" s="1185">
        <f t="shared" si="20"/>
        <v>204480</v>
      </c>
      <c r="M49" s="1185">
        <f t="shared" si="20"/>
        <v>225360</v>
      </c>
      <c r="N49" s="1185">
        <f t="shared" si="20"/>
        <v>26280</v>
      </c>
      <c r="O49" s="1185">
        <f t="shared" si="20"/>
        <v>9720</v>
      </c>
      <c r="P49" s="1185">
        <f t="shared" si="1"/>
        <v>3952800</v>
      </c>
      <c r="Q49" s="62"/>
    </row>
    <row r="50" spans="1:17" ht="16.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276480</v>
      </c>
      <c r="F50" s="1180">
        <v>222480</v>
      </c>
      <c r="G50" s="1180">
        <v>423360</v>
      </c>
      <c r="H50" s="1180">
        <v>278280</v>
      </c>
      <c r="I50" s="1180">
        <v>341280</v>
      </c>
      <c r="J50" s="1180">
        <v>222480</v>
      </c>
      <c r="K50" s="1180">
        <v>180360</v>
      </c>
      <c r="L50" s="1180">
        <v>151200</v>
      </c>
      <c r="M50" s="1180">
        <v>184680</v>
      </c>
      <c r="N50" s="1180">
        <v>26280</v>
      </c>
      <c r="O50" s="1180">
        <v>9720</v>
      </c>
      <c r="P50" s="1185">
        <f t="shared" si="1"/>
        <v>2316600</v>
      </c>
      <c r="Q50" s="62"/>
    </row>
    <row r="51" spans="1:17" ht="16.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360720</v>
      </c>
      <c r="F51" s="1180">
        <v>177120</v>
      </c>
      <c r="G51" s="1180">
        <v>207360</v>
      </c>
      <c r="H51" s="1180">
        <v>164160</v>
      </c>
      <c r="I51" s="1180">
        <v>496800</v>
      </c>
      <c r="J51" s="1180">
        <v>97200</v>
      </c>
      <c r="K51" s="1180">
        <v>38880</v>
      </c>
      <c r="L51" s="1180">
        <v>53280</v>
      </c>
      <c r="M51" s="1180">
        <v>40680</v>
      </c>
      <c r="N51" s="1180"/>
      <c r="O51" s="1180"/>
      <c r="P51" s="1185">
        <f t="shared" si="1"/>
        <v>1636200</v>
      </c>
      <c r="Q51" s="62"/>
    </row>
    <row r="52" spans="1:17" ht="16.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354968</v>
      </c>
      <c r="F52" s="1185">
        <f t="shared" ref="F52:O52" si="21">F53</f>
        <v>319180</v>
      </c>
      <c r="G52" s="1185">
        <f t="shared" si="21"/>
        <v>524360</v>
      </c>
      <c r="H52" s="1185">
        <f t="shared" si="21"/>
        <v>334804</v>
      </c>
      <c r="I52" s="1185">
        <f t="shared" si="21"/>
        <v>392112</v>
      </c>
      <c r="J52" s="1185">
        <f t="shared" si="21"/>
        <v>225828</v>
      </c>
      <c r="K52" s="1185">
        <f t="shared" si="21"/>
        <v>192100</v>
      </c>
      <c r="L52" s="1185">
        <f t="shared" si="21"/>
        <v>159260</v>
      </c>
      <c r="M52" s="1185">
        <f t="shared" si="21"/>
        <v>203668</v>
      </c>
      <c r="N52" s="1185">
        <f t="shared" si="21"/>
        <v>18988</v>
      </c>
      <c r="O52" s="1185">
        <f t="shared" si="21"/>
        <v>5935</v>
      </c>
      <c r="P52" s="1185">
        <f t="shared" si="1"/>
        <v>2731203</v>
      </c>
      <c r="Q52" s="62"/>
    </row>
    <row r="53" spans="1:17" ht="16.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354968</v>
      </c>
      <c r="F53" s="1180">
        <v>319180</v>
      </c>
      <c r="G53" s="1180">
        <v>524360</v>
      </c>
      <c r="H53" s="1180">
        <v>334804</v>
      </c>
      <c r="I53" s="1180">
        <v>392112</v>
      </c>
      <c r="J53" s="1180">
        <v>225828</v>
      </c>
      <c r="K53" s="1180">
        <v>192100</v>
      </c>
      <c r="L53" s="1180">
        <v>159260</v>
      </c>
      <c r="M53" s="1180">
        <v>203668</v>
      </c>
      <c r="N53" s="1180">
        <v>18988</v>
      </c>
      <c r="O53" s="1180">
        <v>5935</v>
      </c>
      <c r="P53" s="1185">
        <f t="shared" si="1"/>
        <v>2731203</v>
      </c>
      <c r="Q53" s="62"/>
    </row>
    <row r="54" spans="1:17" ht="16.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9000</v>
      </c>
      <c r="F54" s="1185">
        <f t="shared" ref="F54:O54" si="22">F55</f>
        <v>22900</v>
      </c>
      <c r="G54" s="1185">
        <f t="shared" si="22"/>
        <v>32000</v>
      </c>
      <c r="H54" s="1185">
        <f t="shared" si="22"/>
        <v>15300</v>
      </c>
      <c r="I54" s="1185">
        <f t="shared" si="22"/>
        <v>6000</v>
      </c>
      <c r="J54" s="1185">
        <f t="shared" si="22"/>
        <v>0</v>
      </c>
      <c r="K54" s="1185">
        <f t="shared" si="22"/>
        <v>5350</v>
      </c>
      <c r="L54" s="1185">
        <f t="shared" si="22"/>
        <v>0</v>
      </c>
      <c r="M54" s="1185">
        <f t="shared" si="22"/>
        <v>32000</v>
      </c>
      <c r="N54" s="1185">
        <f t="shared" si="22"/>
        <v>0</v>
      </c>
      <c r="O54" s="1185">
        <f t="shared" si="22"/>
        <v>0</v>
      </c>
      <c r="P54" s="1185">
        <f t="shared" si="1"/>
        <v>122550</v>
      </c>
      <c r="Q54" s="62"/>
    </row>
    <row r="55" spans="1:17" ht="16.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9000</v>
      </c>
      <c r="F55" s="1180">
        <v>22900</v>
      </c>
      <c r="G55" s="1180">
        <v>32000</v>
      </c>
      <c r="H55" s="1180">
        <v>15300</v>
      </c>
      <c r="I55" s="1180">
        <v>6000</v>
      </c>
      <c r="J55" s="1180"/>
      <c r="K55" s="1180">
        <v>5350</v>
      </c>
      <c r="L55" s="1180"/>
      <c r="M55" s="1180">
        <v>32000</v>
      </c>
      <c r="N55" s="1180"/>
      <c r="O55" s="1180"/>
      <c r="P55" s="1185">
        <f t="shared" si="1"/>
        <v>122550</v>
      </c>
      <c r="Q55" s="62"/>
    </row>
    <row r="56" spans="1:17" ht="16.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35200</v>
      </c>
      <c r="F56" s="1185">
        <f t="shared" ref="F56:O56" si="23">F57+F59</f>
        <v>20700</v>
      </c>
      <c r="G56" s="1185">
        <f t="shared" si="23"/>
        <v>23200</v>
      </c>
      <c r="H56" s="1185">
        <f t="shared" si="23"/>
        <v>16700</v>
      </c>
      <c r="I56" s="1185">
        <f t="shared" si="23"/>
        <v>45500</v>
      </c>
      <c r="J56" s="1185">
        <f t="shared" si="23"/>
        <v>15000</v>
      </c>
      <c r="K56" s="1185">
        <f t="shared" si="23"/>
        <v>5400</v>
      </c>
      <c r="L56" s="1185">
        <f t="shared" si="23"/>
        <v>8000</v>
      </c>
      <c r="M56" s="1185">
        <f t="shared" si="23"/>
        <v>4800</v>
      </c>
      <c r="N56" s="1185">
        <f t="shared" si="23"/>
        <v>900</v>
      </c>
      <c r="O56" s="1185">
        <f t="shared" si="23"/>
        <v>0</v>
      </c>
      <c r="P56" s="1185">
        <f t="shared" si="1"/>
        <v>175400</v>
      </c>
      <c r="Q56" s="62"/>
    </row>
    <row r="57" spans="1:17" ht="16.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33400</v>
      </c>
      <c r="F57" s="1185">
        <f t="shared" ref="F57:O57" si="24">F58</f>
        <v>16400</v>
      </c>
      <c r="G57" s="1185">
        <f t="shared" si="24"/>
        <v>19200</v>
      </c>
      <c r="H57" s="1185">
        <f t="shared" si="24"/>
        <v>15200</v>
      </c>
      <c r="I57" s="1185">
        <f t="shared" si="24"/>
        <v>44000</v>
      </c>
      <c r="J57" s="1185">
        <f t="shared" si="24"/>
        <v>9000</v>
      </c>
      <c r="K57" s="1185">
        <f t="shared" si="24"/>
        <v>3600</v>
      </c>
      <c r="L57" s="1185">
        <f t="shared" si="24"/>
        <v>5000</v>
      </c>
      <c r="M57" s="1185">
        <f t="shared" si="24"/>
        <v>3800</v>
      </c>
      <c r="N57" s="1185">
        <f t="shared" si="24"/>
        <v>0</v>
      </c>
      <c r="O57" s="1185">
        <f t="shared" si="24"/>
        <v>0</v>
      </c>
      <c r="P57" s="1185">
        <f t="shared" si="1"/>
        <v>149600</v>
      </c>
      <c r="Q57" s="62"/>
    </row>
    <row r="58" spans="1:17" ht="16.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33400</v>
      </c>
      <c r="F58" s="1180">
        <v>16400</v>
      </c>
      <c r="G58" s="1180">
        <v>19200</v>
      </c>
      <c r="H58" s="1180">
        <v>15200</v>
      </c>
      <c r="I58" s="1180">
        <v>44000</v>
      </c>
      <c r="J58" s="1180">
        <v>9000</v>
      </c>
      <c r="K58" s="1180">
        <v>3600</v>
      </c>
      <c r="L58" s="1180">
        <v>5000</v>
      </c>
      <c r="M58" s="1180">
        <v>3800</v>
      </c>
      <c r="N58" s="1180"/>
      <c r="O58" s="1180"/>
      <c r="P58" s="1185">
        <f t="shared" si="1"/>
        <v>149600</v>
      </c>
      <c r="Q58" s="62"/>
    </row>
    <row r="59" spans="1:17" ht="16.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f>1400+400</f>
        <v>1800</v>
      </c>
      <c r="F59" s="1186">
        <v>4300</v>
      </c>
      <c r="G59" s="1186">
        <v>4000</v>
      </c>
      <c r="H59" s="1186">
        <v>1500</v>
      </c>
      <c r="I59" s="1186">
        <v>1500</v>
      </c>
      <c r="J59" s="1186">
        <v>6000</v>
      </c>
      <c r="K59" s="1186">
        <v>1800</v>
      </c>
      <c r="L59" s="1186">
        <v>3000</v>
      </c>
      <c r="M59" s="1186">
        <v>1000</v>
      </c>
      <c r="N59" s="1186">
        <v>900</v>
      </c>
      <c r="O59" s="1186"/>
      <c r="P59" s="1185">
        <f t="shared" si="1"/>
        <v>25800</v>
      </c>
      <c r="Q59" s="62"/>
    </row>
    <row r="60" spans="1:17" ht="16.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O60" si="25">F61</f>
        <v>0</v>
      </c>
      <c r="G60" s="1185">
        <f t="shared" si="25"/>
        <v>0</v>
      </c>
      <c r="H60" s="1185">
        <f t="shared" si="25"/>
        <v>0</v>
      </c>
      <c r="I60" s="1185">
        <f t="shared" si="25"/>
        <v>0</v>
      </c>
      <c r="J60" s="1185">
        <f t="shared" si="25"/>
        <v>15000</v>
      </c>
      <c r="K60" s="1185">
        <f t="shared" si="25"/>
        <v>5000</v>
      </c>
      <c r="L60" s="1185">
        <f t="shared" si="25"/>
        <v>25000</v>
      </c>
      <c r="M60" s="1185">
        <f t="shared" si="25"/>
        <v>0</v>
      </c>
      <c r="N60" s="1185">
        <f t="shared" si="25"/>
        <v>18000</v>
      </c>
      <c r="O60" s="1185">
        <f t="shared" si="25"/>
        <v>0</v>
      </c>
      <c r="P60" s="1185">
        <f t="shared" si="1"/>
        <v>63000</v>
      </c>
      <c r="Q60" s="62"/>
    </row>
    <row r="61" spans="1:17" ht="16.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/>
      <c r="G61" s="1179"/>
      <c r="H61" s="1179"/>
      <c r="I61" s="1179"/>
      <c r="J61" s="1179">
        <v>15000</v>
      </c>
      <c r="K61" s="1179">
        <v>5000</v>
      </c>
      <c r="L61" s="1179">
        <v>25000</v>
      </c>
      <c r="M61" s="1179"/>
      <c r="N61" s="1179">
        <v>18000</v>
      </c>
      <c r="O61" s="1179"/>
      <c r="P61" s="1185">
        <f t="shared" si="1"/>
        <v>63000</v>
      </c>
      <c r="Q61" s="1187"/>
    </row>
    <row r="62" spans="1:17" ht="16.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5">
        <f t="shared" si="1"/>
        <v>0</v>
      </c>
      <c r="Q62" s="1189"/>
    </row>
    <row r="63" spans="1:17" ht="16.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64</v>
      </c>
      <c r="F63" s="1198">
        <f t="shared" ref="F63:O63" si="26">F64+F65+F66+F67</f>
        <v>53</v>
      </c>
      <c r="G63" s="1198">
        <f t="shared" si="26"/>
        <v>98</v>
      </c>
      <c r="H63" s="1198">
        <f t="shared" si="26"/>
        <v>62</v>
      </c>
      <c r="I63" s="1198">
        <f t="shared" si="26"/>
        <v>79</v>
      </c>
      <c r="J63" s="1198">
        <f t="shared" si="26"/>
        <v>50</v>
      </c>
      <c r="K63" s="1198">
        <f t="shared" si="26"/>
        <v>40</v>
      </c>
      <c r="L63" s="1198">
        <f t="shared" si="26"/>
        <v>32</v>
      </c>
      <c r="M63" s="1198">
        <f t="shared" si="26"/>
        <v>41</v>
      </c>
      <c r="N63" s="1198">
        <f t="shared" si="26"/>
        <v>9</v>
      </c>
      <c r="O63" s="1198">
        <f t="shared" si="26"/>
        <v>4</v>
      </c>
      <c r="P63" s="1198">
        <f t="shared" si="1"/>
        <v>532</v>
      </c>
      <c r="Q63" s="62"/>
    </row>
    <row r="64" spans="1:17" ht="16.5" customHeight="1">
      <c r="A64" s="66" t="s">
        <v>148</v>
      </c>
      <c r="B64" s="1199" t="s">
        <v>149</v>
      </c>
      <c r="C64" s="1199"/>
      <c r="D64" s="62"/>
      <c r="E64" s="1190">
        <v>64</v>
      </c>
      <c r="F64" s="1190">
        <v>53</v>
      </c>
      <c r="G64" s="1190">
        <v>47</v>
      </c>
      <c r="H64" s="1190"/>
      <c r="I64" s="1190"/>
      <c r="J64" s="1190"/>
      <c r="K64" s="1190"/>
      <c r="L64" s="1190"/>
      <c r="M64" s="1190"/>
      <c r="N64" s="1190"/>
      <c r="O64" s="1190"/>
      <c r="P64" s="1198">
        <f t="shared" si="1"/>
        <v>164</v>
      </c>
      <c r="Q64" s="62"/>
    </row>
    <row r="65" spans="1:17" ht="16.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>
        <v>51</v>
      </c>
      <c r="H65" s="1190">
        <v>62</v>
      </c>
      <c r="I65" s="1190">
        <v>79</v>
      </c>
      <c r="J65" s="1190"/>
      <c r="K65" s="1190"/>
      <c r="L65" s="1190"/>
      <c r="M65" s="1190"/>
      <c r="N65" s="1190"/>
      <c r="O65" s="1190"/>
      <c r="P65" s="1198">
        <f t="shared" si="1"/>
        <v>192</v>
      </c>
      <c r="Q65" s="62"/>
    </row>
    <row r="66" spans="1:17" ht="16.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>
        <v>50</v>
      </c>
      <c r="K66" s="1190">
        <v>40</v>
      </c>
      <c r="L66" s="1190">
        <v>32</v>
      </c>
      <c r="M66" s="1190">
        <v>41</v>
      </c>
      <c r="N66" s="1190">
        <v>9</v>
      </c>
      <c r="O66" s="1190"/>
      <c r="P66" s="1198">
        <f t="shared" si="1"/>
        <v>172</v>
      </c>
      <c r="Q66" s="62"/>
    </row>
    <row r="67" spans="1:17" ht="16.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>
        <v>4</v>
      </c>
      <c r="P67" s="1198">
        <f t="shared" si="1"/>
        <v>4</v>
      </c>
      <c r="Q67" s="62"/>
    </row>
    <row r="68" spans="1:17" ht="16.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837</v>
      </c>
      <c r="F68" s="1198">
        <f t="shared" ref="F68:O68" si="27">F69+F70+F71+F72</f>
        <v>771</v>
      </c>
      <c r="G68" s="1198">
        <f t="shared" si="27"/>
        <v>1230</v>
      </c>
      <c r="H68" s="1198">
        <f t="shared" si="27"/>
        <v>934</v>
      </c>
      <c r="I68" s="1198">
        <f t="shared" si="27"/>
        <v>1270</v>
      </c>
      <c r="J68" s="1198">
        <f t="shared" si="27"/>
        <v>449</v>
      </c>
      <c r="K68" s="1198">
        <f t="shared" si="27"/>
        <v>336</v>
      </c>
      <c r="L68" s="1198">
        <f t="shared" si="27"/>
        <v>251</v>
      </c>
      <c r="M68" s="1198">
        <f t="shared" si="27"/>
        <v>306</v>
      </c>
      <c r="N68" s="1198">
        <f t="shared" si="27"/>
        <v>83</v>
      </c>
      <c r="O68" s="1198">
        <f t="shared" si="27"/>
        <v>0</v>
      </c>
      <c r="P68" s="1198">
        <f t="shared" si="1"/>
        <v>6467</v>
      </c>
      <c r="Q68" s="62"/>
    </row>
    <row r="69" spans="1:17" ht="16.5" customHeight="1">
      <c r="A69" s="66" t="s">
        <v>158</v>
      </c>
      <c r="B69" s="1199" t="s">
        <v>149</v>
      </c>
      <c r="C69" s="1199"/>
      <c r="D69" s="62"/>
      <c r="E69" s="1190">
        <v>837</v>
      </c>
      <c r="F69" s="1190">
        <v>771</v>
      </c>
      <c r="G69" s="1190">
        <v>621</v>
      </c>
      <c r="H69" s="1190"/>
      <c r="I69" s="1190"/>
      <c r="J69" s="1190"/>
      <c r="K69" s="1190"/>
      <c r="L69" s="1190"/>
      <c r="M69" s="1190"/>
      <c r="N69" s="1190"/>
      <c r="O69" s="1190"/>
      <c r="P69" s="1198">
        <f t="shared" ref="P69:P75" si="28">SUM(E69:O69)</f>
        <v>2229</v>
      </c>
      <c r="Q69" s="62"/>
    </row>
    <row r="70" spans="1:17" ht="16.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>
        <v>609</v>
      </c>
      <c r="H70" s="1190">
        <v>934</v>
      </c>
      <c r="I70" s="1190">
        <v>1270</v>
      </c>
      <c r="J70" s="1190"/>
      <c r="K70" s="1190"/>
      <c r="L70" s="1190"/>
      <c r="M70" s="1190"/>
      <c r="N70" s="1190"/>
      <c r="O70" s="1190"/>
      <c r="P70" s="1198">
        <f t="shared" si="28"/>
        <v>2813</v>
      </c>
      <c r="Q70" s="62"/>
    </row>
    <row r="71" spans="1:17" ht="16.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>
        <v>449</v>
      </c>
      <c r="K71" s="1190">
        <v>336</v>
      </c>
      <c r="L71" s="1190">
        <v>251</v>
      </c>
      <c r="M71" s="1190">
        <v>306</v>
      </c>
      <c r="N71" s="1190">
        <v>83</v>
      </c>
      <c r="O71" s="1190"/>
      <c r="P71" s="1198">
        <f t="shared" si="28"/>
        <v>1425</v>
      </c>
      <c r="Q71" s="62"/>
    </row>
    <row r="72" spans="1:17" ht="16.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8">
        <f t="shared" si="28"/>
        <v>0</v>
      </c>
      <c r="Q72" s="62"/>
    </row>
    <row r="73" spans="1:17" ht="16.5" customHeight="1">
      <c r="A73" s="66" t="s">
        <v>162</v>
      </c>
      <c r="B73" s="61" t="s">
        <v>3122</v>
      </c>
      <c r="C73" s="61"/>
      <c r="D73" s="62"/>
      <c r="E73" s="1190">
        <v>83</v>
      </c>
      <c r="F73" s="1190">
        <v>41</v>
      </c>
      <c r="G73" s="1190">
        <v>48</v>
      </c>
      <c r="H73" s="1190">
        <v>40</v>
      </c>
      <c r="I73" s="1190">
        <v>111</v>
      </c>
      <c r="J73" s="1190">
        <v>22</v>
      </c>
      <c r="K73" s="1190">
        <v>9</v>
      </c>
      <c r="L73" s="1190">
        <v>13</v>
      </c>
      <c r="M73" s="1190">
        <v>10</v>
      </c>
      <c r="N73" s="1190"/>
      <c r="O73" s="1190"/>
      <c r="P73" s="1198">
        <f t="shared" si="28"/>
        <v>377</v>
      </c>
      <c r="Q73" s="62"/>
    </row>
    <row r="74" spans="1:17" ht="16.5" customHeight="1">
      <c r="A74" s="66" t="s">
        <v>3011</v>
      </c>
      <c r="B74" s="1199" t="s">
        <v>3123</v>
      </c>
      <c r="C74" s="1199"/>
      <c r="D74" s="67"/>
      <c r="E74" s="1180">
        <v>18973.95</v>
      </c>
      <c r="F74" s="1180">
        <v>12080.05</v>
      </c>
      <c r="G74" s="1180">
        <v>19156.12</v>
      </c>
      <c r="H74" s="1180">
        <v>11355.81</v>
      </c>
      <c r="I74" s="1180">
        <v>13514.56</v>
      </c>
      <c r="J74" s="1180">
        <v>12231.55</v>
      </c>
      <c r="K74" s="1180">
        <v>5768.05</v>
      </c>
      <c r="L74" s="1180">
        <v>4569.24</v>
      </c>
      <c r="M74" s="1180">
        <v>6511.75</v>
      </c>
      <c r="N74" s="1180">
        <v>7288</v>
      </c>
      <c r="O74" s="1180">
        <v>4307</v>
      </c>
      <c r="P74" s="1185">
        <f t="shared" si="28"/>
        <v>115756.08</v>
      </c>
      <c r="Q74" s="62"/>
    </row>
    <row r="75" spans="1:17" ht="16.5" customHeight="1">
      <c r="A75" s="66" t="s">
        <v>3012</v>
      </c>
      <c r="B75" s="1199" t="s">
        <v>3124</v>
      </c>
      <c r="C75" s="1199"/>
      <c r="D75" s="67"/>
      <c r="E75" s="1180">
        <v>3657.06</v>
      </c>
      <c r="F75" s="1180">
        <v>6113.2</v>
      </c>
      <c r="G75" s="1180">
        <v>8910.7999999999993</v>
      </c>
      <c r="H75" s="1180">
        <v>3363</v>
      </c>
      <c r="I75" s="1180">
        <v>7968</v>
      </c>
      <c r="J75" s="1180">
        <v>3780</v>
      </c>
      <c r="K75" s="1180">
        <v>2983.5</v>
      </c>
      <c r="L75" s="1180">
        <v>916</v>
      </c>
      <c r="M75" s="1180">
        <v>3529</v>
      </c>
      <c r="N75" s="1180">
        <v>3983.2</v>
      </c>
      <c r="O75" s="1180">
        <v>280</v>
      </c>
      <c r="P75" s="1185">
        <f t="shared" si="28"/>
        <v>45483.759999999995</v>
      </c>
      <c r="Q75" s="62"/>
    </row>
    <row r="77" spans="1:17">
      <c r="E77" s="3" t="s">
        <v>3187</v>
      </c>
    </row>
    <row r="81" spans="5:15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</sheetData>
  <protectedRanges>
    <protectedRange password="E9C1" sqref="D31 C32 A6:D7 B8:D30 P6:Q75 B33:D75 A8:A75 A3:Q5" name="区域1_1"/>
    <protectedRange password="E9C1" sqref="B31:C31 B32" name="区域1_1_1"/>
    <protectedRange password="E9C1" sqref="D32" name="区域1_2"/>
  </protectedRanges>
  <mergeCells count="7">
    <mergeCell ref="A1:Q1"/>
    <mergeCell ref="A3:A4"/>
    <mergeCell ref="B3:B4"/>
    <mergeCell ref="C3:C4"/>
    <mergeCell ref="D3:D4"/>
    <mergeCell ref="P3:P4"/>
    <mergeCell ref="Q3:Q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4" sqref="E4:E13"/>
    </sheetView>
  </sheetViews>
  <sheetFormatPr defaultRowHeight="13.5"/>
  <cols>
    <col min="1" max="1" width="26.5" style="274" customWidth="1"/>
    <col min="2" max="6" width="20.625" style="274" customWidth="1"/>
  </cols>
  <sheetData>
    <row r="1" spans="1:6" ht="24.95" customHeight="1">
      <c r="A1" s="1617" t="s">
        <v>3241</v>
      </c>
      <c r="B1" s="1617"/>
      <c r="C1" s="1617"/>
      <c r="D1" s="1389"/>
      <c r="E1" s="1389"/>
      <c r="F1" s="1389"/>
    </row>
    <row r="2" spans="1:6" ht="20.100000000000001" customHeight="1">
      <c r="A2" s="1243"/>
      <c r="B2" s="1243"/>
      <c r="C2" s="1243"/>
      <c r="D2" s="1239"/>
      <c r="E2" s="1239"/>
      <c r="F2" s="1244" t="s">
        <v>3238</v>
      </c>
    </row>
    <row r="3" spans="1:6" s="308" customFormat="1" ht="30" customHeight="1">
      <c r="A3" s="1249" t="s">
        <v>253</v>
      </c>
      <c r="B3" s="1249" t="s">
        <v>3234</v>
      </c>
      <c r="C3" s="1249" t="s">
        <v>3235</v>
      </c>
      <c r="D3" s="1251" t="s">
        <v>3236</v>
      </c>
      <c r="E3" s="1251" t="s">
        <v>3237</v>
      </c>
      <c r="F3" s="1251" t="s">
        <v>3080</v>
      </c>
    </row>
    <row r="4" spans="1:6" s="308" customFormat="1" ht="30" customHeight="1">
      <c r="A4" s="1246" t="s">
        <v>2</v>
      </c>
      <c r="B4" s="1247">
        <v>300101</v>
      </c>
      <c r="C4" s="1248">
        <f>B4*3</f>
        <v>900303</v>
      </c>
      <c r="D4" s="1249">
        <v>281587</v>
      </c>
      <c r="E4" s="1248">
        <f>D4*3</f>
        <v>844761</v>
      </c>
      <c r="F4" s="1248">
        <f>E4-C4</f>
        <v>-55542</v>
      </c>
    </row>
    <row r="5" spans="1:6" s="308" customFormat="1" ht="30" customHeight="1">
      <c r="A5" s="1246" t="s">
        <v>3</v>
      </c>
      <c r="B5" s="1247">
        <v>145517</v>
      </c>
      <c r="C5" s="1248">
        <f t="shared" ref="C5:C13" si="0">B5*3</f>
        <v>436551</v>
      </c>
      <c r="D5" s="1249">
        <v>102993</v>
      </c>
      <c r="E5" s="1248">
        <f t="shared" ref="E5:E13" si="1">D5*3</f>
        <v>308979</v>
      </c>
      <c r="F5" s="1248">
        <f t="shared" ref="F5:F14" si="2">E5-C5</f>
        <v>-127572</v>
      </c>
    </row>
    <row r="6" spans="1:6" s="308" customFormat="1" ht="30" customHeight="1">
      <c r="A6" s="1246" t="s">
        <v>4</v>
      </c>
      <c r="B6" s="1247">
        <v>276368</v>
      </c>
      <c r="C6" s="1248">
        <f t="shared" si="0"/>
        <v>829104</v>
      </c>
      <c r="D6" s="1249">
        <v>269850</v>
      </c>
      <c r="E6" s="1248">
        <f t="shared" si="1"/>
        <v>809550</v>
      </c>
      <c r="F6" s="1248">
        <f t="shared" si="2"/>
        <v>-19554</v>
      </c>
    </row>
    <row r="7" spans="1:6" s="308" customFormat="1" ht="30" customHeight="1">
      <c r="A7" s="1246" t="s">
        <v>5</v>
      </c>
      <c r="B7" s="1247">
        <v>308002</v>
      </c>
      <c r="C7" s="1248">
        <f t="shared" si="0"/>
        <v>924006</v>
      </c>
      <c r="D7" s="1249">
        <v>299588</v>
      </c>
      <c r="E7" s="1248">
        <f t="shared" si="1"/>
        <v>898764</v>
      </c>
      <c r="F7" s="1248">
        <f t="shared" si="2"/>
        <v>-25242</v>
      </c>
    </row>
    <row r="8" spans="1:6" s="308" customFormat="1" ht="30" customHeight="1">
      <c r="A8" s="1246" t="s">
        <v>6</v>
      </c>
      <c r="B8" s="1247">
        <v>293661</v>
      </c>
      <c r="C8" s="1248">
        <f t="shared" si="0"/>
        <v>880983</v>
      </c>
      <c r="D8" s="1249">
        <v>279549</v>
      </c>
      <c r="E8" s="1248">
        <f t="shared" si="1"/>
        <v>838647</v>
      </c>
      <c r="F8" s="1248">
        <f t="shared" si="2"/>
        <v>-42336</v>
      </c>
    </row>
    <row r="9" spans="1:6" s="308" customFormat="1" ht="30" customHeight="1">
      <c r="A9" s="1246" t="s">
        <v>7</v>
      </c>
      <c r="B9" s="1247">
        <v>142015</v>
      </c>
      <c r="C9" s="1248">
        <f t="shared" si="0"/>
        <v>426045</v>
      </c>
      <c r="D9" s="1249">
        <v>135627</v>
      </c>
      <c r="E9" s="1248">
        <f t="shared" si="1"/>
        <v>406881</v>
      </c>
      <c r="F9" s="1248">
        <f t="shared" si="2"/>
        <v>-19164</v>
      </c>
    </row>
    <row r="10" spans="1:6" s="308" customFormat="1" ht="30" customHeight="1">
      <c r="A10" s="1246" t="s">
        <v>8</v>
      </c>
      <c r="B10" s="1247">
        <v>187764</v>
      </c>
      <c r="C10" s="1248">
        <f t="shared" si="0"/>
        <v>563292</v>
      </c>
      <c r="D10" s="1249">
        <v>186230</v>
      </c>
      <c r="E10" s="1248">
        <f t="shared" si="1"/>
        <v>558690</v>
      </c>
      <c r="F10" s="1248">
        <f t="shared" si="2"/>
        <v>-4602</v>
      </c>
    </row>
    <row r="11" spans="1:6" s="308" customFormat="1" ht="30" customHeight="1">
      <c r="A11" s="1246" t="s">
        <v>9</v>
      </c>
      <c r="B11" s="1247">
        <v>216038</v>
      </c>
      <c r="C11" s="1248">
        <f t="shared" si="0"/>
        <v>648114</v>
      </c>
      <c r="D11" s="1249">
        <v>197964</v>
      </c>
      <c r="E11" s="1248">
        <f t="shared" si="1"/>
        <v>593892</v>
      </c>
      <c r="F11" s="1248">
        <f t="shared" si="2"/>
        <v>-54222</v>
      </c>
    </row>
    <row r="12" spans="1:6" s="308" customFormat="1" ht="30" customHeight="1">
      <c r="A12" s="1246" t="s">
        <v>10</v>
      </c>
      <c r="B12" s="1247">
        <v>171520</v>
      </c>
      <c r="C12" s="1248">
        <f t="shared" si="0"/>
        <v>514560</v>
      </c>
      <c r="D12" s="1249">
        <v>149772</v>
      </c>
      <c r="E12" s="1248">
        <f t="shared" si="1"/>
        <v>449316</v>
      </c>
      <c r="F12" s="1248">
        <f t="shared" si="2"/>
        <v>-65244</v>
      </c>
    </row>
    <row r="13" spans="1:6" s="308" customFormat="1" ht="30" customHeight="1">
      <c r="A13" s="1246" t="s">
        <v>11</v>
      </c>
      <c r="B13" s="1247">
        <v>64976</v>
      </c>
      <c r="C13" s="1248">
        <f t="shared" si="0"/>
        <v>194928</v>
      </c>
      <c r="D13" s="1249">
        <v>63070</v>
      </c>
      <c r="E13" s="1248">
        <f t="shared" si="1"/>
        <v>189210</v>
      </c>
      <c r="F13" s="1248">
        <f t="shared" si="2"/>
        <v>-5718</v>
      </c>
    </row>
    <row r="14" spans="1:6" s="308" customFormat="1" ht="30" customHeight="1">
      <c r="A14" s="1242" t="s">
        <v>3240</v>
      </c>
      <c r="B14" s="1250">
        <f>SUM(B4:B13)</f>
        <v>2105962</v>
      </c>
      <c r="C14" s="1248">
        <f>SUM(C4:C13)</f>
        <v>6317886</v>
      </c>
      <c r="D14" s="1250">
        <f t="shared" ref="D14:E14" si="3">SUM(D4:D13)</f>
        <v>1966230</v>
      </c>
      <c r="E14" s="1248">
        <f t="shared" si="3"/>
        <v>5898690</v>
      </c>
      <c r="F14" s="1248">
        <f t="shared" si="2"/>
        <v>-419196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B8"/>
  <sheetViews>
    <sheetView tabSelected="1" workbookViewId="0">
      <selection activeCell="D6" sqref="D6"/>
    </sheetView>
  </sheetViews>
  <sheetFormatPr defaultColWidth="9" defaultRowHeight="13.5"/>
  <cols>
    <col min="1" max="1" width="6.25" style="1345" customWidth="1"/>
    <col min="2" max="2" width="25.625" style="1353" customWidth="1"/>
    <col min="3" max="3" width="25.625" style="1345" customWidth="1"/>
    <col min="4" max="4" width="33.625" style="1345" customWidth="1"/>
    <col min="5" max="5" width="25.625" style="1345" customWidth="1"/>
    <col min="6" max="238" width="9" style="1345"/>
    <col min="239" max="239" width="6.625" style="1345" customWidth="1"/>
    <col min="240" max="241" width="21.625" style="1345" customWidth="1"/>
    <col min="242" max="242" width="16.125" style="1345" customWidth="1"/>
    <col min="243" max="243" width="13.875" style="1345" customWidth="1"/>
    <col min="244" max="244" width="17.25" style="1345" customWidth="1"/>
    <col min="245" max="246" width="20.5" style="1345" customWidth="1"/>
    <col min="247" max="247" width="9" style="1345" hidden="1" customWidth="1"/>
    <col min="248" max="248" width="18.375" style="1345" customWidth="1"/>
    <col min="249" max="250" width="9" style="1345" hidden="1" customWidth="1"/>
    <col min="251" max="494" width="9" style="1345"/>
    <col min="495" max="495" width="6.625" style="1345" customWidth="1"/>
    <col min="496" max="497" width="21.625" style="1345" customWidth="1"/>
    <col min="498" max="498" width="16.125" style="1345" customWidth="1"/>
    <col min="499" max="499" width="13.875" style="1345" customWidth="1"/>
    <col min="500" max="500" width="17.25" style="1345" customWidth="1"/>
    <col min="501" max="502" width="20.5" style="1345" customWidth="1"/>
    <col min="503" max="503" width="9" style="1345" hidden="1" customWidth="1"/>
    <col min="504" max="504" width="18.375" style="1345" customWidth="1"/>
    <col min="505" max="506" width="9" style="1345" hidden="1" customWidth="1"/>
    <col min="507" max="750" width="9" style="1345"/>
    <col min="751" max="751" width="6.625" style="1345" customWidth="1"/>
    <col min="752" max="753" width="21.625" style="1345" customWidth="1"/>
    <col min="754" max="754" width="16.125" style="1345" customWidth="1"/>
    <col min="755" max="755" width="13.875" style="1345" customWidth="1"/>
    <col min="756" max="756" width="17.25" style="1345" customWidth="1"/>
    <col min="757" max="758" width="20.5" style="1345" customWidth="1"/>
    <col min="759" max="759" width="9" style="1345" hidden="1" customWidth="1"/>
    <col min="760" max="760" width="18.375" style="1345" customWidth="1"/>
    <col min="761" max="762" width="9" style="1345" hidden="1" customWidth="1"/>
    <col min="763" max="1006" width="9" style="1345"/>
    <col min="1007" max="1007" width="6.625" style="1345" customWidth="1"/>
    <col min="1008" max="1009" width="21.625" style="1345" customWidth="1"/>
    <col min="1010" max="1010" width="16.125" style="1345" customWidth="1"/>
    <col min="1011" max="1011" width="13.875" style="1345" customWidth="1"/>
    <col min="1012" max="1012" width="17.25" style="1345" customWidth="1"/>
    <col min="1013" max="1014" width="20.5" style="1345" customWidth="1"/>
    <col min="1015" max="1015" width="9" style="1345" hidden="1" customWidth="1"/>
    <col min="1016" max="1016" width="18.375" style="1345" customWidth="1"/>
    <col min="1017" max="1018" width="9" style="1345" hidden="1" customWidth="1"/>
    <col min="1019" max="1262" width="9" style="1345"/>
    <col min="1263" max="1263" width="6.625" style="1345" customWidth="1"/>
    <col min="1264" max="1265" width="21.625" style="1345" customWidth="1"/>
    <col min="1266" max="1266" width="16.125" style="1345" customWidth="1"/>
    <col min="1267" max="1267" width="13.875" style="1345" customWidth="1"/>
    <col min="1268" max="1268" width="17.25" style="1345" customWidth="1"/>
    <col min="1269" max="1270" width="20.5" style="1345" customWidth="1"/>
    <col min="1271" max="1271" width="9" style="1345" hidden="1" customWidth="1"/>
    <col min="1272" max="1272" width="18.375" style="1345" customWidth="1"/>
    <col min="1273" max="1274" width="9" style="1345" hidden="1" customWidth="1"/>
    <col min="1275" max="1518" width="9" style="1345"/>
    <col min="1519" max="1519" width="6.625" style="1345" customWidth="1"/>
    <col min="1520" max="1521" width="21.625" style="1345" customWidth="1"/>
    <col min="1522" max="1522" width="16.125" style="1345" customWidth="1"/>
    <col min="1523" max="1523" width="13.875" style="1345" customWidth="1"/>
    <col min="1524" max="1524" width="17.25" style="1345" customWidth="1"/>
    <col min="1525" max="1526" width="20.5" style="1345" customWidth="1"/>
    <col min="1527" max="1527" width="9" style="1345" hidden="1" customWidth="1"/>
    <col min="1528" max="1528" width="18.375" style="1345" customWidth="1"/>
    <col min="1529" max="1530" width="9" style="1345" hidden="1" customWidth="1"/>
    <col min="1531" max="1774" width="9" style="1345"/>
    <col min="1775" max="1775" width="6.625" style="1345" customWidth="1"/>
    <col min="1776" max="1777" width="21.625" style="1345" customWidth="1"/>
    <col min="1778" max="1778" width="16.125" style="1345" customWidth="1"/>
    <col min="1779" max="1779" width="13.875" style="1345" customWidth="1"/>
    <col min="1780" max="1780" width="17.25" style="1345" customWidth="1"/>
    <col min="1781" max="1782" width="20.5" style="1345" customWidth="1"/>
    <col min="1783" max="1783" width="9" style="1345" hidden="1" customWidth="1"/>
    <col min="1784" max="1784" width="18.375" style="1345" customWidth="1"/>
    <col min="1785" max="1786" width="9" style="1345" hidden="1" customWidth="1"/>
    <col min="1787" max="2030" width="9" style="1345"/>
    <col min="2031" max="2031" width="6.625" style="1345" customWidth="1"/>
    <col min="2032" max="2033" width="21.625" style="1345" customWidth="1"/>
    <col min="2034" max="2034" width="16.125" style="1345" customWidth="1"/>
    <col min="2035" max="2035" width="13.875" style="1345" customWidth="1"/>
    <col min="2036" max="2036" width="17.25" style="1345" customWidth="1"/>
    <col min="2037" max="2038" width="20.5" style="1345" customWidth="1"/>
    <col min="2039" max="2039" width="9" style="1345" hidden="1" customWidth="1"/>
    <col min="2040" max="2040" width="18.375" style="1345" customWidth="1"/>
    <col min="2041" max="2042" width="9" style="1345" hidden="1" customWidth="1"/>
    <col min="2043" max="2286" width="9" style="1345"/>
    <col min="2287" max="2287" width="6.625" style="1345" customWidth="1"/>
    <col min="2288" max="2289" width="21.625" style="1345" customWidth="1"/>
    <col min="2290" max="2290" width="16.125" style="1345" customWidth="1"/>
    <col min="2291" max="2291" width="13.875" style="1345" customWidth="1"/>
    <col min="2292" max="2292" width="17.25" style="1345" customWidth="1"/>
    <col min="2293" max="2294" width="20.5" style="1345" customWidth="1"/>
    <col min="2295" max="2295" width="9" style="1345" hidden="1" customWidth="1"/>
    <col min="2296" max="2296" width="18.375" style="1345" customWidth="1"/>
    <col min="2297" max="2298" width="9" style="1345" hidden="1" customWidth="1"/>
    <col min="2299" max="2542" width="9" style="1345"/>
    <col min="2543" max="2543" width="6.625" style="1345" customWidth="1"/>
    <col min="2544" max="2545" width="21.625" style="1345" customWidth="1"/>
    <col min="2546" max="2546" width="16.125" style="1345" customWidth="1"/>
    <col min="2547" max="2547" width="13.875" style="1345" customWidth="1"/>
    <col min="2548" max="2548" width="17.25" style="1345" customWidth="1"/>
    <col min="2549" max="2550" width="20.5" style="1345" customWidth="1"/>
    <col min="2551" max="2551" width="9" style="1345" hidden="1" customWidth="1"/>
    <col min="2552" max="2552" width="18.375" style="1345" customWidth="1"/>
    <col min="2553" max="2554" width="9" style="1345" hidden="1" customWidth="1"/>
    <col min="2555" max="2798" width="9" style="1345"/>
    <col min="2799" max="2799" width="6.625" style="1345" customWidth="1"/>
    <col min="2800" max="2801" width="21.625" style="1345" customWidth="1"/>
    <col min="2802" max="2802" width="16.125" style="1345" customWidth="1"/>
    <col min="2803" max="2803" width="13.875" style="1345" customWidth="1"/>
    <col min="2804" max="2804" width="17.25" style="1345" customWidth="1"/>
    <col min="2805" max="2806" width="20.5" style="1345" customWidth="1"/>
    <col min="2807" max="2807" width="9" style="1345" hidden="1" customWidth="1"/>
    <col min="2808" max="2808" width="18.375" style="1345" customWidth="1"/>
    <col min="2809" max="2810" width="9" style="1345" hidden="1" customWidth="1"/>
    <col min="2811" max="3054" width="9" style="1345"/>
    <col min="3055" max="3055" width="6.625" style="1345" customWidth="1"/>
    <col min="3056" max="3057" width="21.625" style="1345" customWidth="1"/>
    <col min="3058" max="3058" width="16.125" style="1345" customWidth="1"/>
    <col min="3059" max="3059" width="13.875" style="1345" customWidth="1"/>
    <col min="3060" max="3060" width="17.25" style="1345" customWidth="1"/>
    <col min="3061" max="3062" width="20.5" style="1345" customWidth="1"/>
    <col min="3063" max="3063" width="9" style="1345" hidden="1" customWidth="1"/>
    <col min="3064" max="3064" width="18.375" style="1345" customWidth="1"/>
    <col min="3065" max="3066" width="9" style="1345" hidden="1" customWidth="1"/>
    <col min="3067" max="3310" width="9" style="1345"/>
    <col min="3311" max="3311" width="6.625" style="1345" customWidth="1"/>
    <col min="3312" max="3313" width="21.625" style="1345" customWidth="1"/>
    <col min="3314" max="3314" width="16.125" style="1345" customWidth="1"/>
    <col min="3315" max="3315" width="13.875" style="1345" customWidth="1"/>
    <col min="3316" max="3316" width="17.25" style="1345" customWidth="1"/>
    <col min="3317" max="3318" width="20.5" style="1345" customWidth="1"/>
    <col min="3319" max="3319" width="9" style="1345" hidden="1" customWidth="1"/>
    <col min="3320" max="3320" width="18.375" style="1345" customWidth="1"/>
    <col min="3321" max="3322" width="9" style="1345" hidden="1" customWidth="1"/>
    <col min="3323" max="3566" width="9" style="1345"/>
    <col min="3567" max="3567" width="6.625" style="1345" customWidth="1"/>
    <col min="3568" max="3569" width="21.625" style="1345" customWidth="1"/>
    <col min="3570" max="3570" width="16.125" style="1345" customWidth="1"/>
    <col min="3571" max="3571" width="13.875" style="1345" customWidth="1"/>
    <col min="3572" max="3572" width="17.25" style="1345" customWidth="1"/>
    <col min="3573" max="3574" width="20.5" style="1345" customWidth="1"/>
    <col min="3575" max="3575" width="9" style="1345" hidden="1" customWidth="1"/>
    <col min="3576" max="3576" width="18.375" style="1345" customWidth="1"/>
    <col min="3577" max="3578" width="9" style="1345" hidden="1" customWidth="1"/>
    <col min="3579" max="3822" width="9" style="1345"/>
    <col min="3823" max="3823" width="6.625" style="1345" customWidth="1"/>
    <col min="3824" max="3825" width="21.625" style="1345" customWidth="1"/>
    <col min="3826" max="3826" width="16.125" style="1345" customWidth="1"/>
    <col min="3827" max="3827" width="13.875" style="1345" customWidth="1"/>
    <col min="3828" max="3828" width="17.25" style="1345" customWidth="1"/>
    <col min="3829" max="3830" width="20.5" style="1345" customWidth="1"/>
    <col min="3831" max="3831" width="9" style="1345" hidden="1" customWidth="1"/>
    <col min="3832" max="3832" width="18.375" style="1345" customWidth="1"/>
    <col min="3833" max="3834" width="9" style="1345" hidden="1" customWidth="1"/>
    <col min="3835" max="4078" width="9" style="1345"/>
    <col min="4079" max="4079" width="6.625" style="1345" customWidth="1"/>
    <col min="4080" max="4081" width="21.625" style="1345" customWidth="1"/>
    <col min="4082" max="4082" width="16.125" style="1345" customWidth="1"/>
    <col min="4083" max="4083" width="13.875" style="1345" customWidth="1"/>
    <col min="4084" max="4084" width="17.25" style="1345" customWidth="1"/>
    <col min="4085" max="4086" width="20.5" style="1345" customWidth="1"/>
    <col min="4087" max="4087" width="9" style="1345" hidden="1" customWidth="1"/>
    <col min="4088" max="4088" width="18.375" style="1345" customWidth="1"/>
    <col min="4089" max="4090" width="9" style="1345" hidden="1" customWidth="1"/>
    <col min="4091" max="4334" width="9" style="1345"/>
    <col min="4335" max="4335" width="6.625" style="1345" customWidth="1"/>
    <col min="4336" max="4337" width="21.625" style="1345" customWidth="1"/>
    <col min="4338" max="4338" width="16.125" style="1345" customWidth="1"/>
    <col min="4339" max="4339" width="13.875" style="1345" customWidth="1"/>
    <col min="4340" max="4340" width="17.25" style="1345" customWidth="1"/>
    <col min="4341" max="4342" width="20.5" style="1345" customWidth="1"/>
    <col min="4343" max="4343" width="9" style="1345" hidden="1" customWidth="1"/>
    <col min="4344" max="4344" width="18.375" style="1345" customWidth="1"/>
    <col min="4345" max="4346" width="9" style="1345" hidden="1" customWidth="1"/>
    <col min="4347" max="4590" width="9" style="1345"/>
    <col min="4591" max="4591" width="6.625" style="1345" customWidth="1"/>
    <col min="4592" max="4593" width="21.625" style="1345" customWidth="1"/>
    <col min="4594" max="4594" width="16.125" style="1345" customWidth="1"/>
    <col min="4595" max="4595" width="13.875" style="1345" customWidth="1"/>
    <col min="4596" max="4596" width="17.25" style="1345" customWidth="1"/>
    <col min="4597" max="4598" width="20.5" style="1345" customWidth="1"/>
    <col min="4599" max="4599" width="9" style="1345" hidden="1" customWidth="1"/>
    <col min="4600" max="4600" width="18.375" style="1345" customWidth="1"/>
    <col min="4601" max="4602" width="9" style="1345" hidden="1" customWidth="1"/>
    <col min="4603" max="4846" width="9" style="1345"/>
    <col min="4847" max="4847" width="6.625" style="1345" customWidth="1"/>
    <col min="4848" max="4849" width="21.625" style="1345" customWidth="1"/>
    <col min="4850" max="4850" width="16.125" style="1345" customWidth="1"/>
    <col min="4851" max="4851" width="13.875" style="1345" customWidth="1"/>
    <col min="4852" max="4852" width="17.25" style="1345" customWidth="1"/>
    <col min="4853" max="4854" width="20.5" style="1345" customWidth="1"/>
    <col min="4855" max="4855" width="9" style="1345" hidden="1" customWidth="1"/>
    <col min="4856" max="4856" width="18.375" style="1345" customWidth="1"/>
    <col min="4857" max="4858" width="9" style="1345" hidden="1" customWidth="1"/>
    <col min="4859" max="5102" width="9" style="1345"/>
    <col min="5103" max="5103" width="6.625" style="1345" customWidth="1"/>
    <col min="5104" max="5105" width="21.625" style="1345" customWidth="1"/>
    <col min="5106" max="5106" width="16.125" style="1345" customWidth="1"/>
    <col min="5107" max="5107" width="13.875" style="1345" customWidth="1"/>
    <col min="5108" max="5108" width="17.25" style="1345" customWidth="1"/>
    <col min="5109" max="5110" width="20.5" style="1345" customWidth="1"/>
    <col min="5111" max="5111" width="9" style="1345" hidden="1" customWidth="1"/>
    <col min="5112" max="5112" width="18.375" style="1345" customWidth="1"/>
    <col min="5113" max="5114" width="9" style="1345" hidden="1" customWidth="1"/>
    <col min="5115" max="5358" width="9" style="1345"/>
    <col min="5359" max="5359" width="6.625" style="1345" customWidth="1"/>
    <col min="5360" max="5361" width="21.625" style="1345" customWidth="1"/>
    <col min="5362" max="5362" width="16.125" style="1345" customWidth="1"/>
    <col min="5363" max="5363" width="13.875" style="1345" customWidth="1"/>
    <col min="5364" max="5364" width="17.25" style="1345" customWidth="1"/>
    <col min="5365" max="5366" width="20.5" style="1345" customWidth="1"/>
    <col min="5367" max="5367" width="9" style="1345" hidden="1" customWidth="1"/>
    <col min="5368" max="5368" width="18.375" style="1345" customWidth="1"/>
    <col min="5369" max="5370" width="9" style="1345" hidden="1" customWidth="1"/>
    <col min="5371" max="5614" width="9" style="1345"/>
    <col min="5615" max="5615" width="6.625" style="1345" customWidth="1"/>
    <col min="5616" max="5617" width="21.625" style="1345" customWidth="1"/>
    <col min="5618" max="5618" width="16.125" style="1345" customWidth="1"/>
    <col min="5619" max="5619" width="13.875" style="1345" customWidth="1"/>
    <col min="5620" max="5620" width="17.25" style="1345" customWidth="1"/>
    <col min="5621" max="5622" width="20.5" style="1345" customWidth="1"/>
    <col min="5623" max="5623" width="9" style="1345" hidden="1" customWidth="1"/>
    <col min="5624" max="5624" width="18.375" style="1345" customWidth="1"/>
    <col min="5625" max="5626" width="9" style="1345" hidden="1" customWidth="1"/>
    <col min="5627" max="5870" width="9" style="1345"/>
    <col min="5871" max="5871" width="6.625" style="1345" customWidth="1"/>
    <col min="5872" max="5873" width="21.625" style="1345" customWidth="1"/>
    <col min="5874" max="5874" width="16.125" style="1345" customWidth="1"/>
    <col min="5875" max="5875" width="13.875" style="1345" customWidth="1"/>
    <col min="5876" max="5876" width="17.25" style="1345" customWidth="1"/>
    <col min="5877" max="5878" width="20.5" style="1345" customWidth="1"/>
    <col min="5879" max="5879" width="9" style="1345" hidden="1" customWidth="1"/>
    <col min="5880" max="5880" width="18.375" style="1345" customWidth="1"/>
    <col min="5881" max="5882" width="9" style="1345" hidden="1" customWidth="1"/>
    <col min="5883" max="6126" width="9" style="1345"/>
    <col min="6127" max="6127" width="6.625" style="1345" customWidth="1"/>
    <col min="6128" max="6129" width="21.625" style="1345" customWidth="1"/>
    <col min="6130" max="6130" width="16.125" style="1345" customWidth="1"/>
    <col min="6131" max="6131" width="13.875" style="1345" customWidth="1"/>
    <col min="6132" max="6132" width="17.25" style="1345" customWidth="1"/>
    <col min="6133" max="6134" width="20.5" style="1345" customWidth="1"/>
    <col min="6135" max="6135" width="9" style="1345" hidden="1" customWidth="1"/>
    <col min="6136" max="6136" width="18.375" style="1345" customWidth="1"/>
    <col min="6137" max="6138" width="9" style="1345" hidden="1" customWidth="1"/>
    <col min="6139" max="6382" width="9" style="1345"/>
    <col min="6383" max="6383" width="6.625" style="1345" customWidth="1"/>
    <col min="6384" max="6385" width="21.625" style="1345" customWidth="1"/>
    <col min="6386" max="6386" width="16.125" style="1345" customWidth="1"/>
    <col min="6387" max="6387" width="13.875" style="1345" customWidth="1"/>
    <col min="6388" max="6388" width="17.25" style="1345" customWidth="1"/>
    <col min="6389" max="6390" width="20.5" style="1345" customWidth="1"/>
    <col min="6391" max="6391" width="9" style="1345" hidden="1" customWidth="1"/>
    <col min="6392" max="6392" width="18.375" style="1345" customWidth="1"/>
    <col min="6393" max="6394" width="9" style="1345" hidden="1" customWidth="1"/>
    <col min="6395" max="6638" width="9" style="1345"/>
    <col min="6639" max="6639" width="6.625" style="1345" customWidth="1"/>
    <col min="6640" max="6641" width="21.625" style="1345" customWidth="1"/>
    <col min="6642" max="6642" width="16.125" style="1345" customWidth="1"/>
    <col min="6643" max="6643" width="13.875" style="1345" customWidth="1"/>
    <col min="6644" max="6644" width="17.25" style="1345" customWidth="1"/>
    <col min="6645" max="6646" width="20.5" style="1345" customWidth="1"/>
    <col min="6647" max="6647" width="9" style="1345" hidden="1" customWidth="1"/>
    <col min="6648" max="6648" width="18.375" style="1345" customWidth="1"/>
    <col min="6649" max="6650" width="9" style="1345" hidden="1" customWidth="1"/>
    <col min="6651" max="6894" width="9" style="1345"/>
    <col min="6895" max="6895" width="6.625" style="1345" customWidth="1"/>
    <col min="6896" max="6897" width="21.625" style="1345" customWidth="1"/>
    <col min="6898" max="6898" width="16.125" style="1345" customWidth="1"/>
    <col min="6899" max="6899" width="13.875" style="1345" customWidth="1"/>
    <col min="6900" max="6900" width="17.25" style="1345" customWidth="1"/>
    <col min="6901" max="6902" width="20.5" style="1345" customWidth="1"/>
    <col min="6903" max="6903" width="9" style="1345" hidden="1" customWidth="1"/>
    <col min="6904" max="6904" width="18.375" style="1345" customWidth="1"/>
    <col min="6905" max="6906" width="9" style="1345" hidden="1" customWidth="1"/>
    <col min="6907" max="7150" width="9" style="1345"/>
    <col min="7151" max="7151" width="6.625" style="1345" customWidth="1"/>
    <col min="7152" max="7153" width="21.625" style="1345" customWidth="1"/>
    <col min="7154" max="7154" width="16.125" style="1345" customWidth="1"/>
    <col min="7155" max="7155" width="13.875" style="1345" customWidth="1"/>
    <col min="7156" max="7156" width="17.25" style="1345" customWidth="1"/>
    <col min="7157" max="7158" width="20.5" style="1345" customWidth="1"/>
    <col min="7159" max="7159" width="9" style="1345" hidden="1" customWidth="1"/>
    <col min="7160" max="7160" width="18.375" style="1345" customWidth="1"/>
    <col min="7161" max="7162" width="9" style="1345" hidden="1" customWidth="1"/>
    <col min="7163" max="7406" width="9" style="1345"/>
    <col min="7407" max="7407" width="6.625" style="1345" customWidth="1"/>
    <col min="7408" max="7409" width="21.625" style="1345" customWidth="1"/>
    <col min="7410" max="7410" width="16.125" style="1345" customWidth="1"/>
    <col min="7411" max="7411" width="13.875" style="1345" customWidth="1"/>
    <col min="7412" max="7412" width="17.25" style="1345" customWidth="1"/>
    <col min="7413" max="7414" width="20.5" style="1345" customWidth="1"/>
    <col min="7415" max="7415" width="9" style="1345" hidden="1" customWidth="1"/>
    <col min="7416" max="7416" width="18.375" style="1345" customWidth="1"/>
    <col min="7417" max="7418" width="9" style="1345" hidden="1" customWidth="1"/>
    <col min="7419" max="7662" width="9" style="1345"/>
    <col min="7663" max="7663" width="6.625" style="1345" customWidth="1"/>
    <col min="7664" max="7665" width="21.625" style="1345" customWidth="1"/>
    <col min="7666" max="7666" width="16.125" style="1345" customWidth="1"/>
    <col min="7667" max="7667" width="13.875" style="1345" customWidth="1"/>
    <col min="7668" max="7668" width="17.25" style="1345" customWidth="1"/>
    <col min="7669" max="7670" width="20.5" style="1345" customWidth="1"/>
    <col min="7671" max="7671" width="9" style="1345" hidden="1" customWidth="1"/>
    <col min="7672" max="7672" width="18.375" style="1345" customWidth="1"/>
    <col min="7673" max="7674" width="9" style="1345" hidden="1" customWidth="1"/>
    <col min="7675" max="7918" width="9" style="1345"/>
    <col min="7919" max="7919" width="6.625" style="1345" customWidth="1"/>
    <col min="7920" max="7921" width="21.625" style="1345" customWidth="1"/>
    <col min="7922" max="7922" width="16.125" style="1345" customWidth="1"/>
    <col min="7923" max="7923" width="13.875" style="1345" customWidth="1"/>
    <col min="7924" max="7924" width="17.25" style="1345" customWidth="1"/>
    <col min="7925" max="7926" width="20.5" style="1345" customWidth="1"/>
    <col min="7927" max="7927" width="9" style="1345" hidden="1" customWidth="1"/>
    <col min="7928" max="7928" width="18.375" style="1345" customWidth="1"/>
    <col min="7929" max="7930" width="9" style="1345" hidden="1" customWidth="1"/>
    <col min="7931" max="8174" width="9" style="1345"/>
    <col min="8175" max="8175" width="6.625" style="1345" customWidth="1"/>
    <col min="8176" max="8177" width="21.625" style="1345" customWidth="1"/>
    <col min="8178" max="8178" width="16.125" style="1345" customWidth="1"/>
    <col min="8179" max="8179" width="13.875" style="1345" customWidth="1"/>
    <col min="8180" max="8180" width="17.25" style="1345" customWidth="1"/>
    <col min="8181" max="8182" width="20.5" style="1345" customWidth="1"/>
    <col min="8183" max="8183" width="9" style="1345" hidden="1" customWidth="1"/>
    <col min="8184" max="8184" width="18.375" style="1345" customWidth="1"/>
    <col min="8185" max="8186" width="9" style="1345" hidden="1" customWidth="1"/>
    <col min="8187" max="8430" width="9" style="1345"/>
    <col min="8431" max="8431" width="6.625" style="1345" customWidth="1"/>
    <col min="8432" max="8433" width="21.625" style="1345" customWidth="1"/>
    <col min="8434" max="8434" width="16.125" style="1345" customWidth="1"/>
    <col min="8435" max="8435" width="13.875" style="1345" customWidth="1"/>
    <col min="8436" max="8436" width="17.25" style="1345" customWidth="1"/>
    <col min="8437" max="8438" width="20.5" style="1345" customWidth="1"/>
    <col min="8439" max="8439" width="9" style="1345" hidden="1" customWidth="1"/>
    <col min="8440" max="8440" width="18.375" style="1345" customWidth="1"/>
    <col min="8441" max="8442" width="9" style="1345" hidden="1" customWidth="1"/>
    <col min="8443" max="8686" width="9" style="1345"/>
    <col min="8687" max="8687" width="6.625" style="1345" customWidth="1"/>
    <col min="8688" max="8689" width="21.625" style="1345" customWidth="1"/>
    <col min="8690" max="8690" width="16.125" style="1345" customWidth="1"/>
    <col min="8691" max="8691" width="13.875" style="1345" customWidth="1"/>
    <col min="8692" max="8692" width="17.25" style="1345" customWidth="1"/>
    <col min="8693" max="8694" width="20.5" style="1345" customWidth="1"/>
    <col min="8695" max="8695" width="9" style="1345" hidden="1" customWidth="1"/>
    <col min="8696" max="8696" width="18.375" style="1345" customWidth="1"/>
    <col min="8697" max="8698" width="9" style="1345" hidden="1" customWidth="1"/>
    <col min="8699" max="8942" width="9" style="1345"/>
    <col min="8943" max="8943" width="6.625" style="1345" customWidth="1"/>
    <col min="8944" max="8945" width="21.625" style="1345" customWidth="1"/>
    <col min="8946" max="8946" width="16.125" style="1345" customWidth="1"/>
    <col min="8947" max="8947" width="13.875" style="1345" customWidth="1"/>
    <col min="8948" max="8948" width="17.25" style="1345" customWidth="1"/>
    <col min="8949" max="8950" width="20.5" style="1345" customWidth="1"/>
    <col min="8951" max="8951" width="9" style="1345" hidden="1" customWidth="1"/>
    <col min="8952" max="8952" width="18.375" style="1345" customWidth="1"/>
    <col min="8953" max="8954" width="9" style="1345" hidden="1" customWidth="1"/>
    <col min="8955" max="9198" width="9" style="1345"/>
    <col min="9199" max="9199" width="6.625" style="1345" customWidth="1"/>
    <col min="9200" max="9201" width="21.625" style="1345" customWidth="1"/>
    <col min="9202" max="9202" width="16.125" style="1345" customWidth="1"/>
    <col min="9203" max="9203" width="13.875" style="1345" customWidth="1"/>
    <col min="9204" max="9204" width="17.25" style="1345" customWidth="1"/>
    <col min="9205" max="9206" width="20.5" style="1345" customWidth="1"/>
    <col min="9207" max="9207" width="9" style="1345" hidden="1" customWidth="1"/>
    <col min="9208" max="9208" width="18.375" style="1345" customWidth="1"/>
    <col min="9209" max="9210" width="9" style="1345" hidden="1" customWidth="1"/>
    <col min="9211" max="9454" width="9" style="1345"/>
    <col min="9455" max="9455" width="6.625" style="1345" customWidth="1"/>
    <col min="9456" max="9457" width="21.625" style="1345" customWidth="1"/>
    <col min="9458" max="9458" width="16.125" style="1345" customWidth="1"/>
    <col min="9459" max="9459" width="13.875" style="1345" customWidth="1"/>
    <col min="9460" max="9460" width="17.25" style="1345" customWidth="1"/>
    <col min="9461" max="9462" width="20.5" style="1345" customWidth="1"/>
    <col min="9463" max="9463" width="9" style="1345" hidden="1" customWidth="1"/>
    <col min="9464" max="9464" width="18.375" style="1345" customWidth="1"/>
    <col min="9465" max="9466" width="9" style="1345" hidden="1" customWidth="1"/>
    <col min="9467" max="9710" width="9" style="1345"/>
    <col min="9711" max="9711" width="6.625" style="1345" customWidth="1"/>
    <col min="9712" max="9713" width="21.625" style="1345" customWidth="1"/>
    <col min="9714" max="9714" width="16.125" style="1345" customWidth="1"/>
    <col min="9715" max="9715" width="13.875" style="1345" customWidth="1"/>
    <col min="9716" max="9716" width="17.25" style="1345" customWidth="1"/>
    <col min="9717" max="9718" width="20.5" style="1345" customWidth="1"/>
    <col min="9719" max="9719" width="9" style="1345" hidden="1" customWidth="1"/>
    <col min="9720" max="9720" width="18.375" style="1345" customWidth="1"/>
    <col min="9721" max="9722" width="9" style="1345" hidden="1" customWidth="1"/>
    <col min="9723" max="9966" width="9" style="1345"/>
    <col min="9967" max="9967" width="6.625" style="1345" customWidth="1"/>
    <col min="9968" max="9969" width="21.625" style="1345" customWidth="1"/>
    <col min="9970" max="9970" width="16.125" style="1345" customWidth="1"/>
    <col min="9971" max="9971" width="13.875" style="1345" customWidth="1"/>
    <col min="9972" max="9972" width="17.25" style="1345" customWidth="1"/>
    <col min="9973" max="9974" width="20.5" style="1345" customWidth="1"/>
    <col min="9975" max="9975" width="9" style="1345" hidden="1" customWidth="1"/>
    <col min="9976" max="9976" width="18.375" style="1345" customWidth="1"/>
    <col min="9977" max="9978" width="9" style="1345" hidden="1" customWidth="1"/>
    <col min="9979" max="10222" width="9" style="1345"/>
    <col min="10223" max="10223" width="6.625" style="1345" customWidth="1"/>
    <col min="10224" max="10225" width="21.625" style="1345" customWidth="1"/>
    <col min="10226" max="10226" width="16.125" style="1345" customWidth="1"/>
    <col min="10227" max="10227" width="13.875" style="1345" customWidth="1"/>
    <col min="10228" max="10228" width="17.25" style="1345" customWidth="1"/>
    <col min="10229" max="10230" width="20.5" style="1345" customWidth="1"/>
    <col min="10231" max="10231" width="9" style="1345" hidden="1" customWidth="1"/>
    <col min="10232" max="10232" width="18.375" style="1345" customWidth="1"/>
    <col min="10233" max="10234" width="9" style="1345" hidden="1" customWidth="1"/>
    <col min="10235" max="10478" width="9" style="1345"/>
    <col min="10479" max="10479" width="6.625" style="1345" customWidth="1"/>
    <col min="10480" max="10481" width="21.625" style="1345" customWidth="1"/>
    <col min="10482" max="10482" width="16.125" style="1345" customWidth="1"/>
    <col min="10483" max="10483" width="13.875" style="1345" customWidth="1"/>
    <col min="10484" max="10484" width="17.25" style="1345" customWidth="1"/>
    <col min="10485" max="10486" width="20.5" style="1345" customWidth="1"/>
    <col min="10487" max="10487" width="9" style="1345" hidden="1" customWidth="1"/>
    <col min="10488" max="10488" width="18.375" style="1345" customWidth="1"/>
    <col min="10489" max="10490" width="9" style="1345" hidden="1" customWidth="1"/>
    <col min="10491" max="10734" width="9" style="1345"/>
    <col min="10735" max="10735" width="6.625" style="1345" customWidth="1"/>
    <col min="10736" max="10737" width="21.625" style="1345" customWidth="1"/>
    <col min="10738" max="10738" width="16.125" style="1345" customWidth="1"/>
    <col min="10739" max="10739" width="13.875" style="1345" customWidth="1"/>
    <col min="10740" max="10740" width="17.25" style="1345" customWidth="1"/>
    <col min="10741" max="10742" width="20.5" style="1345" customWidth="1"/>
    <col min="10743" max="10743" width="9" style="1345" hidden="1" customWidth="1"/>
    <col min="10744" max="10744" width="18.375" style="1345" customWidth="1"/>
    <col min="10745" max="10746" width="9" style="1345" hidden="1" customWidth="1"/>
    <col min="10747" max="10990" width="9" style="1345"/>
    <col min="10991" max="10991" width="6.625" style="1345" customWidth="1"/>
    <col min="10992" max="10993" width="21.625" style="1345" customWidth="1"/>
    <col min="10994" max="10994" width="16.125" style="1345" customWidth="1"/>
    <col min="10995" max="10995" width="13.875" style="1345" customWidth="1"/>
    <col min="10996" max="10996" width="17.25" style="1345" customWidth="1"/>
    <col min="10997" max="10998" width="20.5" style="1345" customWidth="1"/>
    <col min="10999" max="10999" width="9" style="1345" hidden="1" customWidth="1"/>
    <col min="11000" max="11000" width="18.375" style="1345" customWidth="1"/>
    <col min="11001" max="11002" width="9" style="1345" hidden="1" customWidth="1"/>
    <col min="11003" max="11246" width="9" style="1345"/>
    <col min="11247" max="11247" width="6.625" style="1345" customWidth="1"/>
    <col min="11248" max="11249" width="21.625" style="1345" customWidth="1"/>
    <col min="11250" max="11250" width="16.125" style="1345" customWidth="1"/>
    <col min="11251" max="11251" width="13.875" style="1345" customWidth="1"/>
    <col min="11252" max="11252" width="17.25" style="1345" customWidth="1"/>
    <col min="11253" max="11254" width="20.5" style="1345" customWidth="1"/>
    <col min="11255" max="11255" width="9" style="1345" hidden="1" customWidth="1"/>
    <col min="11256" max="11256" width="18.375" style="1345" customWidth="1"/>
    <col min="11257" max="11258" width="9" style="1345" hidden="1" customWidth="1"/>
    <col min="11259" max="11502" width="9" style="1345"/>
    <col min="11503" max="11503" width="6.625" style="1345" customWidth="1"/>
    <col min="11504" max="11505" width="21.625" style="1345" customWidth="1"/>
    <col min="11506" max="11506" width="16.125" style="1345" customWidth="1"/>
    <col min="11507" max="11507" width="13.875" style="1345" customWidth="1"/>
    <col min="11508" max="11508" width="17.25" style="1345" customWidth="1"/>
    <col min="11509" max="11510" width="20.5" style="1345" customWidth="1"/>
    <col min="11511" max="11511" width="9" style="1345" hidden="1" customWidth="1"/>
    <col min="11512" max="11512" width="18.375" style="1345" customWidth="1"/>
    <col min="11513" max="11514" width="9" style="1345" hidden="1" customWidth="1"/>
    <col min="11515" max="11758" width="9" style="1345"/>
    <col min="11759" max="11759" width="6.625" style="1345" customWidth="1"/>
    <col min="11760" max="11761" width="21.625" style="1345" customWidth="1"/>
    <col min="11762" max="11762" width="16.125" style="1345" customWidth="1"/>
    <col min="11763" max="11763" width="13.875" style="1345" customWidth="1"/>
    <col min="11764" max="11764" width="17.25" style="1345" customWidth="1"/>
    <col min="11765" max="11766" width="20.5" style="1345" customWidth="1"/>
    <col min="11767" max="11767" width="9" style="1345" hidden="1" customWidth="1"/>
    <col min="11768" max="11768" width="18.375" style="1345" customWidth="1"/>
    <col min="11769" max="11770" width="9" style="1345" hidden="1" customWidth="1"/>
    <col min="11771" max="12014" width="9" style="1345"/>
    <col min="12015" max="12015" width="6.625" style="1345" customWidth="1"/>
    <col min="12016" max="12017" width="21.625" style="1345" customWidth="1"/>
    <col min="12018" max="12018" width="16.125" style="1345" customWidth="1"/>
    <col min="12019" max="12019" width="13.875" style="1345" customWidth="1"/>
    <col min="12020" max="12020" width="17.25" style="1345" customWidth="1"/>
    <col min="12021" max="12022" width="20.5" style="1345" customWidth="1"/>
    <col min="12023" max="12023" width="9" style="1345" hidden="1" customWidth="1"/>
    <col min="12024" max="12024" width="18.375" style="1345" customWidth="1"/>
    <col min="12025" max="12026" width="9" style="1345" hidden="1" customWidth="1"/>
    <col min="12027" max="12270" width="9" style="1345"/>
    <col min="12271" max="12271" width="6.625" style="1345" customWidth="1"/>
    <col min="12272" max="12273" width="21.625" style="1345" customWidth="1"/>
    <col min="12274" max="12274" width="16.125" style="1345" customWidth="1"/>
    <col min="12275" max="12275" width="13.875" style="1345" customWidth="1"/>
    <col min="12276" max="12276" width="17.25" style="1345" customWidth="1"/>
    <col min="12277" max="12278" width="20.5" style="1345" customWidth="1"/>
    <col min="12279" max="12279" width="9" style="1345" hidden="1" customWidth="1"/>
    <col min="12280" max="12280" width="18.375" style="1345" customWidth="1"/>
    <col min="12281" max="12282" width="9" style="1345" hidden="1" customWidth="1"/>
    <col min="12283" max="12526" width="9" style="1345"/>
    <col min="12527" max="12527" width="6.625" style="1345" customWidth="1"/>
    <col min="12528" max="12529" width="21.625" style="1345" customWidth="1"/>
    <col min="12530" max="12530" width="16.125" style="1345" customWidth="1"/>
    <col min="12531" max="12531" width="13.875" style="1345" customWidth="1"/>
    <col min="12532" max="12532" width="17.25" style="1345" customWidth="1"/>
    <col min="12533" max="12534" width="20.5" style="1345" customWidth="1"/>
    <col min="12535" max="12535" width="9" style="1345" hidden="1" customWidth="1"/>
    <col min="12536" max="12536" width="18.375" style="1345" customWidth="1"/>
    <col min="12537" max="12538" width="9" style="1345" hidden="1" customWidth="1"/>
    <col min="12539" max="12782" width="9" style="1345"/>
    <col min="12783" max="12783" width="6.625" style="1345" customWidth="1"/>
    <col min="12784" max="12785" width="21.625" style="1345" customWidth="1"/>
    <col min="12786" max="12786" width="16.125" style="1345" customWidth="1"/>
    <col min="12787" max="12787" width="13.875" style="1345" customWidth="1"/>
    <col min="12788" max="12788" width="17.25" style="1345" customWidth="1"/>
    <col min="12789" max="12790" width="20.5" style="1345" customWidth="1"/>
    <col min="12791" max="12791" width="9" style="1345" hidden="1" customWidth="1"/>
    <col min="12792" max="12792" width="18.375" style="1345" customWidth="1"/>
    <col min="12793" max="12794" width="9" style="1345" hidden="1" customWidth="1"/>
    <col min="12795" max="13038" width="9" style="1345"/>
    <col min="13039" max="13039" width="6.625" style="1345" customWidth="1"/>
    <col min="13040" max="13041" width="21.625" style="1345" customWidth="1"/>
    <col min="13042" max="13042" width="16.125" style="1345" customWidth="1"/>
    <col min="13043" max="13043" width="13.875" style="1345" customWidth="1"/>
    <col min="13044" max="13044" width="17.25" style="1345" customWidth="1"/>
    <col min="13045" max="13046" width="20.5" style="1345" customWidth="1"/>
    <col min="13047" max="13047" width="9" style="1345" hidden="1" customWidth="1"/>
    <col min="13048" max="13048" width="18.375" style="1345" customWidth="1"/>
    <col min="13049" max="13050" width="9" style="1345" hidden="1" customWidth="1"/>
    <col min="13051" max="13294" width="9" style="1345"/>
    <col min="13295" max="13295" width="6.625" style="1345" customWidth="1"/>
    <col min="13296" max="13297" width="21.625" style="1345" customWidth="1"/>
    <col min="13298" max="13298" width="16.125" style="1345" customWidth="1"/>
    <col min="13299" max="13299" width="13.875" style="1345" customWidth="1"/>
    <col min="13300" max="13300" width="17.25" style="1345" customWidth="1"/>
    <col min="13301" max="13302" width="20.5" style="1345" customWidth="1"/>
    <col min="13303" max="13303" width="9" style="1345" hidden="1" customWidth="1"/>
    <col min="13304" max="13304" width="18.375" style="1345" customWidth="1"/>
    <col min="13305" max="13306" width="9" style="1345" hidden="1" customWidth="1"/>
    <col min="13307" max="13550" width="9" style="1345"/>
    <col min="13551" max="13551" width="6.625" style="1345" customWidth="1"/>
    <col min="13552" max="13553" width="21.625" style="1345" customWidth="1"/>
    <col min="13554" max="13554" width="16.125" style="1345" customWidth="1"/>
    <col min="13555" max="13555" width="13.875" style="1345" customWidth="1"/>
    <col min="13556" max="13556" width="17.25" style="1345" customWidth="1"/>
    <col min="13557" max="13558" width="20.5" style="1345" customWidth="1"/>
    <col min="13559" max="13559" width="9" style="1345" hidden="1" customWidth="1"/>
    <col min="13560" max="13560" width="18.375" style="1345" customWidth="1"/>
    <col min="13561" max="13562" width="9" style="1345" hidden="1" customWidth="1"/>
    <col min="13563" max="13806" width="9" style="1345"/>
    <col min="13807" max="13807" width="6.625" style="1345" customWidth="1"/>
    <col min="13808" max="13809" width="21.625" style="1345" customWidth="1"/>
    <col min="13810" max="13810" width="16.125" style="1345" customWidth="1"/>
    <col min="13811" max="13811" width="13.875" style="1345" customWidth="1"/>
    <col min="13812" max="13812" width="17.25" style="1345" customWidth="1"/>
    <col min="13813" max="13814" width="20.5" style="1345" customWidth="1"/>
    <col min="13815" max="13815" width="9" style="1345" hidden="1" customWidth="1"/>
    <col min="13816" max="13816" width="18.375" style="1345" customWidth="1"/>
    <col min="13817" max="13818" width="9" style="1345" hidden="1" customWidth="1"/>
    <col min="13819" max="14062" width="9" style="1345"/>
    <col min="14063" max="14063" width="6.625" style="1345" customWidth="1"/>
    <col min="14064" max="14065" width="21.625" style="1345" customWidth="1"/>
    <col min="14066" max="14066" width="16.125" style="1345" customWidth="1"/>
    <col min="14067" max="14067" width="13.875" style="1345" customWidth="1"/>
    <col min="14068" max="14068" width="17.25" style="1345" customWidth="1"/>
    <col min="14069" max="14070" width="20.5" style="1345" customWidth="1"/>
    <col min="14071" max="14071" width="9" style="1345" hidden="1" customWidth="1"/>
    <col min="14072" max="14072" width="18.375" style="1345" customWidth="1"/>
    <col min="14073" max="14074" width="9" style="1345" hidden="1" customWidth="1"/>
    <col min="14075" max="14318" width="9" style="1345"/>
    <col min="14319" max="14319" width="6.625" style="1345" customWidth="1"/>
    <col min="14320" max="14321" width="21.625" style="1345" customWidth="1"/>
    <col min="14322" max="14322" width="16.125" style="1345" customWidth="1"/>
    <col min="14323" max="14323" width="13.875" style="1345" customWidth="1"/>
    <col min="14324" max="14324" width="17.25" style="1345" customWidth="1"/>
    <col min="14325" max="14326" width="20.5" style="1345" customWidth="1"/>
    <col min="14327" max="14327" width="9" style="1345" hidden="1" customWidth="1"/>
    <col min="14328" max="14328" width="18.375" style="1345" customWidth="1"/>
    <col min="14329" max="14330" width="9" style="1345" hidden="1" customWidth="1"/>
    <col min="14331" max="14574" width="9" style="1345"/>
    <col min="14575" max="14575" width="6.625" style="1345" customWidth="1"/>
    <col min="14576" max="14577" width="21.625" style="1345" customWidth="1"/>
    <col min="14578" max="14578" width="16.125" style="1345" customWidth="1"/>
    <col min="14579" max="14579" width="13.875" style="1345" customWidth="1"/>
    <col min="14580" max="14580" width="17.25" style="1345" customWidth="1"/>
    <col min="14581" max="14582" width="20.5" style="1345" customWidth="1"/>
    <col min="14583" max="14583" width="9" style="1345" hidden="1" customWidth="1"/>
    <col min="14584" max="14584" width="18.375" style="1345" customWidth="1"/>
    <col min="14585" max="14586" width="9" style="1345" hidden="1" customWidth="1"/>
    <col min="14587" max="14830" width="9" style="1345"/>
    <col min="14831" max="14831" width="6.625" style="1345" customWidth="1"/>
    <col min="14832" max="14833" width="21.625" style="1345" customWidth="1"/>
    <col min="14834" max="14834" width="16.125" style="1345" customWidth="1"/>
    <col min="14835" max="14835" width="13.875" style="1345" customWidth="1"/>
    <col min="14836" max="14836" width="17.25" style="1345" customWidth="1"/>
    <col min="14837" max="14838" width="20.5" style="1345" customWidth="1"/>
    <col min="14839" max="14839" width="9" style="1345" hidden="1" customWidth="1"/>
    <col min="14840" max="14840" width="18.375" style="1345" customWidth="1"/>
    <col min="14841" max="14842" width="9" style="1345" hidden="1" customWidth="1"/>
    <col min="14843" max="15086" width="9" style="1345"/>
    <col min="15087" max="15087" width="6.625" style="1345" customWidth="1"/>
    <col min="15088" max="15089" width="21.625" style="1345" customWidth="1"/>
    <col min="15090" max="15090" width="16.125" style="1345" customWidth="1"/>
    <col min="15091" max="15091" width="13.875" style="1345" customWidth="1"/>
    <col min="15092" max="15092" width="17.25" style="1345" customWidth="1"/>
    <col min="15093" max="15094" width="20.5" style="1345" customWidth="1"/>
    <col min="15095" max="15095" width="9" style="1345" hidden="1" customWidth="1"/>
    <col min="15096" max="15096" width="18.375" style="1345" customWidth="1"/>
    <col min="15097" max="15098" width="9" style="1345" hidden="1" customWidth="1"/>
    <col min="15099" max="15342" width="9" style="1345"/>
    <col min="15343" max="15343" width="6.625" style="1345" customWidth="1"/>
    <col min="15344" max="15345" width="21.625" style="1345" customWidth="1"/>
    <col min="15346" max="15346" width="16.125" style="1345" customWidth="1"/>
    <col min="15347" max="15347" width="13.875" style="1345" customWidth="1"/>
    <col min="15348" max="15348" width="17.25" style="1345" customWidth="1"/>
    <col min="15349" max="15350" width="20.5" style="1345" customWidth="1"/>
    <col min="15351" max="15351" width="9" style="1345" hidden="1" customWidth="1"/>
    <col min="15352" max="15352" width="18.375" style="1345" customWidth="1"/>
    <col min="15353" max="15354" width="9" style="1345" hidden="1" customWidth="1"/>
    <col min="15355" max="15598" width="9" style="1345"/>
    <col min="15599" max="15599" width="6.625" style="1345" customWidth="1"/>
    <col min="15600" max="15601" width="21.625" style="1345" customWidth="1"/>
    <col min="15602" max="15602" width="16.125" style="1345" customWidth="1"/>
    <col min="15603" max="15603" width="13.875" style="1345" customWidth="1"/>
    <col min="15604" max="15604" width="17.25" style="1345" customWidth="1"/>
    <col min="15605" max="15606" width="20.5" style="1345" customWidth="1"/>
    <col min="15607" max="15607" width="9" style="1345" hidden="1" customWidth="1"/>
    <col min="15608" max="15608" width="18.375" style="1345" customWidth="1"/>
    <col min="15609" max="15610" width="9" style="1345" hidden="1" customWidth="1"/>
    <col min="15611" max="15854" width="9" style="1345"/>
    <col min="15855" max="15855" width="6.625" style="1345" customWidth="1"/>
    <col min="15856" max="15857" width="21.625" style="1345" customWidth="1"/>
    <col min="15858" max="15858" width="16.125" style="1345" customWidth="1"/>
    <col min="15859" max="15859" width="13.875" style="1345" customWidth="1"/>
    <col min="15860" max="15860" width="17.25" style="1345" customWidth="1"/>
    <col min="15861" max="15862" width="20.5" style="1345" customWidth="1"/>
    <col min="15863" max="15863" width="9" style="1345" hidden="1" customWidth="1"/>
    <col min="15864" max="15864" width="18.375" style="1345" customWidth="1"/>
    <col min="15865" max="15866" width="9" style="1345" hidden="1" customWidth="1"/>
    <col min="15867" max="16110" width="9" style="1345"/>
    <col min="16111" max="16111" width="6.625" style="1345" customWidth="1"/>
    <col min="16112" max="16113" width="21.625" style="1345" customWidth="1"/>
    <col min="16114" max="16114" width="16.125" style="1345" customWidth="1"/>
    <col min="16115" max="16115" width="13.875" style="1345" customWidth="1"/>
    <col min="16116" max="16116" width="17.25" style="1345" customWidth="1"/>
    <col min="16117" max="16118" width="20.5" style="1345" customWidth="1"/>
    <col min="16119" max="16119" width="9" style="1345" hidden="1" customWidth="1"/>
    <col min="16120" max="16120" width="18.375" style="1345" customWidth="1"/>
    <col min="16121" max="16122" width="9" style="1345" hidden="1" customWidth="1"/>
    <col min="16123" max="16384" width="9" style="1345"/>
  </cols>
  <sheetData>
    <row r="1" spans="1:5" ht="30" customHeight="1">
      <c r="A1" s="1618" t="s">
        <v>4039</v>
      </c>
      <c r="B1" s="1619"/>
      <c r="C1" s="1619"/>
      <c r="D1" s="1619"/>
      <c r="E1" s="1619"/>
    </row>
    <row r="2" spans="1:5" ht="35.1" customHeight="1">
      <c r="A2" s="1620" t="s">
        <v>4044</v>
      </c>
      <c r="B2" s="1621"/>
      <c r="C2" s="1622" t="s">
        <v>4040</v>
      </c>
      <c r="D2" s="1622"/>
      <c r="E2" s="1622"/>
    </row>
    <row r="3" spans="1:5" s="1348" customFormat="1" ht="30" customHeight="1">
      <c r="A3" s="1346" t="s">
        <v>12</v>
      </c>
      <c r="B3" s="1346" t="s">
        <v>4041</v>
      </c>
      <c r="C3" s="1346" t="s">
        <v>4042</v>
      </c>
      <c r="D3" s="1347" t="s">
        <v>4043</v>
      </c>
      <c r="E3" s="1346" t="s">
        <v>4034</v>
      </c>
    </row>
    <row r="4" spans="1:5" s="1348" customFormat="1" ht="30" customHeight="1">
      <c r="A4" s="1349">
        <v>1</v>
      </c>
      <c r="B4" s="1349" t="s">
        <v>4035</v>
      </c>
      <c r="C4" s="1350">
        <f>补充公用经费调整!AX23</f>
        <v>0</v>
      </c>
      <c r="D4" s="1351">
        <f>补充公用经费调整!AY23</f>
        <v>300000</v>
      </c>
      <c r="E4" s="1350">
        <f>C4-D4</f>
        <v>-300000</v>
      </c>
    </row>
    <row r="5" spans="1:5" ht="30" customHeight="1">
      <c r="A5" s="1349">
        <v>2</v>
      </c>
      <c r="B5" s="1349" t="s">
        <v>4036</v>
      </c>
      <c r="C5" s="1350">
        <f>普教二科学区化集团化!L7</f>
        <v>-300000</v>
      </c>
      <c r="D5" s="1350">
        <f>普教二科学区化集团化!M7</f>
        <v>-300000</v>
      </c>
      <c r="E5" s="1350">
        <f>C5-D5</f>
        <v>0</v>
      </c>
    </row>
    <row r="6" spans="1:5" ht="30" customHeight="1">
      <c r="A6" s="1346"/>
      <c r="B6" s="1346" t="s">
        <v>17</v>
      </c>
      <c r="C6" s="1352">
        <f>SUM(C4:C5)</f>
        <v>-300000</v>
      </c>
      <c r="D6" s="1352">
        <f t="shared" ref="D6:E6" si="0">SUM(D4:D5)</f>
        <v>0</v>
      </c>
      <c r="E6" s="1352">
        <f t="shared" si="0"/>
        <v>-300000</v>
      </c>
    </row>
    <row r="7" spans="1:5" ht="30" customHeight="1"/>
    <row r="8" spans="1:5" ht="30" customHeight="1"/>
  </sheetData>
  <mergeCells count="3">
    <mergeCell ref="A1:E1"/>
    <mergeCell ref="A2:B2"/>
    <mergeCell ref="C2:E2"/>
  </mergeCells>
  <phoneticPr fontId="1" type="noConversion"/>
  <pageMargins left="0.7" right="0.7" top="0.75" bottom="0.75" header="0.3" footer="0.3"/>
  <pageSetup paperSize="9" scale="76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"/>
  <sheetViews>
    <sheetView topLeftCell="B1" workbookViewId="0">
      <pane xSplit="2" ySplit="4" topLeftCell="AJ23" activePane="bottomRight" state="frozen"/>
      <selection activeCell="B24" sqref="A24:XFD108"/>
      <selection pane="topRight" activeCell="B24" sqref="A24:XFD108"/>
      <selection pane="bottomLeft" activeCell="B24" sqref="A24:XFD108"/>
      <selection pane="bottomRight" activeCell="B24" sqref="A24:XFD108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hidden="1" customWidth="1"/>
    <col min="4" max="4" width="9.75" style="1235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hidden="1" customWidth="1"/>
    <col min="26" max="26" width="9.625" style="77" hidden="1" customWidth="1"/>
    <col min="27" max="27" width="9.375" style="77" hidden="1" customWidth="1"/>
    <col min="28" max="28" width="12.5" style="77" hidden="1" customWidth="1"/>
    <col min="29" max="29" width="9.875" style="77" hidden="1" customWidth="1"/>
    <col min="30" max="30" width="11.625" style="77" customWidth="1"/>
    <col min="31" max="31" width="11.87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10.375" style="77" customWidth="1"/>
    <col min="37" max="37" width="11" style="77" customWidth="1"/>
    <col min="38" max="38" width="12.125" style="77" customWidth="1"/>
    <col min="39" max="40" width="12.5" style="77" customWidth="1"/>
    <col min="41" max="41" width="10.625" style="83" customWidth="1"/>
    <col min="42" max="42" width="11" style="77" customWidth="1"/>
    <col min="43" max="43" width="13.125" style="123" customWidth="1"/>
    <col min="44" max="44" width="11.625" style="77" customWidth="1"/>
    <col min="45" max="45" width="10.75" style="77" customWidth="1"/>
    <col min="46" max="46" width="12.125" style="77" customWidth="1"/>
    <col min="47" max="47" width="14" style="77" customWidth="1"/>
    <col min="48" max="48" width="10.75" style="1227" customWidth="1"/>
    <col min="49" max="49" width="11.375" style="77" customWidth="1"/>
    <col min="50" max="50" width="5.25" style="1342" customWidth="1"/>
    <col min="51" max="51" width="8.875" style="1343" customWidth="1"/>
    <col min="52" max="52" width="8.625" style="1343" customWidth="1"/>
    <col min="53" max="16384" width="9" style="77"/>
  </cols>
  <sheetData>
    <row r="1" spans="1:52" s="1255" customFormat="1" ht="24.95" customHeight="1">
      <c r="A1" s="1624" t="s">
        <v>3195</v>
      </c>
      <c r="B1" s="1625"/>
      <c r="C1" s="1625"/>
      <c r="D1" s="1625"/>
      <c r="E1" s="1625"/>
      <c r="F1" s="1625"/>
      <c r="G1" s="1625"/>
      <c r="H1" s="1625"/>
      <c r="I1" s="1625"/>
      <c r="J1" s="1625"/>
      <c r="K1" s="1625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  <c r="Y1" s="1625"/>
      <c r="Z1" s="1625"/>
      <c r="AA1" s="1625"/>
      <c r="AB1" s="1625"/>
      <c r="AC1" s="1625"/>
      <c r="AD1" s="1625"/>
      <c r="AE1" s="1625"/>
      <c r="AF1" s="1625"/>
      <c r="AG1" s="1625"/>
      <c r="AH1" s="1625"/>
      <c r="AI1" s="1625"/>
      <c r="AJ1" s="1625"/>
      <c r="AK1" s="1625"/>
      <c r="AL1" s="1625"/>
      <c r="AM1" s="1625"/>
      <c r="AN1" s="1625"/>
      <c r="AO1" s="1625"/>
      <c r="AP1" s="1625"/>
      <c r="AQ1" s="1625"/>
      <c r="AR1" s="1626"/>
      <c r="AS1" s="1626"/>
      <c r="AT1" s="1626"/>
      <c r="AU1" s="1626"/>
      <c r="AV1" s="1562"/>
      <c r="AW1" s="1562"/>
      <c r="AX1" s="1562"/>
      <c r="AY1" s="1562"/>
      <c r="AZ1" s="1562"/>
    </row>
    <row r="2" spans="1:52" s="1254" customFormat="1" ht="20.100000000000001" customHeight="1">
      <c r="A2" s="1256"/>
      <c r="B2" s="1623" t="s">
        <v>3243</v>
      </c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  <c r="N2" s="1384"/>
      <c r="O2" s="1384"/>
      <c r="P2" s="1384"/>
      <c r="Q2" s="1384"/>
      <c r="R2" s="1384"/>
      <c r="S2" s="1384"/>
      <c r="T2" s="1384"/>
      <c r="U2" s="1384"/>
      <c r="V2" s="1384"/>
      <c r="W2" s="1384"/>
      <c r="X2" s="1384"/>
      <c r="Y2" s="1384"/>
      <c r="Z2" s="1384"/>
      <c r="AA2" s="1384"/>
      <c r="AB2" s="1384"/>
      <c r="AC2" s="1384"/>
      <c r="AD2" s="1384"/>
      <c r="AE2" s="1384"/>
      <c r="AF2" s="1384"/>
      <c r="AG2" s="1384"/>
      <c r="AH2" s="1384"/>
      <c r="AI2" s="1384"/>
      <c r="AJ2" s="1384"/>
      <c r="AK2" s="1384"/>
      <c r="AL2" s="1384"/>
      <c r="AM2" s="1384"/>
      <c r="AN2" s="1384"/>
      <c r="AO2" s="1384"/>
      <c r="AP2" s="1384"/>
      <c r="AQ2" s="1384"/>
      <c r="AR2" s="1384"/>
      <c r="AS2" s="1384"/>
      <c r="AT2" s="1384"/>
      <c r="AU2" s="1384"/>
      <c r="AV2" s="1384"/>
      <c r="AW2" s="1384"/>
      <c r="AX2" s="1384"/>
      <c r="AY2" s="1384"/>
      <c r="AZ2" s="1384"/>
    </row>
    <row r="3" spans="1:52" ht="30.75" customHeight="1">
      <c r="A3" s="1385" t="s">
        <v>631</v>
      </c>
      <c r="B3" s="1385" t="s">
        <v>632</v>
      </c>
      <c r="C3" s="1385" t="s">
        <v>955</v>
      </c>
      <c r="D3" s="1633" t="s">
        <v>3188</v>
      </c>
      <c r="E3" s="1385" t="s">
        <v>3197</v>
      </c>
      <c r="F3" s="1385"/>
      <c r="G3" s="1385"/>
      <c r="H3" s="1385"/>
      <c r="I3" s="1385"/>
      <c r="J3" s="1385" t="s">
        <v>3198</v>
      </c>
      <c r="K3" s="1385"/>
      <c r="L3" s="1385"/>
      <c r="M3" s="1385"/>
      <c r="N3" s="1385"/>
      <c r="O3" s="1386" t="s">
        <v>635</v>
      </c>
      <c r="P3" s="1386"/>
      <c r="Q3" s="1386"/>
      <c r="R3" s="1386"/>
      <c r="S3" s="1386"/>
      <c r="T3" s="1386" t="s">
        <v>3199</v>
      </c>
      <c r="U3" s="1386"/>
      <c r="V3" s="1386"/>
      <c r="W3" s="1386"/>
      <c r="X3" s="1386"/>
      <c r="Y3" s="1386" t="s">
        <v>637</v>
      </c>
      <c r="Z3" s="1386"/>
      <c r="AA3" s="1386"/>
      <c r="AB3" s="1386"/>
      <c r="AC3" s="1386"/>
      <c r="AD3" s="1385" t="s">
        <v>3239</v>
      </c>
      <c r="AE3" s="1385"/>
      <c r="AF3" s="1385"/>
      <c r="AG3" s="1385"/>
      <c r="AH3" s="1385"/>
      <c r="AI3" s="1385"/>
      <c r="AJ3" s="1385"/>
      <c r="AK3" s="1385"/>
      <c r="AL3" s="1385"/>
      <c r="AM3" s="1385"/>
      <c r="AN3" s="1634" t="s">
        <v>4026</v>
      </c>
      <c r="AO3" s="1635"/>
      <c r="AP3" s="1635"/>
      <c r="AQ3" s="1636"/>
      <c r="AR3" s="1630" t="s">
        <v>3200</v>
      </c>
      <c r="AS3" s="1631"/>
      <c r="AT3" s="1632"/>
      <c r="AU3" s="1630" t="s">
        <v>3359</v>
      </c>
      <c r="AV3" s="1631"/>
      <c r="AW3" s="1632"/>
      <c r="AX3" s="1627" t="s">
        <v>4033</v>
      </c>
      <c r="AY3" s="1628"/>
      <c r="AZ3" s="1629"/>
    </row>
    <row r="4" spans="1:52" ht="42" customHeight="1">
      <c r="A4" s="1385"/>
      <c r="B4" s="1385"/>
      <c r="C4" s="1385"/>
      <c r="D4" s="1633"/>
      <c r="E4" s="78" t="s">
        <v>638</v>
      </c>
      <c r="F4" s="78" t="s">
        <v>639</v>
      </c>
      <c r="G4" s="78" t="s">
        <v>640</v>
      </c>
      <c r="H4" s="78" t="s">
        <v>641</v>
      </c>
      <c r="I4" s="1226" t="s">
        <v>17</v>
      </c>
      <c r="J4" s="78" t="s">
        <v>638</v>
      </c>
      <c r="K4" s="78" t="s">
        <v>639</v>
      </c>
      <c r="L4" s="78" t="s">
        <v>640</v>
      </c>
      <c r="M4" s="78" t="s">
        <v>641</v>
      </c>
      <c r="N4" s="1226" t="s">
        <v>17</v>
      </c>
      <c r="O4" s="78" t="s">
        <v>638</v>
      </c>
      <c r="P4" s="78" t="s">
        <v>639</v>
      </c>
      <c r="Q4" s="78" t="s">
        <v>640</v>
      </c>
      <c r="R4" s="78" t="s">
        <v>641</v>
      </c>
      <c r="S4" s="92" t="s">
        <v>17</v>
      </c>
      <c r="T4" s="78" t="s">
        <v>638</v>
      </c>
      <c r="U4" s="78" t="s">
        <v>639</v>
      </c>
      <c r="V4" s="78" t="s">
        <v>640</v>
      </c>
      <c r="W4" s="78" t="s">
        <v>641</v>
      </c>
      <c r="X4" s="92" t="s">
        <v>17</v>
      </c>
      <c r="Y4" s="78" t="s">
        <v>638</v>
      </c>
      <c r="Z4" s="78" t="s">
        <v>639</v>
      </c>
      <c r="AA4" s="78" t="s">
        <v>640</v>
      </c>
      <c r="AB4" s="78" t="s">
        <v>641</v>
      </c>
      <c r="AC4" s="1226" t="s">
        <v>17</v>
      </c>
      <c r="AD4" s="78" t="s">
        <v>642</v>
      </c>
      <c r="AE4" s="78" t="s">
        <v>643</v>
      </c>
      <c r="AF4" s="78" t="s">
        <v>644</v>
      </c>
      <c r="AG4" s="78" t="s">
        <v>645</v>
      </c>
      <c r="AH4" s="78" t="s">
        <v>646</v>
      </c>
      <c r="AI4" s="78" t="s">
        <v>3189</v>
      </c>
      <c r="AJ4" s="78" t="s">
        <v>970</v>
      </c>
      <c r="AK4" s="78" t="s">
        <v>3196</v>
      </c>
      <c r="AL4" s="78" t="s">
        <v>3190</v>
      </c>
      <c r="AM4" s="1226" t="s">
        <v>3191</v>
      </c>
      <c r="AN4" s="1228" t="s">
        <v>3192</v>
      </c>
      <c r="AO4" s="1245" t="s">
        <v>3193</v>
      </c>
      <c r="AP4" s="1229" t="s">
        <v>3201</v>
      </c>
      <c r="AQ4" s="1228" t="s">
        <v>3191</v>
      </c>
      <c r="AR4" s="1294" t="s">
        <v>3358</v>
      </c>
      <c r="AS4" s="1337" t="s">
        <v>4037</v>
      </c>
      <c r="AT4" s="1337" t="s">
        <v>4038</v>
      </c>
      <c r="AU4" s="1295" t="s">
        <v>3360</v>
      </c>
      <c r="AV4" s="1229" t="s">
        <v>4037</v>
      </c>
      <c r="AW4" s="1295" t="s">
        <v>3361</v>
      </c>
      <c r="AX4" s="1338" t="s">
        <v>3233</v>
      </c>
      <c r="AY4" s="1344" t="s">
        <v>4037</v>
      </c>
      <c r="AZ4" s="1338" t="s">
        <v>4034</v>
      </c>
    </row>
    <row r="5" spans="1:52" ht="45" customHeight="1">
      <c r="A5" s="79" t="s">
        <v>5</v>
      </c>
      <c r="B5" s="80" t="s">
        <v>682</v>
      </c>
      <c r="C5" s="80" t="s">
        <v>649</v>
      </c>
      <c r="D5" s="1233">
        <v>2</v>
      </c>
      <c r="E5" s="86">
        <v>0.86324786324786373</v>
      </c>
      <c r="F5" s="86">
        <v>4</v>
      </c>
      <c r="G5" s="86">
        <v>35.462499999999999</v>
      </c>
      <c r="H5" s="86">
        <v>2</v>
      </c>
      <c r="I5" s="82">
        <f t="shared" ref="I5:I22" si="0">SUM(E5:H5)</f>
        <v>42.325747863247862</v>
      </c>
      <c r="J5" s="81">
        <v>2.5</v>
      </c>
      <c r="K5" s="81">
        <v>0</v>
      </c>
      <c r="L5" s="81">
        <v>3.5</v>
      </c>
      <c r="M5" s="81">
        <v>0.41666666666666669</v>
      </c>
      <c r="N5" s="82">
        <f t="shared" ref="N5:N22" si="1">SUM(J5:M5)</f>
        <v>6.416666666666667</v>
      </c>
      <c r="O5" s="82">
        <f t="shared" ref="O5:R22" si="2">E5+J5</f>
        <v>3.3632478632478637</v>
      </c>
      <c r="P5" s="82">
        <f t="shared" si="2"/>
        <v>4</v>
      </c>
      <c r="Q5" s="82">
        <f t="shared" si="2"/>
        <v>38.962499999999999</v>
      </c>
      <c r="R5" s="82">
        <f t="shared" si="2"/>
        <v>2.4166666666666665</v>
      </c>
      <c r="S5" s="93">
        <f t="shared" ref="S5:S22" si="3">SUM(O5:R5)</f>
        <v>48.742414529914527</v>
      </c>
      <c r="T5" s="81">
        <v>3.5</v>
      </c>
      <c r="U5" s="81">
        <v>3.333333333333333</v>
      </c>
      <c r="V5" s="81">
        <v>38.5</v>
      </c>
      <c r="W5" s="81">
        <v>2</v>
      </c>
      <c r="X5" s="93">
        <f t="shared" ref="X5:X22" si="4">SUM(T5:W5)</f>
        <v>47.333333333333336</v>
      </c>
      <c r="Y5" s="81">
        <v>3.5</v>
      </c>
      <c r="Z5" s="81">
        <v>3.333333333333333</v>
      </c>
      <c r="AA5" s="81">
        <v>38.5</v>
      </c>
      <c r="AB5" s="81">
        <v>2</v>
      </c>
      <c r="AC5" s="82">
        <f t="shared" ref="AC5:AC22" si="5">SUM(Y5:AB5)</f>
        <v>47.333333333333336</v>
      </c>
      <c r="AD5" s="82">
        <f t="shared" ref="AD5:AD12" si="6">(Y5*6800+Z5*5750+AA5*5295+AB5*4400)*12</f>
        <v>3067490</v>
      </c>
      <c r="AE5" s="82">
        <f t="shared" ref="AE5:AE21" si="7">AC5*4320</f>
        <v>204480</v>
      </c>
      <c r="AF5" s="82">
        <f t="shared" ref="AF5:AF21" si="8">AC5*6000</f>
        <v>284000</v>
      </c>
      <c r="AG5" s="82">
        <f t="shared" ref="AG5:AG21" si="9">AC5*2400</f>
        <v>113600</v>
      </c>
      <c r="AH5" s="82">
        <f t="shared" ref="AH5:AH21" si="10">AC5*9400</f>
        <v>444933.33333333337</v>
      </c>
      <c r="AI5" s="82">
        <f t="shared" ref="AI5:AI21" si="11">AC5*800</f>
        <v>37866.666666666672</v>
      </c>
      <c r="AJ5" s="82">
        <f t="shared" ref="AJ5:AJ21" si="12">D5*50*200</f>
        <v>20000</v>
      </c>
      <c r="AK5" s="82">
        <f t="shared" ref="AK5:AK21" si="13">AC5*960</f>
        <v>45440</v>
      </c>
      <c r="AL5" s="82">
        <f t="shared" ref="AL5:AL21" si="14">ROUND((7384*0.342*AC5*6+7460*0.342*AC5*6),2)</f>
        <v>1441768.03</v>
      </c>
      <c r="AM5" s="82">
        <f t="shared" ref="AM5:AM20" si="15">SUM(AD5:AL5)</f>
        <v>5659578.0300000003</v>
      </c>
      <c r="AN5" s="82">
        <v>5502372</v>
      </c>
      <c r="AO5" s="82"/>
      <c r="AP5" s="82"/>
      <c r="AQ5" s="121">
        <f t="shared" ref="AQ5:AQ21" si="16">AN5+AO5+AP5</f>
        <v>5502372</v>
      </c>
      <c r="AR5" s="121">
        <v>5851457</v>
      </c>
      <c r="AS5" s="121">
        <v>2304570.71</v>
      </c>
      <c r="AT5" s="1230">
        <f t="shared" ref="AT5:AT21" si="17">AR5-AS5</f>
        <v>3546886.29</v>
      </c>
      <c r="AU5" s="121">
        <f t="shared" ref="AU5:AU21" si="18">AQ5-AR5</f>
        <v>-349085</v>
      </c>
      <c r="AV5" s="174">
        <v>1080000</v>
      </c>
      <c r="AW5" s="1232">
        <f t="shared" ref="AW5:AW22" si="19">AU5-AV5</f>
        <v>-1429085</v>
      </c>
      <c r="AX5" s="1339">
        <v>0</v>
      </c>
      <c r="AY5" s="1339">
        <v>300000</v>
      </c>
      <c r="AZ5" s="1340">
        <v>-300000</v>
      </c>
    </row>
    <row r="6" spans="1:52" ht="45" customHeight="1">
      <c r="A6" s="79" t="s">
        <v>5</v>
      </c>
      <c r="B6" s="80" t="s">
        <v>683</v>
      </c>
      <c r="C6" s="80" t="s">
        <v>649</v>
      </c>
      <c r="D6" s="1233">
        <v>2</v>
      </c>
      <c r="E6" s="86">
        <v>18.230769230769234</v>
      </c>
      <c r="F6" s="86">
        <v>2</v>
      </c>
      <c r="G6" s="86">
        <v>35.662500000000001</v>
      </c>
      <c r="H6" s="86">
        <v>3</v>
      </c>
      <c r="I6" s="82">
        <f t="shared" si="0"/>
        <v>58.893269230769235</v>
      </c>
      <c r="J6" s="81">
        <v>0</v>
      </c>
      <c r="K6" s="81">
        <v>0</v>
      </c>
      <c r="L6" s="81">
        <v>0.58333333333333337</v>
      </c>
      <c r="M6" s="81">
        <v>0</v>
      </c>
      <c r="N6" s="82">
        <f t="shared" si="1"/>
        <v>0.58333333333333337</v>
      </c>
      <c r="O6" s="82">
        <f t="shared" si="2"/>
        <v>18.230769230769234</v>
      </c>
      <c r="P6" s="82">
        <f t="shared" si="2"/>
        <v>2</v>
      </c>
      <c r="Q6" s="82">
        <f t="shared" si="2"/>
        <v>36.245833333333337</v>
      </c>
      <c r="R6" s="82">
        <f t="shared" si="2"/>
        <v>3</v>
      </c>
      <c r="S6" s="93">
        <f t="shared" si="3"/>
        <v>59.476602564102571</v>
      </c>
      <c r="T6" s="81">
        <v>8</v>
      </c>
      <c r="U6" s="81">
        <v>4.5</v>
      </c>
      <c r="V6" s="81">
        <v>37.25</v>
      </c>
      <c r="W6" s="81">
        <v>3.1666666666666665</v>
      </c>
      <c r="X6" s="93">
        <f t="shared" si="4"/>
        <v>52.916666666666664</v>
      </c>
      <c r="Y6" s="81">
        <v>8</v>
      </c>
      <c r="Z6" s="81">
        <v>4.5</v>
      </c>
      <c r="AA6" s="81">
        <v>37.25</v>
      </c>
      <c r="AB6" s="81">
        <v>3.1666666666666665</v>
      </c>
      <c r="AC6" s="82">
        <f t="shared" si="5"/>
        <v>52.916666666666664</v>
      </c>
      <c r="AD6" s="82">
        <f t="shared" si="6"/>
        <v>3497365</v>
      </c>
      <c r="AE6" s="82">
        <f t="shared" si="7"/>
        <v>228600</v>
      </c>
      <c r="AF6" s="82">
        <f t="shared" si="8"/>
        <v>317500</v>
      </c>
      <c r="AG6" s="82">
        <f t="shared" si="9"/>
        <v>127000</v>
      </c>
      <c r="AH6" s="82">
        <f t="shared" si="10"/>
        <v>497416.66666666663</v>
      </c>
      <c r="AI6" s="82">
        <f t="shared" si="11"/>
        <v>42333.333333333328</v>
      </c>
      <c r="AJ6" s="82">
        <f t="shared" si="12"/>
        <v>20000</v>
      </c>
      <c r="AK6" s="82">
        <f t="shared" si="13"/>
        <v>50800</v>
      </c>
      <c r="AL6" s="82">
        <f t="shared" si="14"/>
        <v>1611835.74</v>
      </c>
      <c r="AM6" s="82">
        <f t="shared" si="15"/>
        <v>6392850.7400000002</v>
      </c>
      <c r="AN6" s="82">
        <v>6200809.4400000004</v>
      </c>
      <c r="AO6" s="82">
        <v>203300</v>
      </c>
      <c r="AP6" s="82"/>
      <c r="AQ6" s="121">
        <f t="shared" si="16"/>
        <v>6404109.4400000004</v>
      </c>
      <c r="AR6" s="121">
        <v>4698915</v>
      </c>
      <c r="AS6" s="121"/>
      <c r="AT6" s="1230">
        <f t="shared" si="17"/>
        <v>4698915</v>
      </c>
      <c r="AU6" s="121">
        <f t="shared" si="18"/>
        <v>1705194.4400000004</v>
      </c>
      <c r="AV6" s="174"/>
      <c r="AW6" s="1232">
        <f t="shared" si="19"/>
        <v>1705194.4400000004</v>
      </c>
      <c r="AX6" s="1339"/>
      <c r="AY6" s="1339"/>
      <c r="AZ6" s="1340"/>
    </row>
    <row r="7" spans="1:52" ht="45" customHeight="1">
      <c r="A7" s="79" t="s">
        <v>5</v>
      </c>
      <c r="B7" s="80" t="s">
        <v>684</v>
      </c>
      <c r="C7" s="80" t="s">
        <v>649</v>
      </c>
      <c r="D7" s="1233">
        <v>2</v>
      </c>
      <c r="E7" s="86">
        <v>11.487179487179489</v>
      </c>
      <c r="F7" s="86">
        <v>6</v>
      </c>
      <c r="G7" s="86">
        <v>42.162500000000001</v>
      </c>
      <c r="H7" s="86">
        <v>4</v>
      </c>
      <c r="I7" s="82">
        <f t="shared" si="0"/>
        <v>63.64967948717949</v>
      </c>
      <c r="J7" s="81">
        <v>0</v>
      </c>
      <c r="K7" s="81">
        <v>0</v>
      </c>
      <c r="L7" s="81">
        <v>0</v>
      </c>
      <c r="M7" s="81">
        <v>0</v>
      </c>
      <c r="N7" s="82">
        <f t="shared" si="1"/>
        <v>0</v>
      </c>
      <c r="O7" s="82">
        <f t="shared" si="2"/>
        <v>11.487179487179489</v>
      </c>
      <c r="P7" s="82">
        <f t="shared" si="2"/>
        <v>6</v>
      </c>
      <c r="Q7" s="82">
        <f t="shared" si="2"/>
        <v>42.162500000000001</v>
      </c>
      <c r="R7" s="82">
        <f t="shared" si="2"/>
        <v>4</v>
      </c>
      <c r="S7" s="93">
        <f t="shared" si="3"/>
        <v>63.64967948717949</v>
      </c>
      <c r="T7" s="81">
        <v>7</v>
      </c>
      <c r="U7" s="81">
        <v>8.3333333333333321</v>
      </c>
      <c r="V7" s="81">
        <v>45.666666666666664</v>
      </c>
      <c r="W7" s="81">
        <v>3</v>
      </c>
      <c r="X7" s="93">
        <f t="shared" si="4"/>
        <v>64</v>
      </c>
      <c r="Y7" s="81">
        <v>11.487179487179489</v>
      </c>
      <c r="Z7" s="81">
        <v>6</v>
      </c>
      <c r="AA7" s="81">
        <v>42.162500000000001</v>
      </c>
      <c r="AB7" s="81">
        <v>4</v>
      </c>
      <c r="AC7" s="82">
        <f t="shared" si="5"/>
        <v>63.64967948717949</v>
      </c>
      <c r="AD7" s="82">
        <f t="shared" si="6"/>
        <v>4241559.096153846</v>
      </c>
      <c r="AE7" s="82">
        <f t="shared" si="7"/>
        <v>274966.61538461538</v>
      </c>
      <c r="AF7" s="82">
        <f t="shared" si="8"/>
        <v>381898.07692307694</v>
      </c>
      <c r="AG7" s="82">
        <f t="shared" si="9"/>
        <v>152759.23076923078</v>
      </c>
      <c r="AH7" s="82">
        <f t="shared" si="10"/>
        <v>598306.98717948725</v>
      </c>
      <c r="AI7" s="82">
        <f t="shared" si="11"/>
        <v>50919.743589743593</v>
      </c>
      <c r="AJ7" s="82">
        <f t="shared" si="12"/>
        <v>20000</v>
      </c>
      <c r="AK7" s="82">
        <f t="shared" si="13"/>
        <v>61103.692307692312</v>
      </c>
      <c r="AL7" s="82">
        <f t="shared" si="14"/>
        <v>1938762.11</v>
      </c>
      <c r="AM7" s="82">
        <f t="shared" si="15"/>
        <v>7720275.5523076924</v>
      </c>
      <c r="AN7" s="82">
        <v>7516075.1299999999</v>
      </c>
      <c r="AO7" s="82">
        <v>99031.62</v>
      </c>
      <c r="AP7" s="82"/>
      <c r="AQ7" s="121">
        <f t="shared" si="16"/>
        <v>7615106.75</v>
      </c>
      <c r="AR7" s="1230">
        <v>7857821</v>
      </c>
      <c r="AS7" s="1230"/>
      <c r="AT7" s="1230">
        <f t="shared" si="17"/>
        <v>7857821</v>
      </c>
      <c r="AU7" s="121">
        <f t="shared" si="18"/>
        <v>-242714.25</v>
      </c>
      <c r="AV7" s="174"/>
      <c r="AW7" s="1232">
        <f t="shared" si="19"/>
        <v>-242714.25</v>
      </c>
      <c r="AX7" s="1339"/>
      <c r="AY7" s="1339"/>
      <c r="AZ7" s="1340"/>
    </row>
    <row r="8" spans="1:52" ht="45" customHeight="1">
      <c r="A8" s="79" t="s">
        <v>5</v>
      </c>
      <c r="B8" s="80" t="s">
        <v>685</v>
      </c>
      <c r="C8" s="80" t="s">
        <v>649</v>
      </c>
      <c r="D8" s="1233">
        <v>2</v>
      </c>
      <c r="E8" s="86">
        <v>0</v>
      </c>
      <c r="F8" s="86">
        <v>2</v>
      </c>
      <c r="G8" s="86">
        <v>32.962499999999999</v>
      </c>
      <c r="H8" s="86">
        <v>2</v>
      </c>
      <c r="I8" s="82">
        <f t="shared" si="0"/>
        <v>36.962499999999999</v>
      </c>
      <c r="J8" s="81">
        <v>5</v>
      </c>
      <c r="K8" s="81">
        <v>0.5</v>
      </c>
      <c r="L8" s="81">
        <v>2.5</v>
      </c>
      <c r="M8" s="81">
        <v>1</v>
      </c>
      <c r="N8" s="82">
        <f t="shared" si="1"/>
        <v>9</v>
      </c>
      <c r="O8" s="82">
        <f t="shared" si="2"/>
        <v>5</v>
      </c>
      <c r="P8" s="82">
        <f t="shared" si="2"/>
        <v>2.5</v>
      </c>
      <c r="Q8" s="82">
        <f t="shared" si="2"/>
        <v>35.462499999999999</v>
      </c>
      <c r="R8" s="82">
        <f t="shared" si="2"/>
        <v>3</v>
      </c>
      <c r="S8" s="93">
        <f t="shared" si="3"/>
        <v>45.962499999999999</v>
      </c>
      <c r="T8" s="81">
        <v>4.083333333333333</v>
      </c>
      <c r="U8" s="81">
        <v>2.583333333333333</v>
      </c>
      <c r="V8" s="81">
        <v>35.416666666666664</v>
      </c>
      <c r="W8" s="81">
        <v>3</v>
      </c>
      <c r="X8" s="93">
        <f t="shared" si="4"/>
        <v>45.083333333333329</v>
      </c>
      <c r="Y8" s="81">
        <v>4.083333333333333</v>
      </c>
      <c r="Z8" s="81">
        <v>2.583333333333333</v>
      </c>
      <c r="AA8" s="81">
        <v>35.416666666666664</v>
      </c>
      <c r="AB8" s="81">
        <v>3</v>
      </c>
      <c r="AC8" s="82">
        <f t="shared" si="5"/>
        <v>45.083333333333329</v>
      </c>
      <c r="AD8" s="82">
        <f t="shared" si="6"/>
        <v>2920225</v>
      </c>
      <c r="AE8" s="82">
        <f t="shared" si="7"/>
        <v>194759.99999999997</v>
      </c>
      <c r="AF8" s="82">
        <f t="shared" si="8"/>
        <v>270500</v>
      </c>
      <c r="AG8" s="82">
        <f t="shared" si="9"/>
        <v>108199.99999999999</v>
      </c>
      <c r="AH8" s="82">
        <f t="shared" si="10"/>
        <v>423783.33333333331</v>
      </c>
      <c r="AI8" s="82">
        <f t="shared" si="11"/>
        <v>36066.666666666664</v>
      </c>
      <c r="AJ8" s="82">
        <f t="shared" si="12"/>
        <v>20000</v>
      </c>
      <c r="AK8" s="82">
        <f t="shared" si="13"/>
        <v>43279.999999999993</v>
      </c>
      <c r="AL8" s="82">
        <f t="shared" si="14"/>
        <v>1373233.28</v>
      </c>
      <c r="AM8" s="82">
        <f t="shared" si="15"/>
        <v>5390048.2800000003</v>
      </c>
      <c r="AN8" s="82">
        <v>5217164</v>
      </c>
      <c r="AO8" s="82">
        <v>27344</v>
      </c>
      <c r="AP8" s="82"/>
      <c r="AQ8" s="121">
        <f t="shared" si="16"/>
        <v>5244508</v>
      </c>
      <c r="AR8" s="1230">
        <v>5152016</v>
      </c>
      <c r="AS8" s="1230"/>
      <c r="AT8" s="1230">
        <f t="shared" si="17"/>
        <v>5152016</v>
      </c>
      <c r="AU8" s="121">
        <f t="shared" si="18"/>
        <v>92492</v>
      </c>
      <c r="AV8" s="174"/>
      <c r="AW8" s="1232">
        <f t="shared" si="19"/>
        <v>92492</v>
      </c>
      <c r="AX8" s="1339"/>
      <c r="AY8" s="1339"/>
      <c r="AZ8" s="1340"/>
    </row>
    <row r="9" spans="1:52" ht="45" customHeight="1">
      <c r="A9" s="79" t="s">
        <v>5</v>
      </c>
      <c r="B9" s="80" t="s">
        <v>686</v>
      </c>
      <c r="C9" s="80" t="s">
        <v>959</v>
      </c>
      <c r="D9" s="1233"/>
      <c r="E9" s="86">
        <v>11.379310344827587</v>
      </c>
      <c r="F9" s="86">
        <v>10</v>
      </c>
      <c r="G9" s="86">
        <v>0</v>
      </c>
      <c r="H9" s="86">
        <v>6</v>
      </c>
      <c r="I9" s="82">
        <f t="shared" si="0"/>
        <v>27.379310344827587</v>
      </c>
      <c r="J9" s="81">
        <v>3.8333333333333335</v>
      </c>
      <c r="K9" s="81">
        <v>0</v>
      </c>
      <c r="L9" s="81">
        <v>0</v>
      </c>
      <c r="M9" s="81">
        <v>0</v>
      </c>
      <c r="N9" s="82">
        <f t="shared" si="1"/>
        <v>3.8333333333333335</v>
      </c>
      <c r="O9" s="82">
        <f t="shared" si="2"/>
        <v>15.212643678160921</v>
      </c>
      <c r="P9" s="82">
        <f t="shared" si="2"/>
        <v>10</v>
      </c>
      <c r="Q9" s="82">
        <f t="shared" si="2"/>
        <v>0</v>
      </c>
      <c r="R9" s="82">
        <f t="shared" si="2"/>
        <v>6</v>
      </c>
      <c r="S9" s="93">
        <f t="shared" si="3"/>
        <v>31.212643678160923</v>
      </c>
      <c r="T9" s="81">
        <v>10.833333333333334</v>
      </c>
      <c r="U9" s="81">
        <v>1.9166666666666667</v>
      </c>
      <c r="V9" s="81">
        <v>0.5</v>
      </c>
      <c r="W9" s="81">
        <v>6.583333333333333</v>
      </c>
      <c r="X9" s="93">
        <f t="shared" si="4"/>
        <v>19.833333333333332</v>
      </c>
      <c r="Y9" s="81">
        <v>10.833333333333334</v>
      </c>
      <c r="Z9" s="81">
        <v>1.9166666666666667</v>
      </c>
      <c r="AA9" s="81">
        <v>0.5</v>
      </c>
      <c r="AB9" s="81">
        <v>6.583333333333333</v>
      </c>
      <c r="AC9" s="82">
        <f t="shared" si="5"/>
        <v>19.833333333333332</v>
      </c>
      <c r="AD9" s="82">
        <f t="shared" si="6"/>
        <v>1395620</v>
      </c>
      <c r="AE9" s="82">
        <f t="shared" si="7"/>
        <v>85680</v>
      </c>
      <c r="AF9" s="82">
        <f t="shared" si="8"/>
        <v>119000</v>
      </c>
      <c r="AG9" s="82">
        <f t="shared" si="9"/>
        <v>47600</v>
      </c>
      <c r="AH9" s="82">
        <f t="shared" si="10"/>
        <v>186433.33333333331</v>
      </c>
      <c r="AI9" s="82">
        <f t="shared" si="11"/>
        <v>15866.666666666666</v>
      </c>
      <c r="AJ9" s="82">
        <f t="shared" si="12"/>
        <v>0</v>
      </c>
      <c r="AK9" s="82">
        <f t="shared" si="13"/>
        <v>19040</v>
      </c>
      <c r="AL9" s="82">
        <f t="shared" si="14"/>
        <v>604121.11</v>
      </c>
      <c r="AM9" s="82">
        <f t="shared" si="15"/>
        <v>2473361.11</v>
      </c>
      <c r="AN9" s="82">
        <f>2338575.66+34545.57</f>
        <v>2373121.23</v>
      </c>
      <c r="AO9" s="82"/>
      <c r="AP9" s="82">
        <v>107333.375</v>
      </c>
      <c r="AQ9" s="121">
        <f t="shared" si="16"/>
        <v>2480454.605</v>
      </c>
      <c r="AR9" s="1230">
        <v>1266782.25</v>
      </c>
      <c r="AS9" s="1230"/>
      <c r="AT9" s="1230">
        <f t="shared" si="17"/>
        <v>1266782.25</v>
      </c>
      <c r="AU9" s="121">
        <f t="shared" si="18"/>
        <v>1213672.355</v>
      </c>
      <c r="AV9" s="174"/>
      <c r="AW9" s="1232">
        <f t="shared" si="19"/>
        <v>1213672.355</v>
      </c>
      <c r="AX9" s="1339"/>
      <c r="AY9" s="1339"/>
      <c r="AZ9" s="1340"/>
    </row>
    <row r="10" spans="1:52" s="83" customFormat="1" ht="45" customHeight="1">
      <c r="A10" s="79" t="s">
        <v>5</v>
      </c>
      <c r="B10" s="80" t="s">
        <v>687</v>
      </c>
      <c r="C10" s="80" t="s">
        <v>959</v>
      </c>
      <c r="D10" s="1233"/>
      <c r="E10" s="86">
        <v>67.241379310344826</v>
      </c>
      <c r="F10" s="86">
        <v>11</v>
      </c>
      <c r="G10" s="86">
        <v>0</v>
      </c>
      <c r="H10" s="86">
        <v>6</v>
      </c>
      <c r="I10" s="82">
        <f t="shared" si="0"/>
        <v>84.241379310344826</v>
      </c>
      <c r="J10" s="81">
        <v>7.916666666666667</v>
      </c>
      <c r="K10" s="81">
        <v>1.75</v>
      </c>
      <c r="L10" s="81">
        <v>0</v>
      </c>
      <c r="M10" s="81">
        <v>1.75</v>
      </c>
      <c r="N10" s="82">
        <f t="shared" si="1"/>
        <v>11.416666666666668</v>
      </c>
      <c r="O10" s="82">
        <f t="shared" si="2"/>
        <v>75.158045977011497</v>
      </c>
      <c r="P10" s="82">
        <f t="shared" si="2"/>
        <v>12.75</v>
      </c>
      <c r="Q10" s="82">
        <f t="shared" si="2"/>
        <v>0</v>
      </c>
      <c r="R10" s="82">
        <f t="shared" si="2"/>
        <v>7.75</v>
      </c>
      <c r="S10" s="93">
        <f t="shared" si="3"/>
        <v>95.658045977011497</v>
      </c>
      <c r="T10" s="81">
        <v>35.833333333333336</v>
      </c>
      <c r="U10" s="81">
        <v>5.333333333333333</v>
      </c>
      <c r="V10" s="81">
        <v>1</v>
      </c>
      <c r="W10" s="81">
        <v>7</v>
      </c>
      <c r="X10" s="93">
        <f t="shared" si="4"/>
        <v>49.166666666666671</v>
      </c>
      <c r="Y10" s="81">
        <v>35.833333333333336</v>
      </c>
      <c r="Z10" s="81">
        <v>5.333333333333333</v>
      </c>
      <c r="AA10" s="81">
        <v>1</v>
      </c>
      <c r="AB10" s="81">
        <v>7</v>
      </c>
      <c r="AC10" s="82">
        <f t="shared" si="5"/>
        <v>49.166666666666671</v>
      </c>
      <c r="AD10" s="82">
        <f t="shared" si="6"/>
        <v>3725140.0000000005</v>
      </c>
      <c r="AE10" s="82">
        <f t="shared" si="7"/>
        <v>212400.00000000003</v>
      </c>
      <c r="AF10" s="82">
        <f t="shared" si="8"/>
        <v>295000</v>
      </c>
      <c r="AG10" s="82">
        <f t="shared" si="9"/>
        <v>118000.00000000001</v>
      </c>
      <c r="AH10" s="82">
        <f t="shared" si="10"/>
        <v>462166.66666666669</v>
      </c>
      <c r="AI10" s="82">
        <f t="shared" si="11"/>
        <v>39333.333333333336</v>
      </c>
      <c r="AJ10" s="82">
        <f t="shared" si="12"/>
        <v>0</v>
      </c>
      <c r="AK10" s="82">
        <f t="shared" si="13"/>
        <v>47200.000000000007</v>
      </c>
      <c r="AL10" s="82">
        <f t="shared" si="14"/>
        <v>1497611.16</v>
      </c>
      <c r="AM10" s="82">
        <f t="shared" si="15"/>
        <v>6396851.1600000001</v>
      </c>
      <c r="AN10" s="82">
        <v>6160996.7999999998</v>
      </c>
      <c r="AO10" s="82">
        <v>6400</v>
      </c>
      <c r="AP10" s="82">
        <v>401099.25</v>
      </c>
      <c r="AQ10" s="121">
        <f t="shared" si="16"/>
        <v>6568496.0499999998</v>
      </c>
      <c r="AR10" s="1231">
        <v>1670112.25</v>
      </c>
      <c r="AS10" s="1231"/>
      <c r="AT10" s="1230">
        <f t="shared" si="17"/>
        <v>1670112.25</v>
      </c>
      <c r="AU10" s="82">
        <f t="shared" si="18"/>
        <v>4898383.8</v>
      </c>
      <c r="AV10" s="174"/>
      <c r="AW10" s="1232">
        <f t="shared" si="19"/>
        <v>4898383.8</v>
      </c>
      <c r="AX10" s="1340"/>
      <c r="AY10" s="1339"/>
      <c r="AZ10" s="1340"/>
    </row>
    <row r="11" spans="1:52" s="83" customFormat="1" ht="45" customHeight="1">
      <c r="A11" s="79" t="s">
        <v>5</v>
      </c>
      <c r="B11" s="80" t="s">
        <v>688</v>
      </c>
      <c r="C11" s="80" t="s">
        <v>959</v>
      </c>
      <c r="D11" s="1233"/>
      <c r="E11" s="86">
        <v>18.482758620689651</v>
      </c>
      <c r="F11" s="86">
        <v>9.5</v>
      </c>
      <c r="G11" s="86">
        <v>0</v>
      </c>
      <c r="H11" s="86">
        <v>5.5</v>
      </c>
      <c r="I11" s="82">
        <f t="shared" si="0"/>
        <v>33.482758620689651</v>
      </c>
      <c r="J11" s="81">
        <v>1.75</v>
      </c>
      <c r="K11" s="81">
        <v>0</v>
      </c>
      <c r="L11" s="81">
        <v>0</v>
      </c>
      <c r="M11" s="81">
        <v>0</v>
      </c>
      <c r="N11" s="82">
        <f t="shared" si="1"/>
        <v>1.75</v>
      </c>
      <c r="O11" s="82">
        <f t="shared" si="2"/>
        <v>20.232758620689651</v>
      </c>
      <c r="P11" s="82">
        <f t="shared" si="2"/>
        <v>9.5</v>
      </c>
      <c r="Q11" s="82">
        <f t="shared" si="2"/>
        <v>0</v>
      </c>
      <c r="R11" s="82">
        <f t="shared" si="2"/>
        <v>5.5</v>
      </c>
      <c r="S11" s="93">
        <f t="shared" si="3"/>
        <v>35.232758620689651</v>
      </c>
      <c r="T11" s="81">
        <v>4.75</v>
      </c>
      <c r="U11" s="81">
        <v>5</v>
      </c>
      <c r="V11" s="81">
        <v>0</v>
      </c>
      <c r="W11" s="81">
        <v>8</v>
      </c>
      <c r="X11" s="93">
        <f t="shared" si="4"/>
        <v>17.75</v>
      </c>
      <c r="Y11" s="81">
        <v>4.75</v>
      </c>
      <c r="Z11" s="81">
        <v>5</v>
      </c>
      <c r="AA11" s="81">
        <v>0</v>
      </c>
      <c r="AB11" s="81">
        <v>8</v>
      </c>
      <c r="AC11" s="82">
        <f t="shared" si="5"/>
        <v>17.75</v>
      </c>
      <c r="AD11" s="82">
        <f t="shared" si="6"/>
        <v>1155000</v>
      </c>
      <c r="AE11" s="82">
        <f t="shared" si="7"/>
        <v>76680</v>
      </c>
      <c r="AF11" s="82">
        <f t="shared" si="8"/>
        <v>106500</v>
      </c>
      <c r="AG11" s="82">
        <f t="shared" si="9"/>
        <v>42600</v>
      </c>
      <c r="AH11" s="82">
        <f t="shared" si="10"/>
        <v>166850</v>
      </c>
      <c r="AI11" s="82">
        <f t="shared" si="11"/>
        <v>14200</v>
      </c>
      <c r="AJ11" s="82">
        <f t="shared" si="12"/>
        <v>0</v>
      </c>
      <c r="AK11" s="82">
        <f t="shared" si="13"/>
        <v>17040</v>
      </c>
      <c r="AL11" s="82">
        <f t="shared" si="14"/>
        <v>540663.01</v>
      </c>
      <c r="AM11" s="82">
        <f t="shared" si="15"/>
        <v>2119533.0099999998</v>
      </c>
      <c r="AN11" s="82">
        <v>2040926.36</v>
      </c>
      <c r="AO11" s="82"/>
      <c r="AP11" s="82">
        <v>39465</v>
      </c>
      <c r="AQ11" s="121">
        <f t="shared" si="16"/>
        <v>2080391.36</v>
      </c>
      <c r="AR11" s="1231">
        <v>2792892.5</v>
      </c>
      <c r="AS11" s="1231"/>
      <c r="AT11" s="1230">
        <f t="shared" si="17"/>
        <v>2792892.5</v>
      </c>
      <c r="AU11" s="82">
        <f t="shared" si="18"/>
        <v>-712501.1399999999</v>
      </c>
      <c r="AV11" s="174"/>
      <c r="AW11" s="1232">
        <f t="shared" si="19"/>
        <v>-712501.1399999999</v>
      </c>
      <c r="AX11" s="1340"/>
      <c r="AY11" s="1339"/>
      <c r="AZ11" s="1340"/>
    </row>
    <row r="12" spans="1:52" ht="45" customHeight="1">
      <c r="A12" s="79" t="s">
        <v>5</v>
      </c>
      <c r="B12" s="80" t="s">
        <v>689</v>
      </c>
      <c r="C12" s="80" t="s">
        <v>959</v>
      </c>
      <c r="D12" s="1233"/>
      <c r="E12" s="86">
        <v>32.758620689655174</v>
      </c>
      <c r="F12" s="86">
        <v>12</v>
      </c>
      <c r="G12" s="86">
        <v>0</v>
      </c>
      <c r="H12" s="86">
        <v>8</v>
      </c>
      <c r="I12" s="82">
        <f t="shared" si="0"/>
        <v>52.758620689655174</v>
      </c>
      <c r="J12" s="81">
        <v>5.333333333333333</v>
      </c>
      <c r="K12" s="81">
        <v>1.25</v>
      </c>
      <c r="L12" s="81">
        <v>0</v>
      </c>
      <c r="M12" s="81">
        <v>3.3333333333333335</v>
      </c>
      <c r="N12" s="82">
        <f t="shared" si="1"/>
        <v>9.9166666666666661</v>
      </c>
      <c r="O12" s="82">
        <f t="shared" si="2"/>
        <v>38.09195402298851</v>
      </c>
      <c r="P12" s="82">
        <f t="shared" si="2"/>
        <v>13.25</v>
      </c>
      <c r="Q12" s="82">
        <f t="shared" si="2"/>
        <v>0</v>
      </c>
      <c r="R12" s="82">
        <f t="shared" si="2"/>
        <v>11.333333333333334</v>
      </c>
      <c r="S12" s="93">
        <f t="shared" si="3"/>
        <v>62.675287356321846</v>
      </c>
      <c r="T12" s="81">
        <v>13.333333333333334</v>
      </c>
      <c r="U12" s="81">
        <v>3</v>
      </c>
      <c r="V12" s="81">
        <v>0</v>
      </c>
      <c r="W12" s="81">
        <v>13.916666666666666</v>
      </c>
      <c r="X12" s="93">
        <f t="shared" si="4"/>
        <v>30.25</v>
      </c>
      <c r="Y12" s="81">
        <v>13.333333333333334</v>
      </c>
      <c r="Z12" s="81">
        <v>3</v>
      </c>
      <c r="AA12" s="81">
        <v>0</v>
      </c>
      <c r="AB12" s="81">
        <v>13.916666666666666</v>
      </c>
      <c r="AC12" s="82">
        <f t="shared" si="5"/>
        <v>30.25</v>
      </c>
      <c r="AD12" s="82">
        <f t="shared" si="6"/>
        <v>2029800</v>
      </c>
      <c r="AE12" s="82">
        <f t="shared" si="7"/>
        <v>130680</v>
      </c>
      <c r="AF12" s="82">
        <f t="shared" si="8"/>
        <v>181500</v>
      </c>
      <c r="AG12" s="82">
        <f t="shared" si="9"/>
        <v>72600</v>
      </c>
      <c r="AH12" s="82">
        <f t="shared" si="10"/>
        <v>284350</v>
      </c>
      <c r="AI12" s="82">
        <f t="shared" si="11"/>
        <v>24200</v>
      </c>
      <c r="AJ12" s="82">
        <f t="shared" si="12"/>
        <v>0</v>
      </c>
      <c r="AK12" s="82">
        <f t="shared" si="13"/>
        <v>29040</v>
      </c>
      <c r="AL12" s="82">
        <f t="shared" si="14"/>
        <v>921411.61</v>
      </c>
      <c r="AM12" s="82">
        <f t="shared" si="15"/>
        <v>3673581.61</v>
      </c>
      <c r="AN12" s="82">
        <f>3425910.34+10295.09</f>
        <v>3436205.4299999997</v>
      </c>
      <c r="AO12" s="82">
        <v>6400</v>
      </c>
      <c r="AP12" s="82">
        <v>150523</v>
      </c>
      <c r="AQ12" s="121">
        <f t="shared" si="16"/>
        <v>3593128.4299999997</v>
      </c>
      <c r="AR12" s="1230">
        <v>1538615</v>
      </c>
      <c r="AS12" s="1230"/>
      <c r="AT12" s="1230">
        <f t="shared" si="17"/>
        <v>1538615</v>
      </c>
      <c r="AU12" s="121">
        <f t="shared" si="18"/>
        <v>2054513.4299999997</v>
      </c>
      <c r="AV12" s="174"/>
      <c r="AW12" s="1232">
        <f t="shared" si="19"/>
        <v>2054513.4299999997</v>
      </c>
      <c r="AX12" s="1339"/>
      <c r="AY12" s="1339"/>
      <c r="AZ12" s="1340"/>
    </row>
    <row r="13" spans="1:52" s="83" customFormat="1" ht="45" customHeight="1">
      <c r="A13" s="79" t="s">
        <v>5</v>
      </c>
      <c r="B13" s="80" t="s">
        <v>690</v>
      </c>
      <c r="C13" s="80" t="s">
        <v>464</v>
      </c>
      <c r="D13" s="1233"/>
      <c r="E13" s="86">
        <v>30.87394957983193</v>
      </c>
      <c r="F13" s="86">
        <v>10.5</v>
      </c>
      <c r="G13" s="86">
        <v>0</v>
      </c>
      <c r="H13" s="86">
        <v>6</v>
      </c>
      <c r="I13" s="82">
        <f t="shared" si="0"/>
        <v>47.37394957983193</v>
      </c>
      <c r="J13" s="81">
        <v>4.5</v>
      </c>
      <c r="K13" s="81">
        <v>0</v>
      </c>
      <c r="L13" s="81">
        <v>0</v>
      </c>
      <c r="M13" s="81">
        <v>0</v>
      </c>
      <c r="N13" s="82">
        <f t="shared" si="1"/>
        <v>4.5</v>
      </c>
      <c r="O13" s="82">
        <f t="shared" si="2"/>
        <v>35.37394957983193</v>
      </c>
      <c r="P13" s="82">
        <f t="shared" si="2"/>
        <v>10.5</v>
      </c>
      <c r="Q13" s="82">
        <f t="shared" si="2"/>
        <v>0</v>
      </c>
      <c r="R13" s="82">
        <f t="shared" si="2"/>
        <v>6</v>
      </c>
      <c r="S13" s="93">
        <f t="shared" si="3"/>
        <v>51.87394957983193</v>
      </c>
      <c r="T13" s="81">
        <v>10.333333333333334</v>
      </c>
      <c r="U13" s="81">
        <v>3</v>
      </c>
      <c r="V13" s="81">
        <v>0</v>
      </c>
      <c r="W13" s="81">
        <v>7.083333333333333</v>
      </c>
      <c r="X13" s="93">
        <f t="shared" si="4"/>
        <v>20.416666666666668</v>
      </c>
      <c r="Y13" s="81">
        <v>10.333333333333334</v>
      </c>
      <c r="Z13" s="81">
        <v>3</v>
      </c>
      <c r="AA13" s="81">
        <v>0</v>
      </c>
      <c r="AB13" s="81">
        <v>7.083333333333333</v>
      </c>
      <c r="AC13" s="82">
        <f t="shared" si="5"/>
        <v>20.416666666666668</v>
      </c>
      <c r="AD13" s="82">
        <f>(Y13*7800+Z13*5750+AA13*5295+AB13*4400)*12</f>
        <v>1548200</v>
      </c>
      <c r="AE13" s="82">
        <f t="shared" si="7"/>
        <v>88200</v>
      </c>
      <c r="AF13" s="82">
        <f t="shared" si="8"/>
        <v>122500</v>
      </c>
      <c r="AG13" s="82">
        <f t="shared" si="9"/>
        <v>49000</v>
      </c>
      <c r="AH13" s="82">
        <f t="shared" ref="AH13:AH15" si="20">Y13*15400+(Z13+AA13+AB13)*9400</f>
        <v>253916.66666666669</v>
      </c>
      <c r="AI13" s="82">
        <f t="shared" si="11"/>
        <v>16333.333333333334</v>
      </c>
      <c r="AJ13" s="82">
        <f t="shared" si="12"/>
        <v>0</v>
      </c>
      <c r="AK13" s="82">
        <f t="shared" si="13"/>
        <v>19600</v>
      </c>
      <c r="AL13" s="82">
        <f t="shared" si="14"/>
        <v>621889.38</v>
      </c>
      <c r="AM13" s="82">
        <f t="shared" si="15"/>
        <v>2719639.38</v>
      </c>
      <c r="AN13" s="82">
        <v>2487547.7000000002</v>
      </c>
      <c r="AO13" s="82"/>
      <c r="AP13" s="82">
        <v>166541.5</v>
      </c>
      <c r="AQ13" s="121">
        <f t="shared" si="16"/>
        <v>2654089.2000000002</v>
      </c>
      <c r="AR13" s="1231">
        <v>2294450.5</v>
      </c>
      <c r="AS13" s="1231"/>
      <c r="AT13" s="1230">
        <f t="shared" si="17"/>
        <v>2294450.5</v>
      </c>
      <c r="AU13" s="82">
        <f t="shared" si="18"/>
        <v>359638.70000000019</v>
      </c>
      <c r="AV13" s="174"/>
      <c r="AW13" s="1232">
        <f t="shared" si="19"/>
        <v>359638.70000000019</v>
      </c>
      <c r="AX13" s="1340"/>
      <c r="AY13" s="1339"/>
      <c r="AZ13" s="1340"/>
    </row>
    <row r="14" spans="1:52" ht="45" customHeight="1">
      <c r="A14" s="79" t="s">
        <v>5</v>
      </c>
      <c r="B14" s="80" t="s">
        <v>691</v>
      </c>
      <c r="C14" s="80" t="s">
        <v>464</v>
      </c>
      <c r="D14" s="1233"/>
      <c r="E14" s="86">
        <v>18.966386554621849</v>
      </c>
      <c r="F14" s="86">
        <v>10.5</v>
      </c>
      <c r="G14" s="86">
        <v>0</v>
      </c>
      <c r="H14" s="86">
        <v>6</v>
      </c>
      <c r="I14" s="82">
        <f t="shared" si="0"/>
        <v>35.466386554621849</v>
      </c>
      <c r="J14" s="81">
        <v>4.416666666666667</v>
      </c>
      <c r="K14" s="81">
        <v>0.5</v>
      </c>
      <c r="L14" s="81">
        <v>0</v>
      </c>
      <c r="M14" s="81">
        <v>0</v>
      </c>
      <c r="N14" s="82">
        <f t="shared" si="1"/>
        <v>4.916666666666667</v>
      </c>
      <c r="O14" s="82">
        <f t="shared" si="2"/>
        <v>23.383053221288517</v>
      </c>
      <c r="P14" s="82">
        <f t="shared" si="2"/>
        <v>11</v>
      </c>
      <c r="Q14" s="82">
        <f t="shared" si="2"/>
        <v>0</v>
      </c>
      <c r="R14" s="82">
        <f t="shared" si="2"/>
        <v>6</v>
      </c>
      <c r="S14" s="93">
        <f t="shared" si="3"/>
        <v>40.38305322128852</v>
      </c>
      <c r="T14" s="81">
        <v>7.6666666666666661</v>
      </c>
      <c r="U14" s="81">
        <v>2.6666666666666665</v>
      </c>
      <c r="V14" s="81">
        <v>0</v>
      </c>
      <c r="W14" s="81">
        <v>8.25</v>
      </c>
      <c r="X14" s="93">
        <f t="shared" si="4"/>
        <v>18.583333333333332</v>
      </c>
      <c r="Y14" s="81">
        <v>7.6666666666666661</v>
      </c>
      <c r="Z14" s="81">
        <v>2.6666666666666665</v>
      </c>
      <c r="AA14" s="81">
        <v>0</v>
      </c>
      <c r="AB14" s="81">
        <v>8.25</v>
      </c>
      <c r="AC14" s="82">
        <f t="shared" si="5"/>
        <v>18.583333333333332</v>
      </c>
      <c r="AD14" s="82">
        <f>(Y14*7800+Z14*5750+AA14*5295+AB14*4400)*12</f>
        <v>1337200</v>
      </c>
      <c r="AE14" s="82">
        <f t="shared" si="7"/>
        <v>80280</v>
      </c>
      <c r="AF14" s="82">
        <f t="shared" si="8"/>
        <v>111500</v>
      </c>
      <c r="AG14" s="82">
        <f t="shared" si="9"/>
        <v>44600</v>
      </c>
      <c r="AH14" s="82">
        <f t="shared" si="20"/>
        <v>220683.33333333331</v>
      </c>
      <c r="AI14" s="82">
        <f t="shared" si="11"/>
        <v>14866.666666666666</v>
      </c>
      <c r="AJ14" s="82">
        <f t="shared" si="12"/>
        <v>0</v>
      </c>
      <c r="AK14" s="82">
        <f t="shared" si="13"/>
        <v>17840</v>
      </c>
      <c r="AL14" s="82">
        <f t="shared" si="14"/>
        <v>566046.25</v>
      </c>
      <c r="AM14" s="82">
        <f t="shared" si="15"/>
        <v>2393016.25</v>
      </c>
      <c r="AN14" s="82">
        <v>2390922.56</v>
      </c>
      <c r="AO14" s="82"/>
      <c r="AP14" s="82">
        <v>36869.5</v>
      </c>
      <c r="AQ14" s="121">
        <f t="shared" si="16"/>
        <v>2427792.06</v>
      </c>
      <c r="AR14" s="1230">
        <v>1733486</v>
      </c>
      <c r="AS14" s="1230"/>
      <c r="AT14" s="1230">
        <f t="shared" si="17"/>
        <v>1733486</v>
      </c>
      <c r="AU14" s="121">
        <f t="shared" si="18"/>
        <v>694306.06</v>
      </c>
      <c r="AV14" s="174"/>
      <c r="AW14" s="1232">
        <f t="shared" si="19"/>
        <v>694306.06</v>
      </c>
      <c r="AX14" s="1339"/>
      <c r="AY14" s="1339"/>
      <c r="AZ14" s="1340"/>
    </row>
    <row r="15" spans="1:52" s="83" customFormat="1" ht="45" customHeight="1">
      <c r="A15" s="79" t="s">
        <v>5</v>
      </c>
      <c r="B15" s="80" t="s">
        <v>3194</v>
      </c>
      <c r="C15" s="80" t="s">
        <v>464</v>
      </c>
      <c r="D15" s="1233"/>
      <c r="E15" s="86">
        <v>49.655462184873954</v>
      </c>
      <c r="F15" s="86">
        <v>11</v>
      </c>
      <c r="G15" s="86">
        <v>0</v>
      </c>
      <c r="H15" s="86">
        <v>6</v>
      </c>
      <c r="I15" s="82">
        <f t="shared" si="0"/>
        <v>66.655462184873954</v>
      </c>
      <c r="J15" s="81">
        <v>0.5</v>
      </c>
      <c r="K15" s="81">
        <v>0.5</v>
      </c>
      <c r="L15" s="81">
        <v>0</v>
      </c>
      <c r="M15" s="81">
        <v>0.5</v>
      </c>
      <c r="N15" s="82">
        <f t="shared" si="1"/>
        <v>1.5</v>
      </c>
      <c r="O15" s="82">
        <f t="shared" si="2"/>
        <v>50.155462184873954</v>
      </c>
      <c r="P15" s="82">
        <f t="shared" si="2"/>
        <v>11.5</v>
      </c>
      <c r="Q15" s="82">
        <f t="shared" si="2"/>
        <v>0</v>
      </c>
      <c r="R15" s="82">
        <f t="shared" si="2"/>
        <v>6.5</v>
      </c>
      <c r="S15" s="93">
        <f t="shared" si="3"/>
        <v>68.155462184873954</v>
      </c>
      <c r="T15" s="81">
        <v>5.916666666666667</v>
      </c>
      <c r="U15" s="81">
        <v>10.416666666666666</v>
      </c>
      <c r="V15" s="81">
        <v>0</v>
      </c>
      <c r="W15" s="81">
        <v>8.9166666666666661</v>
      </c>
      <c r="X15" s="93">
        <f t="shared" si="4"/>
        <v>25.25</v>
      </c>
      <c r="Y15" s="81">
        <v>5.916666666666667</v>
      </c>
      <c r="Z15" s="81">
        <v>10.416666666666666</v>
      </c>
      <c r="AA15" s="81">
        <v>0</v>
      </c>
      <c r="AB15" s="81">
        <v>8.9166666666666661</v>
      </c>
      <c r="AC15" s="82">
        <f t="shared" si="5"/>
        <v>25.25</v>
      </c>
      <c r="AD15" s="82">
        <f>(Y15*7800+Z15*5750+AA15*5295+AB15*4400)*12</f>
        <v>1743350</v>
      </c>
      <c r="AE15" s="82">
        <f t="shared" si="7"/>
        <v>109080</v>
      </c>
      <c r="AF15" s="82">
        <f t="shared" si="8"/>
        <v>151500</v>
      </c>
      <c r="AG15" s="82">
        <f t="shared" si="9"/>
        <v>60600</v>
      </c>
      <c r="AH15" s="82">
        <f t="shared" si="20"/>
        <v>272850</v>
      </c>
      <c r="AI15" s="82">
        <f t="shared" si="11"/>
        <v>20200</v>
      </c>
      <c r="AJ15" s="82">
        <f t="shared" si="12"/>
        <v>0</v>
      </c>
      <c r="AK15" s="82">
        <f t="shared" si="13"/>
        <v>24240</v>
      </c>
      <c r="AL15" s="82">
        <f t="shared" si="14"/>
        <v>769112.17</v>
      </c>
      <c r="AM15" s="82">
        <f t="shared" si="15"/>
        <v>3150932.17</v>
      </c>
      <c r="AN15" s="82">
        <v>3087410</v>
      </c>
      <c r="AO15" s="82"/>
      <c r="AP15" s="82">
        <v>93249.5</v>
      </c>
      <c r="AQ15" s="121">
        <f t="shared" si="16"/>
        <v>3180659.5</v>
      </c>
      <c r="AR15" s="1231">
        <v>2865281.75</v>
      </c>
      <c r="AS15" s="1231"/>
      <c r="AT15" s="1230">
        <f t="shared" si="17"/>
        <v>2865281.75</v>
      </c>
      <c r="AU15" s="82">
        <f t="shared" si="18"/>
        <v>315377.75</v>
      </c>
      <c r="AV15" s="174"/>
      <c r="AW15" s="1232">
        <f t="shared" si="19"/>
        <v>315377.75</v>
      </c>
      <c r="AX15" s="1340"/>
      <c r="AY15" s="1339"/>
      <c r="AZ15" s="1340"/>
    </row>
    <row r="16" spans="1:52" ht="45" customHeight="1">
      <c r="A16" s="79" t="s">
        <v>5</v>
      </c>
      <c r="B16" s="80" t="s">
        <v>693</v>
      </c>
      <c r="C16" s="80" t="s">
        <v>649</v>
      </c>
      <c r="D16" s="1233">
        <v>2</v>
      </c>
      <c r="E16" s="86">
        <v>6.1880341880341874</v>
      </c>
      <c r="F16" s="86">
        <v>3</v>
      </c>
      <c r="G16" s="86">
        <v>26.462499999999999</v>
      </c>
      <c r="H16" s="86">
        <v>2</v>
      </c>
      <c r="I16" s="82">
        <f t="shared" si="0"/>
        <v>37.650534188034186</v>
      </c>
      <c r="J16" s="81">
        <v>0</v>
      </c>
      <c r="K16" s="81">
        <v>0</v>
      </c>
      <c r="L16" s="81">
        <v>2.9166666666666665</v>
      </c>
      <c r="M16" s="81">
        <v>0</v>
      </c>
      <c r="N16" s="82">
        <f t="shared" si="1"/>
        <v>2.9166666666666665</v>
      </c>
      <c r="O16" s="82">
        <f t="shared" si="2"/>
        <v>6.1880341880341874</v>
      </c>
      <c r="P16" s="82">
        <f t="shared" si="2"/>
        <v>3</v>
      </c>
      <c r="Q16" s="82">
        <f t="shared" si="2"/>
        <v>29.379166666666666</v>
      </c>
      <c r="R16" s="82">
        <f t="shared" si="2"/>
        <v>2</v>
      </c>
      <c r="S16" s="93">
        <f t="shared" si="3"/>
        <v>40.567200854700857</v>
      </c>
      <c r="T16" s="81">
        <v>1.5</v>
      </c>
      <c r="U16" s="81">
        <v>4</v>
      </c>
      <c r="V16" s="81">
        <v>28.166666666666668</v>
      </c>
      <c r="W16" s="81">
        <v>2</v>
      </c>
      <c r="X16" s="93">
        <f t="shared" si="4"/>
        <v>35.666666666666671</v>
      </c>
      <c r="Y16" s="81">
        <v>1.5</v>
      </c>
      <c r="Z16" s="81">
        <v>4</v>
      </c>
      <c r="AA16" s="81">
        <v>28.166666666666668</v>
      </c>
      <c r="AB16" s="81">
        <v>2</v>
      </c>
      <c r="AC16" s="82">
        <f t="shared" si="5"/>
        <v>35.666666666666671</v>
      </c>
      <c r="AD16" s="82">
        <f>(Y16*6800+Z16*5750+AA16*5295+AB16*4400)*12</f>
        <v>2293710</v>
      </c>
      <c r="AE16" s="82">
        <f t="shared" si="7"/>
        <v>154080.00000000003</v>
      </c>
      <c r="AF16" s="82">
        <f t="shared" si="8"/>
        <v>214000.00000000003</v>
      </c>
      <c r="AG16" s="82">
        <f t="shared" si="9"/>
        <v>85600.000000000015</v>
      </c>
      <c r="AH16" s="82">
        <f t="shared" si="10"/>
        <v>335266.66666666669</v>
      </c>
      <c r="AI16" s="82">
        <f t="shared" si="11"/>
        <v>28533.333333333336</v>
      </c>
      <c r="AJ16" s="82">
        <f t="shared" si="12"/>
        <v>20000</v>
      </c>
      <c r="AK16" s="82">
        <f t="shared" si="13"/>
        <v>34240.000000000007</v>
      </c>
      <c r="AL16" s="82">
        <f t="shared" si="14"/>
        <v>1086402.67</v>
      </c>
      <c r="AM16" s="82">
        <f t="shared" si="15"/>
        <v>4251832.67</v>
      </c>
      <c r="AN16" s="82">
        <v>4224548</v>
      </c>
      <c r="AO16" s="82"/>
      <c r="AP16" s="82"/>
      <c r="AQ16" s="121">
        <f t="shared" si="16"/>
        <v>4224548</v>
      </c>
      <c r="AR16" s="1230">
        <v>4476957</v>
      </c>
      <c r="AS16" s="1230"/>
      <c r="AT16" s="1230">
        <f t="shared" si="17"/>
        <v>4476957</v>
      </c>
      <c r="AU16" s="121">
        <f t="shared" si="18"/>
        <v>-252409</v>
      </c>
      <c r="AV16" s="174"/>
      <c r="AW16" s="1232">
        <f t="shared" si="19"/>
        <v>-252409</v>
      </c>
      <c r="AX16" s="1339"/>
      <c r="AY16" s="1339"/>
      <c r="AZ16" s="1340"/>
    </row>
    <row r="17" spans="1:52" ht="45" customHeight="1">
      <c r="A17" s="79" t="s">
        <v>5</v>
      </c>
      <c r="B17" s="80" t="s">
        <v>976</v>
      </c>
      <c r="C17" s="80" t="s">
        <v>959</v>
      </c>
      <c r="D17" s="1233"/>
      <c r="E17" s="86">
        <v>18.034482758620683</v>
      </c>
      <c r="F17" s="86">
        <v>9.5</v>
      </c>
      <c r="G17" s="86">
        <v>0</v>
      </c>
      <c r="H17" s="86">
        <v>5.5</v>
      </c>
      <c r="I17" s="82">
        <f t="shared" si="0"/>
        <v>33.034482758620683</v>
      </c>
      <c r="J17" s="81">
        <v>1.4166666666666667</v>
      </c>
      <c r="K17" s="81">
        <v>0</v>
      </c>
      <c r="L17" s="81">
        <v>0</v>
      </c>
      <c r="M17" s="81">
        <v>0</v>
      </c>
      <c r="N17" s="82">
        <f t="shared" si="1"/>
        <v>1.4166666666666667</v>
      </c>
      <c r="O17" s="82">
        <f t="shared" si="2"/>
        <v>19.451149425287351</v>
      </c>
      <c r="P17" s="82">
        <f t="shared" si="2"/>
        <v>9.5</v>
      </c>
      <c r="Q17" s="82">
        <f t="shared" si="2"/>
        <v>0</v>
      </c>
      <c r="R17" s="82">
        <f t="shared" si="2"/>
        <v>5.5</v>
      </c>
      <c r="S17" s="93">
        <f t="shared" si="3"/>
        <v>34.451149425287355</v>
      </c>
      <c r="T17" s="81">
        <v>2.5</v>
      </c>
      <c r="U17" s="81">
        <v>8</v>
      </c>
      <c r="V17" s="81">
        <v>0</v>
      </c>
      <c r="W17" s="81">
        <v>5</v>
      </c>
      <c r="X17" s="93">
        <f t="shared" si="4"/>
        <v>15.5</v>
      </c>
      <c r="Y17" s="81">
        <v>2.5</v>
      </c>
      <c r="Z17" s="81">
        <v>8</v>
      </c>
      <c r="AA17" s="81">
        <v>0</v>
      </c>
      <c r="AB17" s="81">
        <v>5</v>
      </c>
      <c r="AC17" s="82">
        <f t="shared" si="5"/>
        <v>15.5</v>
      </c>
      <c r="AD17" s="82">
        <f>(Y17*6800+Z17*5750+AA17*5295+AB17*4400)*12</f>
        <v>1020000</v>
      </c>
      <c r="AE17" s="82">
        <f t="shared" si="7"/>
        <v>66960</v>
      </c>
      <c r="AF17" s="82">
        <f t="shared" si="8"/>
        <v>93000</v>
      </c>
      <c r="AG17" s="82">
        <f t="shared" si="9"/>
        <v>37200</v>
      </c>
      <c r="AH17" s="82">
        <f t="shared" si="10"/>
        <v>145700</v>
      </c>
      <c r="AI17" s="82">
        <f t="shared" si="11"/>
        <v>12400</v>
      </c>
      <c r="AJ17" s="82">
        <f t="shared" si="12"/>
        <v>0</v>
      </c>
      <c r="AK17" s="82">
        <f t="shared" si="13"/>
        <v>14880</v>
      </c>
      <c r="AL17" s="82">
        <f t="shared" si="14"/>
        <v>472128.26</v>
      </c>
      <c r="AM17" s="82">
        <f t="shared" si="15"/>
        <v>1862268.26</v>
      </c>
      <c r="AN17" s="82">
        <v>1828351.15</v>
      </c>
      <c r="AO17" s="82"/>
      <c r="AP17" s="82">
        <v>26267</v>
      </c>
      <c r="AQ17" s="121">
        <f t="shared" si="16"/>
        <v>1854618.15</v>
      </c>
      <c r="AR17" s="1230">
        <v>2218960</v>
      </c>
      <c r="AS17" s="1230"/>
      <c r="AT17" s="1230">
        <f t="shared" si="17"/>
        <v>2218960</v>
      </c>
      <c r="AU17" s="121">
        <f t="shared" si="18"/>
        <v>-364341.85000000009</v>
      </c>
      <c r="AV17" s="174"/>
      <c r="AW17" s="1232">
        <f t="shared" si="19"/>
        <v>-364341.85000000009</v>
      </c>
      <c r="AX17" s="1339"/>
      <c r="AY17" s="1339"/>
      <c r="AZ17" s="1340"/>
    </row>
    <row r="18" spans="1:52" ht="45" customHeight="1">
      <c r="A18" s="79" t="s">
        <v>5</v>
      </c>
      <c r="B18" s="80" t="s">
        <v>694</v>
      </c>
      <c r="C18" s="80" t="s">
        <v>649</v>
      </c>
      <c r="D18" s="1233">
        <v>2</v>
      </c>
      <c r="E18" s="86">
        <v>14.213675213675216</v>
      </c>
      <c r="F18" s="86">
        <v>4</v>
      </c>
      <c r="G18" s="86">
        <v>27.612500000000001</v>
      </c>
      <c r="H18" s="86">
        <v>3</v>
      </c>
      <c r="I18" s="82">
        <f t="shared" si="0"/>
        <v>48.826175213675214</v>
      </c>
      <c r="J18" s="81">
        <v>0</v>
      </c>
      <c r="K18" s="81">
        <v>0</v>
      </c>
      <c r="L18" s="81">
        <v>1.75</v>
      </c>
      <c r="M18" s="81">
        <v>0</v>
      </c>
      <c r="N18" s="82">
        <f t="shared" si="1"/>
        <v>1.75</v>
      </c>
      <c r="O18" s="82">
        <f t="shared" si="2"/>
        <v>14.213675213675216</v>
      </c>
      <c r="P18" s="82">
        <f t="shared" si="2"/>
        <v>4</v>
      </c>
      <c r="Q18" s="82">
        <f t="shared" si="2"/>
        <v>29.362500000000001</v>
      </c>
      <c r="R18" s="82">
        <f t="shared" si="2"/>
        <v>3</v>
      </c>
      <c r="S18" s="93">
        <f t="shared" si="3"/>
        <v>50.576175213675214</v>
      </c>
      <c r="T18" s="81">
        <v>7.25</v>
      </c>
      <c r="U18" s="81">
        <v>5.5</v>
      </c>
      <c r="V18" s="81">
        <v>28.666666666666668</v>
      </c>
      <c r="W18" s="81">
        <v>3</v>
      </c>
      <c r="X18" s="93">
        <f t="shared" si="4"/>
        <v>44.416666666666671</v>
      </c>
      <c r="Y18" s="81">
        <v>7.25</v>
      </c>
      <c r="Z18" s="81">
        <v>5.5</v>
      </c>
      <c r="AA18" s="81">
        <v>28.666666666666668</v>
      </c>
      <c r="AB18" s="81">
        <v>3</v>
      </c>
      <c r="AC18" s="82">
        <f t="shared" si="5"/>
        <v>44.416666666666671</v>
      </c>
      <c r="AD18" s="82">
        <f>(Y18*6800+Z18*5750+AA18*5295+AB18*4400)*12</f>
        <v>2950980</v>
      </c>
      <c r="AE18" s="82">
        <f t="shared" si="7"/>
        <v>191880.00000000003</v>
      </c>
      <c r="AF18" s="82">
        <f t="shared" si="8"/>
        <v>266500</v>
      </c>
      <c r="AG18" s="82">
        <f t="shared" si="9"/>
        <v>106600.00000000001</v>
      </c>
      <c r="AH18" s="82">
        <f t="shared" si="10"/>
        <v>417516.66666666669</v>
      </c>
      <c r="AI18" s="82">
        <f t="shared" si="11"/>
        <v>35533.333333333336</v>
      </c>
      <c r="AJ18" s="82">
        <f t="shared" si="12"/>
        <v>20000</v>
      </c>
      <c r="AK18" s="82">
        <f t="shared" si="13"/>
        <v>42640.000000000007</v>
      </c>
      <c r="AL18" s="82">
        <f t="shared" si="14"/>
        <v>1352926.69</v>
      </c>
      <c r="AM18" s="82">
        <f t="shared" si="15"/>
        <v>5384576.6899999995</v>
      </c>
      <c r="AN18" s="82">
        <v>5259359.29</v>
      </c>
      <c r="AO18" s="82">
        <v>96500</v>
      </c>
      <c r="AP18" s="82"/>
      <c r="AQ18" s="121">
        <f t="shared" si="16"/>
        <v>5355859.29</v>
      </c>
      <c r="AR18" s="1230">
        <v>4407874</v>
      </c>
      <c r="AS18" s="1230"/>
      <c r="AT18" s="1230">
        <f t="shared" si="17"/>
        <v>4407874</v>
      </c>
      <c r="AU18" s="121">
        <f t="shared" si="18"/>
        <v>947985.29</v>
      </c>
      <c r="AV18" s="174"/>
      <c r="AW18" s="1232">
        <f t="shared" si="19"/>
        <v>947985.29</v>
      </c>
      <c r="AX18" s="1339"/>
      <c r="AY18" s="1339"/>
      <c r="AZ18" s="1340"/>
    </row>
    <row r="19" spans="1:52" s="83" customFormat="1" ht="45" customHeight="1">
      <c r="A19" s="79" t="s">
        <v>5</v>
      </c>
      <c r="B19" s="80" t="s">
        <v>3228</v>
      </c>
      <c r="C19" s="80" t="s">
        <v>649</v>
      </c>
      <c r="D19" s="1233">
        <v>1</v>
      </c>
      <c r="E19" s="86">
        <v>4.5811965811965827</v>
      </c>
      <c r="F19" s="86">
        <v>3</v>
      </c>
      <c r="G19" s="86">
        <v>16.887499999999999</v>
      </c>
      <c r="H19" s="86">
        <v>2</v>
      </c>
      <c r="I19" s="82">
        <f t="shared" si="0"/>
        <v>26.468696581196582</v>
      </c>
      <c r="J19" s="81">
        <v>0</v>
      </c>
      <c r="K19" s="81">
        <v>0</v>
      </c>
      <c r="L19" s="81">
        <v>2</v>
      </c>
      <c r="M19" s="81">
        <v>0</v>
      </c>
      <c r="N19" s="82">
        <f t="shared" si="1"/>
        <v>2</v>
      </c>
      <c r="O19" s="82">
        <f t="shared" si="2"/>
        <v>4.5811965811965827</v>
      </c>
      <c r="P19" s="82">
        <f t="shared" si="2"/>
        <v>3</v>
      </c>
      <c r="Q19" s="82">
        <f t="shared" si="2"/>
        <v>18.887499999999999</v>
      </c>
      <c r="R19" s="82">
        <f t="shared" si="2"/>
        <v>2</v>
      </c>
      <c r="S19" s="93">
        <f t="shared" si="3"/>
        <v>28.468696581196582</v>
      </c>
      <c r="T19" s="81">
        <v>3.5</v>
      </c>
      <c r="U19" s="81">
        <v>2.5833333333333335</v>
      </c>
      <c r="V19" s="81">
        <v>19</v>
      </c>
      <c r="W19" s="81">
        <v>1.8333333333333333</v>
      </c>
      <c r="X19" s="93">
        <f t="shared" si="4"/>
        <v>26.916666666666668</v>
      </c>
      <c r="Y19" s="81">
        <v>3.5</v>
      </c>
      <c r="Z19" s="81">
        <v>2.5833333333333335</v>
      </c>
      <c r="AA19" s="81">
        <v>19</v>
      </c>
      <c r="AB19" s="81">
        <v>1.8333333333333333</v>
      </c>
      <c r="AC19" s="82">
        <f t="shared" si="5"/>
        <v>26.916666666666668</v>
      </c>
      <c r="AD19" s="82">
        <f>(Y19*6800+Z19*5750+AA19*5295+AB19*4400)*12</f>
        <v>1767910</v>
      </c>
      <c r="AE19" s="82">
        <f t="shared" si="7"/>
        <v>116280</v>
      </c>
      <c r="AF19" s="82">
        <f t="shared" si="8"/>
        <v>161500</v>
      </c>
      <c r="AG19" s="82">
        <f t="shared" si="9"/>
        <v>64600</v>
      </c>
      <c r="AH19" s="82">
        <f t="shared" si="10"/>
        <v>253016.66666666669</v>
      </c>
      <c r="AI19" s="82">
        <f t="shared" si="11"/>
        <v>21533.333333333336</v>
      </c>
      <c r="AJ19" s="82">
        <f t="shared" si="12"/>
        <v>10000</v>
      </c>
      <c r="AK19" s="82">
        <f t="shared" si="13"/>
        <v>25840</v>
      </c>
      <c r="AL19" s="82">
        <f t="shared" si="14"/>
        <v>819878.65</v>
      </c>
      <c r="AM19" s="82">
        <f t="shared" si="15"/>
        <v>3240558.65</v>
      </c>
      <c r="AN19" s="82">
        <v>3238201.2</v>
      </c>
      <c r="AO19" s="82">
        <v>21600</v>
      </c>
      <c r="AP19" s="82"/>
      <c r="AQ19" s="121">
        <f t="shared" si="16"/>
        <v>3259801.2</v>
      </c>
      <c r="AR19" s="1231">
        <v>2737398</v>
      </c>
      <c r="AS19" s="1231"/>
      <c r="AT19" s="1230">
        <f t="shared" si="17"/>
        <v>2737398</v>
      </c>
      <c r="AU19" s="82">
        <f t="shared" si="18"/>
        <v>522403.20000000019</v>
      </c>
      <c r="AV19" s="174"/>
      <c r="AW19" s="1232">
        <f t="shared" si="19"/>
        <v>522403.20000000019</v>
      </c>
      <c r="AX19" s="1340"/>
      <c r="AY19" s="1339"/>
      <c r="AZ19" s="1340"/>
    </row>
    <row r="20" spans="1:52" ht="45" customHeight="1">
      <c r="A20" s="79" t="s">
        <v>5</v>
      </c>
      <c r="B20" s="80" t="s">
        <v>696</v>
      </c>
      <c r="C20" s="80" t="s">
        <v>972</v>
      </c>
      <c r="D20" s="1233"/>
      <c r="E20" s="86">
        <v>5</v>
      </c>
      <c r="F20" s="86">
        <v>11</v>
      </c>
      <c r="G20" s="86">
        <v>0</v>
      </c>
      <c r="H20" s="86">
        <v>8</v>
      </c>
      <c r="I20" s="82">
        <f t="shared" si="0"/>
        <v>24</v>
      </c>
      <c r="J20" s="81">
        <v>0</v>
      </c>
      <c r="K20" s="81">
        <v>3.3</v>
      </c>
      <c r="L20" s="81">
        <v>0</v>
      </c>
      <c r="M20" s="81">
        <v>1.5</v>
      </c>
      <c r="N20" s="82">
        <f t="shared" si="1"/>
        <v>4.8</v>
      </c>
      <c r="O20" s="82">
        <f t="shared" si="2"/>
        <v>5</v>
      </c>
      <c r="P20" s="82">
        <f t="shared" si="2"/>
        <v>14.3</v>
      </c>
      <c r="Q20" s="82">
        <f t="shared" si="2"/>
        <v>0</v>
      </c>
      <c r="R20" s="82">
        <f t="shared" si="2"/>
        <v>9.5</v>
      </c>
      <c r="S20" s="93">
        <f t="shared" si="3"/>
        <v>28.8</v>
      </c>
      <c r="T20" s="81">
        <v>3.3333333333333335</v>
      </c>
      <c r="U20" s="81">
        <v>14.333333333333332</v>
      </c>
      <c r="V20" s="81">
        <v>0</v>
      </c>
      <c r="W20" s="81">
        <v>9.4166666666666661</v>
      </c>
      <c r="X20" s="93">
        <f t="shared" si="4"/>
        <v>27.083333333333329</v>
      </c>
      <c r="Y20" s="81">
        <v>3.3333333333333335</v>
      </c>
      <c r="Z20" s="81">
        <v>14.333333333333332</v>
      </c>
      <c r="AA20" s="81">
        <v>0</v>
      </c>
      <c r="AB20" s="81">
        <v>9.4166666666666661</v>
      </c>
      <c r="AC20" s="82">
        <f t="shared" si="5"/>
        <v>27.083333333333329</v>
      </c>
      <c r="AD20" s="82">
        <f>(Y20*7300+Z20*5750+AA20*5295+AB20*4400)*12</f>
        <v>1778199.9999999998</v>
      </c>
      <c r="AE20" s="82">
        <f t="shared" si="7"/>
        <v>116999.99999999999</v>
      </c>
      <c r="AF20" s="82">
        <f t="shared" si="8"/>
        <v>162499.99999999997</v>
      </c>
      <c r="AG20" s="82">
        <f t="shared" si="9"/>
        <v>64999.999999999985</v>
      </c>
      <c r="AH20" s="82">
        <f>Y20*15400+(Z20+AA20+AB20)*9400</f>
        <v>274583.33333333331</v>
      </c>
      <c r="AI20" s="82">
        <f t="shared" si="11"/>
        <v>21666.666666666664</v>
      </c>
      <c r="AJ20" s="82">
        <f t="shared" si="12"/>
        <v>0</v>
      </c>
      <c r="AK20" s="82">
        <f t="shared" si="13"/>
        <v>25999.999999999996</v>
      </c>
      <c r="AL20" s="82">
        <f t="shared" si="14"/>
        <v>824955.3</v>
      </c>
      <c r="AM20" s="82">
        <f t="shared" si="15"/>
        <v>3269905.3</v>
      </c>
      <c r="AN20" s="82">
        <v>3050000</v>
      </c>
      <c r="AO20" s="82"/>
      <c r="AP20" s="82">
        <v>31315</v>
      </c>
      <c r="AQ20" s="121">
        <f t="shared" si="16"/>
        <v>3081315</v>
      </c>
      <c r="AR20" s="1230">
        <v>3464418.5</v>
      </c>
      <c r="AS20" s="1230"/>
      <c r="AT20" s="1230">
        <f t="shared" si="17"/>
        <v>3464418.5</v>
      </c>
      <c r="AU20" s="121">
        <f t="shared" si="18"/>
        <v>-383103.5</v>
      </c>
      <c r="AV20" s="174"/>
      <c r="AW20" s="1232">
        <f t="shared" si="19"/>
        <v>-383103.5</v>
      </c>
      <c r="AX20" s="1339"/>
      <c r="AY20" s="1339"/>
      <c r="AZ20" s="1340"/>
    </row>
    <row r="21" spans="1:52" ht="45" customHeight="1">
      <c r="A21" s="79" t="s">
        <v>5</v>
      </c>
      <c r="B21" s="80" t="s">
        <v>465</v>
      </c>
      <c r="C21" s="80" t="s">
        <v>649</v>
      </c>
      <c r="D21" s="1233">
        <v>2</v>
      </c>
      <c r="E21" s="86">
        <v>13.17094017094017</v>
      </c>
      <c r="F21" s="86">
        <v>6</v>
      </c>
      <c r="G21" s="86">
        <v>25.875</v>
      </c>
      <c r="H21" s="86">
        <v>2</v>
      </c>
      <c r="I21" s="82">
        <f>SUM(E21:H21)</f>
        <v>47.04594017094017</v>
      </c>
      <c r="J21" s="81">
        <v>0</v>
      </c>
      <c r="K21" s="81">
        <v>0</v>
      </c>
      <c r="L21" s="81">
        <v>0</v>
      </c>
      <c r="M21" s="81">
        <v>0</v>
      </c>
      <c r="N21" s="82">
        <f>SUM(J21:M21)</f>
        <v>0</v>
      </c>
      <c r="O21" s="82">
        <f>E21+J21</f>
        <v>13.17094017094017</v>
      </c>
      <c r="P21" s="82">
        <f>F21+K21</f>
        <v>6</v>
      </c>
      <c r="Q21" s="82">
        <f>G21+L21</f>
        <v>25.875</v>
      </c>
      <c r="R21" s="82">
        <f>H21+M21</f>
        <v>2</v>
      </c>
      <c r="S21" s="93">
        <f>SUM(O21:R21)</f>
        <v>47.04594017094017</v>
      </c>
      <c r="T21" s="81">
        <v>7</v>
      </c>
      <c r="U21" s="81">
        <v>7.333333333333333</v>
      </c>
      <c r="V21" s="81">
        <v>27.5</v>
      </c>
      <c r="W21" s="81">
        <v>2</v>
      </c>
      <c r="X21" s="93">
        <f>SUM(T21:W21)</f>
        <v>43.833333333333329</v>
      </c>
      <c r="Y21" s="81">
        <v>7</v>
      </c>
      <c r="Z21" s="81">
        <v>7.333333333333333</v>
      </c>
      <c r="AA21" s="81">
        <v>27.5</v>
      </c>
      <c r="AB21" s="81">
        <v>2</v>
      </c>
      <c r="AC21" s="82">
        <f>SUM(Y21:AB21)</f>
        <v>43.833333333333329</v>
      </c>
      <c r="AD21" s="82">
        <f>(Y21*6800+Z21*5750+AA21*5295+AB21*4400)*12</f>
        <v>2930150</v>
      </c>
      <c r="AE21" s="82">
        <f t="shared" si="7"/>
        <v>189359.99999999997</v>
      </c>
      <c r="AF21" s="82">
        <f t="shared" si="8"/>
        <v>263000</v>
      </c>
      <c r="AG21" s="82">
        <f t="shared" si="9"/>
        <v>105199.99999999999</v>
      </c>
      <c r="AH21" s="82">
        <f t="shared" si="10"/>
        <v>412033.33333333331</v>
      </c>
      <c r="AI21" s="82">
        <f t="shared" si="11"/>
        <v>35066.666666666664</v>
      </c>
      <c r="AJ21" s="82">
        <f t="shared" si="12"/>
        <v>20000</v>
      </c>
      <c r="AK21" s="82">
        <f t="shared" si="13"/>
        <v>42079.999999999993</v>
      </c>
      <c r="AL21" s="82">
        <f t="shared" si="14"/>
        <v>1335158.42</v>
      </c>
      <c r="AM21" s="82">
        <f t="shared" ref="AM21:AM22" si="21">SUM(AD21:AL21)</f>
        <v>5332048.42</v>
      </c>
      <c r="AN21" s="82">
        <v>5189012.58</v>
      </c>
      <c r="AO21" s="82">
        <v>134400</v>
      </c>
      <c r="AP21" s="82"/>
      <c r="AQ21" s="121">
        <f t="shared" si="16"/>
        <v>5323412.58</v>
      </c>
      <c r="AR21" s="1230">
        <v>6077897</v>
      </c>
      <c r="AS21" s="1230"/>
      <c r="AT21" s="1230">
        <f t="shared" si="17"/>
        <v>6077897</v>
      </c>
      <c r="AU21" s="121">
        <f t="shared" si="18"/>
        <v>-754484.41999999993</v>
      </c>
      <c r="AV21" s="174"/>
      <c r="AW21" s="1232">
        <f t="shared" si="19"/>
        <v>-754484.41999999993</v>
      </c>
      <c r="AX21" s="1339"/>
      <c r="AY21" s="1339"/>
      <c r="AZ21" s="1340"/>
    </row>
    <row r="22" spans="1:52" ht="45" customHeight="1">
      <c r="A22" s="79" t="s">
        <v>5</v>
      </c>
      <c r="B22" s="1236" t="s">
        <v>235</v>
      </c>
      <c r="C22" s="80" t="s">
        <v>464</v>
      </c>
      <c r="D22" s="1233"/>
      <c r="E22" s="86">
        <v>25.521008403361336</v>
      </c>
      <c r="F22" s="86">
        <v>9</v>
      </c>
      <c r="G22" s="86">
        <v>0</v>
      </c>
      <c r="H22" s="86">
        <v>5</v>
      </c>
      <c r="I22" s="82">
        <f t="shared" si="0"/>
        <v>39.521008403361336</v>
      </c>
      <c r="J22" s="81">
        <v>0</v>
      </c>
      <c r="K22" s="81">
        <v>0.58333333333333337</v>
      </c>
      <c r="L22" s="81">
        <v>0</v>
      </c>
      <c r="M22" s="81">
        <v>0.58333333333333337</v>
      </c>
      <c r="N22" s="82">
        <f t="shared" si="1"/>
        <v>1.1666666666666667</v>
      </c>
      <c r="O22" s="82">
        <f t="shared" si="2"/>
        <v>25.521008403361336</v>
      </c>
      <c r="P22" s="82">
        <f t="shared" si="2"/>
        <v>9.5833333333333339</v>
      </c>
      <c r="Q22" s="82">
        <f t="shared" si="2"/>
        <v>0</v>
      </c>
      <c r="R22" s="82">
        <f t="shared" si="2"/>
        <v>5.583333333333333</v>
      </c>
      <c r="S22" s="93">
        <f t="shared" si="3"/>
        <v>40.687675070028007</v>
      </c>
      <c r="T22" s="81">
        <v>8.75</v>
      </c>
      <c r="U22" s="81">
        <v>7.25</v>
      </c>
      <c r="V22" s="81">
        <v>1</v>
      </c>
      <c r="W22" s="81">
        <v>4.333333333333333</v>
      </c>
      <c r="X22" s="93">
        <f t="shared" si="4"/>
        <v>21.333333333333332</v>
      </c>
      <c r="Y22" s="81">
        <v>8.75</v>
      </c>
      <c r="Z22" s="81">
        <v>7.25</v>
      </c>
      <c r="AA22" s="81">
        <v>1</v>
      </c>
      <c r="AB22" s="81">
        <v>4.333333333333333</v>
      </c>
      <c r="AC22" s="82">
        <f t="shared" si="5"/>
        <v>21.333333333333332</v>
      </c>
      <c r="AD22" s="82">
        <f>(Y22*7800+Z22*5750+AA22*5295+AB22*4400)*12</f>
        <v>1611590</v>
      </c>
      <c r="AE22" s="82">
        <f t="shared" ref="AE22" si="22">AC22*4320</f>
        <v>92160</v>
      </c>
      <c r="AF22" s="82">
        <f t="shared" ref="AF22" si="23">AC22*6000</f>
        <v>128000</v>
      </c>
      <c r="AG22" s="82">
        <f t="shared" ref="AG22" si="24">AC22*2400</f>
        <v>51200</v>
      </c>
      <c r="AH22" s="82">
        <f>Y22*15400+(Z22+AA22+AB22)*9400</f>
        <v>253033.33333333331</v>
      </c>
      <c r="AI22" s="82">
        <f t="shared" ref="AI22" si="25">AC22*800</f>
        <v>17066.666666666664</v>
      </c>
      <c r="AJ22" s="82">
        <f t="shared" ref="AJ22" si="26">D22*50*200</f>
        <v>0</v>
      </c>
      <c r="AK22" s="82">
        <f t="shared" ref="AK22" si="27">AC22*960</f>
        <v>20480</v>
      </c>
      <c r="AL22" s="82">
        <f t="shared" ref="AL22" si="28">ROUND((7384*0.342*AC22*6+7460*0.342*AC22*6),2)</f>
        <v>649810.93999999994</v>
      </c>
      <c r="AM22" s="82">
        <f t="shared" si="21"/>
        <v>2823340.94</v>
      </c>
      <c r="AN22" s="82">
        <v>2701613.64</v>
      </c>
      <c r="AO22" s="82">
        <v>7400</v>
      </c>
      <c r="AP22" s="82">
        <v>105444.5</v>
      </c>
      <c r="AQ22" s="121">
        <f t="shared" ref="AQ22" si="29">AN22+AO22+AP22</f>
        <v>2814458.14</v>
      </c>
      <c r="AR22" s="1230">
        <v>3326322</v>
      </c>
      <c r="AS22" s="1230"/>
      <c r="AT22" s="1230">
        <f t="shared" ref="AT22" si="30">AR22-AS22</f>
        <v>3326322</v>
      </c>
      <c r="AU22" s="121">
        <f t="shared" ref="AU22" si="31">AQ22-AR22</f>
        <v>-511863.85999999987</v>
      </c>
      <c r="AV22" s="174"/>
      <c r="AW22" s="1232">
        <f t="shared" si="19"/>
        <v>-511863.85999999987</v>
      </c>
      <c r="AX22" s="1339"/>
      <c r="AY22" s="1339"/>
      <c r="AZ22" s="1340"/>
    </row>
    <row r="23" spans="1:52" s="85" customFormat="1" ht="45" customHeight="1">
      <c r="A23" s="1225"/>
      <c r="B23" s="1225" t="s">
        <v>697</v>
      </c>
      <c r="C23" s="1225"/>
      <c r="D23" s="1234">
        <f t="shared" ref="D23:AW23" si="32">SUM(D5:D22)</f>
        <v>15</v>
      </c>
      <c r="E23" s="84">
        <f t="shared" si="32"/>
        <v>346.64840118186981</v>
      </c>
      <c r="F23" s="84">
        <f t="shared" si="32"/>
        <v>134</v>
      </c>
      <c r="G23" s="84">
        <f t="shared" si="32"/>
        <v>243.08750000000001</v>
      </c>
      <c r="H23" s="84">
        <f t="shared" si="32"/>
        <v>82</v>
      </c>
      <c r="I23" s="84">
        <f t="shared" si="32"/>
        <v>805.73590118186974</v>
      </c>
      <c r="J23" s="84">
        <f t="shared" si="32"/>
        <v>37.166666666666664</v>
      </c>
      <c r="K23" s="84">
        <f t="shared" si="32"/>
        <v>8.3833333333333329</v>
      </c>
      <c r="L23" s="84">
        <f t="shared" si="32"/>
        <v>13.25</v>
      </c>
      <c r="M23" s="84">
        <f t="shared" si="32"/>
        <v>9.0833333333333339</v>
      </c>
      <c r="N23" s="84">
        <f t="shared" si="32"/>
        <v>67.883333333333326</v>
      </c>
      <c r="O23" s="84">
        <f t="shared" si="32"/>
        <v>383.81506784853644</v>
      </c>
      <c r="P23" s="84">
        <f t="shared" si="32"/>
        <v>142.38333333333335</v>
      </c>
      <c r="Q23" s="84">
        <f t="shared" si="32"/>
        <v>256.33749999999998</v>
      </c>
      <c r="R23" s="84">
        <f t="shared" si="32"/>
        <v>91.083333333333329</v>
      </c>
      <c r="S23" s="1237">
        <f t="shared" si="32"/>
        <v>873.61923451520317</v>
      </c>
      <c r="T23" s="84">
        <f t="shared" si="32"/>
        <v>145.08333333333334</v>
      </c>
      <c r="U23" s="84">
        <f t="shared" si="32"/>
        <v>99.083333333333314</v>
      </c>
      <c r="V23" s="84">
        <f t="shared" si="32"/>
        <v>262.66666666666663</v>
      </c>
      <c r="W23" s="84">
        <f t="shared" si="32"/>
        <v>98.5</v>
      </c>
      <c r="X23" s="1237">
        <f t="shared" si="32"/>
        <v>605.33333333333348</v>
      </c>
      <c r="Y23" s="84">
        <f t="shared" si="32"/>
        <v>149.57051282051285</v>
      </c>
      <c r="Z23" s="84">
        <f t="shared" si="32"/>
        <v>96.749999999999986</v>
      </c>
      <c r="AA23" s="84">
        <f t="shared" si="32"/>
        <v>259.16249999999997</v>
      </c>
      <c r="AB23" s="84">
        <f t="shared" si="32"/>
        <v>99.5</v>
      </c>
      <c r="AC23" s="84">
        <f t="shared" si="32"/>
        <v>604.98301282051295</v>
      </c>
      <c r="AD23" s="84">
        <f t="shared" si="32"/>
        <v>41013489.096153848</v>
      </c>
      <c r="AE23" s="84">
        <f t="shared" si="32"/>
        <v>2613526.6153846155</v>
      </c>
      <c r="AF23" s="84">
        <f t="shared" si="32"/>
        <v>3629898.076923077</v>
      </c>
      <c r="AG23" s="84">
        <f t="shared" si="32"/>
        <v>1451959.2307692308</v>
      </c>
      <c r="AH23" s="84">
        <f t="shared" si="32"/>
        <v>5902840.32051282</v>
      </c>
      <c r="AI23" s="84">
        <f t="shared" si="32"/>
        <v>483986.41025641025</v>
      </c>
      <c r="AJ23" s="84">
        <f t="shared" si="32"/>
        <v>150000</v>
      </c>
      <c r="AK23" s="84">
        <f t="shared" si="32"/>
        <v>580783.69230769225</v>
      </c>
      <c r="AL23" s="84">
        <f t="shared" si="32"/>
        <v>18427714.780000001</v>
      </c>
      <c r="AM23" s="84">
        <f t="shared" si="32"/>
        <v>74254198.222307682</v>
      </c>
      <c r="AN23" s="84">
        <f t="shared" si="32"/>
        <v>71904636.510000005</v>
      </c>
      <c r="AO23" s="84">
        <f t="shared" si="32"/>
        <v>602375.62</v>
      </c>
      <c r="AP23" s="84">
        <f t="shared" si="32"/>
        <v>1158107.625</v>
      </c>
      <c r="AQ23" s="84">
        <f t="shared" si="32"/>
        <v>73665119.75500001</v>
      </c>
      <c r="AR23" s="84">
        <f t="shared" si="32"/>
        <v>64431655.75</v>
      </c>
      <c r="AS23" s="84">
        <f t="shared" si="32"/>
        <v>2304570.71</v>
      </c>
      <c r="AT23" s="84">
        <f t="shared" si="32"/>
        <v>62127085.039999999</v>
      </c>
      <c r="AU23" s="84">
        <f t="shared" si="32"/>
        <v>9233464.0050000008</v>
      </c>
      <c r="AV23" s="84">
        <f t="shared" si="32"/>
        <v>1080000</v>
      </c>
      <c r="AW23" s="84">
        <f t="shared" si="32"/>
        <v>8153464.0050000008</v>
      </c>
      <c r="AX23" s="1341">
        <f t="shared" ref="AX23:AZ23" si="33">SUM(AX5:AX22)</f>
        <v>0</v>
      </c>
      <c r="AY23" s="1341">
        <f t="shared" si="33"/>
        <v>300000</v>
      </c>
      <c r="AZ23" s="1341">
        <f t="shared" si="33"/>
        <v>-300000</v>
      </c>
    </row>
  </sheetData>
  <autoFilter ref="A4:AV23"/>
  <mergeCells count="16">
    <mergeCell ref="B2:AZ2"/>
    <mergeCell ref="A1:AZ1"/>
    <mergeCell ref="AX3:AZ3"/>
    <mergeCell ref="AR3:AT3"/>
    <mergeCell ref="AU3:AW3"/>
    <mergeCell ref="A3:A4"/>
    <mergeCell ref="B3:B4"/>
    <mergeCell ref="C3:C4"/>
    <mergeCell ref="D3:D4"/>
    <mergeCell ref="E3:I3"/>
    <mergeCell ref="J3:N3"/>
    <mergeCell ref="O3:S3"/>
    <mergeCell ref="T3:X3"/>
    <mergeCell ref="Y3:AC3"/>
    <mergeCell ref="AD3:AM3"/>
    <mergeCell ref="AN3:AQ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0" orientation="landscape" r:id="rId1"/>
  <headerFooter>
    <oddFooter>第 &amp;P 页，共 &amp;N 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opLeftCell="A46" workbookViewId="0">
      <selection activeCell="F67" sqref="F67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57" customFormat="1" ht="24.95" customHeight="1">
      <c r="A1" s="1637" t="s">
        <v>3202</v>
      </c>
      <c r="B1" s="1638"/>
      <c r="C1" s="1638"/>
      <c r="D1" s="1638"/>
      <c r="E1" s="1638"/>
      <c r="F1" s="1639"/>
      <c r="G1" s="1639"/>
    </row>
    <row r="2" spans="1:7" s="95" customFormat="1" ht="20.100000000000001" customHeight="1">
      <c r="A2" s="1640" t="s">
        <v>3244</v>
      </c>
      <c r="B2" s="1641"/>
      <c r="C2" s="1641"/>
      <c r="D2" s="1641"/>
      <c r="E2" s="1641"/>
      <c r="F2" s="1641"/>
      <c r="G2" s="1641"/>
    </row>
    <row r="3" spans="1:7" s="744" customFormat="1" ht="19.5" customHeight="1">
      <c r="A3" s="1258" t="s">
        <v>253</v>
      </c>
      <c r="B3" s="1258" t="s">
        <v>737</v>
      </c>
      <c r="C3" s="1258" t="s">
        <v>3203</v>
      </c>
      <c r="D3" s="1258" t="s">
        <v>738</v>
      </c>
      <c r="E3" s="1258" t="s">
        <v>739</v>
      </c>
      <c r="F3" s="1258" t="s">
        <v>3204</v>
      </c>
      <c r="G3" s="1258" t="s">
        <v>3205</v>
      </c>
    </row>
    <row r="4" spans="1:7" s="744" customFormat="1" ht="19.5" customHeight="1">
      <c r="A4" s="1258" t="s">
        <v>740</v>
      </c>
      <c r="B4" s="1263" t="s">
        <v>741</v>
      </c>
      <c r="C4" s="1263" t="s">
        <v>460</v>
      </c>
      <c r="D4" s="1259">
        <v>189518.7</v>
      </c>
      <c r="E4" s="1259">
        <f>ROUND(D4*1.1,2)</f>
        <v>208470.57</v>
      </c>
      <c r="F4" s="1258">
        <v>193683.31</v>
      </c>
      <c r="G4" s="1259">
        <f>F4-E4</f>
        <v>-14787.260000000009</v>
      </c>
    </row>
    <row r="5" spans="1:7" s="744" customFormat="1" ht="19.5" customHeight="1">
      <c r="A5" s="1258" t="s">
        <v>740</v>
      </c>
      <c r="B5" s="1263" t="s">
        <v>742</v>
      </c>
      <c r="C5" s="1263" t="s">
        <v>460</v>
      </c>
      <c r="D5" s="1259">
        <v>129269.9</v>
      </c>
      <c r="E5" s="1259">
        <f t="shared" ref="E5:E68" si="0">ROUND(D5*1.1,2)</f>
        <v>142196.89000000001</v>
      </c>
      <c r="F5" s="1258">
        <v>131951.76999999999</v>
      </c>
      <c r="G5" s="1259">
        <f t="shared" ref="G5:G8" si="1">F5-E5</f>
        <v>-10245.120000000024</v>
      </c>
    </row>
    <row r="6" spans="1:7" s="744" customFormat="1" ht="19.5" customHeight="1">
      <c r="A6" s="1258" t="s">
        <v>740</v>
      </c>
      <c r="B6" s="1263" t="s">
        <v>743</v>
      </c>
      <c r="C6" s="1263" t="s">
        <v>460</v>
      </c>
      <c r="D6" s="1259">
        <v>69546.2</v>
      </c>
      <c r="E6" s="1259">
        <f t="shared" si="0"/>
        <v>76500.820000000007</v>
      </c>
      <c r="F6" s="1258">
        <v>74522.509999999995</v>
      </c>
      <c r="G6" s="1259">
        <f t="shared" si="1"/>
        <v>-1978.3100000000122</v>
      </c>
    </row>
    <row r="7" spans="1:7" s="744" customFormat="1" ht="19.5" customHeight="1">
      <c r="A7" s="1258" t="s">
        <v>740</v>
      </c>
      <c r="B7" s="1263" t="s">
        <v>744</v>
      </c>
      <c r="C7" s="1263" t="s">
        <v>3071</v>
      </c>
      <c r="D7" s="1259"/>
      <c r="E7" s="1259">
        <f t="shared" si="0"/>
        <v>0</v>
      </c>
      <c r="F7" s="1258"/>
      <c r="G7" s="1259">
        <f t="shared" si="1"/>
        <v>0</v>
      </c>
    </row>
    <row r="8" spans="1:7" s="744" customFormat="1" ht="19.5" customHeight="1">
      <c r="A8" s="1258" t="s">
        <v>740</v>
      </c>
      <c r="B8" s="247" t="s">
        <v>244</v>
      </c>
      <c r="C8" s="247" t="s">
        <v>2381</v>
      </c>
      <c r="D8" s="1259">
        <v>396192.1</v>
      </c>
      <c r="E8" s="1259">
        <f t="shared" si="0"/>
        <v>435811.31</v>
      </c>
      <c r="F8" s="1260"/>
      <c r="G8" s="1259">
        <f t="shared" si="1"/>
        <v>-435811.31</v>
      </c>
    </row>
    <row r="9" spans="1:7" s="744" customFormat="1" ht="19.5" customHeight="1">
      <c r="A9" s="1261" t="s">
        <v>254</v>
      </c>
      <c r="B9" s="1262"/>
      <c r="C9" s="1262"/>
      <c r="D9" s="1259">
        <f>SUM(D4:D8)</f>
        <v>784526.89999999991</v>
      </c>
      <c r="E9" s="1259">
        <f>SUM(E4:E8)</f>
        <v>862979.59000000008</v>
      </c>
      <c r="F9" s="1259">
        <f t="shared" ref="F9:G9" si="2">SUM(F4:F8)</f>
        <v>400157.58999999997</v>
      </c>
      <c r="G9" s="1259">
        <f t="shared" si="2"/>
        <v>-462822.00000000006</v>
      </c>
    </row>
    <row r="10" spans="1:7" s="744" customFormat="1" ht="19.5" customHeight="1">
      <c r="A10" s="1258" t="s">
        <v>745</v>
      </c>
      <c r="B10" s="1262" t="s">
        <v>165</v>
      </c>
      <c r="C10" s="1262" t="s">
        <v>463</v>
      </c>
      <c r="D10" s="1259">
        <v>209862.5</v>
      </c>
      <c r="E10" s="1259">
        <f t="shared" si="0"/>
        <v>230848.75</v>
      </c>
      <c r="F10" s="1258">
        <v>208304.27</v>
      </c>
      <c r="G10" s="1259">
        <f>F10-E10</f>
        <v>-22544.48000000001</v>
      </c>
    </row>
    <row r="11" spans="1:7" s="744" customFormat="1" ht="19.5" customHeight="1">
      <c r="A11" s="1258" t="s">
        <v>745</v>
      </c>
      <c r="B11" s="1262" t="s">
        <v>166</v>
      </c>
      <c r="C11" s="1262" t="s">
        <v>460</v>
      </c>
      <c r="D11" s="1259">
        <v>42995.4</v>
      </c>
      <c r="E11" s="1259">
        <f t="shared" si="0"/>
        <v>47294.94</v>
      </c>
      <c r="F11" s="1258">
        <v>43832.26</v>
      </c>
      <c r="G11" s="1259">
        <f t="shared" ref="G11:G14" si="3">F11-E11</f>
        <v>-3462.6800000000003</v>
      </c>
    </row>
    <row r="12" spans="1:7" s="744" customFormat="1" ht="19.5" customHeight="1">
      <c r="A12" s="1258" t="s">
        <v>745</v>
      </c>
      <c r="B12" s="1262" t="s">
        <v>167</v>
      </c>
      <c r="C12" s="1262" t="s">
        <v>460</v>
      </c>
      <c r="D12" s="1259">
        <v>93588.800000000003</v>
      </c>
      <c r="E12" s="1259">
        <f t="shared" si="0"/>
        <v>102947.68</v>
      </c>
      <c r="F12" s="1258">
        <v>100267.45</v>
      </c>
      <c r="G12" s="1259">
        <f t="shared" si="3"/>
        <v>-2680.2299999999959</v>
      </c>
    </row>
    <row r="13" spans="1:7" s="744" customFormat="1" ht="19.5" customHeight="1">
      <c r="A13" s="1258" t="s">
        <v>745</v>
      </c>
      <c r="B13" s="1262" t="s">
        <v>168</v>
      </c>
      <c r="C13" s="1262" t="s">
        <v>460</v>
      </c>
      <c r="D13" s="1259">
        <v>131567.6</v>
      </c>
      <c r="E13" s="1259">
        <f t="shared" si="0"/>
        <v>144724.35999999999</v>
      </c>
      <c r="F13" s="1258">
        <v>147012.81</v>
      </c>
      <c r="G13" s="1259">
        <f t="shared" si="3"/>
        <v>2288.4500000000116</v>
      </c>
    </row>
    <row r="14" spans="1:7" s="744" customFormat="1" ht="19.5" customHeight="1">
      <c r="A14" s="1258" t="s">
        <v>745</v>
      </c>
      <c r="B14" s="1262" t="s">
        <v>169</v>
      </c>
      <c r="C14" s="1262" t="s">
        <v>3071</v>
      </c>
      <c r="D14" s="1259">
        <v>16092</v>
      </c>
      <c r="E14" s="1259">
        <f t="shared" si="0"/>
        <v>17701.2</v>
      </c>
      <c r="F14" s="1258">
        <v>13452.99</v>
      </c>
      <c r="G14" s="1259">
        <f t="shared" si="3"/>
        <v>-4248.2100000000009</v>
      </c>
    </row>
    <row r="15" spans="1:7" s="744" customFormat="1" ht="19.5" customHeight="1">
      <c r="A15" s="1261" t="s">
        <v>255</v>
      </c>
      <c r="B15" s="1262"/>
      <c r="C15" s="1262"/>
      <c r="D15" s="1259">
        <f>SUM(D10:D14)</f>
        <v>494106.30000000005</v>
      </c>
      <c r="E15" s="1259">
        <f>SUM(E10:E14)</f>
        <v>543516.92999999993</v>
      </c>
      <c r="F15" s="1259">
        <f t="shared" ref="F15:G15" si="4">SUM(F10:F14)</f>
        <v>512869.77999999997</v>
      </c>
      <c r="G15" s="1259">
        <f t="shared" si="4"/>
        <v>-30647.149999999994</v>
      </c>
    </row>
    <row r="16" spans="1:7" s="744" customFormat="1" ht="19.5" customHeight="1">
      <c r="A16" s="1258" t="s">
        <v>746</v>
      </c>
      <c r="B16" s="247" t="s">
        <v>237</v>
      </c>
      <c r="C16" s="247" t="s">
        <v>464</v>
      </c>
      <c r="D16" s="1259">
        <v>865549.6</v>
      </c>
      <c r="E16" s="1259">
        <f t="shared" si="0"/>
        <v>952104.56</v>
      </c>
      <c r="F16" s="1258">
        <v>924669.67</v>
      </c>
      <c r="G16" s="1259">
        <f>F16-E16</f>
        <v>-27434.890000000014</v>
      </c>
    </row>
    <row r="17" spans="1:7" s="744" customFormat="1" ht="19.5" customHeight="1">
      <c r="A17" s="1258" t="s">
        <v>746</v>
      </c>
      <c r="B17" s="247" t="s">
        <v>238</v>
      </c>
      <c r="C17" s="247" t="s">
        <v>464</v>
      </c>
      <c r="D17" s="1259">
        <v>295481.5</v>
      </c>
      <c r="E17" s="1259">
        <f t="shared" si="0"/>
        <v>325029.65000000002</v>
      </c>
      <c r="F17" s="1258">
        <v>309908.96999999997</v>
      </c>
      <c r="G17" s="1259">
        <f t="shared" ref="G17:G35" si="5">F17-E17</f>
        <v>-15120.680000000051</v>
      </c>
    </row>
    <row r="18" spans="1:7" s="744" customFormat="1" ht="19.5" customHeight="1">
      <c r="A18" s="1258" t="s">
        <v>746</v>
      </c>
      <c r="B18" s="247" t="s">
        <v>236</v>
      </c>
      <c r="C18" s="247" t="s">
        <v>464</v>
      </c>
      <c r="D18" s="1259">
        <v>246474.3</v>
      </c>
      <c r="E18" s="1259">
        <f t="shared" si="0"/>
        <v>271121.73</v>
      </c>
      <c r="F18" s="1258">
        <v>254270.78</v>
      </c>
      <c r="G18" s="1259">
        <f t="shared" si="5"/>
        <v>-16850.949999999983</v>
      </c>
    </row>
    <row r="19" spans="1:7" s="744" customFormat="1" ht="19.5" customHeight="1">
      <c r="A19" s="1258" t="s">
        <v>746</v>
      </c>
      <c r="B19" s="247" t="s">
        <v>239</v>
      </c>
      <c r="C19" s="247" t="s">
        <v>464</v>
      </c>
      <c r="D19" s="1259">
        <v>314137.90000000002</v>
      </c>
      <c r="E19" s="1259">
        <f t="shared" si="0"/>
        <v>345551.69</v>
      </c>
      <c r="F19" s="1258">
        <v>339627.28</v>
      </c>
      <c r="G19" s="1259">
        <f t="shared" si="5"/>
        <v>-5924.4099999999744</v>
      </c>
    </row>
    <row r="20" spans="1:7" s="744" customFormat="1" ht="19.5" customHeight="1">
      <c r="A20" s="1258" t="s">
        <v>746</v>
      </c>
      <c r="B20" s="247" t="s">
        <v>241</v>
      </c>
      <c r="C20" s="247" t="s">
        <v>463</v>
      </c>
      <c r="D20" s="1259">
        <v>1068709.5</v>
      </c>
      <c r="E20" s="1259">
        <f t="shared" si="0"/>
        <v>1175580.45</v>
      </c>
      <c r="F20" s="1258">
        <v>1135887</v>
      </c>
      <c r="G20" s="1259">
        <f t="shared" si="5"/>
        <v>-39693.449999999953</v>
      </c>
    </row>
    <row r="21" spans="1:7" s="744" customFormat="1" ht="19.5" customHeight="1">
      <c r="A21" s="1258" t="s">
        <v>746</v>
      </c>
      <c r="B21" s="247" t="s">
        <v>242</v>
      </c>
      <c r="C21" s="247" t="s">
        <v>463</v>
      </c>
      <c r="D21" s="1259">
        <v>190081.3</v>
      </c>
      <c r="E21" s="1259">
        <f t="shared" si="0"/>
        <v>209089.43</v>
      </c>
      <c r="F21" s="1258">
        <v>191124.42</v>
      </c>
      <c r="G21" s="1259">
        <f t="shared" si="5"/>
        <v>-17965.00999999998</v>
      </c>
    </row>
    <row r="22" spans="1:7" s="744" customFormat="1" ht="19.5" customHeight="1">
      <c r="A22" s="1258" t="s">
        <v>746</v>
      </c>
      <c r="B22" s="247" t="s">
        <v>243</v>
      </c>
      <c r="C22" s="247" t="s">
        <v>463</v>
      </c>
      <c r="D22" s="1259">
        <v>415048.9</v>
      </c>
      <c r="E22" s="1259">
        <f t="shared" si="0"/>
        <v>456553.79</v>
      </c>
      <c r="F22" s="1258">
        <v>436583.54</v>
      </c>
      <c r="G22" s="1259">
        <f t="shared" si="5"/>
        <v>-19970.25</v>
      </c>
    </row>
    <row r="23" spans="1:7" s="744" customFormat="1" ht="19.5" customHeight="1">
      <c r="A23" s="1258" t="s">
        <v>746</v>
      </c>
      <c r="B23" s="247" t="s">
        <v>240</v>
      </c>
      <c r="C23" s="247" t="s">
        <v>463</v>
      </c>
      <c r="D23" s="1259">
        <v>179132.4</v>
      </c>
      <c r="E23" s="1259">
        <f t="shared" si="0"/>
        <v>197045.64</v>
      </c>
      <c r="F23" s="1258">
        <v>183019.23</v>
      </c>
      <c r="G23" s="1259">
        <f t="shared" si="5"/>
        <v>-14026.410000000003</v>
      </c>
    </row>
    <row r="24" spans="1:7" s="744" customFormat="1" ht="19.5" customHeight="1">
      <c r="A24" s="1258" t="s">
        <v>746</v>
      </c>
      <c r="B24" s="247" t="s">
        <v>747</v>
      </c>
      <c r="C24" s="247" t="s">
        <v>463</v>
      </c>
      <c r="D24" s="1259">
        <v>384835.5</v>
      </c>
      <c r="E24" s="1259">
        <f t="shared" si="0"/>
        <v>423319.05</v>
      </c>
      <c r="F24" s="1258">
        <v>417040.48</v>
      </c>
      <c r="G24" s="1259">
        <f t="shared" si="5"/>
        <v>-6278.570000000007</v>
      </c>
    </row>
    <row r="25" spans="1:7" s="744" customFormat="1" ht="19.5" customHeight="1">
      <c r="A25" s="1258" t="s">
        <v>746</v>
      </c>
      <c r="B25" s="1263" t="s">
        <v>748</v>
      </c>
      <c r="C25" s="1263" t="s">
        <v>460</v>
      </c>
      <c r="D25" s="1259">
        <v>267909</v>
      </c>
      <c r="E25" s="1259">
        <f t="shared" si="0"/>
        <v>294699.90000000002</v>
      </c>
      <c r="F25" s="1258">
        <v>283036.45</v>
      </c>
      <c r="G25" s="1259">
        <f t="shared" si="5"/>
        <v>-11663.450000000012</v>
      </c>
    </row>
    <row r="26" spans="1:7" s="744" customFormat="1" ht="19.5" customHeight="1">
      <c r="A26" s="1258" t="s">
        <v>746</v>
      </c>
      <c r="B26" s="1263" t="s">
        <v>749</v>
      </c>
      <c r="C26" s="1263" t="s">
        <v>460</v>
      </c>
      <c r="D26" s="1259">
        <v>124082.2</v>
      </c>
      <c r="E26" s="1259">
        <f t="shared" si="0"/>
        <v>136490.42000000001</v>
      </c>
      <c r="F26" s="1258">
        <v>123145.57</v>
      </c>
      <c r="G26" s="1259">
        <f t="shared" si="5"/>
        <v>-13344.850000000006</v>
      </c>
    </row>
    <row r="27" spans="1:7" s="744" customFormat="1" ht="19.5" customHeight="1">
      <c r="A27" s="1258" t="s">
        <v>746</v>
      </c>
      <c r="B27" s="1263" t="s">
        <v>750</v>
      </c>
      <c r="C27" s="1263" t="s">
        <v>460</v>
      </c>
      <c r="D27" s="1259">
        <v>125060.4</v>
      </c>
      <c r="E27" s="1259">
        <f t="shared" si="0"/>
        <v>137566.44</v>
      </c>
      <c r="F27" s="1258">
        <v>134361.5</v>
      </c>
      <c r="G27" s="1259">
        <f t="shared" si="5"/>
        <v>-3204.9400000000023</v>
      </c>
    </row>
    <row r="28" spans="1:7" s="744" customFormat="1" ht="19.5" customHeight="1">
      <c r="A28" s="1258" t="s">
        <v>746</v>
      </c>
      <c r="B28" s="1263" t="s">
        <v>751</v>
      </c>
      <c r="C28" s="1263" t="s">
        <v>460</v>
      </c>
      <c r="D28" s="1259">
        <v>82606.600000000006</v>
      </c>
      <c r="E28" s="1259">
        <f t="shared" si="0"/>
        <v>90867.26</v>
      </c>
      <c r="F28" s="1258">
        <v>85637.52</v>
      </c>
      <c r="G28" s="1259">
        <f t="shared" si="5"/>
        <v>-5229.7399999999907</v>
      </c>
    </row>
    <row r="29" spans="1:7" s="744" customFormat="1" ht="19.5" customHeight="1">
      <c r="A29" s="1258" t="s">
        <v>746</v>
      </c>
      <c r="B29" s="1263" t="s">
        <v>752</v>
      </c>
      <c r="C29" s="1263" t="s">
        <v>460</v>
      </c>
      <c r="D29" s="1259">
        <v>115195</v>
      </c>
      <c r="E29" s="1259">
        <f t="shared" si="0"/>
        <v>126714.5</v>
      </c>
      <c r="F29" s="1258">
        <v>116543.74</v>
      </c>
      <c r="G29" s="1259">
        <f t="shared" si="5"/>
        <v>-10170.759999999995</v>
      </c>
    </row>
    <row r="30" spans="1:7" s="744" customFormat="1" ht="19.5" customHeight="1">
      <c r="A30" s="1258" t="s">
        <v>746</v>
      </c>
      <c r="B30" s="1263" t="s">
        <v>509</v>
      </c>
      <c r="C30" s="1263" t="s">
        <v>460</v>
      </c>
      <c r="D30" s="1259">
        <v>55772.3</v>
      </c>
      <c r="E30" s="1259">
        <f t="shared" si="0"/>
        <v>61349.53</v>
      </c>
      <c r="F30" s="1258">
        <v>83917.19</v>
      </c>
      <c r="G30" s="1259">
        <f t="shared" si="5"/>
        <v>22567.660000000003</v>
      </c>
    </row>
    <row r="31" spans="1:7" s="744" customFormat="1" ht="19.5" customHeight="1">
      <c r="A31" s="1258" t="s">
        <v>746</v>
      </c>
      <c r="B31" s="1263" t="s">
        <v>511</v>
      </c>
      <c r="C31" s="1263" t="s">
        <v>460</v>
      </c>
      <c r="D31" s="1259">
        <v>46494.9</v>
      </c>
      <c r="E31" s="1259">
        <f t="shared" si="0"/>
        <v>51144.39</v>
      </c>
      <c r="F31" s="1258">
        <v>53683.56</v>
      </c>
      <c r="G31" s="1259">
        <f t="shared" si="5"/>
        <v>2539.1699999999983</v>
      </c>
    </row>
    <row r="32" spans="1:7" s="744" customFormat="1" ht="19.5" customHeight="1">
      <c r="A32" s="1258" t="s">
        <v>746</v>
      </c>
      <c r="B32" s="1263" t="s">
        <v>755</v>
      </c>
      <c r="C32" s="1263" t="s">
        <v>460</v>
      </c>
      <c r="D32" s="1259">
        <v>225245.2</v>
      </c>
      <c r="E32" s="1259">
        <f t="shared" si="0"/>
        <v>247769.72</v>
      </c>
      <c r="F32" s="1258">
        <v>14121.14</v>
      </c>
      <c r="G32" s="1259">
        <f t="shared" si="5"/>
        <v>-233648.58000000002</v>
      </c>
    </row>
    <row r="33" spans="1:7" s="744" customFormat="1" ht="19.5" customHeight="1">
      <c r="A33" s="1258" t="s">
        <v>746</v>
      </c>
      <c r="B33" s="1263" t="s">
        <v>513</v>
      </c>
      <c r="C33" s="1263" t="s">
        <v>460</v>
      </c>
      <c r="D33" s="1259">
        <v>26357</v>
      </c>
      <c r="E33" s="1259">
        <f t="shared" si="0"/>
        <v>28992.7</v>
      </c>
      <c r="F33" s="1258">
        <v>30792.94</v>
      </c>
      <c r="G33" s="1259">
        <f t="shared" si="5"/>
        <v>1800.239999999998</v>
      </c>
    </row>
    <row r="34" spans="1:7" s="744" customFormat="1" ht="19.5" customHeight="1">
      <c r="A34" s="1258" t="s">
        <v>746</v>
      </c>
      <c r="B34" s="1263" t="s">
        <v>265</v>
      </c>
      <c r="C34" s="1263" t="s">
        <v>2381</v>
      </c>
      <c r="D34" s="1259">
        <v>166267.35999999999</v>
      </c>
      <c r="E34" s="1259">
        <f t="shared" si="0"/>
        <v>182894.1</v>
      </c>
      <c r="F34" s="1258">
        <v>275780.02</v>
      </c>
      <c r="G34" s="1259">
        <f t="shared" si="5"/>
        <v>92885.920000000013</v>
      </c>
    </row>
    <row r="35" spans="1:7" s="744" customFormat="1" ht="19.5" customHeight="1">
      <c r="A35" s="1258" t="s">
        <v>746</v>
      </c>
      <c r="B35" s="1263" t="s">
        <v>757</v>
      </c>
      <c r="C35" s="1263" t="s">
        <v>3071</v>
      </c>
      <c r="D35" s="1259">
        <v>23315</v>
      </c>
      <c r="E35" s="1259">
        <f t="shared" si="0"/>
        <v>25646.5</v>
      </c>
      <c r="F35" s="1258">
        <v>24003.040000000001</v>
      </c>
      <c r="G35" s="1259">
        <f t="shared" si="5"/>
        <v>-1643.4599999999991</v>
      </c>
    </row>
    <row r="36" spans="1:7" s="744" customFormat="1" ht="19.5" customHeight="1">
      <c r="A36" s="1261" t="s">
        <v>256</v>
      </c>
      <c r="B36" s="1262"/>
      <c r="C36" s="1262"/>
      <c r="D36" s="1259">
        <f>SUM(D16:D35)</f>
        <v>5217755.8600000013</v>
      </c>
      <c r="E36" s="1259">
        <f>SUM(E16:E35)</f>
        <v>5739531.4500000002</v>
      </c>
      <c r="F36" s="1259">
        <f t="shared" ref="F36:G36" si="6">SUM(F16:F35)</f>
        <v>5417154.04</v>
      </c>
      <c r="G36" s="1259">
        <f t="shared" si="6"/>
        <v>-322377.40999999997</v>
      </c>
    </row>
    <row r="37" spans="1:7" s="744" customFormat="1" ht="19.5" customHeight="1">
      <c r="A37" s="1258" t="s">
        <v>758</v>
      </c>
      <c r="B37" s="247" t="s">
        <v>227</v>
      </c>
      <c r="C37" s="247" t="s">
        <v>464</v>
      </c>
      <c r="D37" s="1259">
        <v>275160.5</v>
      </c>
      <c r="E37" s="1259">
        <f t="shared" si="0"/>
        <v>302676.55</v>
      </c>
      <c r="F37" s="1258">
        <v>274838.28999999998</v>
      </c>
      <c r="G37" s="1259">
        <f>F37-E37</f>
        <v>-27838.260000000009</v>
      </c>
    </row>
    <row r="38" spans="1:7" s="744" customFormat="1" ht="19.5" customHeight="1">
      <c r="A38" s="1258" t="s">
        <v>758</v>
      </c>
      <c r="B38" s="247" t="s">
        <v>228</v>
      </c>
      <c r="C38" s="247" t="s">
        <v>464</v>
      </c>
      <c r="D38" s="1259">
        <v>266052.40000000002</v>
      </c>
      <c r="E38" s="1259">
        <f t="shared" si="0"/>
        <v>292657.64</v>
      </c>
      <c r="F38" s="1258">
        <v>276102.53999999998</v>
      </c>
      <c r="G38" s="1259">
        <f t="shared" ref="G38:G55" si="7">F38-E38</f>
        <v>-16555.100000000035</v>
      </c>
    </row>
    <row r="39" spans="1:7" s="744" customFormat="1" ht="19.5" customHeight="1">
      <c r="A39" s="1258" t="s">
        <v>758</v>
      </c>
      <c r="B39" s="1263" t="s">
        <v>230</v>
      </c>
      <c r="C39" s="1263" t="s">
        <v>2381</v>
      </c>
      <c r="D39" s="1259">
        <v>190670.4</v>
      </c>
      <c r="E39" s="1259">
        <f t="shared" si="0"/>
        <v>209737.44</v>
      </c>
      <c r="F39" s="1258">
        <v>276047.02</v>
      </c>
      <c r="G39" s="1259">
        <f t="shared" si="7"/>
        <v>66309.580000000016</v>
      </c>
    </row>
    <row r="40" spans="1:7" s="744" customFormat="1" ht="19.5" customHeight="1">
      <c r="A40" s="1258" t="s">
        <v>758</v>
      </c>
      <c r="B40" s="247" t="s">
        <v>229</v>
      </c>
      <c r="C40" s="247" t="s">
        <v>464</v>
      </c>
      <c r="D40" s="1259">
        <v>229771.8</v>
      </c>
      <c r="E40" s="1259">
        <f t="shared" si="0"/>
        <v>252748.98</v>
      </c>
      <c r="F40" s="1258">
        <v>268267.24</v>
      </c>
      <c r="G40" s="1259">
        <f t="shared" si="7"/>
        <v>15518.25999999998</v>
      </c>
    </row>
    <row r="41" spans="1:7" s="744" customFormat="1" ht="19.5" customHeight="1">
      <c r="A41" s="1258" t="s">
        <v>758</v>
      </c>
      <c r="B41" s="1263" t="s">
        <v>235</v>
      </c>
      <c r="C41" s="1263" t="s">
        <v>2381</v>
      </c>
      <c r="D41" s="1259">
        <v>37480</v>
      </c>
      <c r="E41" s="1259">
        <f t="shared" si="0"/>
        <v>41228</v>
      </c>
      <c r="F41" s="1258">
        <v>76843.02</v>
      </c>
      <c r="G41" s="1259">
        <f t="shared" si="7"/>
        <v>35615.020000000004</v>
      </c>
    </row>
    <row r="42" spans="1:7" s="744" customFormat="1" ht="19.5" customHeight="1">
      <c r="A42" s="1258" t="s">
        <v>758</v>
      </c>
      <c r="B42" s="247" t="s">
        <v>231</v>
      </c>
      <c r="C42" s="247" t="s">
        <v>463</v>
      </c>
      <c r="D42" s="1259">
        <v>264193.8</v>
      </c>
      <c r="E42" s="1259">
        <f t="shared" si="0"/>
        <v>290613.18</v>
      </c>
      <c r="F42" s="1258">
        <v>298994.18</v>
      </c>
      <c r="G42" s="1259">
        <f t="shared" si="7"/>
        <v>8381</v>
      </c>
    </row>
    <row r="43" spans="1:7" s="744" customFormat="1" ht="19.5" customHeight="1">
      <c r="A43" s="1258" t="s">
        <v>758</v>
      </c>
      <c r="B43" s="247" t="s">
        <v>232</v>
      </c>
      <c r="C43" s="247" t="s">
        <v>463</v>
      </c>
      <c r="D43" s="1259">
        <v>242458.6</v>
      </c>
      <c r="E43" s="1259">
        <f t="shared" si="0"/>
        <v>266704.46000000002</v>
      </c>
      <c r="F43" s="1258">
        <v>263795.69</v>
      </c>
      <c r="G43" s="1259">
        <f t="shared" si="7"/>
        <v>-2908.7700000000186</v>
      </c>
    </row>
    <row r="44" spans="1:7" s="744" customFormat="1" ht="19.5" customHeight="1">
      <c r="A44" s="1258" t="s">
        <v>758</v>
      </c>
      <c r="B44" s="247" t="s">
        <v>234</v>
      </c>
      <c r="C44" s="247" t="s">
        <v>463</v>
      </c>
      <c r="D44" s="1259">
        <v>149211</v>
      </c>
      <c r="E44" s="1259">
        <f t="shared" si="0"/>
        <v>164132.1</v>
      </c>
      <c r="F44" s="1258">
        <v>177473.63</v>
      </c>
      <c r="G44" s="1259">
        <f t="shared" si="7"/>
        <v>13341.529999999999</v>
      </c>
    </row>
    <row r="45" spans="1:7" s="744" customFormat="1" ht="19.5" customHeight="1">
      <c r="A45" s="1258" t="s">
        <v>758</v>
      </c>
      <c r="B45" s="247" t="s">
        <v>233</v>
      </c>
      <c r="C45" s="247" t="s">
        <v>463</v>
      </c>
      <c r="D45" s="1259">
        <v>265218.40000000002</v>
      </c>
      <c r="E45" s="1259">
        <f t="shared" si="0"/>
        <v>291740.24</v>
      </c>
      <c r="F45" s="1258">
        <v>283463.56</v>
      </c>
      <c r="G45" s="1259">
        <f t="shared" si="7"/>
        <v>-8276.679999999993</v>
      </c>
    </row>
    <row r="46" spans="1:7" s="744" customFormat="1" ht="19.5" customHeight="1">
      <c r="A46" s="1258" t="s">
        <v>758</v>
      </c>
      <c r="B46" s="1262" t="s">
        <v>759</v>
      </c>
      <c r="C46" s="1262" t="s">
        <v>463</v>
      </c>
      <c r="D46" s="1259">
        <v>176846.3</v>
      </c>
      <c r="E46" s="1259">
        <f t="shared" si="0"/>
        <v>194530.93</v>
      </c>
      <c r="F46" s="1258">
        <v>202925.92</v>
      </c>
      <c r="G46" s="1259">
        <f t="shared" si="7"/>
        <v>8394.9900000000198</v>
      </c>
    </row>
    <row r="47" spans="1:7" s="744" customFormat="1" ht="19.5" customHeight="1">
      <c r="A47" s="1258" t="s">
        <v>758</v>
      </c>
      <c r="B47" s="1263" t="s">
        <v>760</v>
      </c>
      <c r="C47" s="1263" t="s">
        <v>460</v>
      </c>
      <c r="D47" s="1259">
        <v>161498.79999999999</v>
      </c>
      <c r="E47" s="1259">
        <f t="shared" si="0"/>
        <v>177648.68</v>
      </c>
      <c r="F47" s="1258">
        <v>170452.59</v>
      </c>
      <c r="G47" s="1259">
        <f t="shared" si="7"/>
        <v>-7196.0899999999965</v>
      </c>
    </row>
    <row r="48" spans="1:7" s="744" customFormat="1" ht="19.5" customHeight="1">
      <c r="A48" s="1258" t="s">
        <v>758</v>
      </c>
      <c r="B48" s="1263" t="s">
        <v>761</v>
      </c>
      <c r="C48" s="1263" t="s">
        <v>460</v>
      </c>
      <c r="D48" s="1259">
        <v>173582.7</v>
      </c>
      <c r="E48" s="1259">
        <f t="shared" si="0"/>
        <v>190940.97</v>
      </c>
      <c r="F48" s="1258">
        <v>185442.83</v>
      </c>
      <c r="G48" s="1259">
        <f t="shared" si="7"/>
        <v>-5498.140000000014</v>
      </c>
    </row>
    <row r="49" spans="1:9" s="744" customFormat="1" ht="19.5" customHeight="1" outlineLevel="2">
      <c r="A49" s="1258" t="s">
        <v>758</v>
      </c>
      <c r="B49" s="1263" t="s">
        <v>537</v>
      </c>
      <c r="C49" s="1263" t="s">
        <v>460</v>
      </c>
      <c r="D49" s="1259">
        <v>145546.4</v>
      </c>
      <c r="E49" s="1259">
        <f t="shared" si="0"/>
        <v>160101.04</v>
      </c>
      <c r="F49" s="1258">
        <v>161768.26</v>
      </c>
      <c r="G49" s="1259">
        <f t="shared" si="7"/>
        <v>1667.2200000000012</v>
      </c>
    </row>
    <row r="50" spans="1:9" s="744" customFormat="1" ht="19.5" customHeight="1" outlineLevel="2">
      <c r="A50" s="1258" t="s">
        <v>758</v>
      </c>
      <c r="B50" s="1263" t="s">
        <v>763</v>
      </c>
      <c r="C50" s="1263" t="s">
        <v>460</v>
      </c>
      <c r="D50" s="1259">
        <v>48239.5</v>
      </c>
      <c r="E50" s="1259">
        <f t="shared" si="0"/>
        <v>53063.45</v>
      </c>
      <c r="F50" s="1258">
        <v>56119.48</v>
      </c>
      <c r="G50" s="1259">
        <f t="shared" si="7"/>
        <v>3056.0300000000061</v>
      </c>
    </row>
    <row r="51" spans="1:9" s="744" customFormat="1" ht="19.5" customHeight="1" outlineLevel="2">
      <c r="A51" s="1258" t="s">
        <v>758</v>
      </c>
      <c r="B51" s="1263" t="s">
        <v>764</v>
      </c>
      <c r="C51" s="1263" t="s">
        <v>460</v>
      </c>
      <c r="D51" s="1259">
        <v>62856.6</v>
      </c>
      <c r="E51" s="1259">
        <f t="shared" si="0"/>
        <v>69142.259999999995</v>
      </c>
      <c r="F51" s="1258">
        <v>69282.89</v>
      </c>
      <c r="G51" s="1259">
        <f t="shared" si="7"/>
        <v>140.63000000000466</v>
      </c>
    </row>
    <row r="52" spans="1:9" s="744" customFormat="1" ht="19.5" customHeight="1" outlineLevel="2">
      <c r="A52" s="1258" t="s">
        <v>758</v>
      </c>
      <c r="B52" s="1263" t="s">
        <v>535</v>
      </c>
      <c r="C52" s="1263" t="s">
        <v>460</v>
      </c>
      <c r="D52" s="1259">
        <v>60660.1</v>
      </c>
      <c r="E52" s="1259">
        <f t="shared" si="0"/>
        <v>66726.11</v>
      </c>
      <c r="F52" s="1258">
        <v>71718.95</v>
      </c>
      <c r="G52" s="1259">
        <f t="shared" si="7"/>
        <v>4992.8399999999965</v>
      </c>
    </row>
    <row r="53" spans="1:9" s="744" customFormat="1" ht="19.5" customHeight="1" outlineLevel="2">
      <c r="A53" s="1258" t="s">
        <v>758</v>
      </c>
      <c r="B53" s="1263" t="s">
        <v>766</v>
      </c>
      <c r="C53" s="1263" t="s">
        <v>460</v>
      </c>
      <c r="D53" s="1259">
        <v>104392.9</v>
      </c>
      <c r="E53" s="1259">
        <f t="shared" si="0"/>
        <v>114832.19</v>
      </c>
      <c r="F53" s="1258">
        <v>114132.01</v>
      </c>
      <c r="G53" s="1259">
        <f t="shared" si="7"/>
        <v>-700.18000000000757</v>
      </c>
    </row>
    <row r="54" spans="1:9" s="744" customFormat="1" ht="19.5" customHeight="1" outlineLevel="2">
      <c r="A54" s="1258" t="s">
        <v>758</v>
      </c>
      <c r="B54" s="1263" t="s">
        <v>767</v>
      </c>
      <c r="C54" s="1263" t="s">
        <v>460</v>
      </c>
      <c r="D54" s="1259">
        <v>99826.2</v>
      </c>
      <c r="E54" s="1259">
        <f t="shared" si="0"/>
        <v>109808.82</v>
      </c>
      <c r="F54" s="1258">
        <v>113054.15</v>
      </c>
      <c r="G54" s="1259">
        <f t="shared" si="7"/>
        <v>3245.3299999999872</v>
      </c>
    </row>
    <row r="55" spans="1:9" s="744" customFormat="1" ht="19.5" customHeight="1" outlineLevel="2">
      <c r="A55" s="1258" t="s">
        <v>758</v>
      </c>
      <c r="B55" s="1263" t="s">
        <v>768</v>
      </c>
      <c r="C55" s="1263" t="s">
        <v>3071</v>
      </c>
      <c r="D55" s="1259">
        <v>18453.5</v>
      </c>
      <c r="E55" s="1259">
        <f t="shared" si="0"/>
        <v>20298.849999999999</v>
      </c>
      <c r="F55" s="1258">
        <v>17328.55</v>
      </c>
      <c r="G55" s="1259">
        <f t="shared" si="7"/>
        <v>-2970.2999999999993</v>
      </c>
    </row>
    <row r="56" spans="1:9" s="744" customFormat="1" ht="19.5" customHeight="1" outlineLevel="1">
      <c r="A56" s="1261" t="s">
        <v>257</v>
      </c>
      <c r="B56" s="1262"/>
      <c r="C56" s="1262"/>
      <c r="D56" s="1259">
        <f>SUM(D37:D55)</f>
        <v>2972119.9000000008</v>
      </c>
      <c r="E56" s="1259">
        <f>SUM(E37:E55)</f>
        <v>3269331.89</v>
      </c>
      <c r="F56" s="1259">
        <f t="shared" ref="F56:G56" si="8">SUM(F37:F55)</f>
        <v>3358050.7999999993</v>
      </c>
      <c r="G56" s="1259">
        <f t="shared" si="8"/>
        <v>88718.909999999945</v>
      </c>
    </row>
    <row r="57" spans="1:9" s="744" customFormat="1" ht="19.5" customHeight="1" outlineLevel="2">
      <c r="A57" s="1258" t="s">
        <v>769</v>
      </c>
      <c r="B57" s="1262" t="s">
        <v>770</v>
      </c>
      <c r="C57" s="1262" t="s">
        <v>2381</v>
      </c>
      <c r="D57" s="1259">
        <v>3192.6</v>
      </c>
      <c r="E57" s="1259">
        <f t="shared" si="0"/>
        <v>3511.86</v>
      </c>
      <c r="F57" s="1258">
        <v>0</v>
      </c>
      <c r="G57" s="1259">
        <f>F57-E57</f>
        <v>-3511.86</v>
      </c>
    </row>
    <row r="58" spans="1:9" s="744" customFormat="1" ht="19.5" customHeight="1" outlineLevel="2">
      <c r="A58" s="1258" t="s">
        <v>769</v>
      </c>
      <c r="B58" s="1262" t="s">
        <v>771</v>
      </c>
      <c r="C58" s="1262" t="s">
        <v>464</v>
      </c>
      <c r="D58" s="1259">
        <v>219612.6</v>
      </c>
      <c r="E58" s="1259">
        <f t="shared" si="0"/>
        <v>241573.86</v>
      </c>
      <c r="F58" s="1258">
        <v>237285.37</v>
      </c>
      <c r="G58" s="1259">
        <f t="shared" ref="G58:G72" si="9">F58-E58</f>
        <v>-4288.4899999999907</v>
      </c>
    </row>
    <row r="59" spans="1:9" s="744" customFormat="1" ht="19.5" customHeight="1" outlineLevel="2">
      <c r="A59" s="1258" t="s">
        <v>769</v>
      </c>
      <c r="B59" s="1262" t="s">
        <v>380</v>
      </c>
      <c r="C59" s="1262" t="s">
        <v>464</v>
      </c>
      <c r="D59" s="1259">
        <v>221121.5</v>
      </c>
      <c r="E59" s="1259">
        <f t="shared" si="0"/>
        <v>243233.65</v>
      </c>
      <c r="F59" s="1258">
        <v>236628.94</v>
      </c>
      <c r="G59" s="1259">
        <f t="shared" si="9"/>
        <v>-6604.7099999999919</v>
      </c>
      <c r="H59" s="1264"/>
      <c r="I59" s="1264"/>
    </row>
    <row r="60" spans="1:9" s="744" customFormat="1" ht="19.5" customHeight="1" outlineLevel="2">
      <c r="A60" s="1258" t="s">
        <v>769</v>
      </c>
      <c r="B60" s="1262" t="s">
        <v>773</v>
      </c>
      <c r="C60" s="1262" t="s">
        <v>464</v>
      </c>
      <c r="D60" s="1259">
        <v>244049.3</v>
      </c>
      <c r="E60" s="1259">
        <f t="shared" si="0"/>
        <v>268454.23</v>
      </c>
      <c r="F60" s="1258">
        <v>280064.95</v>
      </c>
      <c r="G60" s="1259">
        <f t="shared" si="9"/>
        <v>11610.72000000003</v>
      </c>
      <c r="H60" s="1264"/>
      <c r="I60" s="1264"/>
    </row>
    <row r="61" spans="1:9" s="744" customFormat="1" ht="19.5" customHeight="1" outlineLevel="2">
      <c r="A61" s="1258" t="s">
        <v>769</v>
      </c>
      <c r="B61" s="1262" t="s">
        <v>774</v>
      </c>
      <c r="C61" s="1262" t="s">
        <v>463</v>
      </c>
      <c r="D61" s="1259"/>
      <c r="E61" s="1259">
        <f t="shared" si="0"/>
        <v>0</v>
      </c>
      <c r="F61" s="1258">
        <v>0</v>
      </c>
      <c r="G61" s="1259">
        <f t="shared" si="9"/>
        <v>0</v>
      </c>
      <c r="H61" s="1264"/>
      <c r="I61" s="1264"/>
    </row>
    <row r="62" spans="1:9" s="744" customFormat="1" ht="19.5" customHeight="1" outlineLevel="2">
      <c r="A62" s="1258" t="s">
        <v>769</v>
      </c>
      <c r="B62" s="1262" t="s">
        <v>775</v>
      </c>
      <c r="C62" s="1262" t="s">
        <v>463</v>
      </c>
      <c r="D62" s="1259">
        <v>192547</v>
      </c>
      <c r="E62" s="1259">
        <f t="shared" si="0"/>
        <v>211801.7</v>
      </c>
      <c r="F62" s="1258">
        <v>206131.9</v>
      </c>
      <c r="G62" s="1259">
        <f t="shared" si="9"/>
        <v>-5669.8000000000175</v>
      </c>
      <c r="H62" s="1264"/>
      <c r="I62" s="1264"/>
    </row>
    <row r="63" spans="1:9" s="744" customFormat="1" ht="19.5" customHeight="1" outlineLevel="2">
      <c r="A63" s="1258" t="s">
        <v>769</v>
      </c>
      <c r="B63" s="1262" t="s">
        <v>381</v>
      </c>
      <c r="C63" s="1262" t="s">
        <v>463</v>
      </c>
      <c r="D63" s="1259">
        <v>347807.6</v>
      </c>
      <c r="E63" s="1259">
        <f t="shared" si="0"/>
        <v>382588.36</v>
      </c>
      <c r="F63" s="1258">
        <v>365770.96</v>
      </c>
      <c r="G63" s="1259">
        <f t="shared" si="9"/>
        <v>-16817.399999999965</v>
      </c>
      <c r="H63" s="1264"/>
      <c r="I63" s="1264"/>
    </row>
    <row r="64" spans="1:9" s="744" customFormat="1" ht="19.5" customHeight="1" outlineLevel="2">
      <c r="A64" s="1258" t="s">
        <v>769</v>
      </c>
      <c r="B64" s="1262" t="s">
        <v>777</v>
      </c>
      <c r="C64" s="1262" t="s">
        <v>460</v>
      </c>
      <c r="D64" s="1259">
        <v>165588.1</v>
      </c>
      <c r="E64" s="1259">
        <f t="shared" si="0"/>
        <v>182146.91</v>
      </c>
      <c r="F64" s="1258">
        <v>168421.63</v>
      </c>
      <c r="G64" s="1259">
        <f t="shared" si="9"/>
        <v>-13725.279999999999</v>
      </c>
      <c r="H64" s="1264"/>
      <c r="I64" s="1264"/>
    </row>
    <row r="65" spans="1:9" s="744" customFormat="1" ht="19.5" customHeight="1" outlineLevel="2">
      <c r="A65" s="1258" t="s">
        <v>769</v>
      </c>
      <c r="B65" s="1262" t="s">
        <v>778</v>
      </c>
      <c r="C65" s="1262" t="s">
        <v>460</v>
      </c>
      <c r="D65" s="1259"/>
      <c r="E65" s="1259">
        <f t="shared" si="0"/>
        <v>0</v>
      </c>
      <c r="F65" s="1258">
        <v>0</v>
      </c>
      <c r="G65" s="1259">
        <f t="shared" si="9"/>
        <v>0</v>
      </c>
      <c r="H65" s="1264"/>
      <c r="I65" s="1264"/>
    </row>
    <row r="66" spans="1:9" s="744" customFormat="1" ht="19.5" customHeight="1" outlineLevel="2">
      <c r="A66" s="1258" t="s">
        <v>769</v>
      </c>
      <c r="B66" s="1262" t="s">
        <v>779</v>
      </c>
      <c r="C66" s="1262" t="s">
        <v>460</v>
      </c>
      <c r="D66" s="1259">
        <v>188546.3</v>
      </c>
      <c r="E66" s="1259">
        <f t="shared" si="0"/>
        <v>207400.93</v>
      </c>
      <c r="F66" s="1258">
        <f>196843.49+11109.02</f>
        <v>207952.50999999998</v>
      </c>
      <c r="G66" s="1259">
        <f t="shared" si="9"/>
        <v>551.57999999998719</v>
      </c>
      <c r="H66" s="1264"/>
      <c r="I66" s="1264"/>
    </row>
    <row r="67" spans="1:9" s="744" customFormat="1" ht="19.5" customHeight="1" outlineLevel="2">
      <c r="A67" s="1258" t="s">
        <v>769</v>
      </c>
      <c r="B67" s="1262" t="s">
        <v>780</v>
      </c>
      <c r="C67" s="1262" t="s">
        <v>460</v>
      </c>
      <c r="D67" s="1259">
        <v>132932.79999999999</v>
      </c>
      <c r="E67" s="1259">
        <f t="shared" si="0"/>
        <v>146226.07999999999</v>
      </c>
      <c r="F67" s="1258">
        <v>139052.29</v>
      </c>
      <c r="G67" s="1259">
        <f t="shared" si="9"/>
        <v>-7173.789999999979</v>
      </c>
      <c r="H67" s="1264"/>
      <c r="I67" s="1264"/>
    </row>
    <row r="68" spans="1:9" s="744" customFormat="1" ht="19.5" customHeight="1" outlineLevel="2">
      <c r="A68" s="1258" t="s">
        <v>769</v>
      </c>
      <c r="B68" s="1262" t="s">
        <v>781</v>
      </c>
      <c r="C68" s="1262" t="s">
        <v>460</v>
      </c>
      <c r="D68" s="1259">
        <v>92065.5</v>
      </c>
      <c r="E68" s="1259">
        <f t="shared" si="0"/>
        <v>101272.05</v>
      </c>
      <c r="F68" s="1258">
        <v>133816.59</v>
      </c>
      <c r="G68" s="1259">
        <f t="shared" si="9"/>
        <v>32544.539999999994</v>
      </c>
      <c r="H68" s="1264"/>
      <c r="I68" s="1264"/>
    </row>
    <row r="69" spans="1:9" s="744" customFormat="1" ht="19.5" customHeight="1" outlineLevel="2">
      <c r="A69" s="1258" t="s">
        <v>769</v>
      </c>
      <c r="B69" s="1262" t="s">
        <v>382</v>
      </c>
      <c r="C69" s="1262" t="s">
        <v>460</v>
      </c>
      <c r="D69" s="1259">
        <v>107874.6</v>
      </c>
      <c r="E69" s="1259">
        <f t="shared" ref="E69:E123" si="10">ROUND(D69*1.1,2)</f>
        <v>118662.06</v>
      </c>
      <c r="F69" s="1258">
        <v>115953.9</v>
      </c>
      <c r="G69" s="1259">
        <f t="shared" si="9"/>
        <v>-2708.1600000000035</v>
      </c>
      <c r="H69" s="1264"/>
      <c r="I69" s="1264"/>
    </row>
    <row r="70" spans="1:9" s="744" customFormat="1" ht="19.5" customHeight="1" outlineLevel="2">
      <c r="A70" s="1258" t="s">
        <v>769</v>
      </c>
      <c r="B70" s="1262" t="s">
        <v>783</v>
      </c>
      <c r="C70" s="1262" t="s">
        <v>460</v>
      </c>
      <c r="D70" s="1259">
        <v>42524.1</v>
      </c>
      <c r="E70" s="1259">
        <f t="shared" si="10"/>
        <v>46776.51</v>
      </c>
      <c r="F70" s="1258">
        <v>47815.6</v>
      </c>
      <c r="G70" s="1259">
        <f t="shared" si="9"/>
        <v>1039.0899999999965</v>
      </c>
      <c r="H70" s="1264"/>
      <c r="I70" s="1264"/>
    </row>
    <row r="71" spans="1:9" s="744" customFormat="1" ht="19.5" customHeight="1" outlineLevel="2">
      <c r="A71" s="1258" t="s">
        <v>769</v>
      </c>
      <c r="B71" s="1262" t="s">
        <v>784</v>
      </c>
      <c r="C71" s="1262" t="s">
        <v>460</v>
      </c>
      <c r="D71" s="1259">
        <v>17997.7</v>
      </c>
      <c r="E71" s="1259">
        <f t="shared" si="10"/>
        <v>19797.47</v>
      </c>
      <c r="F71" s="1258">
        <v>24496.799999999999</v>
      </c>
      <c r="G71" s="1259">
        <f t="shared" si="9"/>
        <v>4699.3299999999981</v>
      </c>
      <c r="H71" s="1264"/>
      <c r="I71" s="1264"/>
    </row>
    <row r="72" spans="1:9" s="744" customFormat="1" ht="19.5" customHeight="1" outlineLevel="2">
      <c r="A72" s="1258" t="s">
        <v>769</v>
      </c>
      <c r="B72" s="1262" t="s">
        <v>3206</v>
      </c>
      <c r="C72" s="1262" t="s">
        <v>3071</v>
      </c>
      <c r="D72" s="1259">
        <v>12787.7</v>
      </c>
      <c r="E72" s="1259">
        <f t="shared" si="10"/>
        <v>14066.47</v>
      </c>
      <c r="F72" s="1258">
        <v>13368.02</v>
      </c>
      <c r="G72" s="1259">
        <f t="shared" si="9"/>
        <v>-698.44999999999891</v>
      </c>
      <c r="H72" s="1264"/>
      <c r="I72" s="1264"/>
    </row>
    <row r="73" spans="1:9" s="744" customFormat="1" ht="19.5" customHeight="1" outlineLevel="1">
      <c r="A73" s="1261" t="s">
        <v>258</v>
      </c>
      <c r="B73" s="1262"/>
      <c r="C73" s="1262"/>
      <c r="D73" s="1259">
        <f>SUM(D57:D72)</f>
        <v>1988647.4000000004</v>
      </c>
      <c r="E73" s="1259">
        <f>SUM(E57:E72)</f>
        <v>2187512.14</v>
      </c>
      <c r="F73" s="1259">
        <f t="shared" ref="F73:G73" si="11">SUM(F57:F72)</f>
        <v>2176759.46</v>
      </c>
      <c r="G73" s="1259">
        <f t="shared" si="11"/>
        <v>-10752.67999999994</v>
      </c>
    </row>
    <row r="74" spans="1:9" s="744" customFormat="1" ht="19.5" customHeight="1" outlineLevel="2">
      <c r="A74" s="1258" t="s">
        <v>2726</v>
      </c>
      <c r="B74" s="1263" t="s">
        <v>787</v>
      </c>
      <c r="C74" s="1263" t="s">
        <v>3071</v>
      </c>
      <c r="D74" s="1259">
        <v>31608.51</v>
      </c>
      <c r="E74" s="1259">
        <f t="shared" si="10"/>
        <v>34769.360000000001</v>
      </c>
      <c r="F74" s="1258">
        <v>28672.45</v>
      </c>
      <c r="G74" s="1259">
        <f>F74-E74</f>
        <v>-6096.91</v>
      </c>
    </row>
    <row r="75" spans="1:9" s="744" customFormat="1" ht="19.5" customHeight="1" outlineLevel="2">
      <c r="A75" s="1258" t="s">
        <v>2726</v>
      </c>
      <c r="B75" s="1262" t="s">
        <v>562</v>
      </c>
      <c r="C75" s="1262" t="s">
        <v>2381</v>
      </c>
      <c r="D75" s="1259">
        <v>298061.40000000002</v>
      </c>
      <c r="E75" s="1259">
        <f t="shared" si="10"/>
        <v>327867.53999999998</v>
      </c>
      <c r="F75" s="1258">
        <v>345990.76</v>
      </c>
      <c r="G75" s="1259">
        <f t="shared" ref="G75:G85" si="12">F75-E75</f>
        <v>18123.22000000003</v>
      </c>
    </row>
    <row r="76" spans="1:9" s="744" customFormat="1" ht="19.5" customHeight="1" outlineLevel="2">
      <c r="A76" s="1258" t="s">
        <v>2726</v>
      </c>
      <c r="B76" s="1262" t="s">
        <v>384</v>
      </c>
      <c r="C76" s="1262" t="s">
        <v>2381</v>
      </c>
      <c r="D76" s="1259">
        <v>545717.5</v>
      </c>
      <c r="E76" s="1259">
        <f t="shared" si="10"/>
        <v>600289.25</v>
      </c>
      <c r="F76" s="1258">
        <v>535319.6</v>
      </c>
      <c r="G76" s="1259">
        <f t="shared" si="12"/>
        <v>-64969.650000000023</v>
      </c>
    </row>
    <row r="77" spans="1:9" s="744" customFormat="1" ht="19.5" customHeight="1" outlineLevel="2">
      <c r="A77" s="1258" t="s">
        <v>2726</v>
      </c>
      <c r="B77" s="1262" t="s">
        <v>383</v>
      </c>
      <c r="C77" s="1262" t="s">
        <v>464</v>
      </c>
      <c r="D77" s="1259">
        <v>232820.4</v>
      </c>
      <c r="E77" s="1259">
        <f t="shared" si="10"/>
        <v>256102.44</v>
      </c>
      <c r="F77" s="1258">
        <v>264459.68</v>
      </c>
      <c r="G77" s="1259">
        <f t="shared" si="12"/>
        <v>8357.2399999999907</v>
      </c>
    </row>
    <row r="78" spans="1:9" s="744" customFormat="1" ht="19.5" customHeight="1" outlineLevel="2">
      <c r="A78" s="1258" t="s">
        <v>2726</v>
      </c>
      <c r="B78" s="1262" t="s">
        <v>385</v>
      </c>
      <c r="C78" s="1262" t="s">
        <v>463</v>
      </c>
      <c r="D78" s="1259">
        <v>266762.09999999998</v>
      </c>
      <c r="E78" s="1259">
        <f t="shared" si="10"/>
        <v>293438.31</v>
      </c>
      <c r="F78" s="1258">
        <v>68231.679999999993</v>
      </c>
      <c r="G78" s="1259">
        <f t="shared" si="12"/>
        <v>-225206.63</v>
      </c>
    </row>
    <row r="79" spans="1:9" s="744" customFormat="1" ht="19.5" customHeight="1" outlineLevel="2">
      <c r="A79" s="1258" t="s">
        <v>2726</v>
      </c>
      <c r="B79" s="1262" t="s">
        <v>386</v>
      </c>
      <c r="C79" s="1262" t="s">
        <v>460</v>
      </c>
      <c r="D79" s="1259">
        <v>76232.100000000006</v>
      </c>
      <c r="E79" s="1259">
        <f t="shared" si="10"/>
        <v>83855.31</v>
      </c>
      <c r="F79" s="1258">
        <v>79021.600000000006</v>
      </c>
      <c r="G79" s="1259">
        <f t="shared" si="12"/>
        <v>-4833.7099999999919</v>
      </c>
    </row>
    <row r="80" spans="1:9" s="744" customFormat="1" ht="19.5" customHeight="1" outlineLevel="2">
      <c r="A80" s="1258" t="s">
        <v>2726</v>
      </c>
      <c r="B80" s="1262" t="s">
        <v>390</v>
      </c>
      <c r="C80" s="1262" t="s">
        <v>460</v>
      </c>
      <c r="D80" s="1259">
        <v>60770.2</v>
      </c>
      <c r="E80" s="1259">
        <f t="shared" si="10"/>
        <v>66847.22</v>
      </c>
      <c r="F80" s="1258">
        <v>62807.13</v>
      </c>
      <c r="G80" s="1259">
        <f t="shared" si="12"/>
        <v>-4040.0900000000038</v>
      </c>
    </row>
    <row r="81" spans="1:7" s="744" customFormat="1" ht="19.5" customHeight="1">
      <c r="A81" s="1258" t="s">
        <v>2726</v>
      </c>
      <c r="B81" s="1262" t="s">
        <v>388</v>
      </c>
      <c r="C81" s="1262" t="s">
        <v>460</v>
      </c>
      <c r="D81" s="1259">
        <v>78359.149999999994</v>
      </c>
      <c r="E81" s="1259">
        <f t="shared" si="10"/>
        <v>86195.07</v>
      </c>
      <c r="F81" s="1258">
        <v>69973.06</v>
      </c>
      <c r="G81" s="1259">
        <f t="shared" si="12"/>
        <v>-16222.010000000009</v>
      </c>
    </row>
    <row r="82" spans="1:7" s="744" customFormat="1" ht="19.5" customHeight="1">
      <c r="A82" s="1258" t="s">
        <v>2726</v>
      </c>
      <c r="B82" s="1262" t="s">
        <v>389</v>
      </c>
      <c r="C82" s="1262" t="s">
        <v>460</v>
      </c>
      <c r="D82" s="1259">
        <v>158913</v>
      </c>
      <c r="E82" s="1259">
        <f t="shared" si="10"/>
        <v>174804.3</v>
      </c>
      <c r="F82" s="1258">
        <v>131413.48000000001</v>
      </c>
      <c r="G82" s="1259">
        <f t="shared" si="12"/>
        <v>-43390.819999999978</v>
      </c>
    </row>
    <row r="83" spans="1:7" s="744" customFormat="1" ht="19.5" customHeight="1">
      <c r="A83" s="1258" t="s">
        <v>2726</v>
      </c>
      <c r="B83" s="1262" t="s">
        <v>3207</v>
      </c>
      <c r="C83" s="1262" t="s">
        <v>460</v>
      </c>
      <c r="D83" s="1259">
        <v>83760.2</v>
      </c>
      <c r="E83" s="1259">
        <f t="shared" si="10"/>
        <v>92136.22</v>
      </c>
      <c r="F83" s="1258">
        <v>87074.19</v>
      </c>
      <c r="G83" s="1259">
        <f t="shared" si="12"/>
        <v>-5062.0299999999988</v>
      </c>
    </row>
    <row r="84" spans="1:7" s="744" customFormat="1" ht="19.5" customHeight="1">
      <c r="A84" s="1258" t="s">
        <v>2726</v>
      </c>
      <c r="B84" s="1262" t="s">
        <v>175</v>
      </c>
      <c r="C84" s="1262" t="s">
        <v>460</v>
      </c>
      <c r="D84" s="1259">
        <v>57413.3</v>
      </c>
      <c r="E84" s="1259">
        <f t="shared" si="10"/>
        <v>63154.63</v>
      </c>
      <c r="F84" s="1258">
        <v>71711.95</v>
      </c>
      <c r="G84" s="1259">
        <f t="shared" si="12"/>
        <v>8557.32</v>
      </c>
    </row>
    <row r="85" spans="1:7" s="744" customFormat="1" ht="19.5" customHeight="1">
      <c r="A85" s="1258" t="s">
        <v>2726</v>
      </c>
      <c r="B85" s="1262" t="s">
        <v>387</v>
      </c>
      <c r="C85" s="1262" t="s">
        <v>460</v>
      </c>
      <c r="D85" s="1259">
        <v>57821</v>
      </c>
      <c r="E85" s="1259">
        <f t="shared" si="10"/>
        <v>63603.1</v>
      </c>
      <c r="F85" s="1258">
        <v>64738.79</v>
      </c>
      <c r="G85" s="1259">
        <f t="shared" si="12"/>
        <v>1135.6900000000023</v>
      </c>
    </row>
    <row r="86" spans="1:7" s="744" customFormat="1" ht="19.5" customHeight="1">
      <c r="A86" s="1261" t="s">
        <v>259</v>
      </c>
      <c r="B86" s="1262"/>
      <c r="C86" s="1262"/>
      <c r="D86" s="1259">
        <f>SUM(D74:D85)</f>
        <v>1948238.86</v>
      </c>
      <c r="E86" s="1259">
        <f>SUM(E74:E85)</f>
        <v>2143062.75</v>
      </c>
      <c r="F86" s="1259">
        <f t="shared" ref="F86:G86" si="13">SUM(F74:F85)</f>
        <v>1809414.3699999999</v>
      </c>
      <c r="G86" s="1259">
        <f t="shared" si="13"/>
        <v>-333648.38</v>
      </c>
    </row>
    <row r="87" spans="1:7" s="744" customFormat="1" ht="19.5" customHeight="1">
      <c r="A87" s="1258" t="s">
        <v>1661</v>
      </c>
      <c r="B87" s="1258" t="s">
        <v>3208</v>
      </c>
      <c r="C87" s="1258" t="s">
        <v>2381</v>
      </c>
      <c r="D87" s="1259">
        <v>458185.4</v>
      </c>
      <c r="E87" s="1259">
        <f t="shared" si="10"/>
        <v>504003.94</v>
      </c>
      <c r="F87" s="1258">
        <v>484518.99</v>
      </c>
      <c r="G87" s="1259">
        <f>F87-E87</f>
        <v>-19484.950000000012</v>
      </c>
    </row>
    <row r="88" spans="1:7" s="744" customFormat="1" ht="19.5" customHeight="1">
      <c r="A88" s="1258" t="s">
        <v>1661</v>
      </c>
      <c r="B88" s="1258" t="s">
        <v>3209</v>
      </c>
      <c r="C88" s="1258" t="s">
        <v>2381</v>
      </c>
      <c r="D88" s="1259">
        <v>460477.2</v>
      </c>
      <c r="E88" s="1259">
        <f t="shared" si="10"/>
        <v>506524.92</v>
      </c>
      <c r="F88" s="1258">
        <v>476506.56</v>
      </c>
      <c r="G88" s="1259">
        <f t="shared" ref="G88:G95" si="14">F88-E88</f>
        <v>-30018.359999999986</v>
      </c>
    </row>
    <row r="89" spans="1:7" s="744" customFormat="1" ht="19.5" customHeight="1">
      <c r="A89" s="1258" t="s">
        <v>1661</v>
      </c>
      <c r="B89" s="1258" t="s">
        <v>2351</v>
      </c>
      <c r="C89" s="1258" t="s">
        <v>2381</v>
      </c>
      <c r="D89" s="1259"/>
      <c r="E89" s="1259">
        <f t="shared" si="10"/>
        <v>0</v>
      </c>
      <c r="F89" s="1258"/>
      <c r="G89" s="1259">
        <f t="shared" si="14"/>
        <v>0</v>
      </c>
    </row>
    <row r="90" spans="1:7" s="744" customFormat="1" ht="19.5" customHeight="1">
      <c r="A90" s="1258" t="s">
        <v>1661</v>
      </c>
      <c r="B90" s="1258" t="s">
        <v>3210</v>
      </c>
      <c r="C90" s="1258" t="s">
        <v>460</v>
      </c>
      <c r="D90" s="1259"/>
      <c r="E90" s="1259">
        <f t="shared" si="10"/>
        <v>0</v>
      </c>
      <c r="F90" s="1258"/>
      <c r="G90" s="1259">
        <f t="shared" si="14"/>
        <v>0</v>
      </c>
    </row>
    <row r="91" spans="1:7" s="744" customFormat="1" ht="19.5" customHeight="1">
      <c r="A91" s="1258" t="s">
        <v>1661</v>
      </c>
      <c r="B91" s="1258" t="s">
        <v>3211</v>
      </c>
      <c r="C91" s="1258" t="s">
        <v>460</v>
      </c>
      <c r="D91" s="1259"/>
      <c r="E91" s="1259">
        <f t="shared" si="10"/>
        <v>0</v>
      </c>
      <c r="F91" s="1258"/>
      <c r="G91" s="1259">
        <f t="shared" si="14"/>
        <v>0</v>
      </c>
    </row>
    <row r="92" spans="1:7" s="744" customFormat="1" ht="19.5" customHeight="1">
      <c r="A92" s="1258" t="s">
        <v>1661</v>
      </c>
      <c r="B92" s="1258" t="s">
        <v>3212</v>
      </c>
      <c r="C92" s="1258" t="s">
        <v>460</v>
      </c>
      <c r="D92" s="1259">
        <v>89731.9</v>
      </c>
      <c r="E92" s="1259">
        <f t="shared" si="10"/>
        <v>98705.09</v>
      </c>
      <c r="F92" s="1258">
        <v>103428.98</v>
      </c>
      <c r="G92" s="1259">
        <f t="shared" si="14"/>
        <v>4723.8899999999994</v>
      </c>
    </row>
    <row r="93" spans="1:7" s="744" customFormat="1" ht="19.5" customHeight="1">
      <c r="A93" s="1258" t="s">
        <v>1661</v>
      </c>
      <c r="B93" s="1258" t="s">
        <v>3213</v>
      </c>
      <c r="C93" s="1258" t="s">
        <v>460</v>
      </c>
      <c r="D93" s="1259">
        <v>55548.5</v>
      </c>
      <c r="E93" s="1259">
        <f t="shared" si="10"/>
        <v>61103.35</v>
      </c>
      <c r="F93" s="1260"/>
      <c r="G93" s="1259">
        <f t="shared" si="14"/>
        <v>-61103.35</v>
      </c>
    </row>
    <row r="94" spans="1:7" s="744" customFormat="1" ht="19.5" customHeight="1">
      <c r="A94" s="1258" t="s">
        <v>1661</v>
      </c>
      <c r="B94" s="1258" t="s">
        <v>1042</v>
      </c>
      <c r="C94" s="1258" t="s">
        <v>460</v>
      </c>
      <c r="D94" s="1259"/>
      <c r="E94" s="1259"/>
      <c r="F94" s="1258">
        <v>6878.03</v>
      </c>
      <c r="G94" s="1259">
        <f t="shared" si="14"/>
        <v>6878.03</v>
      </c>
    </row>
    <row r="95" spans="1:7" s="744" customFormat="1" ht="19.5" customHeight="1">
      <c r="A95" s="1258" t="s">
        <v>1661</v>
      </c>
      <c r="B95" s="1258" t="s">
        <v>3214</v>
      </c>
      <c r="C95" s="1258" t="s">
        <v>3071</v>
      </c>
      <c r="D95" s="1259">
        <v>22879.7</v>
      </c>
      <c r="E95" s="1259">
        <f t="shared" si="10"/>
        <v>25167.67</v>
      </c>
      <c r="F95" s="1258">
        <v>24755.69</v>
      </c>
      <c r="G95" s="1259">
        <f t="shared" si="14"/>
        <v>-411.97999999999956</v>
      </c>
    </row>
    <row r="96" spans="1:7" s="744" customFormat="1" ht="19.5" customHeight="1">
      <c r="A96" s="1261" t="s">
        <v>260</v>
      </c>
      <c r="B96" s="1258"/>
      <c r="C96" s="1258"/>
      <c r="D96" s="1259">
        <f>SUM(D87:D95)</f>
        <v>1086822.7</v>
      </c>
      <c r="E96" s="1259">
        <f>SUM(E87:E95)</f>
        <v>1195504.97</v>
      </c>
      <c r="F96" s="1259">
        <f t="shared" ref="F96:G96" si="15">SUM(F87:F95)</f>
        <v>1096088.25</v>
      </c>
      <c r="G96" s="1259">
        <f t="shared" si="15"/>
        <v>-99416.719999999987</v>
      </c>
    </row>
    <row r="97" spans="1:7" s="744" customFormat="1" ht="19.5" customHeight="1">
      <c r="A97" s="1258" t="s">
        <v>1665</v>
      </c>
      <c r="B97" s="247" t="s">
        <v>245</v>
      </c>
      <c r="C97" s="247" t="s">
        <v>464</v>
      </c>
      <c r="D97" s="1259">
        <v>371833.1</v>
      </c>
      <c r="E97" s="1259">
        <f t="shared" si="10"/>
        <v>409016.41</v>
      </c>
      <c r="F97" s="1258">
        <v>399423.66</v>
      </c>
      <c r="G97" s="1259">
        <f>F97-E97</f>
        <v>-9592.75</v>
      </c>
    </row>
    <row r="98" spans="1:7" s="744" customFormat="1" ht="19.5" customHeight="1">
      <c r="A98" s="1258" t="s">
        <v>1665</v>
      </c>
      <c r="B98" s="247" t="s">
        <v>246</v>
      </c>
      <c r="C98" s="247" t="s">
        <v>464</v>
      </c>
      <c r="D98" s="1259">
        <v>241920.9</v>
      </c>
      <c r="E98" s="1259">
        <f t="shared" si="10"/>
        <v>266112.99</v>
      </c>
      <c r="F98" s="1258">
        <v>252882.66</v>
      </c>
      <c r="G98" s="1259">
        <f t="shared" ref="G98:G111" si="16">F98-E98</f>
        <v>-13230.329999999987</v>
      </c>
    </row>
    <row r="99" spans="1:7" s="744" customFormat="1" ht="19.5" customHeight="1">
      <c r="A99" s="1258" t="s">
        <v>1665</v>
      </c>
      <c r="B99" s="247" t="s">
        <v>809</v>
      </c>
      <c r="C99" s="247" t="s">
        <v>463</v>
      </c>
      <c r="D99" s="1259">
        <v>22838.9</v>
      </c>
      <c r="E99" s="1259">
        <f t="shared" si="10"/>
        <v>25122.79</v>
      </c>
      <c r="F99" s="1258">
        <v>20660.71</v>
      </c>
      <c r="G99" s="1259">
        <f t="shared" si="16"/>
        <v>-4462.0800000000017</v>
      </c>
    </row>
    <row r="100" spans="1:7" s="744" customFormat="1" ht="19.5" customHeight="1">
      <c r="A100" s="1258" t="s">
        <v>1665</v>
      </c>
      <c r="B100" s="247" t="s">
        <v>810</v>
      </c>
      <c r="C100" s="247" t="s">
        <v>463</v>
      </c>
      <c r="D100" s="1259"/>
      <c r="E100" s="1259">
        <f t="shared" si="10"/>
        <v>0</v>
      </c>
      <c r="F100" s="1258"/>
      <c r="G100" s="1259">
        <f t="shared" si="16"/>
        <v>0</v>
      </c>
    </row>
    <row r="101" spans="1:7" s="744" customFormat="1" ht="19.5" customHeight="1">
      <c r="A101" s="1258" t="s">
        <v>1665</v>
      </c>
      <c r="B101" s="247" t="s">
        <v>249</v>
      </c>
      <c r="C101" s="247" t="s">
        <v>463</v>
      </c>
      <c r="D101" s="1259">
        <v>370255.4</v>
      </c>
      <c r="E101" s="1259">
        <f t="shared" si="10"/>
        <v>407280.94</v>
      </c>
      <c r="F101" s="1258">
        <v>434764.08</v>
      </c>
      <c r="G101" s="1259">
        <f t="shared" si="16"/>
        <v>27483.140000000014</v>
      </c>
    </row>
    <row r="102" spans="1:7" s="744" customFormat="1" ht="19.5" customHeight="1">
      <c r="A102" s="1258" t="s">
        <v>1665</v>
      </c>
      <c r="B102" s="247" t="s">
        <v>251</v>
      </c>
      <c r="C102" s="247" t="s">
        <v>463</v>
      </c>
      <c r="D102" s="1259">
        <v>147109.4</v>
      </c>
      <c r="E102" s="1259">
        <f t="shared" si="10"/>
        <v>161820.34</v>
      </c>
      <c r="F102" s="1258">
        <v>175702.46</v>
      </c>
      <c r="G102" s="1259">
        <f t="shared" si="16"/>
        <v>13882.119999999995</v>
      </c>
    </row>
    <row r="103" spans="1:7" s="744" customFormat="1" ht="19.5" customHeight="1">
      <c r="A103" s="1258" t="s">
        <v>1665</v>
      </c>
      <c r="B103" s="1263" t="s">
        <v>3215</v>
      </c>
      <c r="C103" s="1263" t="s">
        <v>460</v>
      </c>
      <c r="D103" s="1259">
        <v>165579.1</v>
      </c>
      <c r="E103" s="1259">
        <f t="shared" si="10"/>
        <v>182137.01</v>
      </c>
      <c r="F103" s="1258">
        <v>169668.32</v>
      </c>
      <c r="G103" s="1259">
        <f t="shared" si="16"/>
        <v>-12468.690000000002</v>
      </c>
    </row>
    <row r="104" spans="1:7" s="744" customFormat="1" ht="19.5" customHeight="1">
      <c r="A104" s="1258" t="s">
        <v>1665</v>
      </c>
      <c r="B104" s="1263" t="s">
        <v>3216</v>
      </c>
      <c r="C104" s="1263" t="s">
        <v>460</v>
      </c>
      <c r="D104" s="1259">
        <v>130448.4</v>
      </c>
      <c r="E104" s="1259">
        <f t="shared" si="10"/>
        <v>143493.24</v>
      </c>
      <c r="F104" s="1258">
        <v>131406.51999999999</v>
      </c>
      <c r="G104" s="1259">
        <f t="shared" si="16"/>
        <v>-12086.720000000001</v>
      </c>
    </row>
    <row r="105" spans="1:7" s="744" customFormat="1" ht="19.5" customHeight="1">
      <c r="A105" s="1258" t="s">
        <v>1665</v>
      </c>
      <c r="B105" s="1263" t="s">
        <v>3217</v>
      </c>
      <c r="C105" s="1263" t="s">
        <v>460</v>
      </c>
      <c r="D105" s="1259">
        <v>117479</v>
      </c>
      <c r="E105" s="1259">
        <f t="shared" si="10"/>
        <v>129226.9</v>
      </c>
      <c r="F105" s="1258">
        <v>120935.94</v>
      </c>
      <c r="G105" s="1259">
        <f t="shared" si="16"/>
        <v>-8290.9599999999919</v>
      </c>
    </row>
    <row r="106" spans="1:7" s="744" customFormat="1" ht="19.5" customHeight="1">
      <c r="A106" s="1258" t="s">
        <v>1665</v>
      </c>
      <c r="B106" s="1263" t="s">
        <v>3218</v>
      </c>
      <c r="C106" s="1263" t="s">
        <v>460</v>
      </c>
      <c r="D106" s="1259">
        <v>121738.8</v>
      </c>
      <c r="E106" s="1259">
        <f t="shared" si="10"/>
        <v>133912.68</v>
      </c>
      <c r="F106" s="1258">
        <v>129106.47</v>
      </c>
      <c r="G106" s="1259">
        <f t="shared" si="16"/>
        <v>-4806.2099999999919</v>
      </c>
    </row>
    <row r="107" spans="1:7" s="744" customFormat="1" ht="19.5" customHeight="1">
      <c r="A107" s="1258" t="s">
        <v>1665</v>
      </c>
      <c r="B107" s="247" t="s">
        <v>248</v>
      </c>
      <c r="C107" s="247" t="s">
        <v>2381</v>
      </c>
      <c r="D107" s="1259">
        <v>412146</v>
      </c>
      <c r="E107" s="1259">
        <f t="shared" si="10"/>
        <v>453360.6</v>
      </c>
      <c r="F107" s="1258">
        <v>418124.61</v>
      </c>
      <c r="G107" s="1259">
        <f t="shared" si="16"/>
        <v>-35235.989999999991</v>
      </c>
    </row>
    <row r="108" spans="1:7" s="744" customFormat="1" ht="19.5" customHeight="1">
      <c r="A108" s="1258" t="s">
        <v>1665</v>
      </c>
      <c r="B108" s="1263" t="s">
        <v>815</v>
      </c>
      <c r="C108" s="1263" t="s">
        <v>3071</v>
      </c>
      <c r="D108" s="1259">
        <v>15132.3</v>
      </c>
      <c r="E108" s="1259">
        <f t="shared" si="10"/>
        <v>16645.53</v>
      </c>
      <c r="F108" s="1258">
        <v>15209.33</v>
      </c>
      <c r="G108" s="1259">
        <f t="shared" si="16"/>
        <v>-1436.1999999999989</v>
      </c>
    </row>
    <row r="109" spans="1:7" s="744" customFormat="1" ht="19.5" customHeight="1">
      <c r="A109" s="1258" t="s">
        <v>1665</v>
      </c>
      <c r="B109" s="1263" t="s">
        <v>3219</v>
      </c>
      <c r="C109" s="1263" t="s">
        <v>460</v>
      </c>
      <c r="D109" s="1259">
        <v>36493</v>
      </c>
      <c r="E109" s="1259">
        <f t="shared" si="10"/>
        <v>40142.300000000003</v>
      </c>
      <c r="F109" s="1258">
        <v>43610.02</v>
      </c>
      <c r="G109" s="1259">
        <f t="shared" si="16"/>
        <v>3467.7199999999939</v>
      </c>
    </row>
    <row r="110" spans="1:7" s="744" customFormat="1" ht="19.5" customHeight="1">
      <c r="A110" s="1258" t="s">
        <v>1665</v>
      </c>
      <c r="B110" s="247" t="s">
        <v>247</v>
      </c>
      <c r="C110" s="247" t="s">
        <v>464</v>
      </c>
      <c r="D110" s="1259">
        <v>217656.5</v>
      </c>
      <c r="E110" s="1259">
        <f t="shared" si="10"/>
        <v>239422.15</v>
      </c>
      <c r="F110" s="1258">
        <v>259825.46</v>
      </c>
      <c r="G110" s="1259">
        <f t="shared" si="16"/>
        <v>20403.309999999998</v>
      </c>
    </row>
    <row r="111" spans="1:7" s="744" customFormat="1" ht="19.5" customHeight="1">
      <c r="A111" s="1258" t="s">
        <v>1665</v>
      </c>
      <c r="B111" s="247" t="s">
        <v>3220</v>
      </c>
      <c r="C111" s="247" t="s">
        <v>460</v>
      </c>
      <c r="D111" s="1259">
        <v>80436</v>
      </c>
      <c r="E111" s="1259">
        <f t="shared" si="10"/>
        <v>88479.6</v>
      </c>
      <c r="F111" s="1258">
        <v>92591.27</v>
      </c>
      <c r="G111" s="1259">
        <f t="shared" si="16"/>
        <v>4111.6699999999983</v>
      </c>
    </row>
    <row r="112" spans="1:7" s="744" customFormat="1" ht="19.5" customHeight="1">
      <c r="A112" s="1261" t="s">
        <v>261</v>
      </c>
      <c r="B112" s="1262"/>
      <c r="C112" s="1262"/>
      <c r="D112" s="1259">
        <f>SUM(D97:D111)</f>
        <v>2451066.7999999998</v>
      </c>
      <c r="E112" s="1259">
        <f>SUM(E97:E111)</f>
        <v>2696173.4799999995</v>
      </c>
      <c r="F112" s="1259">
        <f t="shared" ref="F112:G112" si="17">SUM(F97:F111)</f>
        <v>2663911.5099999998</v>
      </c>
      <c r="G112" s="1259">
        <f t="shared" si="17"/>
        <v>-32261.969999999965</v>
      </c>
    </row>
    <row r="113" spans="1:7" s="744" customFormat="1" ht="19.5" customHeight="1">
      <c r="A113" s="1258" t="s">
        <v>2722</v>
      </c>
      <c r="B113" s="247" t="s">
        <v>654</v>
      </c>
      <c r="C113" s="247" t="s">
        <v>464</v>
      </c>
      <c r="D113" s="1259">
        <v>243099.6</v>
      </c>
      <c r="E113" s="1259">
        <f t="shared" si="10"/>
        <v>267409.56</v>
      </c>
      <c r="F113" s="1258">
        <v>241807.75</v>
      </c>
      <c r="G113" s="1259">
        <f>F113-E113</f>
        <v>-25601.809999999998</v>
      </c>
    </row>
    <row r="114" spans="1:7" s="744" customFormat="1" ht="19.5" customHeight="1">
      <c r="A114" s="1258" t="s">
        <v>2722</v>
      </c>
      <c r="B114" s="247" t="s">
        <v>221</v>
      </c>
      <c r="C114" s="247" t="s">
        <v>464</v>
      </c>
      <c r="D114" s="1259">
        <v>186346.3</v>
      </c>
      <c r="E114" s="1259">
        <f t="shared" si="10"/>
        <v>204980.93</v>
      </c>
      <c r="F114" s="1258">
        <v>198921.03</v>
      </c>
      <c r="G114" s="1259">
        <f t="shared" ref="G114:G123" si="18">F114-E114</f>
        <v>-6059.8999999999942</v>
      </c>
    </row>
    <row r="115" spans="1:7" s="744" customFormat="1" ht="19.5" customHeight="1">
      <c r="A115" s="1258" t="s">
        <v>2722</v>
      </c>
      <c r="B115" s="247" t="s">
        <v>3221</v>
      </c>
      <c r="C115" s="247" t="s">
        <v>2381</v>
      </c>
      <c r="D115" s="1259">
        <v>340722.3</v>
      </c>
      <c r="E115" s="1259">
        <f t="shared" si="10"/>
        <v>374794.53</v>
      </c>
      <c r="F115" s="1258">
        <v>343509.76000000001</v>
      </c>
      <c r="G115" s="1259">
        <f t="shared" si="18"/>
        <v>-31284.770000000019</v>
      </c>
    </row>
    <row r="116" spans="1:7" s="744" customFormat="1" ht="19.5" customHeight="1">
      <c r="A116" s="1258" t="s">
        <v>2722</v>
      </c>
      <c r="B116" s="247" t="s">
        <v>222</v>
      </c>
      <c r="C116" s="247" t="s">
        <v>463</v>
      </c>
      <c r="D116" s="1259">
        <v>26131.9</v>
      </c>
      <c r="E116" s="1259">
        <f t="shared" si="10"/>
        <v>28745.09</v>
      </c>
      <c r="F116" s="1258">
        <v>24156.9</v>
      </c>
      <c r="G116" s="1259">
        <f t="shared" si="18"/>
        <v>-4588.1899999999987</v>
      </c>
    </row>
    <row r="117" spans="1:7" s="744" customFormat="1" ht="19.5" customHeight="1">
      <c r="A117" s="1258" t="s">
        <v>2722</v>
      </c>
      <c r="B117" s="247" t="s">
        <v>223</v>
      </c>
      <c r="C117" s="247" t="s">
        <v>463</v>
      </c>
      <c r="D117" s="1259">
        <v>222994.8</v>
      </c>
      <c r="E117" s="1259">
        <f t="shared" si="10"/>
        <v>245294.28</v>
      </c>
      <c r="F117" s="1258">
        <v>227667.67</v>
      </c>
      <c r="G117" s="1259">
        <f t="shared" si="18"/>
        <v>-17626.609999999986</v>
      </c>
    </row>
    <row r="118" spans="1:7" s="744" customFormat="1" ht="19.5" customHeight="1">
      <c r="A118" s="1258" t="s">
        <v>2722</v>
      </c>
      <c r="B118" s="1263" t="s">
        <v>3222</v>
      </c>
      <c r="C118" s="1263" t="s">
        <v>460</v>
      </c>
      <c r="D118" s="1259">
        <v>152137.4</v>
      </c>
      <c r="E118" s="1259">
        <f t="shared" si="10"/>
        <v>167351.14000000001</v>
      </c>
      <c r="F118" s="1258">
        <v>155861.07</v>
      </c>
      <c r="G118" s="1259">
        <f t="shared" si="18"/>
        <v>-11490.070000000007</v>
      </c>
    </row>
    <row r="119" spans="1:7" s="744" customFormat="1" ht="19.5" customHeight="1">
      <c r="A119" s="1258" t="s">
        <v>2722</v>
      </c>
      <c r="B119" s="1263" t="s">
        <v>3223</v>
      </c>
      <c r="C119" s="1263" t="s">
        <v>460</v>
      </c>
      <c r="D119" s="1259">
        <v>140763.9</v>
      </c>
      <c r="E119" s="1259">
        <f t="shared" si="10"/>
        <v>154840.29</v>
      </c>
      <c r="F119" s="1258">
        <v>133864.57</v>
      </c>
      <c r="G119" s="1259">
        <f t="shared" si="18"/>
        <v>-20975.72</v>
      </c>
    </row>
    <row r="120" spans="1:7" s="744" customFormat="1" ht="19.5" customHeight="1">
      <c r="A120" s="1258" t="s">
        <v>2722</v>
      </c>
      <c r="B120" s="1263" t="s">
        <v>3224</v>
      </c>
      <c r="C120" s="1263" t="s">
        <v>460</v>
      </c>
      <c r="D120" s="1259">
        <v>102866.3</v>
      </c>
      <c r="E120" s="1259">
        <f t="shared" si="10"/>
        <v>113152.93</v>
      </c>
      <c r="F120" s="1258">
        <v>113628.91</v>
      </c>
      <c r="G120" s="1259">
        <f t="shared" si="18"/>
        <v>475.98000000001048</v>
      </c>
    </row>
    <row r="121" spans="1:7" s="744" customFormat="1" ht="19.5" customHeight="1">
      <c r="A121" s="1258" t="s">
        <v>2722</v>
      </c>
      <c r="B121" s="1263" t="s">
        <v>3225</v>
      </c>
      <c r="C121" s="1263" t="s">
        <v>460</v>
      </c>
      <c r="D121" s="1259">
        <v>128020.4</v>
      </c>
      <c r="E121" s="1259">
        <f t="shared" si="10"/>
        <v>140822.44</v>
      </c>
      <c r="F121" s="1258">
        <v>135508.22</v>
      </c>
      <c r="G121" s="1259">
        <f t="shared" si="18"/>
        <v>-5314.2200000000012</v>
      </c>
    </row>
    <row r="122" spans="1:7" s="744" customFormat="1" ht="19.5" customHeight="1">
      <c r="A122" s="1258" t="s">
        <v>2722</v>
      </c>
      <c r="B122" s="1263" t="s">
        <v>2491</v>
      </c>
      <c r="C122" s="1263" t="s">
        <v>460</v>
      </c>
      <c r="D122" s="1259"/>
      <c r="E122" s="1259">
        <v>0</v>
      </c>
      <c r="F122" s="1258">
        <v>5081.6899999999996</v>
      </c>
      <c r="G122" s="1259">
        <f t="shared" si="18"/>
        <v>5081.6899999999996</v>
      </c>
    </row>
    <row r="123" spans="1:7" s="744" customFormat="1" ht="19.5" customHeight="1">
      <c r="A123" s="1258" t="s">
        <v>2722</v>
      </c>
      <c r="B123" s="1263" t="s">
        <v>824</v>
      </c>
      <c r="C123" s="1263" t="s">
        <v>3071</v>
      </c>
      <c r="D123" s="1259">
        <v>3801.3</v>
      </c>
      <c r="E123" s="1259">
        <f t="shared" si="10"/>
        <v>4181.43</v>
      </c>
      <c r="F123" s="1258">
        <v>3960.54</v>
      </c>
      <c r="G123" s="1259">
        <f t="shared" si="18"/>
        <v>-220.89000000000033</v>
      </c>
    </row>
    <row r="124" spans="1:7" s="744" customFormat="1" ht="19.5" customHeight="1">
      <c r="A124" s="1261" t="s">
        <v>262</v>
      </c>
      <c r="B124" s="1258"/>
      <c r="C124" s="1258"/>
      <c r="D124" s="1259">
        <f>SUM(D113:D123)</f>
        <v>1546884.1999999997</v>
      </c>
      <c r="E124" s="1259">
        <f>SUM(E113:E123)</f>
        <v>1701572.6199999996</v>
      </c>
      <c r="F124" s="1259">
        <f t="shared" ref="F124:G124" si="19">SUM(F113:F123)</f>
        <v>1583968.11</v>
      </c>
      <c r="G124" s="1259">
        <f t="shared" si="19"/>
        <v>-117604.51</v>
      </c>
    </row>
    <row r="125" spans="1:7" s="744" customFormat="1" ht="19.5" customHeight="1">
      <c r="A125" s="1261" t="s">
        <v>252</v>
      </c>
      <c r="B125" s="1258"/>
      <c r="C125" s="1258"/>
      <c r="D125" s="1259">
        <f>SUM(D124,D112,D96,D86,D73,D56,D36,D15,D9)</f>
        <v>18490168.920000002</v>
      </c>
      <c r="E125" s="1259">
        <f>SUM(E124,E112,E96,E86,E73,E56,E36,E15,E9)</f>
        <v>20339185.82</v>
      </c>
      <c r="F125" s="1259">
        <f t="shared" ref="F125:G125" si="20">SUM(F124,F112,F96,F86,F73,F56,F36,F15,F9)</f>
        <v>19018373.91</v>
      </c>
      <c r="G125" s="1259">
        <f t="shared" si="20"/>
        <v>-1320811.9100000001</v>
      </c>
    </row>
    <row r="126" spans="1:7" s="97" customFormat="1" ht="11.25"/>
  </sheetData>
  <mergeCells count="2">
    <mergeCell ref="A1:G1"/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F11" sqref="F11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57" customFormat="1" ht="24.95" customHeight="1">
      <c r="A1" s="1642" t="s">
        <v>3232</v>
      </c>
      <c r="B1" s="1642"/>
      <c r="C1" s="1642"/>
      <c r="D1" s="1642"/>
      <c r="E1" s="1642"/>
      <c r="F1" s="1642"/>
      <c r="G1" s="1642"/>
    </row>
    <row r="2" spans="1:7" s="95" customFormat="1" ht="20.100000000000001" customHeight="1">
      <c r="G2" s="1265" t="s">
        <v>3242</v>
      </c>
    </row>
    <row r="3" spans="1:7" s="1266" customFormat="1" ht="20.100000000000001" customHeight="1">
      <c r="A3" s="119" t="s">
        <v>736</v>
      </c>
      <c r="B3" s="119" t="s">
        <v>737</v>
      </c>
      <c r="C3" s="119" t="s">
        <v>955</v>
      </c>
      <c r="D3" s="119" t="s">
        <v>738</v>
      </c>
      <c r="E3" s="119" t="s">
        <v>3226</v>
      </c>
      <c r="F3" s="119" t="s">
        <v>3227</v>
      </c>
      <c r="G3" s="119" t="s">
        <v>3231</v>
      </c>
    </row>
    <row r="4" spans="1:7" s="1266" customFormat="1" ht="20.100000000000001" customHeight="1" outlineLevel="2">
      <c r="A4" s="119" t="s">
        <v>740</v>
      </c>
      <c r="B4" s="247" t="s">
        <v>244</v>
      </c>
      <c r="C4" s="247" t="s">
        <v>958</v>
      </c>
      <c r="D4" s="121">
        <v>396192.1</v>
      </c>
      <c r="E4" s="121">
        <v>141336</v>
      </c>
      <c r="F4" s="119">
        <v>249874</v>
      </c>
      <c r="G4" s="121">
        <f t="shared" ref="G4:G21" si="0">F4-E4</f>
        <v>108538</v>
      </c>
    </row>
    <row r="5" spans="1:7" s="1266" customFormat="1" ht="20.100000000000001" customHeight="1" outlineLevel="1">
      <c r="A5" s="1238" t="s">
        <v>254</v>
      </c>
      <c r="B5" s="247"/>
      <c r="C5" s="247"/>
      <c r="D5" s="121"/>
      <c r="E5" s="121">
        <f>SUBTOTAL(9,E4:E4)</f>
        <v>141336</v>
      </c>
      <c r="F5" s="119">
        <f>SUBTOTAL(9,F4:F4)</f>
        <v>249874</v>
      </c>
      <c r="G5" s="121">
        <f>SUBTOTAL(9,G4:G4)</f>
        <v>108538</v>
      </c>
    </row>
    <row r="6" spans="1:7" s="1266" customFormat="1" ht="20.100000000000001" customHeight="1" outlineLevel="2">
      <c r="A6" s="119" t="s">
        <v>3229</v>
      </c>
      <c r="B6" s="247" t="s">
        <v>165</v>
      </c>
      <c r="C6" s="247" t="s">
        <v>3230</v>
      </c>
      <c r="D6" s="121"/>
      <c r="E6" s="121"/>
      <c r="F6" s="119">
        <v>140036</v>
      </c>
      <c r="G6" s="121">
        <f t="shared" si="0"/>
        <v>140036</v>
      </c>
    </row>
    <row r="7" spans="1:7" s="1266" customFormat="1" ht="20.100000000000001" customHeight="1" outlineLevel="1">
      <c r="A7" s="1238" t="s">
        <v>255</v>
      </c>
      <c r="B7" s="247"/>
      <c r="C7" s="247"/>
      <c r="D7" s="121"/>
      <c r="E7" s="121">
        <f>SUBTOTAL(9,E6:E6)</f>
        <v>0</v>
      </c>
      <c r="F7" s="119">
        <f>SUBTOTAL(9,F6:F6)</f>
        <v>140036</v>
      </c>
      <c r="G7" s="121">
        <f>SUBTOTAL(9,G6:G6)</f>
        <v>140036</v>
      </c>
    </row>
    <row r="8" spans="1:7" s="1266" customFormat="1" ht="20.100000000000001" customHeight="1" outlineLevel="2">
      <c r="A8" s="119" t="s">
        <v>746</v>
      </c>
      <c r="B8" s="1267" t="s">
        <v>237</v>
      </c>
      <c r="C8" s="1267" t="s">
        <v>464</v>
      </c>
      <c r="D8" s="121">
        <v>865549.6</v>
      </c>
      <c r="E8" s="121">
        <v>127464</v>
      </c>
      <c r="F8" s="119">
        <v>127464</v>
      </c>
      <c r="G8" s="121">
        <f t="shared" si="0"/>
        <v>0</v>
      </c>
    </row>
    <row r="9" spans="1:7" s="1266" customFormat="1" ht="20.100000000000001" customHeight="1" outlineLevel="2">
      <c r="A9" s="119" t="s">
        <v>746</v>
      </c>
      <c r="B9" s="1267" t="s">
        <v>238</v>
      </c>
      <c r="C9" s="1267" t="s">
        <v>464</v>
      </c>
      <c r="D9" s="121">
        <v>295481.5</v>
      </c>
      <c r="E9" s="121">
        <v>143438</v>
      </c>
      <c r="F9" s="119">
        <v>343438</v>
      </c>
      <c r="G9" s="121">
        <f t="shared" si="0"/>
        <v>200000</v>
      </c>
    </row>
    <row r="10" spans="1:7" s="1266" customFormat="1" ht="20.100000000000001" customHeight="1" outlineLevel="2">
      <c r="A10" s="119" t="s">
        <v>746</v>
      </c>
      <c r="B10" s="1267" t="s">
        <v>236</v>
      </c>
      <c r="C10" s="1267" t="s">
        <v>464</v>
      </c>
      <c r="D10" s="121">
        <v>246474.3</v>
      </c>
      <c r="E10" s="121">
        <v>95436</v>
      </c>
      <c r="F10" s="119">
        <f>95436+124524</f>
        <v>219960</v>
      </c>
      <c r="G10" s="121">
        <f t="shared" si="0"/>
        <v>124524</v>
      </c>
    </row>
    <row r="11" spans="1:7" s="1266" customFormat="1" ht="20.100000000000001" customHeight="1" outlineLevel="2">
      <c r="A11" s="119" t="s">
        <v>746</v>
      </c>
      <c r="B11" s="1267" t="s">
        <v>241</v>
      </c>
      <c r="C11" s="1267" t="s">
        <v>959</v>
      </c>
      <c r="D11" s="121">
        <v>1068709.5</v>
      </c>
      <c r="E11" s="121">
        <v>455656</v>
      </c>
      <c r="F11" s="119">
        <f>455656+112196</f>
        <v>567852</v>
      </c>
      <c r="G11" s="121">
        <f t="shared" si="0"/>
        <v>112196</v>
      </c>
    </row>
    <row r="12" spans="1:7" s="1266" customFormat="1" ht="20.100000000000001" customHeight="1" outlineLevel="1">
      <c r="A12" s="1238" t="s">
        <v>256</v>
      </c>
      <c r="B12" s="1267"/>
      <c r="C12" s="1267"/>
      <c r="D12" s="121"/>
      <c r="E12" s="121">
        <f>SUBTOTAL(9,E8:E11)</f>
        <v>821994</v>
      </c>
      <c r="F12" s="119">
        <f>SUBTOTAL(9,F8:F11)</f>
        <v>1258714</v>
      </c>
      <c r="G12" s="121">
        <f>SUBTOTAL(9,G8:G11)</f>
        <v>436720</v>
      </c>
    </row>
    <row r="13" spans="1:7" s="1266" customFormat="1" ht="20.100000000000001" customHeight="1" outlineLevel="2">
      <c r="A13" s="119" t="s">
        <v>758</v>
      </c>
      <c r="B13" s="247" t="s">
        <v>228</v>
      </c>
      <c r="C13" s="247" t="s">
        <v>464</v>
      </c>
      <c r="D13" s="121">
        <v>266052.40000000002</v>
      </c>
      <c r="E13" s="121">
        <v>109704</v>
      </c>
      <c r="F13" s="119">
        <v>254702</v>
      </c>
      <c r="G13" s="121">
        <f t="shared" si="0"/>
        <v>144998</v>
      </c>
    </row>
    <row r="14" spans="1:7" s="1266" customFormat="1" ht="20.100000000000001" customHeight="1" outlineLevel="2">
      <c r="A14" s="119" t="s">
        <v>758</v>
      </c>
      <c r="B14" s="247" t="s">
        <v>231</v>
      </c>
      <c r="C14" s="247" t="s">
        <v>959</v>
      </c>
      <c r="D14" s="121">
        <v>264193.8</v>
      </c>
      <c r="E14" s="121">
        <v>126650</v>
      </c>
      <c r="F14" s="119">
        <f>237536+146824</f>
        <v>384360</v>
      </c>
      <c r="G14" s="121">
        <f t="shared" si="0"/>
        <v>257710</v>
      </c>
    </row>
    <row r="15" spans="1:7" s="1266" customFormat="1" ht="20.100000000000001" customHeight="1" outlineLevel="2">
      <c r="A15" s="119" t="s">
        <v>758</v>
      </c>
      <c r="B15" s="247" t="s">
        <v>232</v>
      </c>
      <c r="C15" s="247" t="s">
        <v>959</v>
      </c>
      <c r="D15" s="121">
        <v>242458.6</v>
      </c>
      <c r="E15" s="121">
        <v>107748</v>
      </c>
      <c r="F15" s="119">
        <v>336456</v>
      </c>
      <c r="G15" s="121">
        <f t="shared" si="0"/>
        <v>228708</v>
      </c>
    </row>
    <row r="16" spans="1:7" s="1266" customFormat="1" ht="20.100000000000001" customHeight="1" outlineLevel="2">
      <c r="A16" s="119" t="s">
        <v>758</v>
      </c>
      <c r="B16" s="1263" t="s">
        <v>761</v>
      </c>
      <c r="C16" s="1263" t="s">
        <v>460</v>
      </c>
      <c r="D16" s="121">
        <v>173582.7</v>
      </c>
      <c r="E16" s="121">
        <v>107260</v>
      </c>
      <c r="F16" s="119">
        <v>110322</v>
      </c>
      <c r="G16" s="121">
        <f t="shared" si="0"/>
        <v>3062</v>
      </c>
    </row>
    <row r="17" spans="1:7" s="1266" customFormat="1" ht="20.100000000000001" customHeight="1" outlineLevel="1">
      <c r="A17" s="1238" t="s">
        <v>257</v>
      </c>
      <c r="B17" s="1263"/>
      <c r="C17" s="1263"/>
      <c r="D17" s="121"/>
      <c r="E17" s="121">
        <f>SUBTOTAL(9,E13:E16)</f>
        <v>451362</v>
      </c>
      <c r="F17" s="119">
        <f>SUBTOTAL(9,F13:F16)</f>
        <v>1085840</v>
      </c>
      <c r="G17" s="121">
        <f>SUBTOTAL(9,G13:G16)</f>
        <v>634478</v>
      </c>
    </row>
    <row r="18" spans="1:7" s="1266" customFormat="1" ht="20.100000000000001" customHeight="1" outlineLevel="2">
      <c r="A18" s="119" t="s">
        <v>769</v>
      </c>
      <c r="B18" s="1268" t="s">
        <v>770</v>
      </c>
      <c r="C18" s="1268" t="s">
        <v>958</v>
      </c>
      <c r="D18" s="121">
        <v>3192.6</v>
      </c>
      <c r="E18" s="121">
        <v>287510</v>
      </c>
      <c r="F18" s="119">
        <v>287510</v>
      </c>
      <c r="G18" s="121">
        <f t="shared" si="0"/>
        <v>0</v>
      </c>
    </row>
    <row r="19" spans="1:7" s="1266" customFormat="1" ht="20.100000000000001" customHeight="1" outlineLevel="2">
      <c r="A19" s="119" t="s">
        <v>769</v>
      </c>
      <c r="B19" s="1269" t="s">
        <v>771</v>
      </c>
      <c r="C19" s="1269" t="s">
        <v>464</v>
      </c>
      <c r="D19" s="121">
        <v>219612.6</v>
      </c>
      <c r="E19" s="121"/>
      <c r="F19" s="119">
        <v>147872</v>
      </c>
      <c r="G19" s="121">
        <v>147872</v>
      </c>
    </row>
    <row r="20" spans="1:7" s="1266" customFormat="1" ht="20.100000000000001" customHeight="1" outlineLevel="2">
      <c r="A20" s="119" t="s">
        <v>769</v>
      </c>
      <c r="B20" s="1268" t="s">
        <v>380</v>
      </c>
      <c r="C20" s="1268" t="s">
        <v>464</v>
      </c>
      <c r="D20" s="121">
        <v>221121.5</v>
      </c>
      <c r="E20" s="121">
        <v>163664</v>
      </c>
      <c r="F20" s="119">
        <v>166890</v>
      </c>
      <c r="G20" s="121">
        <f t="shared" si="0"/>
        <v>3226</v>
      </c>
    </row>
    <row r="21" spans="1:7" s="1266" customFormat="1" ht="20.100000000000001" customHeight="1" outlineLevel="2">
      <c r="A21" s="119" t="s">
        <v>769</v>
      </c>
      <c r="B21" s="1268" t="s">
        <v>467</v>
      </c>
      <c r="C21" s="1268" t="s">
        <v>959</v>
      </c>
      <c r="D21" s="121"/>
      <c r="E21" s="121"/>
      <c r="F21" s="119">
        <v>110048</v>
      </c>
      <c r="G21" s="121">
        <f t="shared" si="0"/>
        <v>110048</v>
      </c>
    </row>
    <row r="22" spans="1:7" s="1266" customFormat="1" ht="20.100000000000001" customHeight="1" outlineLevel="1">
      <c r="A22" s="1238" t="s">
        <v>258</v>
      </c>
      <c r="B22" s="1268"/>
      <c r="C22" s="1268"/>
      <c r="D22" s="121"/>
      <c r="E22" s="121">
        <f>SUBTOTAL(9,E18:E21)</f>
        <v>451174</v>
      </c>
      <c r="F22" s="119">
        <f>SUBTOTAL(9,F18:F21)</f>
        <v>712320</v>
      </c>
      <c r="G22" s="121">
        <f>SUBTOTAL(9,G18:G21)</f>
        <v>261146</v>
      </c>
    </row>
    <row r="23" spans="1:7" s="1266" customFormat="1" ht="20.100000000000001" customHeight="1" outlineLevel="2">
      <c r="A23" s="119" t="s">
        <v>786</v>
      </c>
      <c r="B23" s="1268" t="s">
        <v>384</v>
      </c>
      <c r="C23" s="1268" t="s">
        <v>958</v>
      </c>
      <c r="D23" s="121">
        <v>545717.5</v>
      </c>
      <c r="E23" s="121">
        <v>318960</v>
      </c>
      <c r="F23" s="119">
        <v>707044</v>
      </c>
      <c r="G23" s="121">
        <f t="shared" ref="G23:G36" si="1">F23-E23</f>
        <v>388084</v>
      </c>
    </row>
    <row r="24" spans="1:7" s="1266" customFormat="1" ht="20.100000000000001" customHeight="1" outlineLevel="2">
      <c r="A24" s="119" t="s">
        <v>786</v>
      </c>
      <c r="B24" s="1268" t="s">
        <v>385</v>
      </c>
      <c r="C24" s="1268" t="s">
        <v>959</v>
      </c>
      <c r="D24" s="121">
        <v>266762.09999999998</v>
      </c>
      <c r="E24" s="121">
        <v>128102</v>
      </c>
      <c r="F24" s="119">
        <v>131064</v>
      </c>
      <c r="G24" s="121">
        <f t="shared" si="1"/>
        <v>2962</v>
      </c>
    </row>
    <row r="25" spans="1:7" s="1266" customFormat="1" ht="20.100000000000001" customHeight="1" outlineLevel="1">
      <c r="A25" s="1238" t="s">
        <v>259</v>
      </c>
      <c r="B25" s="1268"/>
      <c r="C25" s="1268"/>
      <c r="D25" s="121"/>
      <c r="E25" s="121">
        <f>SUBTOTAL(9,E23:E24)</f>
        <v>447062</v>
      </c>
      <c r="F25" s="119">
        <f>SUBTOTAL(9,F23:F24)</f>
        <v>838108</v>
      </c>
      <c r="G25" s="121">
        <f>SUBTOTAL(9,G23:G24)</f>
        <v>391046</v>
      </c>
    </row>
    <row r="26" spans="1:7" s="1266" customFormat="1" ht="20.100000000000001" customHeight="1" outlineLevel="2">
      <c r="A26" s="119" t="s">
        <v>799</v>
      </c>
      <c r="B26" s="1270" t="s">
        <v>800</v>
      </c>
      <c r="C26" s="1270" t="s">
        <v>958</v>
      </c>
      <c r="D26" s="121">
        <v>458185.4</v>
      </c>
      <c r="E26" s="121">
        <v>270916</v>
      </c>
      <c r="F26" s="119">
        <v>415266</v>
      </c>
      <c r="G26" s="121">
        <f t="shared" si="1"/>
        <v>144350</v>
      </c>
    </row>
    <row r="27" spans="1:7" s="1266" customFormat="1" ht="20.100000000000001" customHeight="1" outlineLevel="2">
      <c r="A27" s="119" t="s">
        <v>799</v>
      </c>
      <c r="B27" s="119" t="s">
        <v>801</v>
      </c>
      <c r="C27" s="1270" t="s">
        <v>958</v>
      </c>
      <c r="D27" s="121">
        <v>460477.2</v>
      </c>
      <c r="E27" s="121">
        <v>157730</v>
      </c>
      <c r="F27" s="119">
        <v>161052</v>
      </c>
      <c r="G27" s="121">
        <f t="shared" si="1"/>
        <v>3322</v>
      </c>
    </row>
    <row r="28" spans="1:7" s="1266" customFormat="1" ht="20.100000000000001" customHeight="1" outlineLevel="2">
      <c r="A28" s="119" t="s">
        <v>799</v>
      </c>
      <c r="B28" s="119" t="s">
        <v>802</v>
      </c>
      <c r="C28" s="1270" t="s">
        <v>958</v>
      </c>
      <c r="D28" s="121"/>
      <c r="E28" s="121"/>
      <c r="F28" s="119">
        <v>144020</v>
      </c>
      <c r="G28" s="121">
        <f t="shared" si="1"/>
        <v>144020</v>
      </c>
    </row>
    <row r="29" spans="1:7" s="1266" customFormat="1" ht="20.100000000000001" customHeight="1" outlineLevel="2">
      <c r="A29" s="119" t="s">
        <v>799</v>
      </c>
      <c r="B29" s="119" t="s">
        <v>807</v>
      </c>
      <c r="C29" s="119" t="s">
        <v>957</v>
      </c>
      <c r="D29" s="121">
        <v>22879.7</v>
      </c>
      <c r="E29" s="121">
        <v>141814</v>
      </c>
      <c r="F29" s="119">
        <v>144854</v>
      </c>
      <c r="G29" s="121">
        <f t="shared" si="1"/>
        <v>3040</v>
      </c>
    </row>
    <row r="30" spans="1:7" s="1266" customFormat="1" ht="20.100000000000001" customHeight="1" outlineLevel="1">
      <c r="A30" s="1238" t="s">
        <v>260</v>
      </c>
      <c r="B30" s="119"/>
      <c r="C30" s="119"/>
      <c r="D30" s="121"/>
      <c r="E30" s="121">
        <f>SUBTOTAL(9,E26:E29)</f>
        <v>570460</v>
      </c>
      <c r="F30" s="119">
        <f>SUBTOTAL(9,F26:F29)</f>
        <v>865192</v>
      </c>
      <c r="G30" s="121">
        <f>SUBTOTAL(9,G26:G29)</f>
        <v>294732</v>
      </c>
    </row>
    <row r="31" spans="1:7" s="1266" customFormat="1" ht="20.100000000000001" customHeight="1" outlineLevel="2">
      <c r="A31" s="119" t="s">
        <v>808</v>
      </c>
      <c r="B31" s="247" t="s">
        <v>245</v>
      </c>
      <c r="C31" s="247" t="s">
        <v>464</v>
      </c>
      <c r="D31" s="121">
        <v>371833.1</v>
      </c>
      <c r="E31" s="121"/>
      <c r="F31" s="119">
        <v>123900</v>
      </c>
      <c r="G31" s="121">
        <f t="shared" si="1"/>
        <v>123900</v>
      </c>
    </row>
    <row r="32" spans="1:7" s="1266" customFormat="1" ht="20.100000000000001" customHeight="1" outlineLevel="2">
      <c r="A32" s="119" t="s">
        <v>808</v>
      </c>
      <c r="B32" s="247" t="s">
        <v>809</v>
      </c>
      <c r="C32" s="247" t="s">
        <v>959</v>
      </c>
      <c r="D32" s="121">
        <v>22838.9</v>
      </c>
      <c r="E32" s="121">
        <v>119856</v>
      </c>
      <c r="F32" s="119">
        <v>119856</v>
      </c>
      <c r="G32" s="121">
        <f t="shared" si="1"/>
        <v>0</v>
      </c>
    </row>
    <row r="33" spans="1:7" s="1266" customFormat="1" ht="20.100000000000001" customHeight="1" outlineLevel="1">
      <c r="A33" s="1238" t="s">
        <v>261</v>
      </c>
      <c r="B33" s="247"/>
      <c r="C33" s="247"/>
      <c r="D33" s="121"/>
      <c r="E33" s="121">
        <f>SUBTOTAL(9,E31:E32)</f>
        <v>119856</v>
      </c>
      <c r="F33" s="119">
        <f>SUBTOTAL(9,F31:F32)</f>
        <v>243756</v>
      </c>
      <c r="G33" s="121">
        <f>SUBTOTAL(9,G31:G32)</f>
        <v>123900</v>
      </c>
    </row>
    <row r="34" spans="1:7" s="1266" customFormat="1" ht="20.100000000000001" customHeight="1" outlineLevel="2">
      <c r="A34" s="119" t="s">
        <v>818</v>
      </c>
      <c r="B34" s="247" t="s">
        <v>654</v>
      </c>
      <c r="C34" s="247" t="s">
        <v>464</v>
      </c>
      <c r="D34" s="121">
        <v>243099.6</v>
      </c>
      <c r="E34" s="121"/>
      <c r="F34" s="119">
        <v>3738</v>
      </c>
      <c r="G34" s="121">
        <f t="shared" si="1"/>
        <v>3738</v>
      </c>
    </row>
    <row r="35" spans="1:7" s="1266" customFormat="1" ht="20.100000000000001" customHeight="1" outlineLevel="2">
      <c r="A35" s="119" t="s">
        <v>818</v>
      </c>
      <c r="B35" s="247" t="s">
        <v>222</v>
      </c>
      <c r="C35" s="247" t="s">
        <v>959</v>
      </c>
      <c r="D35" s="121">
        <v>26131.9</v>
      </c>
      <c r="E35" s="121"/>
      <c r="F35" s="119">
        <v>604156</v>
      </c>
      <c r="G35" s="121">
        <f t="shared" si="1"/>
        <v>604156</v>
      </c>
    </row>
    <row r="36" spans="1:7" s="1266" customFormat="1" ht="20.100000000000001" customHeight="1" outlineLevel="2">
      <c r="A36" s="119" t="s">
        <v>818</v>
      </c>
      <c r="B36" s="1263" t="s">
        <v>820</v>
      </c>
      <c r="C36" s="1263" t="s">
        <v>460</v>
      </c>
      <c r="D36" s="121">
        <v>152137.4</v>
      </c>
      <c r="E36" s="121"/>
      <c r="F36" s="119">
        <v>154318</v>
      </c>
      <c r="G36" s="121">
        <f t="shared" si="1"/>
        <v>154318</v>
      </c>
    </row>
    <row r="37" spans="1:7" s="1266" customFormat="1" ht="20.100000000000001" customHeight="1" outlineLevel="1">
      <c r="A37" s="1238" t="s">
        <v>262</v>
      </c>
      <c r="B37" s="1263"/>
      <c r="C37" s="1263"/>
      <c r="D37" s="121"/>
      <c r="E37" s="121">
        <f>SUBTOTAL(9,E34:E36)</f>
        <v>0</v>
      </c>
      <c r="F37" s="119">
        <f>SUBTOTAL(9,F34:F36)</f>
        <v>762212</v>
      </c>
      <c r="G37" s="121">
        <f>SUBTOTAL(9,G34:G36)</f>
        <v>762212</v>
      </c>
    </row>
    <row r="38" spans="1:7" s="1266" customFormat="1" ht="20.100000000000001" customHeight="1">
      <c r="A38" s="1238" t="s">
        <v>252</v>
      </c>
      <c r="B38" s="1263"/>
      <c r="C38" s="1263"/>
      <c r="D38" s="121"/>
      <c r="E38" s="121">
        <f>SUBTOTAL(9,E4:E36)</f>
        <v>3003244</v>
      </c>
      <c r="F38" s="119">
        <f>SUBTOTAL(9,F4:F36)</f>
        <v>6156052</v>
      </c>
      <c r="G38" s="121">
        <f>SUBTOTAL(9,G4:G36)</f>
        <v>3152808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I87" sqref="I87:J87"/>
    </sheetView>
  </sheetViews>
  <sheetFormatPr defaultColWidth="9" defaultRowHeight="39.950000000000003" customHeight="1"/>
  <cols>
    <col min="1" max="1" width="23.375" style="1282" customWidth="1"/>
    <col min="2" max="2" width="22.875" style="1272" customWidth="1"/>
    <col min="3" max="3" width="14.375" style="1282" customWidth="1"/>
    <col min="4" max="4" width="13.75" style="1282" customWidth="1"/>
    <col min="5" max="5" width="13" style="1272" customWidth="1"/>
    <col min="6" max="6" width="15.625" style="1272" customWidth="1"/>
    <col min="7" max="7" width="12.75" style="1272" customWidth="1"/>
    <col min="8" max="8" width="11.75" style="1272" customWidth="1"/>
    <col min="9" max="9" width="14" style="1272" customWidth="1"/>
    <col min="10" max="10" width="13.75" style="1284" customWidth="1"/>
    <col min="11" max="11" width="15" style="1282" customWidth="1"/>
    <col min="12" max="16384" width="9" style="1272"/>
  </cols>
  <sheetData>
    <row r="1" spans="1:11" ht="24.95" customHeight="1">
      <c r="A1" s="1643" t="s">
        <v>3245</v>
      </c>
      <c r="B1" s="1644"/>
      <c r="C1" s="1643"/>
      <c r="D1" s="1643"/>
      <c r="E1" s="1644"/>
      <c r="F1" s="1644"/>
      <c r="G1" s="1644"/>
      <c r="H1" s="1644"/>
      <c r="I1" s="1644"/>
      <c r="J1" s="1644"/>
      <c r="K1" s="1389"/>
    </row>
    <row r="2" spans="1:11" s="1291" customFormat="1" ht="20.100000000000001" customHeight="1">
      <c r="A2" s="1289"/>
      <c r="B2" s="1290"/>
      <c r="C2" s="1289"/>
      <c r="D2" s="1289"/>
      <c r="E2" s="1290"/>
      <c r="F2" s="1290"/>
      <c r="G2" s="1290"/>
      <c r="H2" s="1290"/>
      <c r="I2" s="1290"/>
      <c r="J2" s="1290"/>
      <c r="K2" s="1271" t="s">
        <v>3246</v>
      </c>
    </row>
    <row r="3" spans="1:11" ht="30" customHeight="1">
      <c r="A3" s="1273" t="s">
        <v>632</v>
      </c>
      <c r="B3" s="1274" t="s">
        <v>13</v>
      </c>
      <c r="C3" s="1275" t="s">
        <v>3247</v>
      </c>
      <c r="D3" s="1275" t="s">
        <v>3248</v>
      </c>
      <c r="E3" s="1276" t="s">
        <v>3249</v>
      </c>
      <c r="F3" s="1276" t="s">
        <v>3250</v>
      </c>
      <c r="G3" s="1276" t="s">
        <v>1676</v>
      </c>
      <c r="H3" s="1276" t="s">
        <v>3251</v>
      </c>
      <c r="I3" s="1275" t="s">
        <v>3339</v>
      </c>
      <c r="J3" s="1275" t="s">
        <v>3340</v>
      </c>
      <c r="K3" s="1273" t="s">
        <v>18</v>
      </c>
    </row>
    <row r="4" spans="1:11" ht="30" customHeight="1">
      <c r="A4" s="1273" t="s">
        <v>657</v>
      </c>
      <c r="B4" s="1277" t="s">
        <v>3252</v>
      </c>
      <c r="C4" s="1278">
        <v>365436.96</v>
      </c>
      <c r="D4" s="1278">
        <v>309408</v>
      </c>
      <c r="E4" s="1278">
        <v>281577</v>
      </c>
      <c r="F4" s="883">
        <v>281577</v>
      </c>
      <c r="G4" s="883">
        <v>56028.959999999999</v>
      </c>
      <c r="H4" s="883">
        <f t="shared" ref="H4:H8" si="0">F4+G4</f>
        <v>337605.96</v>
      </c>
      <c r="I4" s="883">
        <v>292350</v>
      </c>
      <c r="J4" s="883">
        <f>H4-I4</f>
        <v>45255.960000000021</v>
      </c>
      <c r="K4" s="1277" t="s">
        <v>3253</v>
      </c>
    </row>
    <row r="5" spans="1:11" ht="30" customHeight="1">
      <c r="A5" s="1273" t="s">
        <v>1040</v>
      </c>
      <c r="B5" s="1277" t="s">
        <v>3254</v>
      </c>
      <c r="C5" s="1278">
        <v>1000699.86</v>
      </c>
      <c r="D5" s="1278">
        <v>898699.86</v>
      </c>
      <c r="E5" s="1278">
        <v>816092</v>
      </c>
      <c r="F5" s="883">
        <v>816092</v>
      </c>
      <c r="G5" s="883">
        <v>102000</v>
      </c>
      <c r="H5" s="883">
        <f t="shared" si="0"/>
        <v>918092</v>
      </c>
      <c r="I5" s="909">
        <v>900630</v>
      </c>
      <c r="J5" s="883">
        <f>H5-I5</f>
        <v>17462</v>
      </c>
      <c r="K5" s="1277" t="s">
        <v>3253</v>
      </c>
    </row>
    <row r="6" spans="1:11" ht="30" customHeight="1">
      <c r="A6" s="1273" t="s">
        <v>3255</v>
      </c>
      <c r="B6" s="1273" t="s">
        <v>3256</v>
      </c>
      <c r="C6" s="1278">
        <v>1286368.3500000001</v>
      </c>
      <c r="D6" s="1278">
        <v>1138018.3500000001</v>
      </c>
      <c r="E6" s="1278">
        <v>1100005.46</v>
      </c>
      <c r="F6" s="1278">
        <v>1100005.46</v>
      </c>
      <c r="G6" s="883">
        <v>148350</v>
      </c>
      <c r="H6" s="883">
        <f>E6+G6</f>
        <v>1248355.46</v>
      </c>
      <c r="I6" s="883">
        <v>1029095</v>
      </c>
      <c r="J6" s="883">
        <f>H6-I6</f>
        <v>219260.45999999996</v>
      </c>
      <c r="K6" s="1277" t="s">
        <v>3253</v>
      </c>
    </row>
    <row r="7" spans="1:11" ht="30" customHeight="1">
      <c r="A7" s="1273" t="s">
        <v>658</v>
      </c>
      <c r="B7" s="1273" t="s">
        <v>3254</v>
      </c>
      <c r="C7" s="1278">
        <v>512512</v>
      </c>
      <c r="D7" s="1278">
        <v>457600</v>
      </c>
      <c r="E7" s="1278">
        <v>417231</v>
      </c>
      <c r="F7" s="883">
        <v>417231</v>
      </c>
      <c r="G7" s="883">
        <v>54912</v>
      </c>
      <c r="H7" s="883">
        <f t="shared" si="0"/>
        <v>472143</v>
      </c>
      <c r="I7" s="909">
        <v>410010</v>
      </c>
      <c r="J7" s="883">
        <f>H7-I7</f>
        <v>62133</v>
      </c>
      <c r="K7" s="1277" t="s">
        <v>3253</v>
      </c>
    </row>
    <row r="8" spans="1:11" ht="30" customHeight="1">
      <c r="A8" s="1273" t="s">
        <v>3257</v>
      </c>
      <c r="B8" s="1273" t="s">
        <v>3258</v>
      </c>
      <c r="C8" s="1278">
        <v>2253495.94</v>
      </c>
      <c r="D8" s="1278">
        <v>2023323.58</v>
      </c>
      <c r="E8" s="1278">
        <v>1998273.67</v>
      </c>
      <c r="F8" s="1278">
        <v>1998273.67</v>
      </c>
      <c r="G8" s="883">
        <f>21.0631*10000</f>
        <v>210631</v>
      </c>
      <c r="H8" s="883">
        <f t="shared" si="0"/>
        <v>2208904.67</v>
      </c>
      <c r="I8" s="883">
        <v>2028146</v>
      </c>
      <c r="J8" s="883">
        <f>H8-I8</f>
        <v>180758.66999999993</v>
      </c>
      <c r="K8" s="1277" t="s">
        <v>3253</v>
      </c>
    </row>
    <row r="9" spans="1:11" ht="30" customHeight="1">
      <c r="A9" s="1273"/>
      <c r="B9" s="1273" t="s">
        <v>3341</v>
      </c>
      <c r="C9" s="883">
        <f t="shared" ref="C9:I9" si="1">SUM(C4:C8)</f>
        <v>5418513.1099999994</v>
      </c>
      <c r="D9" s="883">
        <f t="shared" si="1"/>
        <v>4827049.79</v>
      </c>
      <c r="E9" s="883">
        <f t="shared" si="1"/>
        <v>4613179.13</v>
      </c>
      <c r="F9" s="883">
        <f t="shared" si="1"/>
        <v>4613179.13</v>
      </c>
      <c r="G9" s="883">
        <f t="shared" si="1"/>
        <v>571921.96</v>
      </c>
      <c r="H9" s="883">
        <f t="shared" si="1"/>
        <v>5185101.09</v>
      </c>
      <c r="I9" s="883">
        <f t="shared" si="1"/>
        <v>4660231</v>
      </c>
      <c r="J9" s="883">
        <f>SUM(J4:J8)</f>
        <v>524870.08999999985</v>
      </c>
      <c r="K9" s="1277"/>
    </row>
    <row r="10" spans="1:11" ht="30" customHeight="1">
      <c r="A10" s="1273" t="s">
        <v>188</v>
      </c>
      <c r="B10" s="1273" t="s">
        <v>3259</v>
      </c>
      <c r="C10" s="1278">
        <v>4327561.68</v>
      </c>
      <c r="D10" s="1278">
        <v>3910419.71</v>
      </c>
      <c r="E10" s="1279">
        <v>3881805.77</v>
      </c>
      <c r="F10" s="1279">
        <v>3858045.51</v>
      </c>
      <c r="G10" s="1279">
        <v>413462</v>
      </c>
      <c r="H10" s="1279">
        <f>F10+G10</f>
        <v>4271507.51</v>
      </c>
      <c r="I10" s="1279">
        <v>3894806</v>
      </c>
      <c r="J10" s="1279">
        <f t="shared" ref="J10:J18" si="2">H10-I10</f>
        <v>376701.50999999978</v>
      </c>
      <c r="K10" s="1273"/>
    </row>
    <row r="11" spans="1:11" ht="30" customHeight="1">
      <c r="A11" s="1273" t="s">
        <v>223</v>
      </c>
      <c r="B11" s="1273" t="s">
        <v>3260</v>
      </c>
      <c r="C11" s="1278">
        <v>1829514.72</v>
      </c>
      <c r="D11" s="1278">
        <v>1633495</v>
      </c>
      <c r="E11" s="1279">
        <v>1603000</v>
      </c>
      <c r="F11" s="1279">
        <v>1603000</v>
      </c>
      <c r="G11" s="1279">
        <v>193235.37</v>
      </c>
      <c r="H11" s="1279">
        <f t="shared" ref="H11:H15" si="3">E11+G11</f>
        <v>1796235.37</v>
      </c>
      <c r="I11" s="1279">
        <v>1646563</v>
      </c>
      <c r="J11" s="1279">
        <f t="shared" si="2"/>
        <v>149672.37000000011</v>
      </c>
      <c r="K11" s="1277" t="s">
        <v>3253</v>
      </c>
    </row>
    <row r="12" spans="1:11" ht="30" customHeight="1">
      <c r="A12" s="1273" t="s">
        <v>3261</v>
      </c>
      <c r="B12" s="1273" t="s">
        <v>3262</v>
      </c>
      <c r="C12" s="1278">
        <v>2543787.4</v>
      </c>
      <c r="D12" s="1278">
        <v>2312522.75</v>
      </c>
      <c r="E12" s="1279">
        <v>2220000</v>
      </c>
      <c r="F12" s="1279">
        <v>2198934</v>
      </c>
      <c r="G12" s="1279">
        <v>217100</v>
      </c>
      <c r="H12" s="1279">
        <f>F12+G12</f>
        <v>2416034</v>
      </c>
      <c r="I12" s="1279">
        <v>2289409</v>
      </c>
      <c r="J12" s="1279">
        <f t="shared" si="2"/>
        <v>126625</v>
      </c>
      <c r="K12" s="1273"/>
    </row>
    <row r="13" spans="1:11" ht="30" customHeight="1">
      <c r="A13" s="1273" t="s">
        <v>1398</v>
      </c>
      <c r="B13" s="1273" t="s">
        <v>3263</v>
      </c>
      <c r="C13" s="1278">
        <v>1320256.32</v>
      </c>
      <c r="D13" s="1278">
        <v>1049336</v>
      </c>
      <c r="E13" s="1279">
        <v>1032495</v>
      </c>
      <c r="F13" s="1279">
        <v>1032495</v>
      </c>
      <c r="G13" s="1279">
        <v>131208.03</v>
      </c>
      <c r="H13" s="1279">
        <f t="shared" si="3"/>
        <v>1163703.03</v>
      </c>
      <c r="I13" s="1279">
        <v>1188231</v>
      </c>
      <c r="J13" s="1279">
        <f t="shared" si="2"/>
        <v>-24527.969999999972</v>
      </c>
      <c r="K13" s="1277" t="s">
        <v>3253</v>
      </c>
    </row>
    <row r="14" spans="1:11" ht="30" customHeight="1">
      <c r="A14" s="1273" t="s">
        <v>222</v>
      </c>
      <c r="B14" s="1273" t="s">
        <v>3264</v>
      </c>
      <c r="C14" s="1278">
        <v>802880</v>
      </c>
      <c r="D14" s="1278">
        <v>690430</v>
      </c>
      <c r="E14" s="1279">
        <v>627974</v>
      </c>
      <c r="F14" s="1279">
        <v>627974</v>
      </c>
      <c r="G14" s="1279">
        <v>91596.06</v>
      </c>
      <c r="H14" s="1279">
        <f t="shared" si="3"/>
        <v>719570.06</v>
      </c>
      <c r="I14" s="1279">
        <v>722592</v>
      </c>
      <c r="J14" s="1279">
        <f t="shared" si="2"/>
        <v>-3021.9399999999441</v>
      </c>
      <c r="K14" s="1277" t="s">
        <v>3253</v>
      </c>
    </row>
    <row r="15" spans="1:11" ht="30" customHeight="1">
      <c r="A15" s="1273" t="s">
        <v>3265</v>
      </c>
      <c r="B15" s="1273" t="s">
        <v>3266</v>
      </c>
      <c r="C15" s="1278">
        <v>521304</v>
      </c>
      <c r="D15" s="1278">
        <v>465450</v>
      </c>
      <c r="E15" s="1279">
        <v>424043</v>
      </c>
      <c r="F15" s="1279">
        <v>424043</v>
      </c>
      <c r="G15" s="1279">
        <v>40768</v>
      </c>
      <c r="H15" s="1279">
        <f t="shared" si="3"/>
        <v>464811</v>
      </c>
      <c r="I15" s="1279">
        <v>417043</v>
      </c>
      <c r="J15" s="1279">
        <f t="shared" si="2"/>
        <v>47768</v>
      </c>
      <c r="K15" s="1277" t="s">
        <v>3253</v>
      </c>
    </row>
    <row r="16" spans="1:11" ht="30" customHeight="1">
      <c r="A16" s="1273" t="s">
        <v>648</v>
      </c>
      <c r="B16" s="1273" t="s">
        <v>3267</v>
      </c>
      <c r="C16" s="1278">
        <v>377602.4</v>
      </c>
      <c r="D16" s="1278">
        <v>337145</v>
      </c>
      <c r="E16" s="1279">
        <v>306871</v>
      </c>
      <c r="F16" s="1279">
        <v>306618</v>
      </c>
      <c r="G16" s="1279">
        <v>34222.15</v>
      </c>
      <c r="H16" s="1279">
        <f>F16+G16</f>
        <v>340840.15</v>
      </c>
      <c r="I16" s="1279">
        <v>302082</v>
      </c>
      <c r="J16" s="1279">
        <f t="shared" si="2"/>
        <v>38758.150000000023</v>
      </c>
      <c r="K16" s="1273"/>
    </row>
    <row r="17" spans="1:11" ht="30" customHeight="1">
      <c r="A17" s="1273" t="s">
        <v>651</v>
      </c>
      <c r="B17" s="1273" t="s">
        <v>3268</v>
      </c>
      <c r="C17" s="1278">
        <v>152359.20000000001</v>
      </c>
      <c r="D17" s="1278">
        <v>136035</v>
      </c>
      <c r="E17" s="1279">
        <v>124657</v>
      </c>
      <c r="F17" s="1279">
        <v>124657</v>
      </c>
      <c r="G17" s="1279">
        <v>11767</v>
      </c>
      <c r="H17" s="1279">
        <f>E17+G17</f>
        <v>136424</v>
      </c>
      <c r="I17" s="1279">
        <v>121887</v>
      </c>
      <c r="J17" s="1279">
        <f t="shared" si="2"/>
        <v>14537</v>
      </c>
      <c r="K17" s="1277" t="s">
        <v>3253</v>
      </c>
    </row>
    <row r="18" spans="1:11" ht="30" customHeight="1">
      <c r="A18" s="1273" t="s">
        <v>650</v>
      </c>
      <c r="B18" s="1273" t="s">
        <v>3269</v>
      </c>
      <c r="C18" s="1278">
        <v>882500</v>
      </c>
      <c r="D18" s="1278">
        <v>778400</v>
      </c>
      <c r="E18" s="1279">
        <v>709036</v>
      </c>
      <c r="F18" s="1279">
        <v>709036</v>
      </c>
      <c r="G18" s="1279">
        <v>82893</v>
      </c>
      <c r="H18" s="1279">
        <f>E18+G18</f>
        <v>791929</v>
      </c>
      <c r="I18" s="1279">
        <v>706009</v>
      </c>
      <c r="J18" s="1279">
        <f t="shared" si="2"/>
        <v>85920</v>
      </c>
      <c r="K18" s="1277" t="s">
        <v>3253</v>
      </c>
    </row>
    <row r="19" spans="1:11" ht="30" customHeight="1">
      <c r="A19" s="1273"/>
      <c r="B19" s="1273" t="s">
        <v>3342</v>
      </c>
      <c r="C19" s="1279">
        <f t="shared" ref="C19:I19" si="4">SUM(C10:C18)</f>
        <v>12757765.719999999</v>
      </c>
      <c r="D19" s="1279">
        <f t="shared" si="4"/>
        <v>11313233.460000001</v>
      </c>
      <c r="E19" s="1279">
        <f t="shared" si="4"/>
        <v>10929881.77</v>
      </c>
      <c r="F19" s="1279">
        <f t="shared" si="4"/>
        <v>10884802.51</v>
      </c>
      <c r="G19" s="1279">
        <f t="shared" si="4"/>
        <v>1216251.6099999999</v>
      </c>
      <c r="H19" s="1279">
        <f t="shared" si="4"/>
        <v>12101054.119999999</v>
      </c>
      <c r="I19" s="1279">
        <f t="shared" si="4"/>
        <v>11288622</v>
      </c>
      <c r="J19" s="1279">
        <f>SUM(J10:J18)</f>
        <v>812432.12</v>
      </c>
      <c r="K19" s="1277"/>
    </row>
    <row r="20" spans="1:11" ht="30" customHeight="1">
      <c r="A20" s="1277" t="s">
        <v>3270</v>
      </c>
      <c r="B20" s="1277" t="s">
        <v>3271</v>
      </c>
      <c r="C20" s="1278">
        <v>1630568.1664</v>
      </c>
      <c r="D20" s="1278">
        <v>1429078.72</v>
      </c>
      <c r="E20" s="1279">
        <v>1409038</v>
      </c>
      <c r="F20" s="1279">
        <v>1406763.31</v>
      </c>
      <c r="G20" s="1279">
        <v>182188</v>
      </c>
      <c r="H20" s="1279">
        <f t="shared" ref="H20:H46" si="5">F20+G20</f>
        <v>1588951.31</v>
      </c>
      <c r="I20" s="1279">
        <v>1467511</v>
      </c>
      <c r="J20" s="1279">
        <f>H20-I20</f>
        <v>121440.31000000006</v>
      </c>
      <c r="K20" s="1273"/>
    </row>
    <row r="21" spans="1:11" ht="30" customHeight="1">
      <c r="A21" s="1277" t="s">
        <v>3272</v>
      </c>
      <c r="B21" s="1277" t="s">
        <v>3273</v>
      </c>
      <c r="C21" s="1278">
        <v>1817776.034</v>
      </c>
      <c r="D21" s="1278">
        <v>1640250.94</v>
      </c>
      <c r="E21" s="1279">
        <v>1628288.51</v>
      </c>
      <c r="F21" s="1279">
        <v>1596150.85</v>
      </c>
      <c r="G21" s="1279">
        <v>177720.82</v>
      </c>
      <c r="H21" s="1279">
        <f t="shared" si="5"/>
        <v>1773871.6700000002</v>
      </c>
      <c r="I21" s="1279">
        <v>1635998</v>
      </c>
      <c r="J21" s="1279">
        <f t="shared" ref="J21:J31" si="6">H21-I21</f>
        <v>137873.67000000016</v>
      </c>
      <c r="K21" s="1273"/>
    </row>
    <row r="22" spans="1:11" ht="30" customHeight="1">
      <c r="A22" s="1277" t="s">
        <v>1020</v>
      </c>
      <c r="B22" s="1277" t="s">
        <v>3274</v>
      </c>
      <c r="C22" s="1278">
        <v>2913570</v>
      </c>
      <c r="D22" s="1278">
        <v>2648700</v>
      </c>
      <c r="E22" s="1279">
        <v>2642643.62</v>
      </c>
      <c r="F22" s="1279">
        <v>2637710</v>
      </c>
      <c r="G22" s="1279">
        <v>266021</v>
      </c>
      <c r="H22" s="1279">
        <f t="shared" si="5"/>
        <v>2903731</v>
      </c>
      <c r="I22" s="1279">
        <v>2622213</v>
      </c>
      <c r="J22" s="1279">
        <f t="shared" si="6"/>
        <v>281518</v>
      </c>
      <c r="K22" s="1273"/>
    </row>
    <row r="23" spans="1:11" ht="30" customHeight="1">
      <c r="A23" s="1277" t="s">
        <v>3275</v>
      </c>
      <c r="B23" s="1277" t="s">
        <v>3276</v>
      </c>
      <c r="C23" s="1278">
        <v>1189155</v>
      </c>
      <c r="D23" s="1278">
        <v>1027605</v>
      </c>
      <c r="E23" s="1279">
        <v>985189.27</v>
      </c>
      <c r="F23" s="1279">
        <v>981499.47</v>
      </c>
      <c r="G23" s="1279">
        <v>158220</v>
      </c>
      <c r="H23" s="1279">
        <f t="shared" si="5"/>
        <v>1139719.47</v>
      </c>
      <c r="I23" s="1279">
        <v>1070240</v>
      </c>
      <c r="J23" s="1279">
        <f t="shared" si="6"/>
        <v>69479.469999999972</v>
      </c>
      <c r="K23" s="1273"/>
    </row>
    <row r="24" spans="1:11" ht="30" customHeight="1">
      <c r="A24" s="1277" t="s">
        <v>3277</v>
      </c>
      <c r="B24" s="1277" t="s">
        <v>3278</v>
      </c>
      <c r="C24" s="1278">
        <v>465625.58559999999</v>
      </c>
      <c r="D24" s="1278">
        <v>415737.13</v>
      </c>
      <c r="E24" s="1279">
        <v>412151.75</v>
      </c>
      <c r="F24" s="1279">
        <v>411804.86</v>
      </c>
      <c r="G24" s="1279">
        <v>43041.81</v>
      </c>
      <c r="H24" s="1279">
        <f t="shared" si="5"/>
        <v>454846.67</v>
      </c>
      <c r="I24" s="1279">
        <v>372500</v>
      </c>
      <c r="J24" s="1279">
        <f t="shared" si="6"/>
        <v>82346.669999999984</v>
      </c>
      <c r="K24" s="1273"/>
    </row>
    <row r="25" spans="1:11" ht="30" customHeight="1">
      <c r="A25" s="1277" t="s">
        <v>3279</v>
      </c>
      <c r="B25" s="1277" t="s">
        <v>3280</v>
      </c>
      <c r="C25" s="1278">
        <v>961113</v>
      </c>
      <c r="D25" s="1278">
        <v>821513</v>
      </c>
      <c r="E25" s="1279">
        <v>815261.16</v>
      </c>
      <c r="F25" s="1279">
        <v>814858.73</v>
      </c>
      <c r="G25" s="1279">
        <v>132292.9</v>
      </c>
      <c r="H25" s="1279">
        <f t="shared" si="5"/>
        <v>947151.63</v>
      </c>
      <c r="I25" s="1279">
        <v>865002</v>
      </c>
      <c r="J25" s="1279">
        <f t="shared" si="6"/>
        <v>82149.63</v>
      </c>
      <c r="K25" s="1273"/>
    </row>
    <row r="26" spans="1:11" ht="30" customHeight="1">
      <c r="A26" s="1277" t="s">
        <v>1837</v>
      </c>
      <c r="B26" s="1277" t="s">
        <v>3281</v>
      </c>
      <c r="C26" s="1278">
        <v>276250</v>
      </c>
      <c r="D26" s="1278">
        <v>244020</v>
      </c>
      <c r="E26" s="1279">
        <v>241152.65</v>
      </c>
      <c r="F26" s="1279">
        <v>240859.86</v>
      </c>
      <c r="G26" s="1279">
        <v>29306.43</v>
      </c>
      <c r="H26" s="1279">
        <f t="shared" si="5"/>
        <v>270166.28999999998</v>
      </c>
      <c r="I26" s="1279">
        <v>221000</v>
      </c>
      <c r="J26" s="1279">
        <f t="shared" si="6"/>
        <v>49166.289999999979</v>
      </c>
      <c r="K26" s="1273"/>
    </row>
    <row r="27" spans="1:11" ht="30" customHeight="1">
      <c r="A27" s="1277" t="s">
        <v>3282</v>
      </c>
      <c r="B27" s="1277" t="s">
        <v>3283</v>
      </c>
      <c r="C27" s="1278">
        <v>149770.1856</v>
      </c>
      <c r="D27" s="1278">
        <v>133723.38</v>
      </c>
      <c r="E27" s="1279">
        <v>130448.68</v>
      </c>
      <c r="F27" s="1279">
        <v>129943.55</v>
      </c>
      <c r="G27" s="1279">
        <v>13906.85</v>
      </c>
      <c r="H27" s="1279">
        <f t="shared" si="5"/>
        <v>143850.4</v>
      </c>
      <c r="I27" s="1279">
        <v>134793</v>
      </c>
      <c r="J27" s="1279">
        <f t="shared" si="6"/>
        <v>9057.3999999999942</v>
      </c>
      <c r="K27" s="1273"/>
    </row>
    <row r="28" spans="1:11" ht="30" customHeight="1">
      <c r="A28" s="1277" t="s">
        <v>468</v>
      </c>
      <c r="B28" s="1277" t="s">
        <v>3284</v>
      </c>
      <c r="C28" s="1278">
        <v>1007889.9312</v>
      </c>
      <c r="D28" s="1278">
        <v>873116.01</v>
      </c>
      <c r="E28" s="1279">
        <v>861587</v>
      </c>
      <c r="F28" s="1279">
        <v>860096</v>
      </c>
      <c r="G28" s="1279">
        <v>122763</v>
      </c>
      <c r="H28" s="1279">
        <f t="shared" si="5"/>
        <v>982859</v>
      </c>
      <c r="I28" s="1279">
        <v>907101</v>
      </c>
      <c r="J28" s="1279">
        <f t="shared" si="6"/>
        <v>75758</v>
      </c>
      <c r="K28" s="1273"/>
    </row>
    <row r="29" spans="1:11" ht="30" customHeight="1">
      <c r="A29" s="1277" t="s">
        <v>1024</v>
      </c>
      <c r="B29" s="1277" t="s">
        <v>3285</v>
      </c>
      <c r="C29" s="1278">
        <v>676280</v>
      </c>
      <c r="D29" s="1278">
        <v>580000</v>
      </c>
      <c r="E29" s="1279">
        <v>561635</v>
      </c>
      <c r="F29" s="1279">
        <v>560776</v>
      </c>
      <c r="G29" s="1279">
        <v>91304</v>
      </c>
      <c r="H29" s="1279">
        <f t="shared" si="5"/>
        <v>652080</v>
      </c>
      <c r="I29" s="1279">
        <v>541024</v>
      </c>
      <c r="J29" s="1279">
        <f t="shared" si="6"/>
        <v>111056</v>
      </c>
      <c r="K29" s="1273"/>
    </row>
    <row r="30" spans="1:11" ht="30" customHeight="1">
      <c r="A30" s="1277" t="s">
        <v>1025</v>
      </c>
      <c r="B30" s="1277" t="s">
        <v>3286</v>
      </c>
      <c r="C30" s="1278">
        <v>218695.4688</v>
      </c>
      <c r="D30" s="1278">
        <v>183210.23999999999</v>
      </c>
      <c r="E30" s="1279">
        <v>178797</v>
      </c>
      <c r="F30" s="1279">
        <v>176931</v>
      </c>
      <c r="G30" s="1279">
        <v>32682</v>
      </c>
      <c r="H30" s="1279">
        <f t="shared" si="5"/>
        <v>209613</v>
      </c>
      <c r="I30" s="1279">
        <v>174956</v>
      </c>
      <c r="J30" s="1279">
        <f t="shared" si="6"/>
        <v>34657</v>
      </c>
      <c r="K30" s="1273"/>
    </row>
    <row r="31" spans="1:11" ht="30" customHeight="1">
      <c r="A31" s="1277" t="s">
        <v>3287</v>
      </c>
      <c r="B31" s="1277" t="s">
        <v>3288</v>
      </c>
      <c r="C31" s="1278">
        <v>879694</v>
      </c>
      <c r="D31" s="1278">
        <v>851594</v>
      </c>
      <c r="E31" s="1279">
        <v>851594</v>
      </c>
      <c r="F31" s="1279">
        <v>848553.56</v>
      </c>
      <c r="G31" s="1279">
        <f>20000+10500</f>
        <v>30500</v>
      </c>
      <c r="H31" s="1279">
        <f t="shared" si="5"/>
        <v>879053.56</v>
      </c>
      <c r="I31" s="1279">
        <f>C31</f>
        <v>879694</v>
      </c>
      <c r="J31" s="1279">
        <f t="shared" si="6"/>
        <v>-640.43999999994412</v>
      </c>
      <c r="K31" s="1273"/>
    </row>
    <row r="32" spans="1:11" ht="30" customHeight="1">
      <c r="A32" s="1277"/>
      <c r="B32" s="1277" t="s">
        <v>3343</v>
      </c>
      <c r="C32" s="1279">
        <f t="shared" ref="C32:I32" si="7">SUM(C20:C31)</f>
        <v>12186387.3716</v>
      </c>
      <c r="D32" s="1279">
        <f t="shared" si="7"/>
        <v>10848548.42</v>
      </c>
      <c r="E32" s="1279">
        <f t="shared" si="7"/>
        <v>10717786.640000001</v>
      </c>
      <c r="F32" s="1279">
        <f t="shared" si="7"/>
        <v>10665947.190000001</v>
      </c>
      <c r="G32" s="1279">
        <f t="shared" si="7"/>
        <v>1279946.81</v>
      </c>
      <c r="H32" s="1279">
        <f t="shared" si="7"/>
        <v>11945894</v>
      </c>
      <c r="I32" s="1279">
        <f t="shared" si="7"/>
        <v>10892032</v>
      </c>
      <c r="J32" s="1279">
        <f>SUM(J20:J31)</f>
        <v>1053862</v>
      </c>
      <c r="K32" s="1273"/>
    </row>
    <row r="33" spans="1:11" ht="30" customHeight="1">
      <c r="A33" s="1273" t="s">
        <v>3289</v>
      </c>
      <c r="B33" s="1273" t="s">
        <v>3290</v>
      </c>
      <c r="C33" s="1278">
        <v>979000</v>
      </c>
      <c r="D33" s="1278">
        <v>844700</v>
      </c>
      <c r="E33" s="1280">
        <v>768082</v>
      </c>
      <c r="F33" s="1280">
        <v>768082</v>
      </c>
      <c r="G33" s="1279">
        <v>113048</v>
      </c>
      <c r="H33" s="1279">
        <f t="shared" si="5"/>
        <v>881130</v>
      </c>
      <c r="I33" s="1279">
        <v>783200</v>
      </c>
      <c r="J33" s="1279">
        <f>H33-I33</f>
        <v>97930</v>
      </c>
      <c r="K33" s="1645" t="s">
        <v>3253</v>
      </c>
    </row>
    <row r="34" spans="1:11" ht="30" customHeight="1">
      <c r="A34" s="1273" t="s">
        <v>3291</v>
      </c>
      <c r="B34" s="1273" t="s">
        <v>3292</v>
      </c>
      <c r="C34" s="1278">
        <v>664720</v>
      </c>
      <c r="D34" s="1278">
        <v>569450</v>
      </c>
      <c r="E34" s="1280">
        <v>517883</v>
      </c>
      <c r="F34" s="1280">
        <v>517883</v>
      </c>
      <c r="G34" s="1279">
        <v>78761</v>
      </c>
      <c r="H34" s="1279">
        <f t="shared" si="5"/>
        <v>596644</v>
      </c>
      <c r="I34" s="1279">
        <v>531776</v>
      </c>
      <c r="J34" s="1279">
        <f t="shared" ref="J34:J46" si="8">H34-I34</f>
        <v>64868</v>
      </c>
      <c r="K34" s="1645"/>
    </row>
    <row r="35" spans="1:11" ht="30" customHeight="1">
      <c r="A35" s="1273" t="s">
        <v>1848</v>
      </c>
      <c r="B35" s="1273" t="s">
        <v>3293</v>
      </c>
      <c r="C35" s="1281">
        <v>416700</v>
      </c>
      <c r="D35" s="1278">
        <v>368405</v>
      </c>
      <c r="E35" s="1280">
        <v>334397</v>
      </c>
      <c r="F35" s="1280">
        <v>334397</v>
      </c>
      <c r="G35" s="1279">
        <v>35073</v>
      </c>
      <c r="H35" s="1279">
        <f t="shared" si="5"/>
        <v>369470</v>
      </c>
      <c r="I35" s="1279">
        <v>375030</v>
      </c>
      <c r="J35" s="1279">
        <f t="shared" si="8"/>
        <v>-5560</v>
      </c>
      <c r="K35" s="1645"/>
    </row>
    <row r="36" spans="1:11" ht="30" customHeight="1">
      <c r="A36" s="1273" t="s">
        <v>3294</v>
      </c>
      <c r="B36" s="1273" t="s">
        <v>3295</v>
      </c>
      <c r="C36" s="1281">
        <v>226000</v>
      </c>
      <c r="D36" s="1278">
        <v>175000</v>
      </c>
      <c r="E36" s="1280">
        <v>158671</v>
      </c>
      <c r="F36" s="1280">
        <v>158671</v>
      </c>
      <c r="G36" s="1279">
        <v>43977</v>
      </c>
      <c r="H36" s="1279">
        <f t="shared" si="5"/>
        <v>202648</v>
      </c>
      <c r="I36" s="1279">
        <v>203400</v>
      </c>
      <c r="J36" s="1279">
        <f t="shared" si="8"/>
        <v>-752</v>
      </c>
      <c r="K36" s="1645"/>
    </row>
    <row r="37" spans="1:11" ht="30" customHeight="1">
      <c r="A37" s="1273" t="s">
        <v>3296</v>
      </c>
      <c r="B37" s="1273" t="s">
        <v>3297</v>
      </c>
      <c r="C37" s="1281">
        <v>298840</v>
      </c>
      <c r="D37" s="1278">
        <v>244500</v>
      </c>
      <c r="E37" s="1280">
        <v>222361</v>
      </c>
      <c r="F37" s="1280">
        <v>222361</v>
      </c>
      <c r="G37" s="1279">
        <v>21682</v>
      </c>
      <c r="H37" s="1279">
        <f t="shared" si="5"/>
        <v>244043</v>
      </c>
      <c r="I37" s="1279">
        <v>268956</v>
      </c>
      <c r="J37" s="1279">
        <f t="shared" si="8"/>
        <v>-24913</v>
      </c>
      <c r="K37" s="1645"/>
    </row>
    <row r="38" spans="1:11" ht="30" customHeight="1">
      <c r="A38" s="1273" t="s">
        <v>3298</v>
      </c>
      <c r="B38" s="1273" t="s">
        <v>3299</v>
      </c>
      <c r="C38" s="1281">
        <v>1343400</v>
      </c>
      <c r="D38" s="1278">
        <v>1200000</v>
      </c>
      <c r="E38" s="1280">
        <v>1178890.2</v>
      </c>
      <c r="F38" s="1280">
        <v>1178890.2</v>
      </c>
      <c r="G38" s="1279">
        <v>137614</v>
      </c>
      <c r="H38" s="1279">
        <f t="shared" si="5"/>
        <v>1316504.2</v>
      </c>
      <c r="I38" s="1279">
        <v>1209060</v>
      </c>
      <c r="J38" s="1279">
        <f t="shared" si="8"/>
        <v>107444.19999999995</v>
      </c>
      <c r="K38" s="1645"/>
    </row>
    <row r="39" spans="1:11" ht="30" customHeight="1">
      <c r="A39" s="1273" t="s">
        <v>3300</v>
      </c>
      <c r="B39" s="1273" t="s">
        <v>3301</v>
      </c>
      <c r="C39" s="1281">
        <v>1309080</v>
      </c>
      <c r="D39" s="1278">
        <v>1134000</v>
      </c>
      <c r="E39" s="1280">
        <v>1123442</v>
      </c>
      <c r="F39" s="1280">
        <v>1123442</v>
      </c>
      <c r="G39" s="1279">
        <v>160956</v>
      </c>
      <c r="H39" s="1279">
        <f t="shared" si="5"/>
        <v>1284398</v>
      </c>
      <c r="I39" s="1279">
        <v>1047264</v>
      </c>
      <c r="J39" s="1279">
        <f t="shared" si="8"/>
        <v>237134</v>
      </c>
      <c r="K39" s="1645"/>
    </row>
    <row r="40" spans="1:11" ht="30" customHeight="1">
      <c r="A40" s="1273" t="s">
        <v>707</v>
      </c>
      <c r="B40" s="1273" t="s">
        <v>3302</v>
      </c>
      <c r="C40" s="1281">
        <v>3573705.7</v>
      </c>
      <c r="D40" s="1278">
        <v>3247187</v>
      </c>
      <c r="E40" s="1280">
        <v>3210363.07</v>
      </c>
      <c r="F40" s="1280">
        <v>3210363.07</v>
      </c>
      <c r="G40" s="1279">
        <v>318124</v>
      </c>
      <c r="H40" s="1279">
        <f t="shared" si="5"/>
        <v>3528487.07</v>
      </c>
      <c r="I40" s="1279">
        <v>2858965</v>
      </c>
      <c r="J40" s="1279">
        <f t="shared" si="8"/>
        <v>669522.06999999983</v>
      </c>
      <c r="K40" s="1645"/>
    </row>
    <row r="41" spans="1:11" ht="30" customHeight="1">
      <c r="A41" s="1273" t="s">
        <v>3303</v>
      </c>
      <c r="B41" s="1273" t="s">
        <v>3304</v>
      </c>
      <c r="C41" s="1281">
        <v>2019716</v>
      </c>
      <c r="D41" s="1278">
        <v>1781560</v>
      </c>
      <c r="E41" s="1281">
        <v>1718000</v>
      </c>
      <c r="F41" s="1281">
        <v>1718000</v>
      </c>
      <c r="G41" s="1279">
        <v>213542</v>
      </c>
      <c r="H41" s="1279">
        <f t="shared" si="5"/>
        <v>1931542</v>
      </c>
      <c r="I41" s="1279">
        <v>1817744</v>
      </c>
      <c r="J41" s="1279">
        <f t="shared" si="8"/>
        <v>113798</v>
      </c>
      <c r="K41" s="1645"/>
    </row>
    <row r="42" spans="1:11" ht="30" customHeight="1">
      <c r="A42" s="1273" t="s">
        <v>3026</v>
      </c>
      <c r="B42" s="1273" t="s">
        <v>3305</v>
      </c>
      <c r="C42" s="1281">
        <v>1521400</v>
      </c>
      <c r="D42" s="1278">
        <v>1332500</v>
      </c>
      <c r="E42" s="1281">
        <v>1325994.97</v>
      </c>
      <c r="F42" s="1281">
        <v>1325994.97</v>
      </c>
      <c r="G42" s="1279">
        <v>139755</v>
      </c>
      <c r="H42" s="1279">
        <f t="shared" si="5"/>
        <v>1465749.97</v>
      </c>
      <c r="I42" s="1279">
        <v>1369260</v>
      </c>
      <c r="J42" s="1279">
        <f t="shared" si="8"/>
        <v>96489.969999999972</v>
      </c>
      <c r="K42" s="1645"/>
    </row>
    <row r="43" spans="1:11" ht="30" customHeight="1">
      <c r="A43" s="1273" t="s">
        <v>1904</v>
      </c>
      <c r="B43" s="1273" t="s">
        <v>3306</v>
      </c>
      <c r="C43" s="1281">
        <v>732000</v>
      </c>
      <c r="D43" s="1278">
        <v>640000</v>
      </c>
      <c r="E43" s="1281">
        <v>581838</v>
      </c>
      <c r="F43" s="1281">
        <v>581838</v>
      </c>
      <c r="G43" s="1279">
        <v>75480</v>
      </c>
      <c r="H43" s="1279">
        <f t="shared" si="5"/>
        <v>657318</v>
      </c>
      <c r="I43" s="1279">
        <v>658800</v>
      </c>
      <c r="J43" s="1279">
        <f t="shared" si="8"/>
        <v>-1482</v>
      </c>
      <c r="K43" s="1645"/>
    </row>
    <row r="44" spans="1:11" ht="30" customHeight="1">
      <c r="A44" s="1273" t="s">
        <v>707</v>
      </c>
      <c r="B44" s="1273" t="s">
        <v>3307</v>
      </c>
      <c r="C44" s="1281">
        <v>1368312.08</v>
      </c>
      <c r="D44" s="1278">
        <v>1221707.21</v>
      </c>
      <c r="E44" s="1281">
        <v>1212500.98</v>
      </c>
      <c r="F44" s="1281">
        <v>1212500.98</v>
      </c>
      <c r="G44" s="1279">
        <v>107506</v>
      </c>
      <c r="H44" s="1279">
        <f t="shared" si="5"/>
        <v>1320006.98</v>
      </c>
      <c r="I44" s="1279">
        <v>1094650</v>
      </c>
      <c r="J44" s="1279">
        <f t="shared" si="8"/>
        <v>225356.97999999998</v>
      </c>
      <c r="K44" s="1645"/>
    </row>
    <row r="45" spans="1:11" ht="30" customHeight="1">
      <c r="A45" s="1273" t="s">
        <v>3308</v>
      </c>
      <c r="B45" s="1273" t="s">
        <v>3309</v>
      </c>
      <c r="C45" s="1281">
        <v>112000</v>
      </c>
      <c r="D45" s="1278">
        <v>100000</v>
      </c>
      <c r="E45" s="1281">
        <v>90601</v>
      </c>
      <c r="F45" s="1281">
        <v>90601</v>
      </c>
      <c r="G45" s="1279">
        <v>9635</v>
      </c>
      <c r="H45" s="1279">
        <f t="shared" si="5"/>
        <v>100236</v>
      </c>
      <c r="I45" s="1279">
        <v>89600</v>
      </c>
      <c r="J45" s="1279">
        <f t="shared" si="8"/>
        <v>10636</v>
      </c>
      <c r="K45" s="1645"/>
    </row>
    <row r="46" spans="1:11" ht="30" customHeight="1">
      <c r="A46" s="1273" t="s">
        <v>3310</v>
      </c>
      <c r="B46" s="1273" t="s">
        <v>3311</v>
      </c>
      <c r="C46" s="1281">
        <v>924300</v>
      </c>
      <c r="D46" s="1278">
        <v>800000</v>
      </c>
      <c r="E46" s="1281">
        <v>728177</v>
      </c>
      <c r="F46" s="1281">
        <v>728177</v>
      </c>
      <c r="G46" s="1279">
        <v>90280</v>
      </c>
      <c r="H46" s="1279">
        <f t="shared" si="5"/>
        <v>818457</v>
      </c>
      <c r="I46" s="1279">
        <v>739445</v>
      </c>
      <c r="J46" s="1279">
        <f t="shared" si="8"/>
        <v>79012</v>
      </c>
      <c r="K46" s="1645"/>
    </row>
    <row r="47" spans="1:11" ht="30" customHeight="1">
      <c r="A47" s="1273"/>
      <c r="B47" s="1273" t="s">
        <v>3344</v>
      </c>
      <c r="C47" s="1279">
        <f t="shared" ref="C47:I47" si="9">SUM(C33:C46)</f>
        <v>15489173.779999999</v>
      </c>
      <c r="D47" s="1279">
        <f t="shared" si="9"/>
        <v>13659009.210000001</v>
      </c>
      <c r="E47" s="1279">
        <f t="shared" si="9"/>
        <v>13171201.220000001</v>
      </c>
      <c r="F47" s="1279">
        <f t="shared" si="9"/>
        <v>13171201.220000001</v>
      </c>
      <c r="G47" s="1279">
        <f t="shared" si="9"/>
        <v>1545433</v>
      </c>
      <c r="H47" s="1279">
        <f t="shared" si="9"/>
        <v>14716634.220000001</v>
      </c>
      <c r="I47" s="1279">
        <f t="shared" si="9"/>
        <v>13047150</v>
      </c>
      <c r="J47" s="1279">
        <f>SUM(J33:J46)</f>
        <v>1669484.2199999997</v>
      </c>
      <c r="K47" s="1273"/>
    </row>
    <row r="48" spans="1:11" s="1282" customFormat="1" ht="30" customHeight="1">
      <c r="A48" s="1273" t="s">
        <v>996</v>
      </c>
      <c r="B48" s="1273" t="s">
        <v>3312</v>
      </c>
      <c r="C48" s="1278">
        <v>1082580.5</v>
      </c>
      <c r="D48" s="1278">
        <v>975415.28</v>
      </c>
      <c r="E48" s="1278">
        <v>973800</v>
      </c>
      <c r="F48" s="1278">
        <v>973800</v>
      </c>
      <c r="G48" s="1278">
        <v>107165.22</v>
      </c>
      <c r="H48" s="1278">
        <f>SUM(F48:G48)</f>
        <v>1080965.22</v>
      </c>
      <c r="I48" s="1278">
        <v>866064</v>
      </c>
      <c r="J48" s="1278">
        <f>H48-I48</f>
        <v>214901.21999999997</v>
      </c>
      <c r="K48" s="1277" t="s">
        <v>3253</v>
      </c>
    </row>
    <row r="49" spans="1:11" ht="30" customHeight="1">
      <c r="A49" s="1273" t="s">
        <v>3313</v>
      </c>
      <c r="B49" s="1273" t="s">
        <v>3314</v>
      </c>
      <c r="C49" s="1278">
        <v>192600</v>
      </c>
      <c r="D49" s="1278">
        <v>168750</v>
      </c>
      <c r="E49" s="1279">
        <v>153522</v>
      </c>
      <c r="F49" s="1279">
        <v>153522</v>
      </c>
      <c r="G49" s="1279">
        <v>15686</v>
      </c>
      <c r="H49" s="1279">
        <f>F49+G49</f>
        <v>169208</v>
      </c>
      <c r="I49" s="1279">
        <v>154080</v>
      </c>
      <c r="J49" s="1278">
        <f>H49-I49</f>
        <v>15128</v>
      </c>
      <c r="K49" s="1277" t="s">
        <v>3253</v>
      </c>
    </row>
    <row r="50" spans="1:11" ht="30" customHeight="1">
      <c r="A50" s="1273"/>
      <c r="B50" s="1273" t="s">
        <v>3345</v>
      </c>
      <c r="C50" s="1278">
        <f t="shared" ref="C50:I50" si="10">SUM(C48:C49)</f>
        <v>1275180.5</v>
      </c>
      <c r="D50" s="1278">
        <f t="shared" si="10"/>
        <v>1144165.28</v>
      </c>
      <c r="E50" s="1278">
        <f t="shared" si="10"/>
        <v>1127322</v>
      </c>
      <c r="F50" s="1278">
        <f t="shared" si="10"/>
        <v>1127322</v>
      </c>
      <c r="G50" s="1278">
        <f t="shared" si="10"/>
        <v>122851.22</v>
      </c>
      <c r="H50" s="1278">
        <f t="shared" si="10"/>
        <v>1250173.22</v>
      </c>
      <c r="I50" s="1278">
        <f t="shared" si="10"/>
        <v>1020144</v>
      </c>
      <c r="J50" s="1278">
        <f>SUM(J48:J49)</f>
        <v>230029.21999999997</v>
      </c>
      <c r="K50" s="1277"/>
    </row>
    <row r="51" spans="1:11" ht="30" customHeight="1">
      <c r="A51" s="1283" t="s">
        <v>246</v>
      </c>
      <c r="B51" s="1283" t="s">
        <v>3315</v>
      </c>
      <c r="C51" s="1278">
        <v>1615568</v>
      </c>
      <c r="D51" s="1278">
        <v>1421400</v>
      </c>
      <c r="E51" s="1278">
        <v>1405332.72</v>
      </c>
      <c r="F51" s="883">
        <v>1405332.72</v>
      </c>
      <c r="G51" s="883">
        <v>194168</v>
      </c>
      <c r="H51" s="1279">
        <f t="shared" ref="H51:H62" si="11">SUM(F51+G51)</f>
        <v>1599500.72</v>
      </c>
      <c r="I51" s="1278">
        <v>1454011</v>
      </c>
      <c r="J51" s="909">
        <f>H51-I51</f>
        <v>145489.71999999997</v>
      </c>
      <c r="K51" s="1646" t="s">
        <v>3253</v>
      </c>
    </row>
    <row r="52" spans="1:11" ht="30" customHeight="1">
      <c r="A52" s="1283" t="s">
        <v>1048</v>
      </c>
      <c r="B52" s="1283" t="s">
        <v>3316</v>
      </c>
      <c r="C52" s="1278">
        <v>1364400</v>
      </c>
      <c r="D52" s="1278">
        <v>1208600</v>
      </c>
      <c r="E52" s="1278">
        <v>1206957.6299999999</v>
      </c>
      <c r="F52" s="883">
        <v>1206957.6299999999</v>
      </c>
      <c r="G52" s="883">
        <v>155800</v>
      </c>
      <c r="H52" s="1279">
        <f t="shared" si="11"/>
        <v>1362757.63</v>
      </c>
      <c r="I52" s="1278">
        <v>1091520</v>
      </c>
      <c r="J52" s="909">
        <f t="shared" ref="J52:J62" si="12">H52-I52</f>
        <v>271237.62999999989</v>
      </c>
      <c r="K52" s="1645"/>
    </row>
    <row r="53" spans="1:11" ht="30" customHeight="1">
      <c r="A53" s="1283" t="s">
        <v>251</v>
      </c>
      <c r="B53" s="1283" t="s">
        <v>3317</v>
      </c>
      <c r="C53" s="1278">
        <v>151200</v>
      </c>
      <c r="D53" s="1278">
        <v>135000</v>
      </c>
      <c r="E53" s="1278">
        <v>122880</v>
      </c>
      <c r="F53" s="883">
        <v>122880</v>
      </c>
      <c r="G53" s="883">
        <v>16200</v>
      </c>
      <c r="H53" s="1279">
        <f t="shared" si="11"/>
        <v>139080</v>
      </c>
      <c r="I53" s="1279">
        <v>136080</v>
      </c>
      <c r="J53" s="909">
        <f t="shared" si="12"/>
        <v>3000</v>
      </c>
      <c r="K53" s="1645"/>
    </row>
    <row r="54" spans="1:11" ht="30" customHeight="1">
      <c r="A54" s="1283" t="s">
        <v>809</v>
      </c>
      <c r="B54" s="1283" t="s">
        <v>3318</v>
      </c>
      <c r="C54" s="1278">
        <v>2105300</v>
      </c>
      <c r="D54" s="1278">
        <v>181500</v>
      </c>
      <c r="E54" s="1278">
        <v>1808018.02</v>
      </c>
      <c r="F54" s="883">
        <v>1808018.02</v>
      </c>
      <c r="G54" s="883">
        <v>290300</v>
      </c>
      <c r="H54" s="1279">
        <f t="shared" si="11"/>
        <v>2098318.02</v>
      </c>
      <c r="I54" s="1279">
        <v>1894770</v>
      </c>
      <c r="J54" s="909">
        <f t="shared" si="12"/>
        <v>203548.02000000002</v>
      </c>
      <c r="K54" s="1645"/>
    </row>
    <row r="55" spans="1:11" ht="30" customHeight="1">
      <c r="A55" s="1283" t="s">
        <v>1942</v>
      </c>
      <c r="B55" s="1283" t="s">
        <v>3319</v>
      </c>
      <c r="C55" s="1278">
        <v>584295</v>
      </c>
      <c r="D55" s="1278">
        <v>497350</v>
      </c>
      <c r="E55" s="1278">
        <v>453522</v>
      </c>
      <c r="F55" s="883">
        <v>453522</v>
      </c>
      <c r="G55" s="883">
        <v>86945</v>
      </c>
      <c r="H55" s="1279">
        <f t="shared" si="11"/>
        <v>540467</v>
      </c>
      <c r="I55" s="1279">
        <v>467436</v>
      </c>
      <c r="J55" s="909">
        <f t="shared" si="12"/>
        <v>73031</v>
      </c>
      <c r="K55" s="1645"/>
    </row>
    <row r="56" spans="1:11" ht="30" customHeight="1">
      <c r="A56" s="1283" t="s">
        <v>1945</v>
      </c>
      <c r="B56" s="1283" t="s">
        <v>3320</v>
      </c>
      <c r="C56" s="1278">
        <v>182800</v>
      </c>
      <c r="D56" s="1278">
        <v>160000</v>
      </c>
      <c r="E56" s="1278">
        <v>145670</v>
      </c>
      <c r="F56" s="883">
        <v>145670</v>
      </c>
      <c r="G56" s="883">
        <v>22800</v>
      </c>
      <c r="H56" s="1279">
        <f t="shared" si="11"/>
        <v>168470</v>
      </c>
      <c r="I56" s="1279">
        <v>146240</v>
      </c>
      <c r="J56" s="909">
        <f t="shared" si="12"/>
        <v>22230</v>
      </c>
      <c r="K56" s="1645"/>
    </row>
    <row r="57" spans="1:11" ht="30" customHeight="1">
      <c r="A57" s="1283" t="s">
        <v>1046</v>
      </c>
      <c r="B57" s="1283" t="s">
        <v>3321</v>
      </c>
      <c r="C57" s="1278">
        <v>697736</v>
      </c>
      <c r="D57" s="1278">
        <v>616550</v>
      </c>
      <c r="E57" s="1278">
        <v>561161</v>
      </c>
      <c r="F57" s="883">
        <v>561161</v>
      </c>
      <c r="G57" s="883">
        <v>81186</v>
      </c>
      <c r="H57" s="1279">
        <f t="shared" si="11"/>
        <v>642347</v>
      </c>
      <c r="I57" s="1279">
        <v>558189</v>
      </c>
      <c r="J57" s="909">
        <f t="shared" si="12"/>
        <v>84158</v>
      </c>
      <c r="K57" s="1645"/>
    </row>
    <row r="58" spans="1:11" ht="30" customHeight="1">
      <c r="A58" s="1283" t="s">
        <v>245</v>
      </c>
      <c r="B58" s="1283" t="s">
        <v>3322</v>
      </c>
      <c r="C58" s="1278">
        <v>2554852</v>
      </c>
      <c r="D58" s="1278">
        <v>2295320</v>
      </c>
      <c r="E58" s="1278">
        <v>2269241</v>
      </c>
      <c r="F58" s="883">
        <v>2269241</v>
      </c>
      <c r="G58" s="883">
        <v>259532</v>
      </c>
      <c r="H58" s="1279">
        <f t="shared" si="11"/>
        <v>2528773</v>
      </c>
      <c r="I58" s="1279">
        <v>2299367</v>
      </c>
      <c r="J58" s="909">
        <f t="shared" si="12"/>
        <v>229406</v>
      </c>
      <c r="K58" s="1645"/>
    </row>
    <row r="59" spans="1:11" ht="30" customHeight="1">
      <c r="A59" s="1283" t="s">
        <v>1962</v>
      </c>
      <c r="B59" s="1283" t="s">
        <v>3323</v>
      </c>
      <c r="C59" s="1278">
        <v>386685.44</v>
      </c>
      <c r="D59" s="1278">
        <v>341237</v>
      </c>
      <c r="E59" s="1278">
        <v>311179</v>
      </c>
      <c r="F59" s="883">
        <v>311179</v>
      </c>
      <c r="G59" s="883">
        <v>45448.44</v>
      </c>
      <c r="H59" s="1279">
        <f t="shared" si="11"/>
        <v>356627.44</v>
      </c>
      <c r="I59" s="1279">
        <v>309348</v>
      </c>
      <c r="J59" s="909">
        <f t="shared" si="12"/>
        <v>47279.44</v>
      </c>
      <c r="K59" s="1645"/>
    </row>
    <row r="60" spans="1:11" ht="30" customHeight="1">
      <c r="A60" s="1283" t="s">
        <v>247</v>
      </c>
      <c r="B60" s="1283" t="s">
        <v>3324</v>
      </c>
      <c r="C60" s="1278">
        <v>317196</v>
      </c>
      <c r="D60" s="1278">
        <v>280800</v>
      </c>
      <c r="E60" s="1278">
        <v>256403</v>
      </c>
      <c r="F60" s="883">
        <v>256403</v>
      </c>
      <c r="G60" s="883">
        <v>36396</v>
      </c>
      <c r="H60" s="1279">
        <f t="shared" si="11"/>
        <v>292799</v>
      </c>
      <c r="I60" s="1279">
        <v>285476</v>
      </c>
      <c r="J60" s="909">
        <f t="shared" si="12"/>
        <v>7323</v>
      </c>
      <c r="K60" s="1645"/>
    </row>
    <row r="61" spans="1:11" ht="30" customHeight="1">
      <c r="A61" s="1283" t="s">
        <v>248</v>
      </c>
      <c r="B61" s="1283" t="s">
        <v>3325</v>
      </c>
      <c r="C61" s="1278">
        <v>4702326.8134199996</v>
      </c>
      <c r="D61" s="1278">
        <v>4179388.01</v>
      </c>
      <c r="E61" s="1278">
        <v>2635646</v>
      </c>
      <c r="F61" s="883">
        <v>2635646</v>
      </c>
      <c r="G61" s="883">
        <v>522938.8</v>
      </c>
      <c r="H61" s="1279">
        <f t="shared" si="11"/>
        <v>3158584.8</v>
      </c>
      <c r="I61" s="1279">
        <v>4232094</v>
      </c>
      <c r="J61" s="909">
        <f t="shared" si="12"/>
        <v>-1073509.2000000002</v>
      </c>
      <c r="K61" s="1645"/>
    </row>
    <row r="62" spans="1:11" s="1284" customFormat="1" ht="30" customHeight="1">
      <c r="A62" s="1283" t="s">
        <v>246</v>
      </c>
      <c r="B62" s="1283" t="s">
        <v>3326</v>
      </c>
      <c r="C62" s="1278">
        <v>65226</v>
      </c>
      <c r="D62" s="1278">
        <v>63136</v>
      </c>
      <c r="E62" s="1278">
        <v>63136</v>
      </c>
      <c r="F62" s="883">
        <v>61082</v>
      </c>
      <c r="G62" s="883">
        <v>2090</v>
      </c>
      <c r="H62" s="1279">
        <f t="shared" si="11"/>
        <v>63172</v>
      </c>
      <c r="I62" s="909">
        <v>65226</v>
      </c>
      <c r="J62" s="909">
        <f t="shared" si="12"/>
        <v>-2054</v>
      </c>
      <c r="K62" s="1273"/>
    </row>
    <row r="63" spans="1:11" s="1284" customFormat="1" ht="30" customHeight="1">
      <c r="A63" s="1283"/>
      <c r="B63" s="1283" t="s">
        <v>3346</v>
      </c>
      <c r="C63" s="909">
        <f t="shared" ref="C63:I63" si="13">SUM(C51:C62)</f>
        <v>14727585.253419999</v>
      </c>
      <c r="D63" s="909">
        <f t="shared" si="13"/>
        <v>11380281.01</v>
      </c>
      <c r="E63" s="909">
        <f t="shared" si="13"/>
        <v>11239146.369999999</v>
      </c>
      <c r="F63" s="909">
        <f t="shared" si="13"/>
        <v>11237092.369999999</v>
      </c>
      <c r="G63" s="909">
        <f t="shared" si="13"/>
        <v>1713804.24</v>
      </c>
      <c r="H63" s="909">
        <f t="shared" si="13"/>
        <v>12950896.609999999</v>
      </c>
      <c r="I63" s="909">
        <f t="shared" si="13"/>
        <v>12939757</v>
      </c>
      <c r="J63" s="909">
        <f>SUM(J51:J62)</f>
        <v>11139.609999999637</v>
      </c>
      <c r="K63" s="1273"/>
    </row>
    <row r="64" spans="1:11" s="1282" customFormat="1" ht="30" customHeight="1">
      <c r="A64" s="1273" t="s">
        <v>266</v>
      </c>
      <c r="B64" s="1645" t="s">
        <v>3327</v>
      </c>
      <c r="C64" s="1285">
        <v>623454.99</v>
      </c>
      <c r="D64" s="1285">
        <v>503454.99</v>
      </c>
      <c r="E64" s="1647">
        <f>216.8448*10000</f>
        <v>2168448</v>
      </c>
      <c r="F64" s="1647">
        <f>214.881904*10000</f>
        <v>2148819.04</v>
      </c>
      <c r="G64" s="1647">
        <f>(7+5.14+1.8722+14.82)*10000</f>
        <v>288322</v>
      </c>
      <c r="H64" s="1647">
        <f>F64+G64</f>
        <v>2437141.04</v>
      </c>
      <c r="I64" s="1647">
        <f>561109+956698+868907</f>
        <v>2386714</v>
      </c>
      <c r="J64" s="1647">
        <f>H64-I64</f>
        <v>50427.040000000037</v>
      </c>
      <c r="K64" s="1273"/>
    </row>
    <row r="65" spans="1:11" s="1282" customFormat="1" ht="30" customHeight="1">
      <c r="A65" s="1273" t="s">
        <v>1030</v>
      </c>
      <c r="B65" s="1645"/>
      <c r="C65" s="1285">
        <v>1062997.95</v>
      </c>
      <c r="D65" s="1285">
        <v>922319.6</v>
      </c>
      <c r="E65" s="1647"/>
      <c r="F65" s="1647"/>
      <c r="G65" s="1647"/>
      <c r="H65" s="1647"/>
      <c r="I65" s="1647"/>
      <c r="J65" s="1647"/>
      <c r="K65" s="1273"/>
    </row>
    <row r="66" spans="1:11" s="1282" customFormat="1" ht="30" customHeight="1">
      <c r="A66" s="1273" t="s">
        <v>3328</v>
      </c>
      <c r="B66" s="1645"/>
      <c r="C66" s="1285">
        <v>965452.5</v>
      </c>
      <c r="D66" s="1285">
        <v>814556.5</v>
      </c>
      <c r="E66" s="1647"/>
      <c r="F66" s="1647"/>
      <c r="G66" s="1647"/>
      <c r="H66" s="1647"/>
      <c r="I66" s="1647"/>
      <c r="J66" s="1647"/>
      <c r="K66" s="1273"/>
    </row>
    <row r="67" spans="1:11" s="1282" customFormat="1" ht="30" customHeight="1">
      <c r="A67" s="1273" t="s">
        <v>3329</v>
      </c>
      <c r="B67" s="1645"/>
      <c r="C67" s="1285">
        <v>2693551</v>
      </c>
      <c r="D67" s="1285">
        <v>2421410</v>
      </c>
      <c r="E67" s="1285">
        <f>234.594673*10000</f>
        <v>2345946.73</v>
      </c>
      <c r="F67" s="1285">
        <f>234.594673*10000</f>
        <v>2345946.73</v>
      </c>
      <c r="G67" s="1285">
        <f>(15.0671+2.92)*10000</f>
        <v>179870.99999999997</v>
      </c>
      <c r="H67" s="1285">
        <f>E67+G67</f>
        <v>2525817.73</v>
      </c>
      <c r="I67" s="1285">
        <v>2424196</v>
      </c>
      <c r="J67" s="1286">
        <f>H67-I67</f>
        <v>101621.72999999998</v>
      </c>
      <c r="K67" s="1273" t="s">
        <v>3253</v>
      </c>
    </row>
    <row r="68" spans="1:11" s="1282" customFormat="1" ht="30" customHeight="1">
      <c r="A68" s="1273"/>
      <c r="B68" s="1273" t="s">
        <v>3347</v>
      </c>
      <c r="C68" s="1286">
        <f t="shared" ref="C68:I68" si="14">SUM(C64:C67)</f>
        <v>5345456.4399999995</v>
      </c>
      <c r="D68" s="1286">
        <f t="shared" si="14"/>
        <v>4661741.09</v>
      </c>
      <c r="E68" s="1286">
        <f t="shared" si="14"/>
        <v>4514394.7300000004</v>
      </c>
      <c r="F68" s="1286">
        <f t="shared" si="14"/>
        <v>4494765.7699999996</v>
      </c>
      <c r="G68" s="1286">
        <f t="shared" si="14"/>
        <v>468193</v>
      </c>
      <c r="H68" s="1286">
        <f t="shared" si="14"/>
        <v>4962958.7699999996</v>
      </c>
      <c r="I68" s="1286">
        <f t="shared" si="14"/>
        <v>4810910</v>
      </c>
      <c r="J68" s="1286">
        <f>SUM(J64:J67)</f>
        <v>152048.77000000002</v>
      </c>
      <c r="K68" s="1273"/>
    </row>
    <row r="69" spans="1:11" ht="30" customHeight="1">
      <c r="A69" s="1287" t="s">
        <v>1416</v>
      </c>
      <c r="B69" s="1645" t="s">
        <v>3330</v>
      </c>
      <c r="C69" s="1278">
        <v>820195.2</v>
      </c>
      <c r="D69" s="1278">
        <v>714460</v>
      </c>
      <c r="E69" s="1648">
        <v>1512587.03</v>
      </c>
      <c r="F69" s="1648">
        <v>1512587.03</v>
      </c>
      <c r="G69" s="1648">
        <v>203455</v>
      </c>
      <c r="H69" s="1648">
        <f>F69+G69</f>
        <v>1716042.03</v>
      </c>
      <c r="I69" s="1648">
        <v>1461624</v>
      </c>
      <c r="J69" s="1648">
        <f>H69-I69</f>
        <v>254418.03000000003</v>
      </c>
      <c r="K69" s="1645" t="s">
        <v>3253</v>
      </c>
    </row>
    <row r="70" spans="1:11" ht="30" customHeight="1">
      <c r="A70" s="1287" t="s">
        <v>166</v>
      </c>
      <c r="B70" s="1645"/>
      <c r="C70" s="1278">
        <v>154428</v>
      </c>
      <c r="D70" s="1278">
        <v>138348</v>
      </c>
      <c r="E70" s="1648"/>
      <c r="F70" s="1648"/>
      <c r="G70" s="1648"/>
      <c r="H70" s="1648"/>
      <c r="I70" s="1648"/>
      <c r="J70" s="1648"/>
      <c r="K70" s="1645"/>
    </row>
    <row r="71" spans="1:11" ht="30" customHeight="1">
      <c r="A71" s="1287" t="s">
        <v>168</v>
      </c>
      <c r="B71" s="1645"/>
      <c r="C71" s="1278">
        <v>749882.52600986802</v>
      </c>
      <c r="D71" s="1278">
        <v>669537.96965166798</v>
      </c>
      <c r="E71" s="1648"/>
      <c r="F71" s="1648"/>
      <c r="G71" s="1648"/>
      <c r="H71" s="1648"/>
      <c r="I71" s="1648"/>
      <c r="J71" s="1648"/>
      <c r="K71" s="1645"/>
    </row>
    <row r="72" spans="1:11" ht="30" customHeight="1">
      <c r="A72" s="1649" t="s">
        <v>3331</v>
      </c>
      <c r="B72" s="1273" t="s">
        <v>3332</v>
      </c>
      <c r="C72" s="1650">
        <v>2877685.2</v>
      </c>
      <c r="D72" s="1278">
        <v>1303415</v>
      </c>
      <c r="E72" s="1279">
        <v>1297813</v>
      </c>
      <c r="F72" s="1279">
        <v>1297813</v>
      </c>
      <c r="G72" s="1279">
        <v>127600</v>
      </c>
      <c r="H72" s="1648">
        <f>F72+G72+F73+G73</f>
        <v>2659667.2199999997</v>
      </c>
      <c r="I72" s="1648">
        <v>2589917</v>
      </c>
      <c r="J72" s="1648">
        <f>H72-I72</f>
        <v>69750.219999999739</v>
      </c>
      <c r="K72" s="1273" t="s">
        <v>3253</v>
      </c>
    </row>
    <row r="73" spans="1:11" ht="30" customHeight="1">
      <c r="A73" s="1649"/>
      <c r="B73" s="1273" t="s">
        <v>3333</v>
      </c>
      <c r="C73" s="1650"/>
      <c r="D73" s="1278">
        <v>1169570.2</v>
      </c>
      <c r="E73" s="1279">
        <v>1130854.22</v>
      </c>
      <c r="F73" s="1279">
        <v>1130854.22</v>
      </c>
      <c r="G73" s="1279">
        <v>103400</v>
      </c>
      <c r="H73" s="1648"/>
      <c r="I73" s="1648"/>
      <c r="J73" s="1648"/>
      <c r="K73" s="1273" t="s">
        <v>3253</v>
      </c>
    </row>
    <row r="74" spans="1:11" ht="30" customHeight="1">
      <c r="A74" s="1287"/>
      <c r="B74" s="1273" t="s">
        <v>3348</v>
      </c>
      <c r="C74" s="1279">
        <f t="shared" ref="C74:I74" si="15">SUM(C69:C73)</f>
        <v>4602190.9260098683</v>
      </c>
      <c r="D74" s="1279">
        <f t="shared" si="15"/>
        <v>3995331.1696516676</v>
      </c>
      <c r="E74" s="1279">
        <f t="shared" si="15"/>
        <v>3941254.25</v>
      </c>
      <c r="F74" s="1279">
        <f t="shared" si="15"/>
        <v>3941254.25</v>
      </c>
      <c r="G74" s="1279">
        <f t="shared" si="15"/>
        <v>434455</v>
      </c>
      <c r="H74" s="1279">
        <f t="shared" si="15"/>
        <v>4375709.25</v>
      </c>
      <c r="I74" s="1279">
        <f t="shared" si="15"/>
        <v>4051541</v>
      </c>
      <c r="J74" s="1279">
        <f>SUM(J69:J73)</f>
        <v>324168.24999999977</v>
      </c>
      <c r="K74" s="1273"/>
    </row>
    <row r="75" spans="1:11" ht="30" customHeight="1">
      <c r="A75" s="1283" t="s">
        <v>233</v>
      </c>
      <c r="B75" s="1288" t="s">
        <v>3334</v>
      </c>
      <c r="C75" s="1278">
        <v>1947202.76</v>
      </c>
      <c r="D75" s="1278">
        <v>1697457.05</v>
      </c>
      <c r="E75" s="1279">
        <v>1624012.99</v>
      </c>
      <c r="F75" s="1279">
        <v>1624012.99</v>
      </c>
      <c r="G75" s="1278">
        <v>249745.71</v>
      </c>
      <c r="H75" s="1278">
        <v>1873758.7</v>
      </c>
      <c r="I75" s="1278">
        <v>1752482</v>
      </c>
      <c r="J75" s="1279">
        <f t="shared" ref="J75:J78" si="16">+H75-I75</f>
        <v>121276.69999999995</v>
      </c>
      <c r="K75" s="1288" t="s">
        <v>3253</v>
      </c>
    </row>
    <row r="76" spans="1:11" ht="30" customHeight="1">
      <c r="A76" s="1283" t="s">
        <v>228</v>
      </c>
      <c r="B76" s="1645" t="s">
        <v>3335</v>
      </c>
      <c r="C76" s="1278">
        <v>552912.64000000001</v>
      </c>
      <c r="D76" s="1278">
        <v>493672</v>
      </c>
      <c r="E76" s="1648">
        <v>1383215.24</v>
      </c>
      <c r="F76" s="1648">
        <v>1378236.37</v>
      </c>
      <c r="G76" s="1648">
        <v>149913</v>
      </c>
      <c r="H76" s="1648">
        <v>1528149.37</v>
      </c>
      <c r="I76" s="1648">
        <v>1398092</v>
      </c>
      <c r="J76" s="1648">
        <f t="shared" si="16"/>
        <v>130057.37000000011</v>
      </c>
      <c r="K76" s="1645"/>
    </row>
    <row r="77" spans="1:11" ht="30" customHeight="1">
      <c r="A77" s="1283" t="s">
        <v>234</v>
      </c>
      <c r="B77" s="1645"/>
      <c r="C77" s="1278">
        <v>1000522.88</v>
      </c>
      <c r="D77" s="1278">
        <v>893324</v>
      </c>
      <c r="E77" s="1648"/>
      <c r="F77" s="1648"/>
      <c r="G77" s="1648"/>
      <c r="H77" s="1648"/>
      <c r="I77" s="1648"/>
      <c r="J77" s="1648"/>
      <c r="K77" s="1645"/>
    </row>
    <row r="78" spans="1:11" ht="30" customHeight="1">
      <c r="A78" s="1288" t="s">
        <v>1015</v>
      </c>
      <c r="B78" s="1645" t="s">
        <v>3336</v>
      </c>
      <c r="C78" s="1278">
        <v>33965.39</v>
      </c>
      <c r="D78" s="1278">
        <v>30326.240000000002</v>
      </c>
      <c r="E78" s="1648">
        <v>1666864</v>
      </c>
      <c r="F78" s="1648">
        <v>1666864</v>
      </c>
      <c r="G78" s="1648">
        <v>247911.9</v>
      </c>
      <c r="H78" s="1648">
        <v>1914775.9</v>
      </c>
      <c r="I78" s="1648">
        <v>1543075</v>
      </c>
      <c r="J78" s="1648">
        <f t="shared" si="16"/>
        <v>371700.89999999991</v>
      </c>
      <c r="K78" s="1645" t="s">
        <v>3253</v>
      </c>
    </row>
    <row r="79" spans="1:11" ht="30" customHeight="1">
      <c r="A79" s="1288" t="s">
        <v>3337</v>
      </c>
      <c r="B79" s="1645"/>
      <c r="C79" s="1278">
        <v>396081.99</v>
      </c>
      <c r="D79" s="1278">
        <v>347216.06</v>
      </c>
      <c r="E79" s="1648"/>
      <c r="F79" s="1648"/>
      <c r="G79" s="1648"/>
      <c r="H79" s="1648"/>
      <c r="I79" s="1648"/>
      <c r="J79" s="1648"/>
      <c r="K79" s="1645"/>
    </row>
    <row r="80" spans="1:11" ht="30" customHeight="1">
      <c r="A80" s="1288" t="s">
        <v>1012</v>
      </c>
      <c r="B80" s="1645"/>
      <c r="C80" s="1278">
        <v>293548.05</v>
      </c>
      <c r="D80" s="1278">
        <v>262096.47</v>
      </c>
      <c r="E80" s="1648"/>
      <c r="F80" s="1648"/>
      <c r="G80" s="1648"/>
      <c r="H80" s="1648"/>
      <c r="I80" s="1648"/>
      <c r="J80" s="1648"/>
      <c r="K80" s="1645"/>
    </row>
    <row r="81" spans="1:11" ht="30" customHeight="1">
      <c r="A81" s="1288" t="s">
        <v>2106</v>
      </c>
      <c r="B81" s="1645"/>
      <c r="C81" s="1278">
        <v>510471.54</v>
      </c>
      <c r="D81" s="1278">
        <v>455778.16</v>
      </c>
      <c r="E81" s="1648"/>
      <c r="F81" s="1648"/>
      <c r="G81" s="1648"/>
      <c r="H81" s="1648"/>
      <c r="I81" s="1648"/>
      <c r="J81" s="1648"/>
      <c r="K81" s="1645"/>
    </row>
    <row r="82" spans="1:11" ht="30" customHeight="1">
      <c r="A82" s="1288" t="s">
        <v>542</v>
      </c>
      <c r="B82" s="1645"/>
      <c r="C82" s="1278">
        <v>419760</v>
      </c>
      <c r="D82" s="1278">
        <v>348000</v>
      </c>
      <c r="E82" s="1648"/>
      <c r="F82" s="1648"/>
      <c r="G82" s="1648"/>
      <c r="H82" s="1648"/>
      <c r="I82" s="1648"/>
      <c r="J82" s="1648"/>
      <c r="K82" s="1645"/>
    </row>
    <row r="83" spans="1:11" ht="30" customHeight="1">
      <c r="A83" s="1288" t="s">
        <v>3338</v>
      </c>
      <c r="B83" s="1645"/>
      <c r="C83" s="1278">
        <v>56662.720000000001</v>
      </c>
      <c r="D83" s="1278">
        <v>42556</v>
      </c>
      <c r="E83" s="1648"/>
      <c r="F83" s="1648"/>
      <c r="G83" s="1648"/>
      <c r="H83" s="1648"/>
      <c r="I83" s="1648"/>
      <c r="J83" s="1648"/>
      <c r="K83" s="1645"/>
    </row>
    <row r="84" spans="1:11" ht="30" customHeight="1">
      <c r="A84" s="1288" t="s">
        <v>1014</v>
      </c>
      <c r="B84" s="1645"/>
      <c r="C84" s="1278">
        <v>93457.08</v>
      </c>
      <c r="D84" s="1278">
        <v>83443.820000000007</v>
      </c>
      <c r="E84" s="1648"/>
      <c r="F84" s="1648"/>
      <c r="G84" s="1648"/>
      <c r="H84" s="1648"/>
      <c r="I84" s="1648"/>
      <c r="J84" s="1648"/>
      <c r="K84" s="1645"/>
    </row>
    <row r="85" spans="1:11" ht="30" customHeight="1">
      <c r="A85" s="1288" t="s">
        <v>2121</v>
      </c>
      <c r="B85" s="1645"/>
      <c r="C85" s="1278">
        <v>124897.58</v>
      </c>
      <c r="D85" s="1278">
        <v>111515.7</v>
      </c>
      <c r="E85" s="1648"/>
      <c r="F85" s="1648"/>
      <c r="G85" s="1648"/>
      <c r="H85" s="1648"/>
      <c r="I85" s="1648"/>
      <c r="J85" s="1648"/>
      <c r="K85" s="1645"/>
    </row>
    <row r="86" spans="1:11" ht="30" customHeight="1">
      <c r="A86" s="1273"/>
      <c r="B86" s="1273" t="s">
        <v>3349</v>
      </c>
      <c r="C86" s="1279">
        <f t="shared" ref="C86:I86" si="17">SUM(C75:C85)</f>
        <v>5429482.6299999999</v>
      </c>
      <c r="D86" s="1279">
        <f t="shared" si="17"/>
        <v>4765385.5000000009</v>
      </c>
      <c r="E86" s="1279">
        <f t="shared" si="17"/>
        <v>4674092.2300000004</v>
      </c>
      <c r="F86" s="1279">
        <f t="shared" si="17"/>
        <v>4669113.3600000003</v>
      </c>
      <c r="G86" s="1279">
        <f t="shared" si="17"/>
        <v>647570.61</v>
      </c>
      <c r="H86" s="1279">
        <f t="shared" si="17"/>
        <v>5316683.9700000007</v>
      </c>
      <c r="I86" s="1279">
        <f t="shared" si="17"/>
        <v>4693649</v>
      </c>
      <c r="J86" s="1279">
        <f>SUM(J75:J85)</f>
        <v>623034.97</v>
      </c>
      <c r="K86" s="1273"/>
    </row>
    <row r="87" spans="1:11" ht="30" customHeight="1">
      <c r="A87" s="1273"/>
      <c r="B87" s="1273" t="s">
        <v>3350</v>
      </c>
      <c r="C87" s="1279">
        <f t="shared" ref="C87:I87" si="18">SUM(C86,C74,C68,C63,C50,C47,C32,C19,C9)</f>
        <v>77231735.731029868</v>
      </c>
      <c r="D87" s="1279">
        <f t="shared" si="18"/>
        <v>66594744.92965167</v>
      </c>
      <c r="E87" s="1279">
        <f t="shared" si="18"/>
        <v>64928258.339999996</v>
      </c>
      <c r="F87" s="1279">
        <f t="shared" si="18"/>
        <v>64804677.799999997</v>
      </c>
      <c r="G87" s="1279">
        <f t="shared" si="18"/>
        <v>8000427.4500000002</v>
      </c>
      <c r="H87" s="1279">
        <f t="shared" si="18"/>
        <v>72805105.25</v>
      </c>
      <c r="I87" s="1279">
        <f t="shared" si="18"/>
        <v>67404036</v>
      </c>
      <c r="J87" s="1279">
        <f>SUM(J86,J74,J68,J63,J50,J47,J32,J19,J9)</f>
        <v>5401069.2499999991</v>
      </c>
      <c r="K87" s="1273"/>
    </row>
  </sheetData>
  <mergeCells count="39">
    <mergeCell ref="J76:J77"/>
    <mergeCell ref="K76:K77"/>
    <mergeCell ref="B78:B85"/>
    <mergeCell ref="E78:E85"/>
    <mergeCell ref="F78:F85"/>
    <mergeCell ref="G78:G85"/>
    <mergeCell ref="H78:H85"/>
    <mergeCell ref="I78:I85"/>
    <mergeCell ref="J78:J85"/>
    <mergeCell ref="K78:K85"/>
    <mergeCell ref="B76:B77"/>
    <mergeCell ref="E76:E77"/>
    <mergeCell ref="F76:F77"/>
    <mergeCell ref="G76:G77"/>
    <mergeCell ref="H76:H77"/>
    <mergeCell ref="I76:I77"/>
    <mergeCell ref="J69:J71"/>
    <mergeCell ref="K69:K71"/>
    <mergeCell ref="A72:A73"/>
    <mergeCell ref="C72:C73"/>
    <mergeCell ref="H72:H73"/>
    <mergeCell ref="I72:I73"/>
    <mergeCell ref="J72:J73"/>
    <mergeCell ref="B69:B71"/>
    <mergeCell ref="E69:E71"/>
    <mergeCell ref="F69:F71"/>
    <mergeCell ref="G69:G71"/>
    <mergeCell ref="H69:H71"/>
    <mergeCell ref="I69:I71"/>
    <mergeCell ref="A1:K1"/>
    <mergeCell ref="K33:K46"/>
    <mergeCell ref="K51:K61"/>
    <mergeCell ref="B64:B67"/>
    <mergeCell ref="E64:E66"/>
    <mergeCell ref="F64:F66"/>
    <mergeCell ref="G64:G66"/>
    <mergeCell ref="H64:H66"/>
    <mergeCell ref="I64:I66"/>
    <mergeCell ref="J64:J66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9" sqref="A9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307" customWidth="1"/>
    <col min="12" max="12" width="10" style="1307" customWidth="1"/>
    <col min="13" max="13" width="11.375" style="1307" customWidth="1"/>
    <col min="14" max="14" width="10.625" style="226" customWidth="1"/>
    <col min="15" max="16384" width="9" style="227"/>
  </cols>
  <sheetData>
    <row r="1" spans="1:14" ht="22.5">
      <c r="A1" s="1390" t="s">
        <v>3357</v>
      </c>
      <c r="B1" s="1390"/>
      <c r="C1" s="1390"/>
      <c r="D1" s="1390"/>
      <c r="E1" s="1390"/>
      <c r="F1" s="1390"/>
      <c r="G1" s="1390"/>
      <c r="H1" s="1390"/>
      <c r="I1" s="1390"/>
      <c r="J1" s="1390"/>
      <c r="K1" s="1571"/>
      <c r="L1" s="1571"/>
      <c r="M1" s="1571"/>
      <c r="N1" s="1571"/>
    </row>
    <row r="2" spans="1:14" ht="20.100000000000001" customHeight="1" outlineLevel="1">
      <c r="A2" s="1659" t="s">
        <v>4021</v>
      </c>
      <c r="B2" s="1641"/>
      <c r="C2" s="1641"/>
      <c r="D2" s="1641"/>
      <c r="E2" s="1641"/>
      <c r="F2" s="1641"/>
      <c r="G2" s="1641"/>
      <c r="H2" s="1641"/>
      <c r="I2" s="1641"/>
      <c r="J2" s="1641"/>
      <c r="K2" s="1641"/>
      <c r="L2" s="1641"/>
      <c r="M2" s="1641"/>
      <c r="N2" s="1641"/>
    </row>
    <row r="3" spans="1:14" ht="20.100000000000001" customHeight="1" outlineLevel="2">
      <c r="A3" s="1651" t="s">
        <v>632</v>
      </c>
      <c r="B3" s="1651" t="s">
        <v>1248</v>
      </c>
      <c r="C3" s="1651" t="s">
        <v>3203</v>
      </c>
      <c r="D3" s="1651" t="s">
        <v>3353</v>
      </c>
      <c r="E3" s="1651" t="s">
        <v>13</v>
      </c>
      <c r="F3" s="1651" t="s">
        <v>1242</v>
      </c>
      <c r="G3" s="1651" t="s">
        <v>1243</v>
      </c>
      <c r="H3" s="1651" t="s">
        <v>1244</v>
      </c>
      <c r="I3" s="1651" t="s">
        <v>1245</v>
      </c>
      <c r="J3" s="1654" t="s">
        <v>4022</v>
      </c>
      <c r="K3" s="1654" t="s">
        <v>4023</v>
      </c>
      <c r="L3" s="1656" t="s">
        <v>4024</v>
      </c>
      <c r="M3" s="1657"/>
      <c r="N3" s="1658"/>
    </row>
    <row r="4" spans="1:14" ht="20.100000000000001" customHeight="1" outlineLevel="1">
      <c r="A4" s="1652"/>
      <c r="B4" s="1652" t="s">
        <v>4027</v>
      </c>
      <c r="C4" s="1652"/>
      <c r="D4" s="1652"/>
      <c r="E4" s="1652"/>
      <c r="F4" s="1652"/>
      <c r="G4" s="1652"/>
      <c r="H4" s="1652"/>
      <c r="I4" s="1652"/>
      <c r="J4" s="1655">
        <f>SUBTOTAL(9,J3:J3)</f>
        <v>0</v>
      </c>
      <c r="K4" s="1655">
        <f>SUBTOTAL(9,K3:K3)</f>
        <v>0</v>
      </c>
      <c r="L4" s="1325">
        <f>SUBTOTAL(9,L3:L3)</f>
        <v>0</v>
      </c>
      <c r="M4" s="1331">
        <f>SUBTOTAL(9,M3:M3)</f>
        <v>0</v>
      </c>
      <c r="N4" s="1332">
        <f>SUBTOTAL(9,N3:N3)</f>
        <v>0</v>
      </c>
    </row>
    <row r="5" spans="1:14" ht="34.5" customHeight="1" outlineLevel="1">
      <c r="A5" s="1653"/>
      <c r="B5" s="1653"/>
      <c r="C5" s="1653"/>
      <c r="D5" s="1653"/>
      <c r="E5" s="1653"/>
      <c r="F5" s="1653"/>
      <c r="G5" s="1653"/>
      <c r="H5" s="1653"/>
      <c r="I5" s="1653"/>
      <c r="J5" s="1653"/>
      <c r="K5" s="1653"/>
      <c r="L5" s="1308" t="s">
        <v>3358</v>
      </c>
      <c r="M5" s="1324" t="s">
        <v>4025</v>
      </c>
      <c r="N5" s="1301" t="s">
        <v>3080</v>
      </c>
    </row>
    <row r="6" spans="1:14" ht="29.1" customHeight="1" outlineLevel="2">
      <c r="A6" s="237" t="s">
        <v>221</v>
      </c>
      <c r="B6" s="239" t="s">
        <v>10</v>
      </c>
      <c r="C6" s="239" t="s">
        <v>1518</v>
      </c>
      <c r="D6" s="239" t="s">
        <v>2379</v>
      </c>
      <c r="E6" s="254" t="s">
        <v>2373</v>
      </c>
      <c r="F6" s="254" t="s">
        <v>2373</v>
      </c>
      <c r="G6" s="254" t="s">
        <v>2373</v>
      </c>
      <c r="H6" s="239">
        <v>1</v>
      </c>
      <c r="I6" s="1302">
        <v>70000</v>
      </c>
      <c r="J6" s="1302">
        <f t="shared" ref="J6:J10" si="0">I6*H6</f>
        <v>70000</v>
      </c>
      <c r="K6" s="1309">
        <v>0</v>
      </c>
      <c r="L6" s="1309">
        <f t="shared" ref="L6:L64" si="1">K6-J6</f>
        <v>-70000</v>
      </c>
      <c r="M6" s="1309"/>
      <c r="N6" s="1303">
        <f t="shared" ref="N6:N42" si="2">K6-J6</f>
        <v>-70000</v>
      </c>
    </row>
    <row r="7" spans="1:14" ht="29.1" customHeight="1" outlineLevel="2">
      <c r="A7" s="237" t="s">
        <v>654</v>
      </c>
      <c r="B7" s="239" t="s">
        <v>10</v>
      </c>
      <c r="C7" s="239" t="s">
        <v>1518</v>
      </c>
      <c r="D7" s="239" t="s">
        <v>2379</v>
      </c>
      <c r="E7" s="254" t="s">
        <v>2373</v>
      </c>
      <c r="F7" s="254" t="s">
        <v>2373</v>
      </c>
      <c r="G7" s="254" t="s">
        <v>2373</v>
      </c>
      <c r="H7" s="239">
        <v>1</v>
      </c>
      <c r="I7" s="1302">
        <v>70000</v>
      </c>
      <c r="J7" s="1302">
        <f t="shared" si="0"/>
        <v>70000</v>
      </c>
      <c r="K7" s="1309">
        <v>0</v>
      </c>
      <c r="L7" s="1309">
        <f t="shared" si="1"/>
        <v>-70000</v>
      </c>
      <c r="M7" s="1309"/>
      <c r="N7" s="1303">
        <f t="shared" si="2"/>
        <v>-70000</v>
      </c>
    </row>
    <row r="8" spans="1:14" ht="29.1" customHeight="1" outlineLevel="2">
      <c r="A8" s="237" t="s">
        <v>223</v>
      </c>
      <c r="B8" s="239" t="s">
        <v>10</v>
      </c>
      <c r="C8" s="239" t="s">
        <v>1465</v>
      </c>
      <c r="D8" s="239" t="s">
        <v>2379</v>
      </c>
      <c r="E8" s="254" t="s">
        <v>2373</v>
      </c>
      <c r="F8" s="254" t="s">
        <v>2373</v>
      </c>
      <c r="G8" s="254" t="s">
        <v>2373</v>
      </c>
      <c r="H8" s="239">
        <v>1</v>
      </c>
      <c r="I8" s="1302">
        <v>70000</v>
      </c>
      <c r="J8" s="1302">
        <f t="shared" si="0"/>
        <v>70000</v>
      </c>
      <c r="K8" s="1309">
        <v>0</v>
      </c>
      <c r="L8" s="1309">
        <f t="shared" si="1"/>
        <v>-70000</v>
      </c>
      <c r="M8" s="1309"/>
      <c r="N8" s="1303">
        <f t="shared" si="2"/>
        <v>-70000</v>
      </c>
    </row>
    <row r="9" spans="1:14" ht="29.1" customHeight="1" outlineLevel="2">
      <c r="A9" s="237" t="s">
        <v>734</v>
      </c>
      <c r="B9" s="239" t="s">
        <v>10</v>
      </c>
      <c r="C9" s="239" t="s">
        <v>3083</v>
      </c>
      <c r="D9" s="239" t="s">
        <v>2379</v>
      </c>
      <c r="E9" s="254" t="s">
        <v>2373</v>
      </c>
      <c r="F9" s="254" t="s">
        <v>2373</v>
      </c>
      <c r="G9" s="254" t="s">
        <v>2373</v>
      </c>
      <c r="H9" s="239">
        <v>1</v>
      </c>
      <c r="I9" s="1302">
        <v>90000</v>
      </c>
      <c r="J9" s="1302">
        <f t="shared" si="0"/>
        <v>90000</v>
      </c>
      <c r="K9" s="1309">
        <v>0</v>
      </c>
      <c r="L9" s="1309">
        <f t="shared" si="1"/>
        <v>-90000</v>
      </c>
      <c r="M9" s="1309"/>
      <c r="N9" s="1303">
        <f t="shared" si="2"/>
        <v>-90000</v>
      </c>
    </row>
    <row r="10" spans="1:14" ht="29.1" customHeight="1" outlineLevel="2">
      <c r="A10" s="237" t="s">
        <v>222</v>
      </c>
      <c r="B10" s="239" t="s">
        <v>10</v>
      </c>
      <c r="C10" s="239" t="s">
        <v>1465</v>
      </c>
      <c r="D10" s="239" t="s">
        <v>2379</v>
      </c>
      <c r="E10" s="254" t="s">
        <v>2373</v>
      </c>
      <c r="F10" s="254" t="s">
        <v>2373</v>
      </c>
      <c r="G10" s="254" t="s">
        <v>2373</v>
      </c>
      <c r="H10" s="239">
        <v>1</v>
      </c>
      <c r="I10" s="1302">
        <v>90000</v>
      </c>
      <c r="J10" s="1302">
        <f t="shared" si="0"/>
        <v>90000</v>
      </c>
      <c r="K10" s="1309">
        <v>0</v>
      </c>
      <c r="L10" s="1309">
        <f t="shared" si="1"/>
        <v>-90000</v>
      </c>
      <c r="M10" s="1309"/>
      <c r="N10" s="1303">
        <f t="shared" si="2"/>
        <v>-90000</v>
      </c>
    </row>
    <row r="11" spans="1:14" ht="29.1" customHeight="1" outlineLevel="2">
      <c r="A11" s="237" t="s">
        <v>654</v>
      </c>
      <c r="B11" s="239" t="s">
        <v>10</v>
      </c>
      <c r="C11" s="239" t="s">
        <v>1518</v>
      </c>
      <c r="D11" s="239" t="s">
        <v>2379</v>
      </c>
      <c r="E11" s="240" t="s">
        <v>1254</v>
      </c>
      <c r="F11" s="240" t="s">
        <v>1254</v>
      </c>
      <c r="G11" s="240" t="s">
        <v>1255</v>
      </c>
      <c r="H11" s="239">
        <v>1</v>
      </c>
      <c r="I11" s="1302">
        <v>500000</v>
      </c>
      <c r="J11" s="1302">
        <v>500000</v>
      </c>
      <c r="K11" s="1304">
        <v>490000</v>
      </c>
      <c r="L11" s="1309">
        <f t="shared" si="1"/>
        <v>-10000</v>
      </c>
      <c r="M11" s="1304"/>
      <c r="N11" s="1303">
        <f t="shared" si="2"/>
        <v>-10000</v>
      </c>
    </row>
    <row r="12" spans="1:14" ht="29.1" customHeight="1" outlineLevel="2">
      <c r="A12" s="237" t="s">
        <v>221</v>
      </c>
      <c r="B12" s="239" t="s">
        <v>10</v>
      </c>
      <c r="C12" s="239" t="s">
        <v>1518</v>
      </c>
      <c r="D12" s="239" t="s">
        <v>2379</v>
      </c>
      <c r="E12" s="240" t="s">
        <v>1254</v>
      </c>
      <c r="F12" s="240" t="s">
        <v>1254</v>
      </c>
      <c r="G12" s="240" t="s">
        <v>1255</v>
      </c>
      <c r="H12" s="239">
        <v>1</v>
      </c>
      <c r="I12" s="1302">
        <v>500000</v>
      </c>
      <c r="J12" s="1302">
        <v>500000</v>
      </c>
      <c r="K12" s="1304">
        <v>490000</v>
      </c>
      <c r="L12" s="1309">
        <f t="shared" si="1"/>
        <v>-10000</v>
      </c>
      <c r="M12" s="1304"/>
      <c r="N12" s="1303">
        <f t="shared" si="2"/>
        <v>-10000</v>
      </c>
    </row>
    <row r="13" spans="1:14" ht="29.1" customHeight="1" outlineLevel="2">
      <c r="A13" s="237" t="s">
        <v>734</v>
      </c>
      <c r="B13" s="239" t="s">
        <v>10</v>
      </c>
      <c r="C13" s="239" t="s">
        <v>3083</v>
      </c>
      <c r="D13" s="239" t="s">
        <v>2379</v>
      </c>
      <c r="E13" s="240" t="s">
        <v>1254</v>
      </c>
      <c r="F13" s="240" t="s">
        <v>1254</v>
      </c>
      <c r="G13" s="240" t="s">
        <v>1255</v>
      </c>
      <c r="H13" s="239">
        <v>1</v>
      </c>
      <c r="I13" s="1302">
        <v>500000</v>
      </c>
      <c r="J13" s="1302">
        <v>500000</v>
      </c>
      <c r="K13" s="1304">
        <v>440000</v>
      </c>
      <c r="L13" s="1309">
        <f t="shared" si="1"/>
        <v>-60000</v>
      </c>
      <c r="M13" s="1304"/>
      <c r="N13" s="1303">
        <f t="shared" si="2"/>
        <v>-60000</v>
      </c>
    </row>
    <row r="14" spans="1:14" ht="29.1" customHeight="1" outlineLevel="1">
      <c r="A14" s="237"/>
      <c r="B14" s="238" t="s">
        <v>262</v>
      </c>
      <c r="C14" s="239"/>
      <c r="D14" s="239"/>
      <c r="E14" s="240"/>
      <c r="F14" s="240"/>
      <c r="G14" s="240"/>
      <c r="H14" s="239"/>
      <c r="I14" s="1302"/>
      <c r="J14" s="1302">
        <f>SUBTOTAL(9,J6:J13)</f>
        <v>1890000</v>
      </c>
      <c r="K14" s="1302">
        <f>SUBTOTAL(9,K6:K13)</f>
        <v>1420000</v>
      </c>
      <c r="L14" s="1302">
        <f>SUBTOTAL(9,L6:L13)</f>
        <v>-470000</v>
      </c>
      <c r="M14" s="1302">
        <f>SUBTOTAL(9,M6:M13)</f>
        <v>0</v>
      </c>
      <c r="N14" s="1302">
        <f>SUBTOTAL(9,N6:N13)</f>
        <v>-470000</v>
      </c>
    </row>
    <row r="15" spans="1:14" ht="29.1" customHeight="1" outlineLevel="2">
      <c r="A15" s="237" t="s">
        <v>1040</v>
      </c>
      <c r="B15" s="247" t="s">
        <v>8</v>
      </c>
      <c r="C15" s="247" t="s">
        <v>3083</v>
      </c>
      <c r="D15" s="247" t="s">
        <v>2379</v>
      </c>
      <c r="E15" s="254" t="s">
        <v>2373</v>
      </c>
      <c r="F15" s="254" t="s">
        <v>2373</v>
      </c>
      <c r="G15" s="254" t="s">
        <v>2373</v>
      </c>
      <c r="H15" s="247">
        <v>1</v>
      </c>
      <c r="I15" s="1302">
        <v>90000</v>
      </c>
      <c r="J15" s="1302">
        <f>H15*I15</f>
        <v>90000</v>
      </c>
      <c r="K15" s="1309">
        <v>0</v>
      </c>
      <c r="L15" s="1309">
        <f t="shared" si="1"/>
        <v>-90000</v>
      </c>
      <c r="M15" s="1309"/>
      <c r="N15" s="1303">
        <f t="shared" si="2"/>
        <v>-90000</v>
      </c>
    </row>
    <row r="16" spans="1:14" ht="29.1" customHeight="1" outlineLevel="2">
      <c r="A16" s="237" t="s">
        <v>224</v>
      </c>
      <c r="B16" s="247" t="s">
        <v>8</v>
      </c>
      <c r="C16" s="247" t="s">
        <v>3083</v>
      </c>
      <c r="D16" s="247" t="s">
        <v>2379</v>
      </c>
      <c r="E16" s="254" t="s">
        <v>2373</v>
      </c>
      <c r="F16" s="254" t="s">
        <v>2373</v>
      </c>
      <c r="G16" s="254" t="s">
        <v>2373</v>
      </c>
      <c r="H16" s="247">
        <v>1</v>
      </c>
      <c r="I16" s="1302">
        <v>105000</v>
      </c>
      <c r="J16" s="1302">
        <f>H16*I16</f>
        <v>105000</v>
      </c>
      <c r="K16" s="1309">
        <v>0</v>
      </c>
      <c r="L16" s="1309">
        <f t="shared" si="1"/>
        <v>-105000</v>
      </c>
      <c r="M16" s="1309"/>
      <c r="N16" s="1303">
        <f t="shared" si="2"/>
        <v>-105000</v>
      </c>
    </row>
    <row r="17" spans="1:14" ht="29.1" customHeight="1" outlineLevel="2">
      <c r="A17" s="237" t="s">
        <v>225</v>
      </c>
      <c r="B17" s="247" t="s">
        <v>8</v>
      </c>
      <c r="C17" s="247" t="s">
        <v>3083</v>
      </c>
      <c r="D17" s="247" t="s">
        <v>2379</v>
      </c>
      <c r="E17" s="254" t="s">
        <v>2373</v>
      </c>
      <c r="F17" s="254" t="s">
        <v>2373</v>
      </c>
      <c r="G17" s="254" t="s">
        <v>2373</v>
      </c>
      <c r="H17" s="247">
        <v>1</v>
      </c>
      <c r="I17" s="1302">
        <v>105000</v>
      </c>
      <c r="J17" s="1302">
        <f>H17*I17</f>
        <v>105000</v>
      </c>
      <c r="K17" s="1309">
        <v>0</v>
      </c>
      <c r="L17" s="1309">
        <f t="shared" si="1"/>
        <v>-105000</v>
      </c>
      <c r="M17" s="1309"/>
      <c r="N17" s="1303">
        <f t="shared" si="2"/>
        <v>-105000</v>
      </c>
    </row>
    <row r="18" spans="1:14" ht="29.1" customHeight="1" outlineLevel="2">
      <c r="A18" s="237" t="s">
        <v>224</v>
      </c>
      <c r="B18" s="239" t="s">
        <v>8</v>
      </c>
      <c r="C18" s="239" t="s">
        <v>3083</v>
      </c>
      <c r="D18" s="247" t="s">
        <v>2379</v>
      </c>
      <c r="E18" s="240" t="s">
        <v>1254</v>
      </c>
      <c r="F18" s="240" t="s">
        <v>1254</v>
      </c>
      <c r="G18" s="240" t="s">
        <v>1255</v>
      </c>
      <c r="H18" s="239">
        <v>1</v>
      </c>
      <c r="I18" s="1302">
        <v>500000</v>
      </c>
      <c r="J18" s="1302">
        <v>500000</v>
      </c>
      <c r="K18" s="1309">
        <v>440000</v>
      </c>
      <c r="L18" s="1309">
        <f t="shared" si="1"/>
        <v>-60000</v>
      </c>
      <c r="M18" s="1309"/>
      <c r="N18" s="1303">
        <f t="shared" si="2"/>
        <v>-60000</v>
      </c>
    </row>
    <row r="19" spans="1:14" ht="29.1" customHeight="1" outlineLevel="2">
      <c r="A19" s="237" t="s">
        <v>1040</v>
      </c>
      <c r="B19" s="239" t="s">
        <v>8</v>
      </c>
      <c r="C19" s="239" t="s">
        <v>3083</v>
      </c>
      <c r="D19" s="247" t="s">
        <v>2379</v>
      </c>
      <c r="E19" s="240" t="s">
        <v>1254</v>
      </c>
      <c r="F19" s="240" t="s">
        <v>1254</v>
      </c>
      <c r="G19" s="240" t="s">
        <v>1255</v>
      </c>
      <c r="H19" s="239">
        <v>1</v>
      </c>
      <c r="I19" s="1302">
        <v>500000</v>
      </c>
      <c r="J19" s="1302">
        <v>500000</v>
      </c>
      <c r="K19" s="1309">
        <v>440000</v>
      </c>
      <c r="L19" s="1309">
        <f t="shared" si="1"/>
        <v>-60000</v>
      </c>
      <c r="M19" s="1309"/>
      <c r="N19" s="1303">
        <f t="shared" si="2"/>
        <v>-60000</v>
      </c>
    </row>
    <row r="20" spans="1:14" ht="29.1" customHeight="1" outlineLevel="2">
      <c r="A20" s="237" t="s">
        <v>225</v>
      </c>
      <c r="B20" s="239" t="s">
        <v>8</v>
      </c>
      <c r="C20" s="239" t="s">
        <v>3083</v>
      </c>
      <c r="D20" s="247" t="s">
        <v>2379</v>
      </c>
      <c r="E20" s="240" t="s">
        <v>1254</v>
      </c>
      <c r="F20" s="240" t="s">
        <v>1254</v>
      </c>
      <c r="G20" s="240" t="s">
        <v>1255</v>
      </c>
      <c r="H20" s="239">
        <v>1</v>
      </c>
      <c r="I20" s="1302">
        <v>500000</v>
      </c>
      <c r="J20" s="1302">
        <v>500000</v>
      </c>
      <c r="K20" s="1309">
        <v>490000</v>
      </c>
      <c r="L20" s="1309">
        <f t="shared" si="1"/>
        <v>-10000</v>
      </c>
      <c r="M20" s="1309"/>
      <c r="N20" s="1303">
        <f t="shared" si="2"/>
        <v>-10000</v>
      </c>
    </row>
    <row r="21" spans="1:14" ht="29.1" customHeight="1" outlineLevel="1">
      <c r="A21" s="237"/>
      <c r="B21" s="238" t="s">
        <v>260</v>
      </c>
      <c r="C21" s="239"/>
      <c r="D21" s="247"/>
      <c r="E21" s="240"/>
      <c r="F21" s="240"/>
      <c r="G21" s="240"/>
      <c r="H21" s="239"/>
      <c r="I21" s="1302"/>
      <c r="J21" s="1302">
        <f>SUBTOTAL(9,J15:J20)</f>
        <v>1800000</v>
      </c>
      <c r="K21" s="1302">
        <f>SUBTOTAL(9,K15:K20)</f>
        <v>1370000</v>
      </c>
      <c r="L21" s="1302">
        <f>SUBTOTAL(9,L15:L20)</f>
        <v>-430000</v>
      </c>
      <c r="M21" s="1302">
        <f>SUBTOTAL(9,M15:M20)</f>
        <v>0</v>
      </c>
      <c r="N21" s="1302">
        <f>SUBTOTAL(9,N15:N20)</f>
        <v>-430000</v>
      </c>
    </row>
    <row r="22" spans="1:14" ht="29.1" customHeight="1" outlineLevel="2">
      <c r="A22" s="237" t="s">
        <v>1030</v>
      </c>
      <c r="B22" s="239" t="s">
        <v>7</v>
      </c>
      <c r="C22" s="239" t="s">
        <v>1518</v>
      </c>
      <c r="D22" s="239" t="s">
        <v>2379</v>
      </c>
      <c r="E22" s="254" t="s">
        <v>2373</v>
      </c>
      <c r="F22" s="254" t="s">
        <v>2373</v>
      </c>
      <c r="G22" s="254" t="s">
        <v>2373</v>
      </c>
      <c r="H22" s="239">
        <v>1</v>
      </c>
      <c r="I22" s="1302">
        <v>90000</v>
      </c>
      <c r="J22" s="1302">
        <v>90000</v>
      </c>
      <c r="K22" s="1309">
        <v>0</v>
      </c>
      <c r="L22" s="1309">
        <f t="shared" si="1"/>
        <v>-90000</v>
      </c>
      <c r="M22" s="1309">
        <v>-90000</v>
      </c>
      <c r="N22" s="1303">
        <v>0</v>
      </c>
    </row>
    <row r="23" spans="1:14" ht="29.1" customHeight="1" outlineLevel="2">
      <c r="A23" s="237" t="s">
        <v>1031</v>
      </c>
      <c r="B23" s="239" t="s">
        <v>7</v>
      </c>
      <c r="C23" s="239" t="s">
        <v>3083</v>
      </c>
      <c r="D23" s="239" t="s">
        <v>2379</v>
      </c>
      <c r="E23" s="254" t="s">
        <v>2373</v>
      </c>
      <c r="F23" s="254" t="s">
        <v>2373</v>
      </c>
      <c r="G23" s="254" t="s">
        <v>2373</v>
      </c>
      <c r="H23" s="239">
        <v>1</v>
      </c>
      <c r="I23" s="1302">
        <v>90000</v>
      </c>
      <c r="J23" s="1302">
        <f>H23*I23</f>
        <v>90000</v>
      </c>
      <c r="K23" s="1309">
        <v>0</v>
      </c>
      <c r="L23" s="1309">
        <f t="shared" si="1"/>
        <v>-90000</v>
      </c>
      <c r="M23" s="1309">
        <v>-90000</v>
      </c>
      <c r="N23" s="1303">
        <v>0</v>
      </c>
    </row>
    <row r="24" spans="1:14" ht="29.1" customHeight="1" outlineLevel="2">
      <c r="A24" s="237" t="s">
        <v>266</v>
      </c>
      <c r="B24" s="239" t="s">
        <v>7</v>
      </c>
      <c r="C24" s="239" t="s">
        <v>3083</v>
      </c>
      <c r="D24" s="239" t="s">
        <v>2379</v>
      </c>
      <c r="E24" s="254" t="s">
        <v>2373</v>
      </c>
      <c r="F24" s="254" t="s">
        <v>2373</v>
      </c>
      <c r="G24" s="254" t="s">
        <v>2373</v>
      </c>
      <c r="H24" s="239">
        <v>1</v>
      </c>
      <c r="I24" s="1302">
        <v>90000</v>
      </c>
      <c r="J24" s="1302">
        <f>H24*I24</f>
        <v>90000</v>
      </c>
      <c r="K24" s="1309">
        <v>0</v>
      </c>
      <c r="L24" s="1309">
        <f t="shared" si="1"/>
        <v>-90000</v>
      </c>
      <c r="M24" s="1309">
        <v>-90000</v>
      </c>
      <c r="N24" s="1303">
        <v>0</v>
      </c>
    </row>
    <row r="25" spans="1:14" ht="29.1" customHeight="1" outlineLevel="2">
      <c r="A25" s="237" t="s">
        <v>1032</v>
      </c>
      <c r="B25" s="239" t="s">
        <v>7</v>
      </c>
      <c r="C25" s="239" t="s">
        <v>1465</v>
      </c>
      <c r="D25" s="239" t="s">
        <v>2379</v>
      </c>
      <c r="E25" s="254" t="s">
        <v>2373</v>
      </c>
      <c r="F25" s="254" t="s">
        <v>2373</v>
      </c>
      <c r="G25" s="254" t="s">
        <v>2373</v>
      </c>
      <c r="H25" s="239">
        <v>1</v>
      </c>
      <c r="I25" s="1302">
        <v>105000</v>
      </c>
      <c r="J25" s="1302">
        <f>H25*I25</f>
        <v>105000</v>
      </c>
      <c r="K25" s="1309">
        <v>0</v>
      </c>
      <c r="L25" s="1309">
        <f t="shared" si="1"/>
        <v>-105000</v>
      </c>
      <c r="M25" s="1309">
        <v>-105000</v>
      </c>
      <c r="N25" s="1303">
        <v>0</v>
      </c>
    </row>
    <row r="26" spans="1:14" ht="29.1" customHeight="1" outlineLevel="2">
      <c r="A26" s="237" t="s">
        <v>1030</v>
      </c>
      <c r="B26" s="239" t="s">
        <v>7</v>
      </c>
      <c r="C26" s="239" t="s">
        <v>1518</v>
      </c>
      <c r="D26" s="239" t="s">
        <v>2379</v>
      </c>
      <c r="E26" s="240" t="s">
        <v>1254</v>
      </c>
      <c r="F26" s="240" t="s">
        <v>1254</v>
      </c>
      <c r="G26" s="240" t="s">
        <v>1255</v>
      </c>
      <c r="H26" s="239">
        <v>1</v>
      </c>
      <c r="I26" s="1302">
        <v>500000</v>
      </c>
      <c r="J26" s="1302">
        <v>500000</v>
      </c>
      <c r="K26" s="1309">
        <v>490000</v>
      </c>
      <c r="L26" s="1309">
        <f t="shared" si="1"/>
        <v>-10000</v>
      </c>
      <c r="M26" s="1309">
        <f>L26</f>
        <v>-10000</v>
      </c>
      <c r="N26" s="1303">
        <v>0</v>
      </c>
    </row>
    <row r="27" spans="1:14" ht="29.1" customHeight="1" outlineLevel="2">
      <c r="A27" s="237" t="s">
        <v>1031</v>
      </c>
      <c r="B27" s="239" t="s">
        <v>7</v>
      </c>
      <c r="C27" s="239" t="s">
        <v>3083</v>
      </c>
      <c r="D27" s="239" t="s">
        <v>2379</v>
      </c>
      <c r="E27" s="240" t="s">
        <v>1254</v>
      </c>
      <c r="F27" s="240" t="s">
        <v>1254</v>
      </c>
      <c r="G27" s="240" t="s">
        <v>1255</v>
      </c>
      <c r="H27" s="239">
        <v>1</v>
      </c>
      <c r="I27" s="1302">
        <v>500000</v>
      </c>
      <c r="J27" s="1302">
        <v>500000</v>
      </c>
      <c r="K27" s="1309">
        <v>440000</v>
      </c>
      <c r="L27" s="1309">
        <f t="shared" si="1"/>
        <v>-60000</v>
      </c>
      <c r="M27" s="1309">
        <f>L27</f>
        <v>-60000</v>
      </c>
      <c r="N27" s="1303">
        <v>0</v>
      </c>
    </row>
    <row r="28" spans="1:14" ht="29.1" customHeight="1" outlineLevel="2">
      <c r="A28" s="237" t="s">
        <v>266</v>
      </c>
      <c r="B28" s="239" t="s">
        <v>7</v>
      </c>
      <c r="C28" s="239" t="s">
        <v>3083</v>
      </c>
      <c r="D28" s="239" t="s">
        <v>2379</v>
      </c>
      <c r="E28" s="1297" t="s">
        <v>1254</v>
      </c>
      <c r="F28" s="1296" t="s">
        <v>3354</v>
      </c>
      <c r="G28" s="1296" t="s">
        <v>3355</v>
      </c>
      <c r="H28" s="239">
        <v>1</v>
      </c>
      <c r="I28" s="1302">
        <v>0</v>
      </c>
      <c r="J28" s="1302">
        <v>0</v>
      </c>
      <c r="K28" s="1309">
        <v>89900</v>
      </c>
      <c r="L28" s="1309">
        <f t="shared" si="1"/>
        <v>89900</v>
      </c>
      <c r="M28" s="1309">
        <v>89900</v>
      </c>
      <c r="N28" s="1303">
        <v>0</v>
      </c>
    </row>
    <row r="29" spans="1:14" ht="29.1" customHeight="1" outlineLevel="2">
      <c r="A29" s="237" t="s">
        <v>266</v>
      </c>
      <c r="B29" s="239" t="s">
        <v>7</v>
      </c>
      <c r="C29" s="239" t="s">
        <v>3083</v>
      </c>
      <c r="D29" s="239" t="s">
        <v>2379</v>
      </c>
      <c r="E29" s="240" t="s">
        <v>1254</v>
      </c>
      <c r="F29" s="240" t="s">
        <v>1254</v>
      </c>
      <c r="G29" s="240" t="s">
        <v>1255</v>
      </c>
      <c r="H29" s="239">
        <v>1</v>
      </c>
      <c r="I29" s="1302">
        <v>500000</v>
      </c>
      <c r="J29" s="1302">
        <v>500000</v>
      </c>
      <c r="K29" s="1309">
        <v>490000</v>
      </c>
      <c r="L29" s="1309">
        <f t="shared" si="1"/>
        <v>-10000</v>
      </c>
      <c r="M29" s="1309">
        <f>L29</f>
        <v>-10000</v>
      </c>
      <c r="N29" s="1303">
        <v>0</v>
      </c>
    </row>
    <row r="30" spans="1:14" ht="29.1" customHeight="1" outlineLevel="1">
      <c r="A30" s="237"/>
      <c r="B30" s="238" t="s">
        <v>259</v>
      </c>
      <c r="C30" s="239"/>
      <c r="D30" s="239"/>
      <c r="E30" s="240"/>
      <c r="F30" s="240"/>
      <c r="G30" s="240"/>
      <c r="H30" s="239"/>
      <c r="I30" s="1302"/>
      <c r="J30" s="1302">
        <f>SUBTOTAL(9,J22:J29)</f>
        <v>1875000</v>
      </c>
      <c r="K30" s="1302">
        <f>SUBTOTAL(9,K22:K29)</f>
        <v>1509900</v>
      </c>
      <c r="L30" s="1302">
        <f>SUBTOTAL(9,L22:L29)</f>
        <v>-365100</v>
      </c>
      <c r="M30" s="1302">
        <f>SUBTOTAL(9,M22:M29)</f>
        <v>-365100</v>
      </c>
      <c r="N30" s="1302">
        <f>SUBTOTAL(9,N22:N29)</f>
        <v>0</v>
      </c>
    </row>
    <row r="31" spans="1:14" ht="29.1" customHeight="1" outlineLevel="2">
      <c r="A31" s="237" t="s">
        <v>468</v>
      </c>
      <c r="B31" s="239" t="s">
        <v>6</v>
      </c>
      <c r="C31" s="239" t="s">
        <v>1465</v>
      </c>
      <c r="D31" s="239" t="s">
        <v>2379</v>
      </c>
      <c r="E31" s="254" t="s">
        <v>2373</v>
      </c>
      <c r="F31" s="254" t="s">
        <v>2373</v>
      </c>
      <c r="G31" s="254" t="s">
        <v>2373</v>
      </c>
      <c r="H31" s="239">
        <v>1</v>
      </c>
      <c r="I31" s="1302">
        <v>70000</v>
      </c>
      <c r="J31" s="1302">
        <f t="shared" ref="J31:J37" si="3">I31*H31</f>
        <v>70000</v>
      </c>
      <c r="K31" s="1309">
        <v>0</v>
      </c>
      <c r="L31" s="1309">
        <f t="shared" si="1"/>
        <v>-70000</v>
      </c>
      <c r="M31" s="1309"/>
      <c r="N31" s="1303">
        <f t="shared" si="2"/>
        <v>-70000</v>
      </c>
    </row>
    <row r="32" spans="1:14" ht="29.1" customHeight="1" outlineLevel="2">
      <c r="A32" s="237" t="s">
        <v>467</v>
      </c>
      <c r="B32" s="239" t="s">
        <v>6</v>
      </c>
      <c r="C32" s="239" t="s">
        <v>1465</v>
      </c>
      <c r="D32" s="239" t="s">
        <v>2379</v>
      </c>
      <c r="E32" s="254" t="s">
        <v>2373</v>
      </c>
      <c r="F32" s="254" t="s">
        <v>2373</v>
      </c>
      <c r="G32" s="254" t="s">
        <v>2373</v>
      </c>
      <c r="H32" s="239">
        <v>1</v>
      </c>
      <c r="I32" s="1302">
        <v>70000</v>
      </c>
      <c r="J32" s="1302">
        <f t="shared" si="3"/>
        <v>70000</v>
      </c>
      <c r="K32" s="1309">
        <v>0</v>
      </c>
      <c r="L32" s="1309">
        <f t="shared" si="1"/>
        <v>-70000</v>
      </c>
      <c r="M32" s="1309"/>
      <c r="N32" s="1303">
        <f t="shared" si="2"/>
        <v>-70000</v>
      </c>
    </row>
    <row r="33" spans="1:14" ht="29.1" customHeight="1" outlineLevel="2">
      <c r="A33" s="237" t="s">
        <v>466</v>
      </c>
      <c r="B33" s="239" t="s">
        <v>6</v>
      </c>
      <c r="C33" s="239" t="s">
        <v>1518</v>
      </c>
      <c r="D33" s="239" t="s">
        <v>2379</v>
      </c>
      <c r="E33" s="254" t="s">
        <v>2373</v>
      </c>
      <c r="F33" s="254" t="s">
        <v>2373</v>
      </c>
      <c r="G33" s="254" t="s">
        <v>2373</v>
      </c>
      <c r="H33" s="239">
        <v>1</v>
      </c>
      <c r="I33" s="1302">
        <v>70000</v>
      </c>
      <c r="J33" s="1302">
        <f t="shared" si="3"/>
        <v>70000</v>
      </c>
      <c r="K33" s="1309">
        <v>0</v>
      </c>
      <c r="L33" s="1309">
        <f t="shared" si="1"/>
        <v>-70000</v>
      </c>
      <c r="M33" s="1309"/>
      <c r="N33" s="1303">
        <f t="shared" si="2"/>
        <v>-70000</v>
      </c>
    </row>
    <row r="34" spans="1:14" ht="29.1" customHeight="1" outlineLevel="2">
      <c r="A34" s="237" t="s">
        <v>226</v>
      </c>
      <c r="B34" s="239" t="s">
        <v>6</v>
      </c>
      <c r="C34" s="239" t="s">
        <v>1518</v>
      </c>
      <c r="D34" s="239" t="s">
        <v>2379</v>
      </c>
      <c r="E34" s="254" t="s">
        <v>2373</v>
      </c>
      <c r="F34" s="254" t="s">
        <v>2373</v>
      </c>
      <c r="G34" s="254" t="s">
        <v>2373</v>
      </c>
      <c r="H34" s="239">
        <v>1</v>
      </c>
      <c r="I34" s="1302">
        <v>90000</v>
      </c>
      <c r="J34" s="1302">
        <f t="shared" si="3"/>
        <v>90000</v>
      </c>
      <c r="K34" s="1309">
        <v>0</v>
      </c>
      <c r="L34" s="1309">
        <f t="shared" si="1"/>
        <v>-90000</v>
      </c>
      <c r="M34" s="1309"/>
      <c r="N34" s="1303">
        <f t="shared" si="2"/>
        <v>-90000</v>
      </c>
    </row>
    <row r="35" spans="1:14" ht="29.1" customHeight="1" outlineLevel="2">
      <c r="A35" s="237" t="s">
        <v>1020</v>
      </c>
      <c r="B35" s="239" t="s">
        <v>6</v>
      </c>
      <c r="C35" s="239" t="s">
        <v>1518</v>
      </c>
      <c r="D35" s="239" t="s">
        <v>2379</v>
      </c>
      <c r="E35" s="254" t="s">
        <v>2373</v>
      </c>
      <c r="F35" s="254" t="s">
        <v>2373</v>
      </c>
      <c r="G35" s="254" t="s">
        <v>2373</v>
      </c>
      <c r="H35" s="239">
        <v>1</v>
      </c>
      <c r="I35" s="1302">
        <v>90000</v>
      </c>
      <c r="J35" s="1302">
        <f t="shared" si="3"/>
        <v>90000</v>
      </c>
      <c r="K35" s="1309">
        <v>0</v>
      </c>
      <c r="L35" s="1309">
        <f t="shared" si="1"/>
        <v>-90000</v>
      </c>
      <c r="M35" s="1309"/>
      <c r="N35" s="1303">
        <f t="shared" si="2"/>
        <v>-90000</v>
      </c>
    </row>
    <row r="36" spans="1:14" ht="29.1" customHeight="1" outlineLevel="2">
      <c r="A36" s="237" t="s">
        <v>1019</v>
      </c>
      <c r="B36" s="239" t="s">
        <v>6</v>
      </c>
      <c r="C36" s="239" t="s">
        <v>3083</v>
      </c>
      <c r="D36" s="239" t="s">
        <v>2379</v>
      </c>
      <c r="E36" s="254" t="s">
        <v>2373</v>
      </c>
      <c r="F36" s="254" t="s">
        <v>2373</v>
      </c>
      <c r="G36" s="254" t="s">
        <v>2373</v>
      </c>
      <c r="H36" s="239">
        <v>1</v>
      </c>
      <c r="I36" s="1302">
        <v>90000</v>
      </c>
      <c r="J36" s="1302">
        <f t="shared" si="3"/>
        <v>90000</v>
      </c>
      <c r="K36" s="1309">
        <v>0</v>
      </c>
      <c r="L36" s="1309">
        <f t="shared" si="1"/>
        <v>-90000</v>
      </c>
      <c r="M36" s="1309"/>
      <c r="N36" s="1303">
        <f t="shared" si="2"/>
        <v>-90000</v>
      </c>
    </row>
    <row r="37" spans="1:14" ht="29.1" customHeight="1" outlineLevel="2">
      <c r="A37" s="237" t="s">
        <v>1021</v>
      </c>
      <c r="B37" s="239" t="s">
        <v>6</v>
      </c>
      <c r="C37" s="239" t="s">
        <v>1465</v>
      </c>
      <c r="D37" s="239" t="s">
        <v>2379</v>
      </c>
      <c r="E37" s="254" t="s">
        <v>2373</v>
      </c>
      <c r="F37" s="254" t="s">
        <v>2373</v>
      </c>
      <c r="G37" s="254" t="s">
        <v>2373</v>
      </c>
      <c r="H37" s="239">
        <v>1</v>
      </c>
      <c r="I37" s="1302">
        <v>90000</v>
      </c>
      <c r="J37" s="1302">
        <f t="shared" si="3"/>
        <v>90000</v>
      </c>
      <c r="K37" s="1309">
        <v>0</v>
      </c>
      <c r="L37" s="1309">
        <f t="shared" si="1"/>
        <v>-90000</v>
      </c>
      <c r="M37" s="1309"/>
      <c r="N37" s="1303">
        <f t="shared" si="2"/>
        <v>-90000</v>
      </c>
    </row>
    <row r="38" spans="1:14" ht="29.1" customHeight="1" outlineLevel="2">
      <c r="A38" s="237" t="s">
        <v>1019</v>
      </c>
      <c r="B38" s="239" t="s">
        <v>6</v>
      </c>
      <c r="C38" s="239" t="s">
        <v>3083</v>
      </c>
      <c r="D38" s="239" t="s">
        <v>2379</v>
      </c>
      <c r="E38" s="240" t="s">
        <v>1254</v>
      </c>
      <c r="F38" s="240" t="s">
        <v>1254</v>
      </c>
      <c r="G38" s="240" t="s">
        <v>1255</v>
      </c>
      <c r="H38" s="239">
        <v>1</v>
      </c>
      <c r="I38" s="1302">
        <v>500000</v>
      </c>
      <c r="J38" s="1302">
        <v>500000</v>
      </c>
      <c r="K38" s="1309">
        <v>490000</v>
      </c>
      <c r="L38" s="1309">
        <f t="shared" si="1"/>
        <v>-10000</v>
      </c>
      <c r="M38" s="1309"/>
      <c r="N38" s="1303">
        <f t="shared" si="2"/>
        <v>-10000</v>
      </c>
    </row>
    <row r="39" spans="1:14" ht="29.1" customHeight="1" outlineLevel="2">
      <c r="A39" s="237" t="s">
        <v>226</v>
      </c>
      <c r="B39" s="239" t="s">
        <v>6</v>
      </c>
      <c r="C39" s="239" t="s">
        <v>1518</v>
      </c>
      <c r="D39" s="239" t="s">
        <v>2379</v>
      </c>
      <c r="E39" s="240" t="s">
        <v>1254</v>
      </c>
      <c r="F39" s="240" t="s">
        <v>1254</v>
      </c>
      <c r="G39" s="240" t="s">
        <v>1255</v>
      </c>
      <c r="H39" s="239">
        <v>1</v>
      </c>
      <c r="I39" s="1302">
        <v>500000</v>
      </c>
      <c r="J39" s="1302">
        <v>500000</v>
      </c>
      <c r="K39" s="1309">
        <v>490000</v>
      </c>
      <c r="L39" s="1309">
        <f t="shared" si="1"/>
        <v>-10000</v>
      </c>
      <c r="M39" s="1309"/>
      <c r="N39" s="1303">
        <f t="shared" si="2"/>
        <v>-10000</v>
      </c>
    </row>
    <row r="40" spans="1:14" ht="29.1" customHeight="1" outlineLevel="2">
      <c r="A40" s="237" t="s">
        <v>466</v>
      </c>
      <c r="B40" s="239" t="s">
        <v>6</v>
      </c>
      <c r="C40" s="239" t="s">
        <v>1518</v>
      </c>
      <c r="D40" s="239" t="s">
        <v>2379</v>
      </c>
      <c r="E40" s="240" t="s">
        <v>1254</v>
      </c>
      <c r="F40" s="240" t="s">
        <v>1254</v>
      </c>
      <c r="G40" s="240" t="s">
        <v>1255</v>
      </c>
      <c r="H40" s="239">
        <v>1</v>
      </c>
      <c r="I40" s="1302">
        <v>500000</v>
      </c>
      <c r="J40" s="1302">
        <v>500000</v>
      </c>
      <c r="K40" s="1309">
        <v>440000</v>
      </c>
      <c r="L40" s="1309">
        <f t="shared" si="1"/>
        <v>-60000</v>
      </c>
      <c r="M40" s="1309"/>
      <c r="N40" s="1303">
        <f t="shared" si="2"/>
        <v>-60000</v>
      </c>
    </row>
    <row r="41" spans="1:14" ht="29.1" customHeight="1" outlineLevel="2">
      <c r="A41" s="237" t="s">
        <v>466</v>
      </c>
      <c r="B41" s="239" t="s">
        <v>6</v>
      </c>
      <c r="C41" s="239" t="s">
        <v>1518</v>
      </c>
      <c r="D41" s="239" t="s">
        <v>2379</v>
      </c>
      <c r="E41" s="1297" t="s">
        <v>1254</v>
      </c>
      <c r="F41" s="1297" t="s">
        <v>3354</v>
      </c>
      <c r="G41" s="1297" t="s">
        <v>3355</v>
      </c>
      <c r="H41" s="239">
        <v>1</v>
      </c>
      <c r="I41" s="1302">
        <v>0</v>
      </c>
      <c r="J41" s="1302">
        <v>0</v>
      </c>
      <c r="K41" s="1309">
        <v>57900</v>
      </c>
      <c r="L41" s="1309">
        <f t="shared" si="1"/>
        <v>57900</v>
      </c>
      <c r="M41" s="1309"/>
      <c r="N41" s="1303">
        <f t="shared" si="2"/>
        <v>57900</v>
      </c>
    </row>
    <row r="42" spans="1:14" ht="29.1" customHeight="1" outlineLevel="2">
      <c r="A42" s="237" t="s">
        <v>1020</v>
      </c>
      <c r="B42" s="239" t="s">
        <v>6</v>
      </c>
      <c r="C42" s="239" t="s">
        <v>1518</v>
      </c>
      <c r="D42" s="239" t="s">
        <v>2379</v>
      </c>
      <c r="E42" s="240" t="s">
        <v>1254</v>
      </c>
      <c r="F42" s="240" t="s">
        <v>1254</v>
      </c>
      <c r="G42" s="240" t="s">
        <v>1255</v>
      </c>
      <c r="H42" s="239">
        <v>1</v>
      </c>
      <c r="I42" s="1302">
        <v>500000</v>
      </c>
      <c r="J42" s="1302">
        <v>500000</v>
      </c>
      <c r="K42" s="1309">
        <v>540000</v>
      </c>
      <c r="L42" s="1309">
        <f t="shared" si="1"/>
        <v>40000</v>
      </c>
      <c r="M42" s="1309"/>
      <c r="N42" s="1303">
        <f t="shared" si="2"/>
        <v>40000</v>
      </c>
    </row>
    <row r="43" spans="1:14" ht="29.1" customHeight="1" outlineLevel="1">
      <c r="A43" s="237"/>
      <c r="B43" s="238" t="s">
        <v>258</v>
      </c>
      <c r="C43" s="239"/>
      <c r="D43" s="239"/>
      <c r="E43" s="240"/>
      <c r="F43" s="240"/>
      <c r="G43" s="240"/>
      <c r="H43" s="239"/>
      <c r="I43" s="1302"/>
      <c r="J43" s="1333">
        <f>SUBTOTAL(9,J31:J42)</f>
        <v>2570000</v>
      </c>
      <c r="K43" s="1333">
        <f>SUBTOTAL(9,K31:K42)</f>
        <v>2017900</v>
      </c>
      <c r="L43" s="1333">
        <f>SUBTOTAL(9,L31:L42)</f>
        <v>-552100</v>
      </c>
      <c r="M43" s="1333">
        <f>SUBTOTAL(9,M31:M42)</f>
        <v>0</v>
      </c>
      <c r="N43" s="1333">
        <f>SUBTOTAL(9,N31:N42)</f>
        <v>-552100</v>
      </c>
    </row>
    <row r="44" spans="1:14" ht="29.1" customHeight="1" outlineLevel="2">
      <c r="A44" s="237" t="s">
        <v>227</v>
      </c>
      <c r="B44" s="239" t="s">
        <v>5</v>
      </c>
      <c r="C44" s="239" t="s">
        <v>1518</v>
      </c>
      <c r="D44" s="239" t="s">
        <v>2379</v>
      </c>
      <c r="E44" s="254" t="s">
        <v>2373</v>
      </c>
      <c r="F44" s="254" t="s">
        <v>2373</v>
      </c>
      <c r="G44" s="254" t="s">
        <v>2373</v>
      </c>
      <c r="H44" s="239">
        <v>1</v>
      </c>
      <c r="I44" s="1327">
        <v>90000</v>
      </c>
      <c r="J44" s="1328">
        <f>H44*I44</f>
        <v>90000</v>
      </c>
      <c r="K44" s="1326">
        <v>0</v>
      </c>
      <c r="L44" s="1309">
        <f t="shared" si="1"/>
        <v>-90000</v>
      </c>
      <c r="M44" s="1326">
        <v>-90000</v>
      </c>
      <c r="N44" s="1303">
        <f t="shared" ref="N44:N61" si="4">L44-M44</f>
        <v>0</v>
      </c>
    </row>
    <row r="45" spans="1:14" ht="29.1" customHeight="1" outlineLevel="2">
      <c r="A45" s="237" t="s">
        <v>228</v>
      </c>
      <c r="B45" s="239" t="s">
        <v>5</v>
      </c>
      <c r="C45" s="239" t="s">
        <v>1518</v>
      </c>
      <c r="D45" s="239" t="s">
        <v>2379</v>
      </c>
      <c r="E45" s="254" t="s">
        <v>2373</v>
      </c>
      <c r="F45" s="254" t="s">
        <v>2373</v>
      </c>
      <c r="G45" s="254" t="s">
        <v>2373</v>
      </c>
      <c r="H45" s="239">
        <v>1</v>
      </c>
      <c r="I45" s="1327">
        <v>90000</v>
      </c>
      <c r="J45" s="1328">
        <f>H45*I45</f>
        <v>90000</v>
      </c>
      <c r="K45" s="1326">
        <v>0</v>
      </c>
      <c r="L45" s="1309">
        <f t="shared" si="1"/>
        <v>-90000</v>
      </c>
      <c r="M45" s="1326">
        <v>-90000</v>
      </c>
      <c r="N45" s="1303">
        <f t="shared" si="4"/>
        <v>0</v>
      </c>
    </row>
    <row r="46" spans="1:14" ht="29.1" customHeight="1" outlineLevel="2">
      <c r="A46" s="237" t="s">
        <v>235</v>
      </c>
      <c r="B46" s="239" t="s">
        <v>5</v>
      </c>
      <c r="C46" s="239" t="s">
        <v>3083</v>
      </c>
      <c r="D46" s="239" t="s">
        <v>2379</v>
      </c>
      <c r="E46" s="254" t="s">
        <v>2373</v>
      </c>
      <c r="F46" s="254" t="s">
        <v>2373</v>
      </c>
      <c r="G46" s="254" t="s">
        <v>2373</v>
      </c>
      <c r="H46" s="239">
        <v>1</v>
      </c>
      <c r="I46" s="1327">
        <v>70000</v>
      </c>
      <c r="J46" s="1328">
        <f>H46*I46</f>
        <v>70000</v>
      </c>
      <c r="K46" s="1326">
        <v>0</v>
      </c>
      <c r="L46" s="1309">
        <f t="shared" si="1"/>
        <v>-70000</v>
      </c>
      <c r="M46" s="1326">
        <v>-70000</v>
      </c>
      <c r="N46" s="1303">
        <f t="shared" si="4"/>
        <v>0</v>
      </c>
    </row>
    <row r="47" spans="1:14" ht="29.1" customHeight="1" outlineLevel="2">
      <c r="A47" s="237" t="s">
        <v>1011</v>
      </c>
      <c r="B47" s="239" t="s">
        <v>5</v>
      </c>
      <c r="C47" s="239" t="s">
        <v>1465</v>
      </c>
      <c r="D47" s="239" t="s">
        <v>2379</v>
      </c>
      <c r="E47" s="254" t="s">
        <v>2373</v>
      </c>
      <c r="F47" s="254" t="s">
        <v>2373</v>
      </c>
      <c r="G47" s="254" t="s">
        <v>2373</v>
      </c>
      <c r="H47" s="239">
        <v>1</v>
      </c>
      <c r="I47" s="1327">
        <v>90000</v>
      </c>
      <c r="J47" s="1328">
        <f t="shared" ref="J47:J53" si="5">H47*I47</f>
        <v>90000</v>
      </c>
      <c r="K47" s="1326">
        <v>0</v>
      </c>
      <c r="L47" s="1309">
        <f t="shared" si="1"/>
        <v>-90000</v>
      </c>
      <c r="M47" s="1326">
        <v>-90000</v>
      </c>
      <c r="N47" s="1303">
        <f t="shared" si="4"/>
        <v>0</v>
      </c>
    </row>
    <row r="48" spans="1:14" ht="29.1" customHeight="1" outlineLevel="2">
      <c r="A48" s="237" t="s">
        <v>232</v>
      </c>
      <c r="B48" s="239" t="s">
        <v>5</v>
      </c>
      <c r="C48" s="239" t="s">
        <v>1465</v>
      </c>
      <c r="D48" s="239" t="s">
        <v>2379</v>
      </c>
      <c r="E48" s="254" t="s">
        <v>2373</v>
      </c>
      <c r="F48" s="254" t="s">
        <v>2373</v>
      </c>
      <c r="G48" s="254" t="s">
        <v>2373</v>
      </c>
      <c r="H48" s="239">
        <v>1</v>
      </c>
      <c r="I48" s="1327">
        <v>90000</v>
      </c>
      <c r="J48" s="1328">
        <f t="shared" si="5"/>
        <v>90000</v>
      </c>
      <c r="K48" s="1326">
        <v>0</v>
      </c>
      <c r="L48" s="1309">
        <f t="shared" si="1"/>
        <v>-90000</v>
      </c>
      <c r="M48" s="1326">
        <v>-90000</v>
      </c>
      <c r="N48" s="1303">
        <f t="shared" si="4"/>
        <v>0</v>
      </c>
    </row>
    <row r="49" spans="1:14" ht="29.1" customHeight="1" outlineLevel="2">
      <c r="A49" s="237" t="s">
        <v>230</v>
      </c>
      <c r="B49" s="239" t="s">
        <v>5</v>
      </c>
      <c r="C49" s="239" t="s">
        <v>3083</v>
      </c>
      <c r="D49" s="239" t="s">
        <v>2379</v>
      </c>
      <c r="E49" s="254" t="s">
        <v>2373</v>
      </c>
      <c r="F49" s="254" t="s">
        <v>2373</v>
      </c>
      <c r="G49" s="254" t="s">
        <v>2373</v>
      </c>
      <c r="H49" s="239">
        <v>1</v>
      </c>
      <c r="I49" s="1327">
        <v>90000</v>
      </c>
      <c r="J49" s="1328">
        <f t="shared" si="5"/>
        <v>90000</v>
      </c>
      <c r="K49" s="1326">
        <v>0</v>
      </c>
      <c r="L49" s="1309">
        <f t="shared" si="1"/>
        <v>-90000</v>
      </c>
      <c r="M49" s="1326">
        <v>-90000</v>
      </c>
      <c r="N49" s="1303">
        <f t="shared" si="4"/>
        <v>0</v>
      </c>
    </row>
    <row r="50" spans="1:14" ht="29.1" customHeight="1" outlineLevel="2">
      <c r="A50" s="237" t="s">
        <v>233</v>
      </c>
      <c r="B50" s="239" t="s">
        <v>5</v>
      </c>
      <c r="C50" s="239" t="s">
        <v>1465</v>
      </c>
      <c r="D50" s="239" t="s">
        <v>2379</v>
      </c>
      <c r="E50" s="254" t="s">
        <v>2373</v>
      </c>
      <c r="F50" s="254" t="s">
        <v>2373</v>
      </c>
      <c r="G50" s="254" t="s">
        <v>2373</v>
      </c>
      <c r="H50" s="239">
        <v>1</v>
      </c>
      <c r="I50" s="1327">
        <v>90000</v>
      </c>
      <c r="J50" s="1328">
        <f t="shared" si="5"/>
        <v>90000</v>
      </c>
      <c r="K50" s="1326">
        <v>0</v>
      </c>
      <c r="L50" s="1309">
        <f t="shared" si="1"/>
        <v>-90000</v>
      </c>
      <c r="M50" s="1326">
        <v>-90000</v>
      </c>
      <c r="N50" s="1303">
        <f t="shared" si="4"/>
        <v>0</v>
      </c>
    </row>
    <row r="51" spans="1:14" ht="29.1" customHeight="1" outlineLevel="2">
      <c r="A51" s="237" t="s">
        <v>229</v>
      </c>
      <c r="B51" s="239" t="s">
        <v>5</v>
      </c>
      <c r="C51" s="239" t="s">
        <v>1518</v>
      </c>
      <c r="D51" s="239" t="s">
        <v>2379</v>
      </c>
      <c r="E51" s="254" t="s">
        <v>2373</v>
      </c>
      <c r="F51" s="254" t="s">
        <v>2373</v>
      </c>
      <c r="G51" s="254" t="s">
        <v>2373</v>
      </c>
      <c r="H51" s="239">
        <v>1</v>
      </c>
      <c r="I51" s="1327">
        <v>90000</v>
      </c>
      <c r="J51" s="1328">
        <f t="shared" si="5"/>
        <v>90000</v>
      </c>
      <c r="K51" s="1326">
        <v>0</v>
      </c>
      <c r="L51" s="1309">
        <f t="shared" si="1"/>
        <v>-90000</v>
      </c>
      <c r="M51" s="1326">
        <v>-90000</v>
      </c>
      <c r="N51" s="1303">
        <f t="shared" si="4"/>
        <v>0</v>
      </c>
    </row>
    <row r="52" spans="1:14" ht="29.1" customHeight="1" outlineLevel="2">
      <c r="A52" s="237" t="s">
        <v>234</v>
      </c>
      <c r="B52" s="239" t="s">
        <v>5</v>
      </c>
      <c r="C52" s="239" t="s">
        <v>1465</v>
      </c>
      <c r="D52" s="239" t="s">
        <v>2379</v>
      </c>
      <c r="E52" s="254" t="s">
        <v>2373</v>
      </c>
      <c r="F52" s="254" t="s">
        <v>2373</v>
      </c>
      <c r="G52" s="254" t="s">
        <v>2373</v>
      </c>
      <c r="H52" s="239">
        <v>1</v>
      </c>
      <c r="I52" s="1327">
        <v>90000</v>
      </c>
      <c r="J52" s="1328">
        <f t="shared" si="5"/>
        <v>90000</v>
      </c>
      <c r="K52" s="1326">
        <v>0</v>
      </c>
      <c r="L52" s="1309">
        <f t="shared" si="1"/>
        <v>-90000</v>
      </c>
      <c r="M52" s="1326">
        <v>-90000</v>
      </c>
      <c r="N52" s="1303">
        <f t="shared" si="4"/>
        <v>0</v>
      </c>
    </row>
    <row r="53" spans="1:14" ht="29.1" customHeight="1" outlineLevel="2">
      <c r="A53" s="237" t="s">
        <v>231</v>
      </c>
      <c r="B53" s="239" t="s">
        <v>5</v>
      </c>
      <c r="C53" s="239" t="s">
        <v>1465</v>
      </c>
      <c r="D53" s="239" t="s">
        <v>2379</v>
      </c>
      <c r="E53" s="254" t="s">
        <v>2373</v>
      </c>
      <c r="F53" s="254" t="s">
        <v>2373</v>
      </c>
      <c r="G53" s="254" t="s">
        <v>2373</v>
      </c>
      <c r="H53" s="239">
        <v>1</v>
      </c>
      <c r="I53" s="1327">
        <v>90000</v>
      </c>
      <c r="J53" s="1328">
        <f t="shared" si="5"/>
        <v>90000</v>
      </c>
      <c r="K53" s="1326">
        <v>0</v>
      </c>
      <c r="L53" s="1309">
        <f t="shared" si="1"/>
        <v>-90000</v>
      </c>
      <c r="M53" s="1326">
        <v>-90000</v>
      </c>
      <c r="N53" s="1303">
        <f t="shared" si="4"/>
        <v>0</v>
      </c>
    </row>
    <row r="54" spans="1:14" ht="29.1" customHeight="1" outlineLevel="2">
      <c r="A54" s="237" t="s">
        <v>227</v>
      </c>
      <c r="B54" s="239" t="s">
        <v>5</v>
      </c>
      <c r="C54" s="239" t="s">
        <v>1518</v>
      </c>
      <c r="D54" s="239" t="s">
        <v>2379</v>
      </c>
      <c r="E54" s="240" t="s">
        <v>1254</v>
      </c>
      <c r="F54" s="240" t="s">
        <v>1254</v>
      </c>
      <c r="G54" s="240" t="s">
        <v>1255</v>
      </c>
      <c r="H54" s="239">
        <v>1</v>
      </c>
      <c r="I54" s="1327">
        <v>500000</v>
      </c>
      <c r="J54" s="1327">
        <v>500000</v>
      </c>
      <c r="K54" s="1326">
        <v>440000</v>
      </c>
      <c r="L54" s="1309">
        <f t="shared" si="1"/>
        <v>-60000</v>
      </c>
      <c r="M54" s="1326">
        <f>L54</f>
        <v>-60000</v>
      </c>
      <c r="N54" s="1303">
        <v>0</v>
      </c>
    </row>
    <row r="55" spans="1:14" ht="29.1" customHeight="1" outlineLevel="2">
      <c r="A55" s="237" t="s">
        <v>228</v>
      </c>
      <c r="B55" s="239" t="s">
        <v>5</v>
      </c>
      <c r="C55" s="239" t="s">
        <v>1518</v>
      </c>
      <c r="D55" s="239" t="s">
        <v>2379</v>
      </c>
      <c r="E55" s="240" t="s">
        <v>1254</v>
      </c>
      <c r="F55" s="240" t="s">
        <v>1254</v>
      </c>
      <c r="G55" s="240" t="s">
        <v>1255</v>
      </c>
      <c r="H55" s="239">
        <v>1</v>
      </c>
      <c r="I55" s="1327">
        <v>500000</v>
      </c>
      <c r="J55" s="1327">
        <v>500000</v>
      </c>
      <c r="K55" s="1326">
        <v>440000</v>
      </c>
      <c r="L55" s="1309">
        <f t="shared" si="1"/>
        <v>-60000</v>
      </c>
      <c r="M55" s="1326">
        <f t="shared" ref="M55:M58" si="6">L55</f>
        <v>-60000</v>
      </c>
      <c r="N55" s="1303">
        <v>0</v>
      </c>
    </row>
    <row r="56" spans="1:14" ht="29.1" customHeight="1" outlineLevel="2">
      <c r="A56" s="237" t="s">
        <v>229</v>
      </c>
      <c r="B56" s="239" t="s">
        <v>5</v>
      </c>
      <c r="C56" s="239" t="s">
        <v>1518</v>
      </c>
      <c r="D56" s="239" t="s">
        <v>2379</v>
      </c>
      <c r="E56" s="240" t="s">
        <v>1254</v>
      </c>
      <c r="F56" s="240" t="s">
        <v>1254</v>
      </c>
      <c r="G56" s="240" t="s">
        <v>1255</v>
      </c>
      <c r="H56" s="239">
        <v>1</v>
      </c>
      <c r="I56" s="1327">
        <v>500000</v>
      </c>
      <c r="J56" s="1327">
        <v>500000</v>
      </c>
      <c r="K56" s="1326">
        <v>490000</v>
      </c>
      <c r="L56" s="1309">
        <f t="shared" si="1"/>
        <v>-10000</v>
      </c>
      <c r="M56" s="1326">
        <f t="shared" si="6"/>
        <v>-10000</v>
      </c>
      <c r="N56" s="1303">
        <f t="shared" si="4"/>
        <v>0</v>
      </c>
    </row>
    <row r="57" spans="1:14" ht="29.1" customHeight="1" outlineLevel="2">
      <c r="A57" s="237" t="s">
        <v>230</v>
      </c>
      <c r="B57" s="239" t="s">
        <v>5</v>
      </c>
      <c r="C57" s="239" t="s">
        <v>3083</v>
      </c>
      <c r="D57" s="239" t="s">
        <v>2379</v>
      </c>
      <c r="E57" s="240" t="s">
        <v>1254</v>
      </c>
      <c r="F57" s="240" t="s">
        <v>1254</v>
      </c>
      <c r="G57" s="240" t="s">
        <v>1255</v>
      </c>
      <c r="H57" s="239">
        <v>1</v>
      </c>
      <c r="I57" s="1327">
        <v>500000</v>
      </c>
      <c r="J57" s="1327">
        <v>500000</v>
      </c>
      <c r="K57" s="1326">
        <v>490000</v>
      </c>
      <c r="L57" s="1309">
        <f t="shared" si="1"/>
        <v>-10000</v>
      </c>
      <c r="M57" s="1326">
        <f t="shared" si="6"/>
        <v>-10000</v>
      </c>
      <c r="N57" s="1303">
        <f t="shared" si="4"/>
        <v>0</v>
      </c>
    </row>
    <row r="58" spans="1:14" ht="29.1" customHeight="1" outlineLevel="2">
      <c r="A58" s="237" t="s">
        <v>235</v>
      </c>
      <c r="B58" s="239" t="s">
        <v>5</v>
      </c>
      <c r="C58" s="239" t="s">
        <v>3083</v>
      </c>
      <c r="D58" s="239" t="s">
        <v>2379</v>
      </c>
      <c r="E58" s="240" t="s">
        <v>1254</v>
      </c>
      <c r="F58" s="240" t="s">
        <v>1254</v>
      </c>
      <c r="G58" s="240" t="s">
        <v>1255</v>
      </c>
      <c r="H58" s="239">
        <v>1</v>
      </c>
      <c r="I58" s="1327">
        <v>500000</v>
      </c>
      <c r="J58" s="1327">
        <v>500000</v>
      </c>
      <c r="K58" s="1326">
        <v>440000</v>
      </c>
      <c r="L58" s="1309">
        <f t="shared" si="1"/>
        <v>-60000</v>
      </c>
      <c r="M58" s="1326">
        <f t="shared" si="6"/>
        <v>-60000</v>
      </c>
      <c r="N58" s="1303">
        <v>0</v>
      </c>
    </row>
    <row r="59" spans="1:14" ht="29.1" customHeight="1" outlineLevel="2">
      <c r="A59" s="237" t="s">
        <v>229</v>
      </c>
      <c r="B59" s="239" t="s">
        <v>5</v>
      </c>
      <c r="C59" s="239" t="s">
        <v>1518</v>
      </c>
      <c r="D59" s="239" t="s">
        <v>2379</v>
      </c>
      <c r="E59" s="1299" t="s">
        <v>1271</v>
      </c>
      <c r="F59" s="1299" t="s">
        <v>1272</v>
      </c>
      <c r="G59" s="1299" t="s">
        <v>1273</v>
      </c>
      <c r="H59" s="1300">
        <v>1</v>
      </c>
      <c r="I59" s="1329">
        <v>200000</v>
      </c>
      <c r="J59" s="1330">
        <f t="shared" ref="J59:J61" si="7">I59*H59</f>
        <v>200000</v>
      </c>
      <c r="K59" s="1326">
        <v>200000</v>
      </c>
      <c r="L59" s="1309">
        <f t="shared" si="1"/>
        <v>0</v>
      </c>
      <c r="M59" s="1326">
        <v>0</v>
      </c>
      <c r="N59" s="1303">
        <f t="shared" si="4"/>
        <v>0</v>
      </c>
    </row>
    <row r="60" spans="1:14" ht="29.1" customHeight="1" outlineLevel="2">
      <c r="A60" s="237" t="s">
        <v>228</v>
      </c>
      <c r="B60" s="239" t="s">
        <v>5</v>
      </c>
      <c r="C60" s="239" t="s">
        <v>1518</v>
      </c>
      <c r="D60" s="239" t="s">
        <v>2379</v>
      </c>
      <c r="E60" s="1299" t="s">
        <v>1271</v>
      </c>
      <c r="F60" s="1299" t="s">
        <v>1272</v>
      </c>
      <c r="G60" s="1299" t="s">
        <v>1273</v>
      </c>
      <c r="H60" s="1300">
        <v>1</v>
      </c>
      <c r="I60" s="1329">
        <v>200000</v>
      </c>
      <c r="J60" s="1330">
        <f t="shared" si="7"/>
        <v>200000</v>
      </c>
      <c r="K60" s="1326">
        <v>200000</v>
      </c>
      <c r="L60" s="1309">
        <f t="shared" si="1"/>
        <v>0</v>
      </c>
      <c r="M60" s="1326">
        <v>0</v>
      </c>
      <c r="N60" s="1303">
        <f t="shared" si="4"/>
        <v>0</v>
      </c>
    </row>
    <row r="61" spans="1:14" ht="29.1" customHeight="1" outlineLevel="2">
      <c r="A61" s="237" t="s">
        <v>231</v>
      </c>
      <c r="B61" s="239" t="s">
        <v>5</v>
      </c>
      <c r="C61" s="239" t="s">
        <v>1465</v>
      </c>
      <c r="D61" s="239" t="s">
        <v>2379</v>
      </c>
      <c r="E61" s="1299" t="s">
        <v>1271</v>
      </c>
      <c r="F61" s="1299" t="s">
        <v>1272</v>
      </c>
      <c r="G61" s="1299" t="s">
        <v>1273</v>
      </c>
      <c r="H61" s="1300">
        <v>1</v>
      </c>
      <c r="I61" s="1329">
        <v>200000</v>
      </c>
      <c r="J61" s="1330">
        <f t="shared" si="7"/>
        <v>200000</v>
      </c>
      <c r="K61" s="1326">
        <v>200000</v>
      </c>
      <c r="L61" s="1309">
        <f t="shared" si="1"/>
        <v>0</v>
      </c>
      <c r="M61" s="1326">
        <v>0</v>
      </c>
      <c r="N61" s="1303">
        <f t="shared" si="4"/>
        <v>0</v>
      </c>
    </row>
    <row r="62" spans="1:14" ht="29.1" customHeight="1" outlineLevel="1">
      <c r="A62" s="237"/>
      <c r="B62" s="238" t="s">
        <v>257</v>
      </c>
      <c r="C62" s="239"/>
      <c r="D62" s="239"/>
      <c r="E62" s="1299"/>
      <c r="F62" s="1299"/>
      <c r="G62" s="1299"/>
      <c r="H62" s="1300"/>
      <c r="I62" s="1329"/>
      <c r="J62" s="1330">
        <f>SUBTOTAL(9,J44:J61)</f>
        <v>3980000</v>
      </c>
      <c r="K62" s="1330">
        <f>SUBTOTAL(9,K44:K61)</f>
        <v>2900000</v>
      </c>
      <c r="L62" s="1330">
        <f>SUBTOTAL(9,L44:L61)</f>
        <v>-1080000</v>
      </c>
      <c r="M62" s="1330">
        <f>SUBTOTAL(9,M44:M61)</f>
        <v>-1080000</v>
      </c>
      <c r="N62" s="1330">
        <f>SUBTOTAL(9,N44:N61)</f>
        <v>0</v>
      </c>
    </row>
    <row r="63" spans="1:14" ht="29.1" customHeight="1" outlineLevel="2">
      <c r="A63" s="237" t="s">
        <v>240</v>
      </c>
      <c r="B63" s="239" t="s">
        <v>4</v>
      </c>
      <c r="C63" s="239" t="s">
        <v>1465</v>
      </c>
      <c r="D63" s="239" t="s">
        <v>2379</v>
      </c>
      <c r="E63" s="254" t="s">
        <v>2373</v>
      </c>
      <c r="F63" s="254" t="s">
        <v>2373</v>
      </c>
      <c r="G63" s="254" t="s">
        <v>2373</v>
      </c>
      <c r="H63" s="239">
        <v>1</v>
      </c>
      <c r="I63" s="1302">
        <v>70000</v>
      </c>
      <c r="J63" s="1302">
        <f t="shared" ref="J63:J72" si="8">I63*H63</f>
        <v>70000</v>
      </c>
      <c r="K63" s="1309">
        <v>0</v>
      </c>
      <c r="L63" s="1309">
        <f t="shared" si="1"/>
        <v>-70000</v>
      </c>
      <c r="M63" s="1309"/>
      <c r="N63" s="1303">
        <f t="shared" ref="N63:N82" si="9">L63-M63</f>
        <v>-70000</v>
      </c>
    </row>
    <row r="64" spans="1:14" ht="29.1" customHeight="1" outlineLevel="2">
      <c r="A64" s="237" t="s">
        <v>242</v>
      </c>
      <c r="B64" s="239" t="s">
        <v>4</v>
      </c>
      <c r="C64" s="239" t="s">
        <v>1465</v>
      </c>
      <c r="D64" s="239" t="s">
        <v>2379</v>
      </c>
      <c r="E64" s="254" t="s">
        <v>2373</v>
      </c>
      <c r="F64" s="254" t="s">
        <v>2373</v>
      </c>
      <c r="G64" s="254" t="s">
        <v>2373</v>
      </c>
      <c r="H64" s="239">
        <v>1</v>
      </c>
      <c r="I64" s="1302">
        <v>70000</v>
      </c>
      <c r="J64" s="1302">
        <f t="shared" si="8"/>
        <v>70000</v>
      </c>
      <c r="K64" s="1309">
        <v>0</v>
      </c>
      <c r="L64" s="1309">
        <f t="shared" si="1"/>
        <v>-70000</v>
      </c>
      <c r="M64" s="1309"/>
      <c r="N64" s="1303">
        <f t="shared" si="9"/>
        <v>-70000</v>
      </c>
    </row>
    <row r="65" spans="1:14" ht="29.1" customHeight="1" outlineLevel="2">
      <c r="A65" s="237" t="s">
        <v>236</v>
      </c>
      <c r="B65" s="239" t="s">
        <v>4</v>
      </c>
      <c r="C65" s="239" t="s">
        <v>1518</v>
      </c>
      <c r="D65" s="239" t="s">
        <v>2379</v>
      </c>
      <c r="E65" s="254" t="s">
        <v>2373</v>
      </c>
      <c r="F65" s="254" t="s">
        <v>2373</v>
      </c>
      <c r="G65" s="254" t="s">
        <v>2373</v>
      </c>
      <c r="H65" s="239">
        <v>1</v>
      </c>
      <c r="I65" s="1302">
        <v>90000</v>
      </c>
      <c r="J65" s="1302">
        <f t="shared" si="8"/>
        <v>90000</v>
      </c>
      <c r="K65" s="1309">
        <v>0</v>
      </c>
      <c r="L65" s="1309">
        <f t="shared" ref="L65:L106" si="10">K65-J65</f>
        <v>-90000</v>
      </c>
      <c r="M65" s="1309"/>
      <c r="N65" s="1303">
        <f t="shared" si="9"/>
        <v>-90000</v>
      </c>
    </row>
    <row r="66" spans="1:14" ht="29.1" customHeight="1" outlineLevel="2">
      <c r="A66" s="237" t="s">
        <v>238</v>
      </c>
      <c r="B66" s="239" t="s">
        <v>4</v>
      </c>
      <c r="C66" s="239" t="s">
        <v>1518</v>
      </c>
      <c r="D66" s="239" t="s">
        <v>2379</v>
      </c>
      <c r="E66" s="254" t="s">
        <v>2373</v>
      </c>
      <c r="F66" s="254" t="s">
        <v>2373</v>
      </c>
      <c r="G66" s="254" t="s">
        <v>2373</v>
      </c>
      <c r="H66" s="239">
        <v>1</v>
      </c>
      <c r="I66" s="1302">
        <v>90000</v>
      </c>
      <c r="J66" s="1302">
        <f t="shared" si="8"/>
        <v>90000</v>
      </c>
      <c r="K66" s="1309">
        <v>0</v>
      </c>
      <c r="L66" s="1309">
        <f t="shared" si="10"/>
        <v>-90000</v>
      </c>
      <c r="M66" s="1309"/>
      <c r="N66" s="1303">
        <f t="shared" si="9"/>
        <v>-90000</v>
      </c>
    </row>
    <row r="67" spans="1:14" ht="29.1" customHeight="1" outlineLevel="2">
      <c r="A67" s="237" t="s">
        <v>239</v>
      </c>
      <c r="B67" s="239" t="s">
        <v>4</v>
      </c>
      <c r="C67" s="239" t="s">
        <v>1518</v>
      </c>
      <c r="D67" s="239" t="s">
        <v>2379</v>
      </c>
      <c r="E67" s="254" t="s">
        <v>2373</v>
      </c>
      <c r="F67" s="254" t="s">
        <v>2373</v>
      </c>
      <c r="G67" s="254" t="s">
        <v>2373</v>
      </c>
      <c r="H67" s="239">
        <v>1</v>
      </c>
      <c r="I67" s="1302">
        <v>90000</v>
      </c>
      <c r="J67" s="1302">
        <f t="shared" si="8"/>
        <v>90000</v>
      </c>
      <c r="K67" s="1309">
        <v>0</v>
      </c>
      <c r="L67" s="1309">
        <f t="shared" si="10"/>
        <v>-90000</v>
      </c>
      <c r="M67" s="1309"/>
      <c r="N67" s="1303">
        <f t="shared" si="9"/>
        <v>-90000</v>
      </c>
    </row>
    <row r="68" spans="1:14" ht="29.1" customHeight="1" outlineLevel="2">
      <c r="A68" s="237" t="s">
        <v>265</v>
      </c>
      <c r="B68" s="239" t="s">
        <v>4</v>
      </c>
      <c r="C68" s="239" t="s">
        <v>3083</v>
      </c>
      <c r="D68" s="239" t="s">
        <v>2379</v>
      </c>
      <c r="E68" s="254" t="s">
        <v>2373</v>
      </c>
      <c r="F68" s="254" t="s">
        <v>2373</v>
      </c>
      <c r="G68" s="254" t="s">
        <v>2373</v>
      </c>
      <c r="H68" s="239">
        <v>1</v>
      </c>
      <c r="I68" s="1302">
        <v>105000</v>
      </c>
      <c r="J68" s="1302">
        <f t="shared" si="8"/>
        <v>105000</v>
      </c>
      <c r="K68" s="1309">
        <v>0</v>
      </c>
      <c r="L68" s="1309">
        <f t="shared" si="10"/>
        <v>-105000</v>
      </c>
      <c r="M68" s="1309"/>
      <c r="N68" s="1303">
        <f t="shared" si="9"/>
        <v>-105000</v>
      </c>
    </row>
    <row r="69" spans="1:14" ht="29.1" customHeight="1" outlineLevel="2">
      <c r="A69" s="237" t="s">
        <v>747</v>
      </c>
      <c r="B69" s="239" t="s">
        <v>4</v>
      </c>
      <c r="C69" s="239" t="s">
        <v>1465</v>
      </c>
      <c r="D69" s="239" t="s">
        <v>2379</v>
      </c>
      <c r="E69" s="254" t="s">
        <v>2373</v>
      </c>
      <c r="F69" s="254" t="s">
        <v>2373</v>
      </c>
      <c r="G69" s="254" t="s">
        <v>2373</v>
      </c>
      <c r="H69" s="239">
        <v>1</v>
      </c>
      <c r="I69" s="1302">
        <v>105000</v>
      </c>
      <c r="J69" s="1302">
        <f t="shared" si="8"/>
        <v>105000</v>
      </c>
      <c r="K69" s="1309">
        <v>0</v>
      </c>
      <c r="L69" s="1309">
        <f t="shared" si="10"/>
        <v>-105000</v>
      </c>
      <c r="M69" s="1309"/>
      <c r="N69" s="1303">
        <f t="shared" si="9"/>
        <v>-105000</v>
      </c>
    </row>
    <row r="70" spans="1:14" ht="29.1" customHeight="1" outlineLevel="2">
      <c r="A70" s="237" t="s">
        <v>243</v>
      </c>
      <c r="B70" s="239" t="s">
        <v>4</v>
      </c>
      <c r="C70" s="239" t="s">
        <v>1465</v>
      </c>
      <c r="D70" s="239" t="s">
        <v>2379</v>
      </c>
      <c r="E70" s="254" t="s">
        <v>2373</v>
      </c>
      <c r="F70" s="254" t="s">
        <v>2373</v>
      </c>
      <c r="G70" s="254" t="s">
        <v>2373</v>
      </c>
      <c r="H70" s="239">
        <v>1</v>
      </c>
      <c r="I70" s="1302">
        <v>105000</v>
      </c>
      <c r="J70" s="1302">
        <f t="shared" si="8"/>
        <v>105000</v>
      </c>
      <c r="K70" s="1309">
        <v>0</v>
      </c>
      <c r="L70" s="1309">
        <f t="shared" si="10"/>
        <v>-105000</v>
      </c>
      <c r="M70" s="1309"/>
      <c r="N70" s="1303">
        <f t="shared" si="9"/>
        <v>-105000</v>
      </c>
    </row>
    <row r="71" spans="1:14" ht="29.1" customHeight="1" outlineLevel="2">
      <c r="A71" s="237" t="s">
        <v>237</v>
      </c>
      <c r="B71" s="239" t="s">
        <v>4</v>
      </c>
      <c r="C71" s="239" t="s">
        <v>1518</v>
      </c>
      <c r="D71" s="239" t="s">
        <v>2379</v>
      </c>
      <c r="E71" s="254" t="s">
        <v>2373</v>
      </c>
      <c r="F71" s="254" t="s">
        <v>2373</v>
      </c>
      <c r="G71" s="254" t="s">
        <v>2373</v>
      </c>
      <c r="H71" s="239">
        <v>1</v>
      </c>
      <c r="I71" s="1302">
        <v>105000</v>
      </c>
      <c r="J71" s="1302">
        <f t="shared" si="8"/>
        <v>105000</v>
      </c>
      <c r="K71" s="1309">
        <v>0</v>
      </c>
      <c r="L71" s="1309">
        <f t="shared" si="10"/>
        <v>-105000</v>
      </c>
      <c r="M71" s="1309"/>
      <c r="N71" s="1303">
        <f t="shared" si="9"/>
        <v>-105000</v>
      </c>
    </row>
    <row r="72" spans="1:14" ht="29.1" customHeight="1" outlineLevel="2">
      <c r="A72" s="237" t="s">
        <v>241</v>
      </c>
      <c r="B72" s="239" t="s">
        <v>4</v>
      </c>
      <c r="C72" s="239" t="s">
        <v>1465</v>
      </c>
      <c r="D72" s="239" t="s">
        <v>2379</v>
      </c>
      <c r="E72" s="254" t="s">
        <v>2373</v>
      </c>
      <c r="F72" s="254" t="s">
        <v>2373</v>
      </c>
      <c r="G72" s="254" t="s">
        <v>2373</v>
      </c>
      <c r="H72" s="239">
        <v>1</v>
      </c>
      <c r="I72" s="1302">
        <v>105000</v>
      </c>
      <c r="J72" s="1302">
        <f t="shared" si="8"/>
        <v>105000</v>
      </c>
      <c r="K72" s="1309">
        <v>0</v>
      </c>
      <c r="L72" s="1309">
        <f t="shared" si="10"/>
        <v>-105000</v>
      </c>
      <c r="M72" s="1309"/>
      <c r="N72" s="1303">
        <f t="shared" si="9"/>
        <v>-105000</v>
      </c>
    </row>
    <row r="73" spans="1:14" ht="29.1" customHeight="1" outlineLevel="2">
      <c r="A73" s="237" t="s">
        <v>236</v>
      </c>
      <c r="B73" s="239" t="s">
        <v>4</v>
      </c>
      <c r="C73" s="239" t="s">
        <v>1518</v>
      </c>
      <c r="D73" s="239" t="s">
        <v>2379</v>
      </c>
      <c r="E73" s="240" t="s">
        <v>1254</v>
      </c>
      <c r="F73" s="240" t="s">
        <v>1254</v>
      </c>
      <c r="G73" s="240" t="s">
        <v>1255</v>
      </c>
      <c r="H73" s="239">
        <v>1</v>
      </c>
      <c r="I73" s="1302">
        <v>500000</v>
      </c>
      <c r="J73" s="1302">
        <v>500000</v>
      </c>
      <c r="K73" s="1309">
        <v>440000</v>
      </c>
      <c r="L73" s="1309">
        <f t="shared" si="10"/>
        <v>-60000</v>
      </c>
      <c r="M73" s="1309"/>
      <c r="N73" s="1303">
        <f t="shared" si="9"/>
        <v>-60000</v>
      </c>
    </row>
    <row r="74" spans="1:14" ht="29.1" customHeight="1" outlineLevel="2">
      <c r="A74" s="237" t="s">
        <v>237</v>
      </c>
      <c r="B74" s="239" t="s">
        <v>4</v>
      </c>
      <c r="C74" s="239" t="s">
        <v>1518</v>
      </c>
      <c r="D74" s="239" t="s">
        <v>2379</v>
      </c>
      <c r="E74" s="240" t="s">
        <v>1254</v>
      </c>
      <c r="F74" s="240" t="s">
        <v>1254</v>
      </c>
      <c r="G74" s="240" t="s">
        <v>1255</v>
      </c>
      <c r="H74" s="239">
        <v>1</v>
      </c>
      <c r="I74" s="1302">
        <v>500000</v>
      </c>
      <c r="J74" s="1302">
        <v>500000</v>
      </c>
      <c r="K74" s="1309">
        <v>540000</v>
      </c>
      <c r="L74" s="1309">
        <f t="shared" si="10"/>
        <v>40000</v>
      </c>
      <c r="M74" s="1309"/>
      <c r="N74" s="1303">
        <f t="shared" si="9"/>
        <v>40000</v>
      </c>
    </row>
    <row r="75" spans="1:14" ht="29.1" customHeight="1" outlineLevel="2">
      <c r="A75" s="237" t="s">
        <v>237</v>
      </c>
      <c r="B75" s="239" t="s">
        <v>4</v>
      </c>
      <c r="C75" s="239" t="s">
        <v>1518</v>
      </c>
      <c r="D75" s="239" t="s">
        <v>2379</v>
      </c>
      <c r="E75" s="1297" t="s">
        <v>1254</v>
      </c>
      <c r="F75" s="1296" t="s">
        <v>3354</v>
      </c>
      <c r="G75" s="1296" t="s">
        <v>3355</v>
      </c>
      <c r="H75" s="239">
        <v>1</v>
      </c>
      <c r="I75" s="1302">
        <v>0</v>
      </c>
      <c r="J75" s="1302">
        <v>0</v>
      </c>
      <c r="K75" s="1309">
        <v>15500</v>
      </c>
      <c r="L75" s="1309">
        <f t="shared" si="10"/>
        <v>15500</v>
      </c>
      <c r="M75" s="1309"/>
      <c r="N75" s="1303">
        <f t="shared" si="9"/>
        <v>15500</v>
      </c>
    </row>
    <row r="76" spans="1:14" ht="29.1" customHeight="1" outlineLevel="2">
      <c r="A76" s="237" t="s">
        <v>238</v>
      </c>
      <c r="B76" s="239" t="s">
        <v>4</v>
      </c>
      <c r="C76" s="239" t="s">
        <v>1518</v>
      </c>
      <c r="D76" s="239" t="s">
        <v>2379</v>
      </c>
      <c r="E76" s="240" t="s">
        <v>1254</v>
      </c>
      <c r="F76" s="240" t="s">
        <v>1254</v>
      </c>
      <c r="G76" s="240" t="s">
        <v>1255</v>
      </c>
      <c r="H76" s="239">
        <v>1</v>
      </c>
      <c r="I76" s="1302">
        <v>500000</v>
      </c>
      <c r="J76" s="1302">
        <v>500000</v>
      </c>
      <c r="K76" s="1309">
        <v>490000</v>
      </c>
      <c r="L76" s="1309">
        <f t="shared" si="10"/>
        <v>-10000</v>
      </c>
      <c r="M76" s="1309"/>
      <c r="N76" s="1303">
        <f t="shared" si="9"/>
        <v>-10000</v>
      </c>
    </row>
    <row r="77" spans="1:14" ht="29.1" customHeight="1" outlineLevel="2">
      <c r="A77" s="237" t="s">
        <v>239</v>
      </c>
      <c r="B77" s="239" t="s">
        <v>4</v>
      </c>
      <c r="C77" s="239" t="s">
        <v>1518</v>
      </c>
      <c r="D77" s="239" t="s">
        <v>2379</v>
      </c>
      <c r="E77" s="240" t="s">
        <v>1254</v>
      </c>
      <c r="F77" s="240" t="s">
        <v>1254</v>
      </c>
      <c r="G77" s="240" t="s">
        <v>1255</v>
      </c>
      <c r="H77" s="239">
        <v>1</v>
      </c>
      <c r="I77" s="1302">
        <v>500000</v>
      </c>
      <c r="J77" s="1302">
        <v>500000</v>
      </c>
      <c r="K77" s="1309">
        <v>540000</v>
      </c>
      <c r="L77" s="1309">
        <f t="shared" si="10"/>
        <v>40000</v>
      </c>
      <c r="M77" s="1309"/>
      <c r="N77" s="1303">
        <f t="shared" si="9"/>
        <v>40000</v>
      </c>
    </row>
    <row r="78" spans="1:14" ht="29.1" customHeight="1" outlineLevel="2">
      <c r="A78" s="237" t="s">
        <v>239</v>
      </c>
      <c r="B78" s="239" t="s">
        <v>4</v>
      </c>
      <c r="C78" s="239" t="s">
        <v>1518</v>
      </c>
      <c r="D78" s="239" t="s">
        <v>2379</v>
      </c>
      <c r="E78" s="1297" t="s">
        <v>1254</v>
      </c>
      <c r="F78" s="1296" t="s">
        <v>3354</v>
      </c>
      <c r="G78" s="1296" t="s">
        <v>3355</v>
      </c>
      <c r="H78" s="239">
        <v>1</v>
      </c>
      <c r="I78" s="1302">
        <v>0</v>
      </c>
      <c r="J78" s="1302">
        <v>0</v>
      </c>
      <c r="K78" s="1309">
        <v>6900</v>
      </c>
      <c r="L78" s="1309">
        <f t="shared" si="10"/>
        <v>6900</v>
      </c>
      <c r="M78" s="1309"/>
      <c r="N78" s="1303">
        <f t="shared" si="9"/>
        <v>6900</v>
      </c>
    </row>
    <row r="79" spans="1:14" ht="29.1" customHeight="1" outlineLevel="2">
      <c r="A79" s="237" t="s">
        <v>265</v>
      </c>
      <c r="B79" s="239" t="s">
        <v>4</v>
      </c>
      <c r="C79" s="239" t="s">
        <v>3083</v>
      </c>
      <c r="D79" s="239" t="s">
        <v>2379</v>
      </c>
      <c r="E79" s="240" t="s">
        <v>1254</v>
      </c>
      <c r="F79" s="240" t="s">
        <v>1254</v>
      </c>
      <c r="G79" s="240" t="s">
        <v>1255</v>
      </c>
      <c r="H79" s="239">
        <v>1</v>
      </c>
      <c r="I79" s="1302">
        <v>500000</v>
      </c>
      <c r="J79" s="1302">
        <v>500000</v>
      </c>
      <c r="K79" s="1309">
        <v>540000</v>
      </c>
      <c r="L79" s="1309">
        <f t="shared" si="10"/>
        <v>40000</v>
      </c>
      <c r="M79" s="1309"/>
      <c r="N79" s="1303">
        <f t="shared" si="9"/>
        <v>40000</v>
      </c>
    </row>
    <row r="80" spans="1:14" ht="29.1" customHeight="1" outlineLevel="2">
      <c r="A80" s="237" t="s">
        <v>265</v>
      </c>
      <c r="B80" s="239" t="s">
        <v>4</v>
      </c>
      <c r="C80" s="239" t="s">
        <v>3083</v>
      </c>
      <c r="D80" s="239" t="s">
        <v>2379</v>
      </c>
      <c r="E80" s="1297" t="s">
        <v>1254</v>
      </c>
      <c r="F80" s="1296" t="s">
        <v>3354</v>
      </c>
      <c r="G80" s="1296" t="s">
        <v>3355</v>
      </c>
      <c r="H80" s="239">
        <v>1</v>
      </c>
      <c r="I80" s="1302">
        <v>0</v>
      </c>
      <c r="J80" s="1302">
        <v>0</v>
      </c>
      <c r="K80" s="1309">
        <v>55800</v>
      </c>
      <c r="L80" s="1309">
        <f t="shared" si="10"/>
        <v>55800</v>
      </c>
      <c r="M80" s="1309"/>
      <c r="N80" s="1303">
        <f t="shared" si="9"/>
        <v>55800</v>
      </c>
    </row>
    <row r="81" spans="1:14" ht="29.1" customHeight="1" outlineLevel="2">
      <c r="A81" s="237" t="s">
        <v>236</v>
      </c>
      <c r="B81" s="239" t="s">
        <v>4</v>
      </c>
      <c r="C81" s="239" t="s">
        <v>1518</v>
      </c>
      <c r="D81" s="239" t="s">
        <v>2379</v>
      </c>
      <c r="E81" s="1299" t="s">
        <v>1271</v>
      </c>
      <c r="F81" s="1299" t="s">
        <v>1272</v>
      </c>
      <c r="G81" s="1299" t="s">
        <v>1273</v>
      </c>
      <c r="H81" s="1300">
        <v>1</v>
      </c>
      <c r="I81" s="1305">
        <v>200000</v>
      </c>
      <c r="J81" s="1306">
        <f>I81*H81</f>
        <v>200000</v>
      </c>
      <c r="K81" s="1309">
        <v>200000</v>
      </c>
      <c r="L81" s="1309">
        <f t="shared" si="10"/>
        <v>0</v>
      </c>
      <c r="M81" s="1309"/>
      <c r="N81" s="1303">
        <f t="shared" si="9"/>
        <v>0</v>
      </c>
    </row>
    <row r="82" spans="1:14" ht="29.1" customHeight="1" outlineLevel="2">
      <c r="A82" s="237" t="s">
        <v>242</v>
      </c>
      <c r="B82" s="239" t="s">
        <v>4</v>
      </c>
      <c r="C82" s="239" t="s">
        <v>1465</v>
      </c>
      <c r="D82" s="239" t="s">
        <v>2379</v>
      </c>
      <c r="E82" s="1299" t="s">
        <v>1271</v>
      </c>
      <c r="F82" s="1299" t="s">
        <v>1272</v>
      </c>
      <c r="G82" s="1299" t="s">
        <v>1273</v>
      </c>
      <c r="H82" s="1300">
        <v>1</v>
      </c>
      <c r="I82" s="1305">
        <v>200000</v>
      </c>
      <c r="J82" s="1306">
        <f>I82*H82</f>
        <v>200000</v>
      </c>
      <c r="K82" s="1309">
        <v>200000</v>
      </c>
      <c r="L82" s="1309">
        <f t="shared" si="10"/>
        <v>0</v>
      </c>
      <c r="M82" s="1309"/>
      <c r="N82" s="1303">
        <f t="shared" si="9"/>
        <v>0</v>
      </c>
    </row>
    <row r="83" spans="1:14" ht="29.1" customHeight="1" outlineLevel="1">
      <c r="A83" s="237"/>
      <c r="B83" s="238" t="s">
        <v>256</v>
      </c>
      <c r="C83" s="239"/>
      <c r="D83" s="239"/>
      <c r="E83" s="1299"/>
      <c r="F83" s="1299"/>
      <c r="G83" s="1299"/>
      <c r="H83" s="1300"/>
      <c r="I83" s="1305"/>
      <c r="J83" s="1306">
        <f>SUBTOTAL(9,J63:J82)</f>
        <v>3835000</v>
      </c>
      <c r="K83" s="1306">
        <f>SUBTOTAL(9,K63:K82)</f>
        <v>3028200</v>
      </c>
      <c r="L83" s="1306">
        <f>SUBTOTAL(9,L63:L82)</f>
        <v>-806800</v>
      </c>
      <c r="M83" s="1306">
        <f>SUBTOTAL(9,M63:M82)</f>
        <v>0</v>
      </c>
      <c r="N83" s="1306">
        <f>SUBTOTAL(9,N63:N82)</f>
        <v>-806800</v>
      </c>
    </row>
    <row r="84" spans="1:14" ht="29.1" customHeight="1" outlineLevel="2">
      <c r="A84" s="237" t="s">
        <v>244</v>
      </c>
      <c r="B84" s="239" t="s">
        <v>2</v>
      </c>
      <c r="C84" s="239" t="s">
        <v>3083</v>
      </c>
      <c r="D84" s="239" t="s">
        <v>2379</v>
      </c>
      <c r="E84" s="254" t="s">
        <v>2373</v>
      </c>
      <c r="F84" s="254" t="s">
        <v>2373</v>
      </c>
      <c r="G84" s="254" t="s">
        <v>2373</v>
      </c>
      <c r="H84" s="239">
        <v>1</v>
      </c>
      <c r="I84" s="1302">
        <v>90000</v>
      </c>
      <c r="J84" s="1302">
        <f>H84*I84</f>
        <v>90000</v>
      </c>
      <c r="K84" s="1309">
        <v>0</v>
      </c>
      <c r="L84" s="1309">
        <f t="shared" si="10"/>
        <v>-90000</v>
      </c>
      <c r="M84" s="1309">
        <v>-90000</v>
      </c>
      <c r="N84" s="1303">
        <v>0</v>
      </c>
    </row>
    <row r="85" spans="1:14" ht="29.1" customHeight="1" outlineLevel="2">
      <c r="A85" s="237" t="s">
        <v>244</v>
      </c>
      <c r="B85" s="239" t="s">
        <v>2</v>
      </c>
      <c r="C85" s="239" t="s">
        <v>3083</v>
      </c>
      <c r="D85" s="239" t="s">
        <v>2379</v>
      </c>
      <c r="E85" s="240" t="s">
        <v>1254</v>
      </c>
      <c r="F85" s="240" t="s">
        <v>1254</v>
      </c>
      <c r="G85" s="240" t="s">
        <v>1255</v>
      </c>
      <c r="H85" s="239">
        <v>1</v>
      </c>
      <c r="I85" s="1302">
        <v>500000</v>
      </c>
      <c r="J85" s="1302">
        <v>500000</v>
      </c>
      <c r="K85" s="1309">
        <v>540000</v>
      </c>
      <c r="L85" s="1309">
        <f t="shared" si="10"/>
        <v>40000</v>
      </c>
      <c r="M85" s="1309">
        <f>L85</f>
        <v>40000</v>
      </c>
      <c r="N85" s="1303">
        <v>0</v>
      </c>
    </row>
    <row r="86" spans="1:14" ht="29.1" customHeight="1" outlineLevel="1">
      <c r="A86" s="237"/>
      <c r="B86" s="238" t="s">
        <v>254</v>
      </c>
      <c r="C86" s="239"/>
      <c r="D86" s="239"/>
      <c r="E86" s="240"/>
      <c r="F86" s="240"/>
      <c r="G86" s="240"/>
      <c r="H86" s="239"/>
      <c r="I86" s="1302"/>
      <c r="J86" s="1302">
        <f>SUBTOTAL(9,J84:J85)</f>
        <v>590000</v>
      </c>
      <c r="K86" s="1302">
        <f>SUBTOTAL(9,K84:K85)</f>
        <v>540000</v>
      </c>
      <c r="L86" s="1302">
        <f>SUBTOTAL(9,L84:L85)</f>
        <v>-50000</v>
      </c>
      <c r="M86" s="1302">
        <f>SUBTOTAL(9,M84:M85)</f>
        <v>-50000</v>
      </c>
      <c r="N86" s="1302">
        <f>SUBTOTAL(9,N84:N85)</f>
        <v>0</v>
      </c>
    </row>
    <row r="87" spans="1:14" ht="29.1" customHeight="1" outlineLevel="2">
      <c r="A87" s="237" t="s">
        <v>165</v>
      </c>
      <c r="B87" s="239" t="s">
        <v>2728</v>
      </c>
      <c r="C87" s="239" t="s">
        <v>1465</v>
      </c>
      <c r="D87" s="239" t="s">
        <v>2379</v>
      </c>
      <c r="E87" s="254" t="s">
        <v>2373</v>
      </c>
      <c r="F87" s="254" t="s">
        <v>2373</v>
      </c>
      <c r="G87" s="254" t="s">
        <v>2373</v>
      </c>
      <c r="H87" s="239">
        <v>1</v>
      </c>
      <c r="I87" s="1302">
        <v>90000</v>
      </c>
      <c r="J87" s="1302">
        <f>H87*I87</f>
        <v>90000</v>
      </c>
      <c r="K87" s="1309">
        <v>0</v>
      </c>
      <c r="L87" s="1309">
        <f t="shared" si="10"/>
        <v>-90000</v>
      </c>
      <c r="M87" s="1309">
        <v>-90000</v>
      </c>
      <c r="N87" s="1303">
        <v>0</v>
      </c>
    </row>
    <row r="88" spans="1:14" ht="29.1" customHeight="1" outlineLevel="1">
      <c r="A88" s="237"/>
      <c r="B88" s="238" t="s">
        <v>255</v>
      </c>
      <c r="C88" s="239"/>
      <c r="D88" s="239"/>
      <c r="E88" s="254"/>
      <c r="F88" s="254"/>
      <c r="G88" s="254"/>
      <c r="H88" s="239"/>
      <c r="I88" s="1302"/>
      <c r="J88" s="1302">
        <f>SUBTOTAL(9,J87:J87)</f>
        <v>90000</v>
      </c>
      <c r="K88" s="1302">
        <f>SUBTOTAL(9,K87:K87)</f>
        <v>0</v>
      </c>
      <c r="L88" s="1302">
        <f>SUBTOTAL(9,L87:L87)</f>
        <v>-90000</v>
      </c>
      <c r="M88" s="1302">
        <f>SUBTOTAL(9,M87:M87)</f>
        <v>-90000</v>
      </c>
      <c r="N88" s="1302">
        <f>SUBTOTAL(9,N87:N87)</f>
        <v>0</v>
      </c>
    </row>
    <row r="89" spans="1:14" ht="29.1" customHeight="1" outlineLevel="2">
      <c r="A89" s="237" t="s">
        <v>251</v>
      </c>
      <c r="B89" s="239" t="s">
        <v>9</v>
      </c>
      <c r="C89" s="239" t="s">
        <v>1465</v>
      </c>
      <c r="D89" s="239" t="s">
        <v>2379</v>
      </c>
      <c r="E89" s="254" t="s">
        <v>2373</v>
      </c>
      <c r="F89" s="254" t="s">
        <v>2373</v>
      </c>
      <c r="G89" s="254" t="s">
        <v>2373</v>
      </c>
      <c r="H89" s="239">
        <v>1</v>
      </c>
      <c r="I89" s="1302">
        <v>70000</v>
      </c>
      <c r="J89" s="1302">
        <f t="shared" ref="J89:J96" si="11">H89*I89</f>
        <v>70000</v>
      </c>
      <c r="K89" s="1309">
        <v>0</v>
      </c>
      <c r="L89" s="1309">
        <f t="shared" si="10"/>
        <v>-70000</v>
      </c>
      <c r="M89" s="1309"/>
      <c r="N89" s="1303">
        <f t="shared" ref="N89:N106" si="12">K89-J89</f>
        <v>-70000</v>
      </c>
    </row>
    <row r="90" spans="1:14" ht="29.1" customHeight="1" outlineLevel="2">
      <c r="A90" s="237" t="s">
        <v>246</v>
      </c>
      <c r="B90" s="239" t="s">
        <v>9</v>
      </c>
      <c r="C90" s="239" t="s">
        <v>1518</v>
      </c>
      <c r="D90" s="239" t="s">
        <v>2379</v>
      </c>
      <c r="E90" s="254" t="s">
        <v>2373</v>
      </c>
      <c r="F90" s="254" t="s">
        <v>2373</v>
      </c>
      <c r="G90" s="254" t="s">
        <v>2373</v>
      </c>
      <c r="H90" s="239">
        <v>1</v>
      </c>
      <c r="I90" s="1302">
        <v>70000</v>
      </c>
      <c r="J90" s="1302">
        <f t="shared" si="11"/>
        <v>70000</v>
      </c>
      <c r="K90" s="1309">
        <v>0</v>
      </c>
      <c r="L90" s="1309">
        <f t="shared" si="10"/>
        <v>-70000</v>
      </c>
      <c r="M90" s="1309"/>
      <c r="N90" s="1303">
        <f t="shared" si="12"/>
        <v>-70000</v>
      </c>
    </row>
    <row r="91" spans="1:14" ht="29.1" customHeight="1" outlineLevel="2">
      <c r="A91" s="237" t="s">
        <v>250</v>
      </c>
      <c r="B91" s="239" t="s">
        <v>9</v>
      </c>
      <c r="C91" s="239" t="s">
        <v>1465</v>
      </c>
      <c r="D91" s="239" t="s">
        <v>2379</v>
      </c>
      <c r="E91" s="254" t="s">
        <v>2373</v>
      </c>
      <c r="F91" s="254" t="s">
        <v>2373</v>
      </c>
      <c r="G91" s="254" t="s">
        <v>2373</v>
      </c>
      <c r="H91" s="239">
        <v>1</v>
      </c>
      <c r="I91" s="1302">
        <v>90000</v>
      </c>
      <c r="J91" s="1302">
        <f t="shared" si="11"/>
        <v>90000</v>
      </c>
      <c r="K91" s="1309">
        <v>0</v>
      </c>
      <c r="L91" s="1309">
        <f t="shared" si="10"/>
        <v>-90000</v>
      </c>
      <c r="M91" s="1309"/>
      <c r="N91" s="1303">
        <f t="shared" si="12"/>
        <v>-90000</v>
      </c>
    </row>
    <row r="92" spans="1:14" ht="29.1" customHeight="1" outlineLevel="2">
      <c r="A92" s="237" t="s">
        <v>725</v>
      </c>
      <c r="B92" s="239" t="s">
        <v>9</v>
      </c>
      <c r="C92" s="239" t="s">
        <v>1465</v>
      </c>
      <c r="D92" s="239" t="s">
        <v>2379</v>
      </c>
      <c r="E92" s="254" t="s">
        <v>2373</v>
      </c>
      <c r="F92" s="254" t="s">
        <v>2373</v>
      </c>
      <c r="G92" s="254" t="s">
        <v>2373</v>
      </c>
      <c r="H92" s="239">
        <v>1</v>
      </c>
      <c r="I92" s="1302">
        <v>90000</v>
      </c>
      <c r="J92" s="1302">
        <f t="shared" si="11"/>
        <v>90000</v>
      </c>
      <c r="K92" s="1309">
        <v>0</v>
      </c>
      <c r="L92" s="1309">
        <f t="shared" si="10"/>
        <v>-90000</v>
      </c>
      <c r="M92" s="1309"/>
      <c r="N92" s="1303">
        <f t="shared" si="12"/>
        <v>-90000</v>
      </c>
    </row>
    <row r="93" spans="1:14" ht="29.1" customHeight="1" outlineLevel="2">
      <c r="A93" s="237" t="s">
        <v>247</v>
      </c>
      <c r="B93" s="239" t="s">
        <v>9</v>
      </c>
      <c r="C93" s="239" t="s">
        <v>1518</v>
      </c>
      <c r="D93" s="239" t="s">
        <v>2379</v>
      </c>
      <c r="E93" s="254" t="s">
        <v>2373</v>
      </c>
      <c r="F93" s="254" t="s">
        <v>2373</v>
      </c>
      <c r="G93" s="254" t="s">
        <v>2373</v>
      </c>
      <c r="H93" s="239">
        <v>1</v>
      </c>
      <c r="I93" s="1302">
        <v>90000</v>
      </c>
      <c r="J93" s="1302">
        <f t="shared" si="11"/>
        <v>90000</v>
      </c>
      <c r="K93" s="1309">
        <v>0</v>
      </c>
      <c r="L93" s="1309">
        <f t="shared" si="10"/>
        <v>-90000</v>
      </c>
      <c r="M93" s="1309"/>
      <c r="N93" s="1303">
        <f t="shared" si="12"/>
        <v>-90000</v>
      </c>
    </row>
    <row r="94" spans="1:14" ht="29.1" customHeight="1" outlineLevel="2">
      <c r="A94" s="237" t="s">
        <v>245</v>
      </c>
      <c r="B94" s="239" t="s">
        <v>9</v>
      </c>
      <c r="C94" s="239" t="s">
        <v>1518</v>
      </c>
      <c r="D94" s="239" t="s">
        <v>2379</v>
      </c>
      <c r="E94" s="254" t="s">
        <v>2373</v>
      </c>
      <c r="F94" s="254" t="s">
        <v>2373</v>
      </c>
      <c r="G94" s="254" t="s">
        <v>2373</v>
      </c>
      <c r="H94" s="239">
        <v>1</v>
      </c>
      <c r="I94" s="1302">
        <v>90000</v>
      </c>
      <c r="J94" s="1302">
        <f t="shared" si="11"/>
        <v>90000</v>
      </c>
      <c r="K94" s="1309">
        <v>0</v>
      </c>
      <c r="L94" s="1309">
        <f t="shared" si="10"/>
        <v>-90000</v>
      </c>
      <c r="M94" s="1309"/>
      <c r="N94" s="1303">
        <f t="shared" si="12"/>
        <v>-90000</v>
      </c>
    </row>
    <row r="95" spans="1:14" ht="29.1" customHeight="1" outlineLevel="2">
      <c r="A95" s="237" t="s">
        <v>248</v>
      </c>
      <c r="B95" s="239" t="s">
        <v>9</v>
      </c>
      <c r="C95" s="239" t="s">
        <v>3083</v>
      </c>
      <c r="D95" s="239" t="s">
        <v>2379</v>
      </c>
      <c r="E95" s="254" t="s">
        <v>2373</v>
      </c>
      <c r="F95" s="254" t="s">
        <v>2373</v>
      </c>
      <c r="G95" s="254" t="s">
        <v>2373</v>
      </c>
      <c r="H95" s="239">
        <v>1</v>
      </c>
      <c r="I95" s="1302">
        <v>90000</v>
      </c>
      <c r="J95" s="1302">
        <f t="shared" si="11"/>
        <v>90000</v>
      </c>
      <c r="K95" s="1309">
        <v>0</v>
      </c>
      <c r="L95" s="1309">
        <f t="shared" si="10"/>
        <v>-90000</v>
      </c>
      <c r="M95" s="1309"/>
      <c r="N95" s="1303">
        <f t="shared" si="12"/>
        <v>-90000</v>
      </c>
    </row>
    <row r="96" spans="1:14" ht="29.1" customHeight="1" outlineLevel="2">
      <c r="A96" s="237" t="s">
        <v>249</v>
      </c>
      <c r="B96" s="239" t="s">
        <v>9</v>
      </c>
      <c r="C96" s="239" t="s">
        <v>1465</v>
      </c>
      <c r="D96" s="239" t="s">
        <v>2379</v>
      </c>
      <c r="E96" s="254" t="s">
        <v>2373</v>
      </c>
      <c r="F96" s="254" t="s">
        <v>2373</v>
      </c>
      <c r="G96" s="254" t="s">
        <v>2373</v>
      </c>
      <c r="H96" s="239">
        <v>1</v>
      </c>
      <c r="I96" s="1302">
        <v>105000</v>
      </c>
      <c r="J96" s="1302">
        <f t="shared" si="11"/>
        <v>105000</v>
      </c>
      <c r="K96" s="1309">
        <v>0</v>
      </c>
      <c r="L96" s="1309">
        <f t="shared" si="10"/>
        <v>-105000</v>
      </c>
      <c r="M96" s="1309"/>
      <c r="N96" s="1303">
        <f t="shared" si="12"/>
        <v>-105000</v>
      </c>
    </row>
    <row r="97" spans="1:14" ht="29.1" customHeight="1" outlineLevel="2">
      <c r="A97" s="237" t="s">
        <v>246</v>
      </c>
      <c r="B97" s="239" t="s">
        <v>9</v>
      </c>
      <c r="C97" s="239" t="s">
        <v>1518</v>
      </c>
      <c r="D97" s="239" t="s">
        <v>2379</v>
      </c>
      <c r="E97" s="240" t="s">
        <v>1254</v>
      </c>
      <c r="F97" s="240" t="s">
        <v>1254</v>
      </c>
      <c r="G97" s="240" t="s">
        <v>1255</v>
      </c>
      <c r="H97" s="239">
        <v>1</v>
      </c>
      <c r="I97" s="1302">
        <v>500000</v>
      </c>
      <c r="J97" s="1302">
        <v>500000</v>
      </c>
      <c r="K97" s="1309">
        <v>490000</v>
      </c>
      <c r="L97" s="1309">
        <f t="shared" si="10"/>
        <v>-10000</v>
      </c>
      <c r="M97" s="1309"/>
      <c r="N97" s="1303">
        <f t="shared" si="12"/>
        <v>-10000</v>
      </c>
    </row>
    <row r="98" spans="1:14" ht="29.1" customHeight="1" outlineLevel="2">
      <c r="A98" s="237" t="s">
        <v>245</v>
      </c>
      <c r="B98" s="239" t="s">
        <v>9</v>
      </c>
      <c r="C98" s="239" t="s">
        <v>1518</v>
      </c>
      <c r="D98" s="239" t="s">
        <v>2379</v>
      </c>
      <c r="E98" s="240" t="s">
        <v>1254</v>
      </c>
      <c r="F98" s="240" t="s">
        <v>1254</v>
      </c>
      <c r="G98" s="240" t="s">
        <v>1255</v>
      </c>
      <c r="H98" s="239">
        <v>1</v>
      </c>
      <c r="I98" s="1302">
        <v>500000</v>
      </c>
      <c r="J98" s="1302">
        <v>500000</v>
      </c>
      <c r="K98" s="1309">
        <v>540000</v>
      </c>
      <c r="L98" s="1309">
        <f t="shared" si="10"/>
        <v>40000</v>
      </c>
      <c r="M98" s="1309"/>
      <c r="N98" s="1303">
        <f t="shared" si="12"/>
        <v>40000</v>
      </c>
    </row>
    <row r="99" spans="1:14" ht="29.1" customHeight="1" outlineLevel="2">
      <c r="A99" s="237" t="s">
        <v>245</v>
      </c>
      <c r="B99" s="239" t="s">
        <v>9</v>
      </c>
      <c r="C99" s="239" t="s">
        <v>1518</v>
      </c>
      <c r="D99" s="239" t="s">
        <v>2379</v>
      </c>
      <c r="E99" s="1297" t="s">
        <v>1254</v>
      </c>
      <c r="F99" s="1297" t="s">
        <v>3354</v>
      </c>
      <c r="G99" s="1297" t="s">
        <v>3355</v>
      </c>
      <c r="H99" s="239">
        <v>1</v>
      </c>
      <c r="I99" s="1302">
        <v>0</v>
      </c>
      <c r="J99" s="1302">
        <v>0</v>
      </c>
      <c r="K99" s="1309">
        <v>13200</v>
      </c>
      <c r="L99" s="1309">
        <f t="shared" si="10"/>
        <v>13200</v>
      </c>
      <c r="M99" s="1309"/>
      <c r="N99" s="1303">
        <f t="shared" si="12"/>
        <v>13200</v>
      </c>
    </row>
    <row r="100" spans="1:14" ht="29.1" customHeight="1" outlineLevel="2">
      <c r="A100" s="237" t="s">
        <v>247</v>
      </c>
      <c r="B100" s="239" t="s">
        <v>9</v>
      </c>
      <c r="C100" s="239" t="s">
        <v>1518</v>
      </c>
      <c r="D100" s="239" t="s">
        <v>2379</v>
      </c>
      <c r="E100" s="240" t="s">
        <v>1254</v>
      </c>
      <c r="F100" s="240" t="s">
        <v>1254</v>
      </c>
      <c r="G100" s="240" t="s">
        <v>1255</v>
      </c>
      <c r="H100" s="239">
        <v>1</v>
      </c>
      <c r="I100" s="1302">
        <v>500000</v>
      </c>
      <c r="J100" s="1302">
        <v>500000</v>
      </c>
      <c r="K100" s="1309">
        <v>540000</v>
      </c>
      <c r="L100" s="1309">
        <f t="shared" si="10"/>
        <v>40000</v>
      </c>
      <c r="M100" s="1309"/>
      <c r="N100" s="1303">
        <f t="shared" si="12"/>
        <v>40000</v>
      </c>
    </row>
    <row r="101" spans="1:14" s="1298" customFormat="1" ht="29.1" customHeight="1" outlineLevel="2">
      <c r="A101" s="237" t="s">
        <v>248</v>
      </c>
      <c r="B101" s="239" t="s">
        <v>9</v>
      </c>
      <c r="C101" s="239" t="s">
        <v>3083</v>
      </c>
      <c r="D101" s="239" t="s">
        <v>2379</v>
      </c>
      <c r="E101" s="240" t="s">
        <v>1254</v>
      </c>
      <c r="F101" s="240" t="s">
        <v>1254</v>
      </c>
      <c r="G101" s="240" t="s">
        <v>1255</v>
      </c>
      <c r="H101" s="239">
        <v>1</v>
      </c>
      <c r="I101" s="1302">
        <v>500000</v>
      </c>
      <c r="J101" s="1302">
        <v>500000</v>
      </c>
      <c r="K101" s="1309">
        <v>540000</v>
      </c>
      <c r="L101" s="1309">
        <f t="shared" si="10"/>
        <v>40000</v>
      </c>
      <c r="M101" s="1309"/>
      <c r="N101" s="1303">
        <f t="shared" si="12"/>
        <v>40000</v>
      </c>
    </row>
    <row r="102" spans="1:14" ht="29.1" customHeight="1" outlineLevel="2">
      <c r="A102" s="237" t="s">
        <v>248</v>
      </c>
      <c r="B102" s="239" t="s">
        <v>9</v>
      </c>
      <c r="C102" s="239" t="s">
        <v>3083</v>
      </c>
      <c r="D102" s="239" t="s">
        <v>2379</v>
      </c>
      <c r="E102" s="1297" t="s">
        <v>1254</v>
      </c>
      <c r="F102" s="1297" t="s">
        <v>3354</v>
      </c>
      <c r="G102" s="1297" t="s">
        <v>3355</v>
      </c>
      <c r="H102" s="239">
        <v>1</v>
      </c>
      <c r="I102" s="1302">
        <v>0</v>
      </c>
      <c r="J102" s="1302">
        <v>0</v>
      </c>
      <c r="K102" s="1309">
        <v>39000</v>
      </c>
      <c r="L102" s="1309">
        <f t="shared" si="10"/>
        <v>39000</v>
      </c>
      <c r="M102" s="1309"/>
      <c r="N102" s="1303">
        <f t="shared" si="12"/>
        <v>39000</v>
      </c>
    </row>
    <row r="103" spans="1:14" ht="29.1" customHeight="1" outlineLevel="2">
      <c r="A103" s="237" t="s">
        <v>249</v>
      </c>
      <c r="B103" s="239" t="s">
        <v>1665</v>
      </c>
      <c r="C103" s="239" t="s">
        <v>1465</v>
      </c>
      <c r="D103" s="239" t="s">
        <v>3356</v>
      </c>
      <c r="E103" s="1297" t="s">
        <v>1254</v>
      </c>
      <c r="F103" s="1297" t="s">
        <v>3354</v>
      </c>
      <c r="G103" s="1297" t="s">
        <v>3355</v>
      </c>
      <c r="H103" s="239">
        <v>1</v>
      </c>
      <c r="I103" s="1302">
        <v>0</v>
      </c>
      <c r="J103" s="1302">
        <v>0</v>
      </c>
      <c r="K103" s="1309">
        <v>30000</v>
      </c>
      <c r="L103" s="1309">
        <f t="shared" si="10"/>
        <v>30000</v>
      </c>
      <c r="M103" s="1309"/>
      <c r="N103" s="1303">
        <f t="shared" si="12"/>
        <v>30000</v>
      </c>
    </row>
    <row r="104" spans="1:14" ht="29.1" customHeight="1" outlineLevel="2">
      <c r="A104" s="237" t="s">
        <v>250</v>
      </c>
      <c r="B104" s="239" t="s">
        <v>9</v>
      </c>
      <c r="C104" s="239" t="s">
        <v>1465</v>
      </c>
      <c r="D104" s="239" t="s">
        <v>2379</v>
      </c>
      <c r="E104" s="240" t="s">
        <v>1271</v>
      </c>
      <c r="F104" s="240" t="s">
        <v>1272</v>
      </c>
      <c r="G104" s="240" t="s">
        <v>1273</v>
      </c>
      <c r="H104" s="239">
        <v>2</v>
      </c>
      <c r="I104" s="1302">
        <v>200000</v>
      </c>
      <c r="J104" s="1302">
        <v>200000</v>
      </c>
      <c r="K104" s="1309">
        <v>200000</v>
      </c>
      <c r="L104" s="1309">
        <f t="shared" si="10"/>
        <v>0</v>
      </c>
      <c r="M104" s="1309"/>
      <c r="N104" s="1303">
        <f t="shared" si="12"/>
        <v>0</v>
      </c>
    </row>
    <row r="105" spans="1:14" ht="29.1" customHeight="1" outlineLevel="2">
      <c r="A105" s="237" t="s">
        <v>248</v>
      </c>
      <c r="B105" s="239" t="s">
        <v>9</v>
      </c>
      <c r="C105" s="239" t="s">
        <v>3083</v>
      </c>
      <c r="D105" s="239" t="s">
        <v>2379</v>
      </c>
      <c r="E105" s="240" t="s">
        <v>1271</v>
      </c>
      <c r="F105" s="240" t="s">
        <v>1272</v>
      </c>
      <c r="G105" s="240" t="s">
        <v>1273</v>
      </c>
      <c r="H105" s="239">
        <v>3</v>
      </c>
      <c r="I105" s="1302">
        <v>200000</v>
      </c>
      <c r="J105" s="1302">
        <v>200000</v>
      </c>
      <c r="K105" s="1309">
        <v>200000</v>
      </c>
      <c r="L105" s="1309">
        <f t="shared" si="10"/>
        <v>0</v>
      </c>
      <c r="M105" s="1309"/>
      <c r="N105" s="1303">
        <f t="shared" si="12"/>
        <v>0</v>
      </c>
    </row>
    <row r="106" spans="1:14" ht="29.1" customHeight="1" outlineLevel="2">
      <c r="A106" s="237" t="s">
        <v>251</v>
      </c>
      <c r="B106" s="239" t="s">
        <v>9</v>
      </c>
      <c r="C106" s="239" t="s">
        <v>1465</v>
      </c>
      <c r="D106" s="239" t="s">
        <v>2379</v>
      </c>
      <c r="E106" s="240" t="s">
        <v>1271</v>
      </c>
      <c r="F106" s="240" t="s">
        <v>1272</v>
      </c>
      <c r="G106" s="240" t="s">
        <v>1273</v>
      </c>
      <c r="H106" s="239">
        <v>4</v>
      </c>
      <c r="I106" s="1302">
        <v>200000</v>
      </c>
      <c r="J106" s="1302">
        <v>200000</v>
      </c>
      <c r="K106" s="1309">
        <v>200000</v>
      </c>
      <c r="L106" s="1309">
        <f t="shared" si="10"/>
        <v>0</v>
      </c>
      <c r="M106" s="1309"/>
      <c r="N106" s="1303">
        <f t="shared" si="12"/>
        <v>0</v>
      </c>
    </row>
    <row r="107" spans="1:14" ht="29.1" customHeight="1" outlineLevel="1">
      <c r="A107" s="237"/>
      <c r="B107" s="238" t="s">
        <v>261</v>
      </c>
      <c r="C107" s="239"/>
      <c r="D107" s="239"/>
      <c r="E107" s="240"/>
      <c r="F107" s="240"/>
      <c r="G107" s="240"/>
      <c r="H107" s="239"/>
      <c r="I107" s="1302"/>
      <c r="J107" s="1302">
        <f>SUBTOTAL(9,J89:J106)</f>
        <v>3295000</v>
      </c>
      <c r="K107" s="1302">
        <f>SUBTOTAL(9,K89:K106)</f>
        <v>2792200</v>
      </c>
      <c r="L107" s="1302">
        <f>SUBTOTAL(9,L89:L106)</f>
        <v>-502800</v>
      </c>
      <c r="M107" s="1302">
        <f>SUBTOTAL(9,M89:M106)</f>
        <v>0</v>
      </c>
      <c r="N107" s="1302">
        <f>SUBTOTAL(9,N89:N106)</f>
        <v>-502800</v>
      </c>
    </row>
    <row r="108" spans="1:14" ht="29.1" customHeight="1">
      <c r="A108" s="237"/>
      <c r="B108" s="238" t="s">
        <v>252</v>
      </c>
      <c r="C108" s="239"/>
      <c r="D108" s="239"/>
      <c r="E108" s="240"/>
      <c r="F108" s="240"/>
      <c r="G108" s="240"/>
      <c r="H108" s="239"/>
      <c r="I108" s="1302"/>
      <c r="J108" s="1302">
        <f>SUBTOTAL(9,J2:J106)</f>
        <v>19925000</v>
      </c>
      <c r="K108" s="1302">
        <f t="shared" ref="K108:N108" si="13">SUBTOTAL(9,K2:K106)</f>
        <v>15578200</v>
      </c>
      <c r="L108" s="1302">
        <f t="shared" si="13"/>
        <v>-4346800</v>
      </c>
      <c r="M108" s="1302">
        <f t="shared" si="13"/>
        <v>-1585100</v>
      </c>
      <c r="N108" s="1302">
        <f t="shared" si="13"/>
        <v>-2761700</v>
      </c>
    </row>
  </sheetData>
  <autoFilter ref="A3:N107"/>
  <mergeCells count="14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N3"/>
    <mergeCell ref="A2:N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5"/>
  <sheetViews>
    <sheetView topLeftCell="A268" workbookViewId="0">
      <selection activeCell="J334" sqref="J334"/>
    </sheetView>
  </sheetViews>
  <sheetFormatPr defaultRowHeight="18" customHeight="1" outlineLevelRow="2"/>
  <cols>
    <col min="1" max="1" width="5.875" customWidth="1"/>
    <col min="3" max="3" width="13.25" customWidth="1"/>
    <col min="4" max="4" width="35.875" customWidth="1"/>
    <col min="5" max="5" width="13.75" customWidth="1"/>
    <col min="6" max="6" width="23.125" hidden="1" customWidth="1"/>
    <col min="7" max="7" width="18.375" bestFit="1" customWidth="1"/>
    <col min="8" max="8" width="13.5" style="1323" customWidth="1"/>
    <col min="9" max="9" width="19.75" style="274" customWidth="1"/>
    <col min="10" max="10" width="15.5" style="274" customWidth="1"/>
    <col min="11" max="11" width="19.125" customWidth="1"/>
    <col min="12" max="12" width="16.375" customWidth="1"/>
  </cols>
  <sheetData>
    <row r="1" spans="1:12" s="1310" customFormat="1" ht="24.95" customHeight="1">
      <c r="A1" s="1663" t="s">
        <v>3362</v>
      </c>
      <c r="B1" s="1389"/>
      <c r="C1" s="1389"/>
      <c r="D1" s="1389"/>
      <c r="E1" s="1389"/>
      <c r="F1" s="1389"/>
      <c r="G1" s="1389"/>
      <c r="H1" s="1389"/>
      <c r="I1" s="1389"/>
      <c r="J1" s="1389"/>
      <c r="K1" s="1562"/>
      <c r="L1" s="1562"/>
    </row>
    <row r="2" spans="1:12" s="1311" customFormat="1" ht="20.100000000000001" customHeight="1">
      <c r="A2" s="1659" t="s">
        <v>3078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1664"/>
    </row>
    <row r="3" spans="1:12" s="308" customFormat="1" ht="52.5" customHeight="1">
      <c r="A3" s="1312" t="s">
        <v>3363</v>
      </c>
      <c r="B3" s="1312" t="s">
        <v>3364</v>
      </c>
      <c r="C3" s="1312" t="s">
        <v>3365</v>
      </c>
      <c r="D3" s="1312" t="s">
        <v>3366</v>
      </c>
      <c r="E3" s="1312" t="s">
        <v>3367</v>
      </c>
      <c r="F3" s="1312" t="s">
        <v>3368</v>
      </c>
      <c r="G3" s="1312" t="s">
        <v>3369</v>
      </c>
      <c r="H3" s="1313" t="s">
        <v>3370</v>
      </c>
      <c r="I3" s="1314" t="s">
        <v>3371</v>
      </c>
      <c r="J3" s="1314" t="s">
        <v>3372</v>
      </c>
      <c r="K3" s="1315" t="s">
        <v>3373</v>
      </c>
      <c r="L3" s="1314" t="s">
        <v>3374</v>
      </c>
    </row>
    <row r="4" spans="1:12" ht="18" customHeight="1" outlineLevel="2">
      <c r="A4" s="1312">
        <v>1</v>
      </c>
      <c r="B4" s="1312" t="s">
        <v>3375</v>
      </c>
      <c r="C4" s="1312" t="s">
        <v>3081</v>
      </c>
      <c r="D4" s="1312" t="s">
        <v>1050</v>
      </c>
      <c r="E4" s="1312" t="s">
        <v>9</v>
      </c>
      <c r="F4" s="1316" t="s">
        <v>3376</v>
      </c>
      <c r="G4" s="1312" t="s">
        <v>3377</v>
      </c>
      <c r="H4" s="1313">
        <f>ROUND(232297.1,0)</f>
        <v>232297</v>
      </c>
      <c r="I4" s="1660">
        <v>3628920.96</v>
      </c>
      <c r="J4" s="1660">
        <f>H42-I4</f>
        <v>2803877.04</v>
      </c>
      <c r="K4" s="1660">
        <v>0</v>
      </c>
      <c r="L4" s="1660">
        <f>J4-K4</f>
        <v>2803877.04</v>
      </c>
    </row>
    <row r="5" spans="1:12" ht="18" customHeight="1" outlineLevel="2">
      <c r="A5" s="1312">
        <v>2</v>
      </c>
      <c r="B5" s="1312" t="s">
        <v>3378</v>
      </c>
      <c r="C5" s="1312" t="s">
        <v>3081</v>
      </c>
      <c r="D5" s="1312" t="s">
        <v>719</v>
      </c>
      <c r="E5" s="1312" t="s">
        <v>9</v>
      </c>
      <c r="F5" s="1316" t="s">
        <v>3379</v>
      </c>
      <c r="G5" s="1312" t="s">
        <v>3380</v>
      </c>
      <c r="H5" s="1317">
        <f>ROUND(232297.1/12*5,0)</f>
        <v>96790</v>
      </c>
      <c r="I5" s="1661"/>
      <c r="J5" s="1661"/>
      <c r="K5" s="1661"/>
      <c r="L5" s="1661"/>
    </row>
    <row r="6" spans="1:12" ht="18" customHeight="1" outlineLevel="2">
      <c r="A6" s="1312">
        <v>3</v>
      </c>
      <c r="B6" s="1312" t="s">
        <v>3381</v>
      </c>
      <c r="C6" s="1312" t="s">
        <v>3081</v>
      </c>
      <c r="D6" s="1312" t="s">
        <v>719</v>
      </c>
      <c r="E6" s="1312" t="s">
        <v>9</v>
      </c>
      <c r="F6" s="1316" t="s">
        <v>3382</v>
      </c>
      <c r="G6" s="1312" t="s">
        <v>3380</v>
      </c>
      <c r="H6" s="1317">
        <f>ROUND(232297.1/12*5,0)</f>
        <v>96790</v>
      </c>
      <c r="I6" s="1661"/>
      <c r="J6" s="1661"/>
      <c r="K6" s="1661"/>
      <c r="L6" s="1661"/>
    </row>
    <row r="7" spans="1:12" ht="18" customHeight="1" outlineLevel="2">
      <c r="A7" s="1312">
        <v>4</v>
      </c>
      <c r="B7" s="1312" t="s">
        <v>3383</v>
      </c>
      <c r="C7" s="1312" t="s">
        <v>3081</v>
      </c>
      <c r="D7" s="1312" t="s">
        <v>1048</v>
      </c>
      <c r="E7" s="1312" t="s">
        <v>9</v>
      </c>
      <c r="F7" s="1316" t="s">
        <v>3384</v>
      </c>
      <c r="G7" s="1312" t="s">
        <v>3377</v>
      </c>
      <c r="H7" s="1313">
        <f>ROUND(232297.1,0)</f>
        <v>232297</v>
      </c>
      <c r="I7" s="1661"/>
      <c r="J7" s="1661"/>
      <c r="K7" s="1661"/>
      <c r="L7" s="1661"/>
    </row>
    <row r="8" spans="1:12" ht="18" customHeight="1" outlineLevel="2">
      <c r="A8" s="1312">
        <v>5</v>
      </c>
      <c r="B8" s="1312" t="s">
        <v>3385</v>
      </c>
      <c r="C8" s="1312" t="s">
        <v>3081</v>
      </c>
      <c r="D8" s="1312" t="s">
        <v>1048</v>
      </c>
      <c r="E8" s="1312" t="s">
        <v>9</v>
      </c>
      <c r="F8" s="1316" t="s">
        <v>3386</v>
      </c>
      <c r="G8" s="1312" t="s">
        <v>3380</v>
      </c>
      <c r="H8" s="1317">
        <f t="shared" ref="H8:H9" si="0">ROUND(232297.1/12*5,0)</f>
        <v>96790</v>
      </c>
      <c r="I8" s="1661"/>
      <c r="J8" s="1661"/>
      <c r="K8" s="1661"/>
      <c r="L8" s="1661"/>
    </row>
    <row r="9" spans="1:12" ht="18" customHeight="1" outlineLevel="2">
      <c r="A9" s="1312">
        <v>6</v>
      </c>
      <c r="B9" s="1312" t="s">
        <v>3387</v>
      </c>
      <c r="C9" s="1312" t="s">
        <v>3081</v>
      </c>
      <c r="D9" s="1312" t="s">
        <v>1048</v>
      </c>
      <c r="E9" s="1312" t="s">
        <v>9</v>
      </c>
      <c r="F9" s="1316" t="s">
        <v>3388</v>
      </c>
      <c r="G9" s="1312" t="s">
        <v>3380</v>
      </c>
      <c r="H9" s="1317">
        <f t="shared" si="0"/>
        <v>96790</v>
      </c>
      <c r="I9" s="1661"/>
      <c r="J9" s="1661"/>
      <c r="K9" s="1661"/>
      <c r="L9" s="1661"/>
    </row>
    <row r="10" spans="1:12" ht="18" customHeight="1" outlineLevel="2">
      <c r="A10" s="1312">
        <v>7</v>
      </c>
      <c r="B10" s="1316" t="s">
        <v>3389</v>
      </c>
      <c r="C10" s="1312" t="s">
        <v>1465</v>
      </c>
      <c r="D10" s="1316" t="s">
        <v>249</v>
      </c>
      <c r="E10" s="1312" t="s">
        <v>9</v>
      </c>
      <c r="F10" s="1316" t="s">
        <v>3390</v>
      </c>
      <c r="G10" s="1312" t="s">
        <v>3377</v>
      </c>
      <c r="H10" s="1313">
        <f>ROUND(254991.7,0)</f>
        <v>254992</v>
      </c>
      <c r="I10" s="1661"/>
      <c r="J10" s="1661"/>
      <c r="K10" s="1661"/>
      <c r="L10" s="1661"/>
    </row>
    <row r="11" spans="1:12" ht="18" customHeight="1" outlineLevel="2">
      <c r="A11" s="1312">
        <v>8</v>
      </c>
      <c r="B11" s="1316" t="s">
        <v>3391</v>
      </c>
      <c r="C11" s="1312" t="s">
        <v>1465</v>
      </c>
      <c r="D11" s="1316" t="s">
        <v>249</v>
      </c>
      <c r="E11" s="1312" t="s">
        <v>9</v>
      </c>
      <c r="F11" s="1316" t="s">
        <v>3392</v>
      </c>
      <c r="G11" s="1312" t="s">
        <v>3377</v>
      </c>
      <c r="H11" s="1313">
        <f t="shared" ref="H11:H12" si="1">ROUND(254991.7,0)</f>
        <v>254992</v>
      </c>
      <c r="I11" s="1661"/>
      <c r="J11" s="1661"/>
      <c r="K11" s="1661"/>
      <c r="L11" s="1661"/>
    </row>
    <row r="12" spans="1:12" ht="18" customHeight="1" outlineLevel="2">
      <c r="A12" s="1312">
        <v>9</v>
      </c>
      <c r="B12" s="1316" t="s">
        <v>3393</v>
      </c>
      <c r="C12" s="1312" t="s">
        <v>1465</v>
      </c>
      <c r="D12" s="1316" t="s">
        <v>249</v>
      </c>
      <c r="E12" s="1312" t="s">
        <v>9</v>
      </c>
      <c r="F12" s="1316" t="s">
        <v>3394</v>
      </c>
      <c r="G12" s="1312" t="s">
        <v>3377</v>
      </c>
      <c r="H12" s="1313">
        <f t="shared" si="1"/>
        <v>254992</v>
      </c>
      <c r="I12" s="1661"/>
      <c r="J12" s="1661"/>
      <c r="K12" s="1661"/>
      <c r="L12" s="1661"/>
    </row>
    <row r="13" spans="1:12" ht="18" customHeight="1" outlineLevel="2">
      <c r="A13" s="1312">
        <v>10</v>
      </c>
      <c r="B13" s="1316" t="s">
        <v>3395</v>
      </c>
      <c r="C13" s="1312" t="s">
        <v>1465</v>
      </c>
      <c r="D13" s="1316" t="s">
        <v>249</v>
      </c>
      <c r="E13" s="1312" t="s">
        <v>9</v>
      </c>
      <c r="F13" s="1316" t="s">
        <v>3396</v>
      </c>
      <c r="G13" s="1312" t="s">
        <v>3380</v>
      </c>
      <c r="H13" s="1317">
        <f>ROUND(254991.7/12*5,0)</f>
        <v>106247</v>
      </c>
      <c r="I13" s="1661"/>
      <c r="J13" s="1661"/>
      <c r="K13" s="1661"/>
      <c r="L13" s="1661"/>
    </row>
    <row r="14" spans="1:12" ht="18" customHeight="1" outlineLevel="2">
      <c r="A14" s="1312">
        <v>11</v>
      </c>
      <c r="B14" s="1316" t="s">
        <v>3397</v>
      </c>
      <c r="C14" s="1312" t="s">
        <v>1465</v>
      </c>
      <c r="D14" s="1316" t="s">
        <v>249</v>
      </c>
      <c r="E14" s="1312" t="s">
        <v>9</v>
      </c>
      <c r="F14" s="1316" t="s">
        <v>3398</v>
      </c>
      <c r="G14" s="1312" t="s">
        <v>3380</v>
      </c>
      <c r="H14" s="1317">
        <f t="shared" ref="H14:H17" si="2">ROUND(254991.7/12*5,0)</f>
        <v>106247</v>
      </c>
      <c r="I14" s="1661"/>
      <c r="J14" s="1661"/>
      <c r="K14" s="1661"/>
      <c r="L14" s="1661"/>
    </row>
    <row r="15" spans="1:12" ht="18" customHeight="1" outlineLevel="2">
      <c r="A15" s="1312">
        <v>12</v>
      </c>
      <c r="B15" s="1316" t="s">
        <v>3399</v>
      </c>
      <c r="C15" s="1312" t="s">
        <v>1465</v>
      </c>
      <c r="D15" s="1316" t="s">
        <v>249</v>
      </c>
      <c r="E15" s="1312" t="s">
        <v>9</v>
      </c>
      <c r="F15" s="1316" t="s">
        <v>3400</v>
      </c>
      <c r="G15" s="1312" t="s">
        <v>3380</v>
      </c>
      <c r="H15" s="1317">
        <f t="shared" si="2"/>
        <v>106247</v>
      </c>
      <c r="I15" s="1661"/>
      <c r="J15" s="1661"/>
      <c r="K15" s="1661"/>
      <c r="L15" s="1661"/>
    </row>
    <row r="16" spans="1:12" ht="18" customHeight="1" outlineLevel="2">
      <c r="A16" s="1312">
        <v>13</v>
      </c>
      <c r="B16" s="1316" t="s">
        <v>3401</v>
      </c>
      <c r="C16" s="1312" t="s">
        <v>1465</v>
      </c>
      <c r="D16" s="1316" t="s">
        <v>249</v>
      </c>
      <c r="E16" s="1312" t="s">
        <v>9</v>
      </c>
      <c r="F16" s="1316" t="s">
        <v>3402</v>
      </c>
      <c r="G16" s="1312" t="s">
        <v>3380</v>
      </c>
      <c r="H16" s="1317">
        <f t="shared" si="2"/>
        <v>106247</v>
      </c>
      <c r="I16" s="1661"/>
      <c r="J16" s="1661"/>
      <c r="K16" s="1661"/>
      <c r="L16" s="1661"/>
    </row>
    <row r="17" spans="1:12" ht="18" customHeight="1" outlineLevel="2">
      <c r="A17" s="1312">
        <v>14</v>
      </c>
      <c r="B17" s="1316" t="s">
        <v>3403</v>
      </c>
      <c r="C17" s="1312" t="s">
        <v>1465</v>
      </c>
      <c r="D17" s="1316" t="s">
        <v>249</v>
      </c>
      <c r="E17" s="1312" t="s">
        <v>9</v>
      </c>
      <c r="F17" s="1316" t="s">
        <v>3404</v>
      </c>
      <c r="G17" s="1312" t="s">
        <v>3380</v>
      </c>
      <c r="H17" s="1317">
        <f t="shared" si="2"/>
        <v>106247</v>
      </c>
      <c r="I17" s="1661"/>
      <c r="J17" s="1661"/>
      <c r="K17" s="1661"/>
      <c r="L17" s="1661"/>
    </row>
    <row r="18" spans="1:12" ht="18" customHeight="1" outlineLevel="2">
      <c r="A18" s="1312">
        <v>15</v>
      </c>
      <c r="B18" s="1316" t="s">
        <v>3405</v>
      </c>
      <c r="C18" s="1312" t="s">
        <v>958</v>
      </c>
      <c r="D18" s="1316" t="s">
        <v>248</v>
      </c>
      <c r="E18" s="1312" t="s">
        <v>9</v>
      </c>
      <c r="F18" s="1316" t="s">
        <v>3406</v>
      </c>
      <c r="G18" s="1312" t="s">
        <v>3377</v>
      </c>
      <c r="H18" s="1313">
        <f>ROUND(254991.7,0)</f>
        <v>254992</v>
      </c>
      <c r="I18" s="1661"/>
      <c r="J18" s="1661"/>
      <c r="K18" s="1661"/>
      <c r="L18" s="1661"/>
    </row>
    <row r="19" spans="1:12" ht="18" customHeight="1" outlineLevel="2">
      <c r="A19" s="1312">
        <v>16</v>
      </c>
      <c r="B19" s="1316" t="s">
        <v>3407</v>
      </c>
      <c r="C19" s="1312" t="s">
        <v>1465</v>
      </c>
      <c r="D19" s="1316" t="s">
        <v>251</v>
      </c>
      <c r="E19" s="1312" t="s">
        <v>9</v>
      </c>
      <c r="F19" s="1316" t="s">
        <v>3408</v>
      </c>
      <c r="G19" s="1312" t="s">
        <v>3377</v>
      </c>
      <c r="H19" s="1313">
        <f t="shared" ref="H19:H20" si="3">ROUND(254991.7,0)</f>
        <v>254992</v>
      </c>
      <c r="I19" s="1661"/>
      <c r="J19" s="1661"/>
      <c r="K19" s="1661"/>
      <c r="L19" s="1661"/>
    </row>
    <row r="20" spans="1:12" ht="18" customHeight="1" outlineLevel="2">
      <c r="A20" s="1312">
        <v>17</v>
      </c>
      <c r="B20" s="1316" t="s">
        <v>3409</v>
      </c>
      <c r="C20" s="1312" t="s">
        <v>1465</v>
      </c>
      <c r="D20" s="1316" t="s">
        <v>251</v>
      </c>
      <c r="E20" s="1312" t="s">
        <v>9</v>
      </c>
      <c r="F20" s="1316" t="s">
        <v>3410</v>
      </c>
      <c r="G20" s="1312" t="s">
        <v>3377</v>
      </c>
      <c r="H20" s="1313">
        <f t="shared" si="3"/>
        <v>254992</v>
      </c>
      <c r="I20" s="1661"/>
      <c r="J20" s="1661"/>
      <c r="K20" s="1661"/>
      <c r="L20" s="1661"/>
    </row>
    <row r="21" spans="1:12" ht="18" customHeight="1" outlineLevel="2">
      <c r="A21" s="1312">
        <v>18</v>
      </c>
      <c r="B21" s="1316" t="s">
        <v>3411</v>
      </c>
      <c r="C21" s="1312" t="s">
        <v>962</v>
      </c>
      <c r="D21" s="1316" t="s">
        <v>247</v>
      </c>
      <c r="E21" s="1312" t="s">
        <v>9</v>
      </c>
      <c r="F21" s="1316" t="s">
        <v>3412</v>
      </c>
      <c r="G21" s="1312" t="s">
        <v>3377</v>
      </c>
      <c r="H21" s="1313">
        <f>ROUND(285394,0)</f>
        <v>285394</v>
      </c>
      <c r="I21" s="1661"/>
      <c r="J21" s="1661"/>
      <c r="K21" s="1661"/>
      <c r="L21" s="1661"/>
    </row>
    <row r="22" spans="1:12" ht="18" customHeight="1" outlineLevel="2">
      <c r="A22" s="1312">
        <v>19</v>
      </c>
      <c r="B22" s="1316" t="s">
        <v>3413</v>
      </c>
      <c r="C22" s="1312" t="s">
        <v>962</v>
      </c>
      <c r="D22" s="1316" t="s">
        <v>247</v>
      </c>
      <c r="E22" s="1312" t="s">
        <v>9</v>
      </c>
      <c r="F22" s="1316" t="s">
        <v>3414</v>
      </c>
      <c r="G22" s="1312" t="s">
        <v>3377</v>
      </c>
      <c r="H22" s="1313">
        <f t="shared" ref="H22:H23" si="4">ROUND(285394,0)</f>
        <v>285394</v>
      </c>
      <c r="I22" s="1661"/>
      <c r="J22" s="1661"/>
      <c r="K22" s="1661"/>
      <c r="L22" s="1661"/>
    </row>
    <row r="23" spans="1:12" ht="18" customHeight="1" outlineLevel="2">
      <c r="A23" s="1312">
        <v>20</v>
      </c>
      <c r="B23" s="1316" t="s">
        <v>3415</v>
      </c>
      <c r="C23" s="1312" t="s">
        <v>962</v>
      </c>
      <c r="D23" s="1316" t="s">
        <v>247</v>
      </c>
      <c r="E23" s="1312" t="s">
        <v>9</v>
      </c>
      <c r="F23" s="1316" t="s">
        <v>3416</v>
      </c>
      <c r="G23" s="1312" t="s">
        <v>3377</v>
      </c>
      <c r="H23" s="1313">
        <f t="shared" si="4"/>
        <v>285394</v>
      </c>
      <c r="I23" s="1661"/>
      <c r="J23" s="1661"/>
      <c r="K23" s="1661"/>
      <c r="L23" s="1661"/>
    </row>
    <row r="24" spans="1:12" ht="18" customHeight="1" outlineLevel="2">
      <c r="A24" s="1312">
        <v>21</v>
      </c>
      <c r="B24" s="1316" t="s">
        <v>3417</v>
      </c>
      <c r="C24" s="1312" t="s">
        <v>962</v>
      </c>
      <c r="D24" s="1316" t="s">
        <v>247</v>
      </c>
      <c r="E24" s="1312" t="s">
        <v>9</v>
      </c>
      <c r="F24" s="1316" t="s">
        <v>3418</v>
      </c>
      <c r="G24" s="1312" t="s">
        <v>3380</v>
      </c>
      <c r="H24" s="1317">
        <f>ROUND(285394/12*5,0)</f>
        <v>118914</v>
      </c>
      <c r="I24" s="1661"/>
      <c r="J24" s="1661"/>
      <c r="K24" s="1661"/>
      <c r="L24" s="1661"/>
    </row>
    <row r="25" spans="1:12" ht="18" customHeight="1" outlineLevel="2">
      <c r="A25" s="1312">
        <v>22</v>
      </c>
      <c r="B25" s="1316" t="s">
        <v>3419</v>
      </c>
      <c r="C25" s="1312" t="s">
        <v>962</v>
      </c>
      <c r="D25" s="1316" t="s">
        <v>247</v>
      </c>
      <c r="E25" s="1312" t="s">
        <v>9</v>
      </c>
      <c r="F25" s="1316" t="s">
        <v>3420</v>
      </c>
      <c r="G25" s="1312" t="s">
        <v>3380</v>
      </c>
      <c r="H25" s="1317">
        <f t="shared" ref="H25:H30" si="5">ROUND(285394/12*5,0)</f>
        <v>118914</v>
      </c>
      <c r="I25" s="1661"/>
      <c r="J25" s="1661"/>
      <c r="K25" s="1661"/>
      <c r="L25" s="1661"/>
    </row>
    <row r="26" spans="1:12" ht="18" customHeight="1" outlineLevel="2">
      <c r="A26" s="1312">
        <v>23</v>
      </c>
      <c r="B26" s="1316" t="s">
        <v>3421</v>
      </c>
      <c r="C26" s="1312" t="s">
        <v>962</v>
      </c>
      <c r="D26" s="1316" t="s">
        <v>247</v>
      </c>
      <c r="E26" s="1312" t="s">
        <v>9</v>
      </c>
      <c r="F26" s="1316" t="s">
        <v>3422</v>
      </c>
      <c r="G26" s="1312" t="s">
        <v>3380</v>
      </c>
      <c r="H26" s="1317">
        <f t="shared" si="5"/>
        <v>118914</v>
      </c>
      <c r="I26" s="1661"/>
      <c r="J26" s="1661"/>
      <c r="K26" s="1661"/>
      <c r="L26" s="1661"/>
    </row>
    <row r="27" spans="1:12" ht="18" customHeight="1" outlineLevel="2">
      <c r="A27" s="1312">
        <v>24</v>
      </c>
      <c r="B27" s="1316" t="s">
        <v>3423</v>
      </c>
      <c r="C27" s="1312" t="s">
        <v>962</v>
      </c>
      <c r="D27" s="1316" t="s">
        <v>247</v>
      </c>
      <c r="E27" s="1312" t="s">
        <v>9</v>
      </c>
      <c r="F27" s="1316" t="s">
        <v>3424</v>
      </c>
      <c r="G27" s="1312" t="s">
        <v>3380</v>
      </c>
      <c r="H27" s="1317">
        <f t="shared" si="5"/>
        <v>118914</v>
      </c>
      <c r="I27" s="1661"/>
      <c r="J27" s="1661"/>
      <c r="K27" s="1661"/>
      <c r="L27" s="1661"/>
    </row>
    <row r="28" spans="1:12" ht="18" customHeight="1" outlineLevel="2">
      <c r="A28" s="1312">
        <v>25</v>
      </c>
      <c r="B28" s="1316" t="s">
        <v>3425</v>
      </c>
      <c r="C28" s="1312" t="s">
        <v>962</v>
      </c>
      <c r="D28" s="1316" t="s">
        <v>247</v>
      </c>
      <c r="E28" s="1312" t="s">
        <v>9</v>
      </c>
      <c r="F28" s="1316" t="s">
        <v>3426</v>
      </c>
      <c r="G28" s="1312" t="s">
        <v>3380</v>
      </c>
      <c r="H28" s="1317">
        <f t="shared" si="5"/>
        <v>118914</v>
      </c>
      <c r="I28" s="1661"/>
      <c r="J28" s="1661"/>
      <c r="K28" s="1661"/>
      <c r="L28" s="1661"/>
    </row>
    <row r="29" spans="1:12" ht="18" customHeight="1" outlineLevel="2">
      <c r="A29" s="1312">
        <v>26</v>
      </c>
      <c r="B29" s="1316" t="s">
        <v>3427</v>
      </c>
      <c r="C29" s="1312" t="s">
        <v>962</v>
      </c>
      <c r="D29" s="1316" t="s">
        <v>247</v>
      </c>
      <c r="E29" s="1312" t="s">
        <v>9</v>
      </c>
      <c r="F29" s="1316" t="s">
        <v>3428</v>
      </c>
      <c r="G29" s="1312" t="s">
        <v>3380</v>
      </c>
      <c r="H29" s="1317">
        <f t="shared" si="5"/>
        <v>118914</v>
      </c>
      <c r="I29" s="1661"/>
      <c r="J29" s="1661"/>
      <c r="K29" s="1661"/>
      <c r="L29" s="1661"/>
    </row>
    <row r="30" spans="1:12" ht="18" customHeight="1" outlineLevel="2">
      <c r="A30" s="1312">
        <v>27</v>
      </c>
      <c r="B30" s="1316" t="s">
        <v>3429</v>
      </c>
      <c r="C30" s="1312" t="s">
        <v>962</v>
      </c>
      <c r="D30" s="1316" t="s">
        <v>247</v>
      </c>
      <c r="E30" s="1312" t="s">
        <v>9</v>
      </c>
      <c r="F30" s="1316" t="s">
        <v>3430</v>
      </c>
      <c r="G30" s="1312" t="s">
        <v>3380</v>
      </c>
      <c r="H30" s="1317">
        <f t="shared" si="5"/>
        <v>118914</v>
      </c>
      <c r="I30" s="1661"/>
      <c r="J30" s="1661"/>
      <c r="K30" s="1661"/>
      <c r="L30" s="1661"/>
    </row>
    <row r="31" spans="1:12" ht="18" customHeight="1" outlineLevel="2">
      <c r="A31" s="1312">
        <v>28</v>
      </c>
      <c r="B31" s="1316" t="s">
        <v>3431</v>
      </c>
      <c r="C31" s="1312" t="s">
        <v>958</v>
      </c>
      <c r="D31" s="1316" t="s">
        <v>248</v>
      </c>
      <c r="E31" s="1312" t="s">
        <v>9</v>
      </c>
      <c r="F31" s="1316" t="s">
        <v>3432</v>
      </c>
      <c r="G31" s="1312" t="s">
        <v>3377</v>
      </c>
      <c r="H31" s="1313">
        <v>285394</v>
      </c>
      <c r="I31" s="1661"/>
      <c r="J31" s="1661"/>
      <c r="K31" s="1661"/>
      <c r="L31" s="1661"/>
    </row>
    <row r="32" spans="1:12" ht="18" customHeight="1" outlineLevel="2">
      <c r="A32" s="1312">
        <v>29</v>
      </c>
      <c r="B32" s="1316" t="s">
        <v>3433</v>
      </c>
      <c r="C32" s="1312" t="s">
        <v>958</v>
      </c>
      <c r="D32" s="1316" t="s">
        <v>248</v>
      </c>
      <c r="E32" s="1312" t="s">
        <v>9</v>
      </c>
      <c r="F32" s="1316" t="s">
        <v>3434</v>
      </c>
      <c r="G32" s="1312" t="s">
        <v>3377</v>
      </c>
      <c r="H32" s="1313">
        <v>285394</v>
      </c>
      <c r="I32" s="1661"/>
      <c r="J32" s="1661"/>
      <c r="K32" s="1661"/>
      <c r="L32" s="1661"/>
    </row>
    <row r="33" spans="1:12" ht="18" customHeight="1" outlineLevel="2">
      <c r="A33" s="1312">
        <v>30</v>
      </c>
      <c r="B33" s="1316" t="s">
        <v>3435</v>
      </c>
      <c r="C33" s="1312" t="s">
        <v>962</v>
      </c>
      <c r="D33" s="1316" t="s">
        <v>246</v>
      </c>
      <c r="E33" s="1312" t="s">
        <v>9</v>
      </c>
      <c r="F33" s="1316" t="s">
        <v>3436</v>
      </c>
      <c r="G33" s="1312" t="s">
        <v>3380</v>
      </c>
      <c r="H33" s="1317">
        <f t="shared" ref="H33:H34" si="6">ROUND(285394/12*5,0)</f>
        <v>118914</v>
      </c>
      <c r="I33" s="1661"/>
      <c r="J33" s="1661"/>
      <c r="K33" s="1661"/>
      <c r="L33" s="1661"/>
    </row>
    <row r="34" spans="1:12" ht="18" customHeight="1" outlineLevel="2">
      <c r="A34" s="1312">
        <v>31</v>
      </c>
      <c r="B34" s="1316" t="s">
        <v>3437</v>
      </c>
      <c r="C34" s="1312" t="s">
        <v>962</v>
      </c>
      <c r="D34" s="1316" t="s">
        <v>246</v>
      </c>
      <c r="E34" s="1312" t="s">
        <v>9</v>
      </c>
      <c r="F34" s="1316" t="s">
        <v>3438</v>
      </c>
      <c r="G34" s="1312" t="s">
        <v>3380</v>
      </c>
      <c r="H34" s="1317">
        <f t="shared" si="6"/>
        <v>118914</v>
      </c>
      <c r="I34" s="1661"/>
      <c r="J34" s="1661"/>
      <c r="K34" s="1661"/>
      <c r="L34" s="1661"/>
    </row>
    <row r="35" spans="1:12" ht="18" customHeight="1" outlineLevel="2">
      <c r="A35" s="1312">
        <v>32</v>
      </c>
      <c r="B35" s="1316" t="s">
        <v>3439</v>
      </c>
      <c r="C35" s="1312" t="s">
        <v>962</v>
      </c>
      <c r="D35" s="1316" t="s">
        <v>245</v>
      </c>
      <c r="E35" s="1312" t="s">
        <v>9</v>
      </c>
      <c r="F35" s="1316" t="s">
        <v>3440</v>
      </c>
      <c r="G35" s="1312" t="s">
        <v>3377</v>
      </c>
      <c r="H35" s="1313">
        <v>285394</v>
      </c>
      <c r="I35" s="1661"/>
      <c r="J35" s="1661"/>
      <c r="K35" s="1661"/>
      <c r="L35" s="1661"/>
    </row>
    <row r="36" spans="1:12" ht="18" customHeight="1" outlineLevel="2">
      <c r="A36" s="1312">
        <v>33</v>
      </c>
      <c r="B36" s="1316" t="s">
        <v>3441</v>
      </c>
      <c r="C36" s="1312" t="s">
        <v>962</v>
      </c>
      <c r="D36" s="1316" t="s">
        <v>245</v>
      </c>
      <c r="E36" s="1312" t="s">
        <v>9</v>
      </c>
      <c r="F36" s="1316" t="s">
        <v>3442</v>
      </c>
      <c r="G36" s="1312" t="s">
        <v>3380</v>
      </c>
      <c r="H36" s="1317">
        <f t="shared" ref="H36:H40" si="7">ROUND(285394/12*5,0)</f>
        <v>118914</v>
      </c>
      <c r="I36" s="1661"/>
      <c r="J36" s="1661"/>
      <c r="K36" s="1661"/>
      <c r="L36" s="1661"/>
    </row>
    <row r="37" spans="1:12" ht="18" customHeight="1" outlineLevel="2">
      <c r="A37" s="1312">
        <v>34</v>
      </c>
      <c r="B37" s="1316" t="s">
        <v>3443</v>
      </c>
      <c r="C37" s="1312" t="s">
        <v>962</v>
      </c>
      <c r="D37" s="1316" t="s">
        <v>245</v>
      </c>
      <c r="E37" s="1312" t="s">
        <v>9</v>
      </c>
      <c r="F37" s="1316" t="s">
        <v>3444</v>
      </c>
      <c r="G37" s="1312" t="s">
        <v>3380</v>
      </c>
      <c r="H37" s="1317">
        <f t="shared" si="7"/>
        <v>118914</v>
      </c>
      <c r="I37" s="1661"/>
      <c r="J37" s="1661"/>
      <c r="K37" s="1661"/>
      <c r="L37" s="1661"/>
    </row>
    <row r="38" spans="1:12" ht="18" customHeight="1" outlineLevel="2">
      <c r="A38" s="1312">
        <v>35</v>
      </c>
      <c r="B38" s="1316" t="s">
        <v>3445</v>
      </c>
      <c r="C38" s="1312" t="s">
        <v>962</v>
      </c>
      <c r="D38" s="1316" t="s">
        <v>245</v>
      </c>
      <c r="E38" s="1312" t="s">
        <v>9</v>
      </c>
      <c r="F38" s="1316" t="s">
        <v>3446</v>
      </c>
      <c r="G38" s="1312" t="s">
        <v>3380</v>
      </c>
      <c r="H38" s="1317">
        <f t="shared" si="7"/>
        <v>118914</v>
      </c>
      <c r="I38" s="1661"/>
      <c r="J38" s="1661"/>
      <c r="K38" s="1661"/>
      <c r="L38" s="1661"/>
    </row>
    <row r="39" spans="1:12" ht="18" customHeight="1" outlineLevel="2">
      <c r="A39" s="1312">
        <v>36</v>
      </c>
      <c r="B39" s="1316" t="s">
        <v>3447</v>
      </c>
      <c r="C39" s="1312" t="s">
        <v>962</v>
      </c>
      <c r="D39" s="1316" t="s">
        <v>245</v>
      </c>
      <c r="E39" s="1312" t="s">
        <v>9</v>
      </c>
      <c r="F39" s="1316" t="s">
        <v>3448</v>
      </c>
      <c r="G39" s="1312" t="s">
        <v>3380</v>
      </c>
      <c r="H39" s="1317">
        <f t="shared" si="7"/>
        <v>118914</v>
      </c>
      <c r="I39" s="1661"/>
      <c r="J39" s="1661"/>
      <c r="K39" s="1661"/>
      <c r="L39" s="1661"/>
    </row>
    <row r="40" spans="1:12" ht="18" customHeight="1" outlineLevel="2">
      <c r="A40" s="1312">
        <v>37</v>
      </c>
      <c r="B40" s="1316" t="s">
        <v>3449</v>
      </c>
      <c r="C40" s="1316" t="s">
        <v>568</v>
      </c>
      <c r="D40" s="1316" t="s">
        <v>246</v>
      </c>
      <c r="E40" s="1312" t="s">
        <v>9</v>
      </c>
      <c r="F40" s="1316" t="s">
        <v>3450</v>
      </c>
      <c r="G40" s="1312" t="s">
        <v>3380</v>
      </c>
      <c r="H40" s="1317">
        <f t="shared" si="7"/>
        <v>118914</v>
      </c>
      <c r="I40" s="1661"/>
      <c r="J40" s="1661"/>
      <c r="K40" s="1661"/>
      <c r="L40" s="1661"/>
    </row>
    <row r="41" spans="1:12" ht="18" customHeight="1" outlineLevel="2">
      <c r="A41" s="1312">
        <v>38</v>
      </c>
      <c r="B41" s="1312" t="s">
        <v>3451</v>
      </c>
      <c r="C41" s="1312" t="s">
        <v>962</v>
      </c>
      <c r="D41" s="1312" t="s">
        <v>245</v>
      </c>
      <c r="E41" s="1312" t="str">
        <f>VLOOKUP(D41,[2]Sheet1!D:F,3,FALSE)</f>
        <v>颛桥</v>
      </c>
      <c r="F41" s="1312" t="s">
        <v>3452</v>
      </c>
      <c r="G41" s="1312" t="s">
        <v>3453</v>
      </c>
      <c r="H41" s="1313">
        <f>ROUND(285394/12*6,0)</f>
        <v>142697</v>
      </c>
      <c r="I41" s="1662"/>
      <c r="J41" s="1662"/>
      <c r="K41" s="1662"/>
      <c r="L41" s="1662"/>
    </row>
    <row r="42" spans="1:12" ht="18" customHeight="1" outlineLevel="1">
      <c r="A42" s="1312"/>
      <c r="B42" s="1312"/>
      <c r="C42" s="1312"/>
      <c r="D42" s="1312"/>
      <c r="E42" s="1318" t="s">
        <v>261</v>
      </c>
      <c r="F42" s="1312"/>
      <c r="G42" s="1312"/>
      <c r="H42" s="1313">
        <f>SUBTOTAL(9,H4:H41)</f>
        <v>6432798</v>
      </c>
      <c r="I42" s="1319">
        <f t="shared" ref="I42:L42" si="8">SUBTOTAL(9,I4:I41)</f>
        <v>3628920.96</v>
      </c>
      <c r="J42" s="1319">
        <f t="shared" si="8"/>
        <v>2803877.04</v>
      </c>
      <c r="K42" s="1319">
        <f t="shared" si="8"/>
        <v>0</v>
      </c>
      <c r="L42" s="1319">
        <f t="shared" si="8"/>
        <v>2803877.04</v>
      </c>
    </row>
    <row r="43" spans="1:12" ht="18" customHeight="1" outlineLevel="2">
      <c r="A43" s="1312">
        <v>39</v>
      </c>
      <c r="B43" s="1312" t="s">
        <v>3454</v>
      </c>
      <c r="C43" s="1312" t="s">
        <v>3081</v>
      </c>
      <c r="D43" s="1312" t="s">
        <v>2717</v>
      </c>
      <c r="E43" s="1312" t="s">
        <v>3</v>
      </c>
      <c r="F43" s="1316" t="s">
        <v>3455</v>
      </c>
      <c r="G43" s="1312" t="s">
        <v>3377</v>
      </c>
      <c r="H43" s="1313">
        <f>ROUND(232297.1,0)</f>
        <v>232297</v>
      </c>
      <c r="I43" s="1660">
        <v>1140419.52</v>
      </c>
      <c r="J43" s="1660">
        <f>H53-I43</f>
        <v>581986.48</v>
      </c>
      <c r="K43" s="1660">
        <v>0</v>
      </c>
      <c r="L43" s="1660">
        <f>J43-K43</f>
        <v>581986.48</v>
      </c>
    </row>
    <row r="44" spans="1:12" ht="18" customHeight="1" outlineLevel="2">
      <c r="A44" s="1312">
        <v>40</v>
      </c>
      <c r="B44" s="1312" t="s">
        <v>3456</v>
      </c>
      <c r="C44" s="1312" t="s">
        <v>3081</v>
      </c>
      <c r="D44" s="1312" t="s">
        <v>2717</v>
      </c>
      <c r="E44" s="1312" t="s">
        <v>3</v>
      </c>
      <c r="F44" s="1316" t="s">
        <v>3457</v>
      </c>
      <c r="G44" s="1312" t="s">
        <v>3377</v>
      </c>
      <c r="H44" s="1313">
        <f t="shared" ref="H44:H45" si="9">ROUND(232297.1,0)</f>
        <v>232297</v>
      </c>
      <c r="I44" s="1661"/>
      <c r="J44" s="1661"/>
      <c r="K44" s="1661"/>
      <c r="L44" s="1661"/>
    </row>
    <row r="45" spans="1:12" ht="18" customHeight="1" outlineLevel="2">
      <c r="A45" s="1312">
        <v>41</v>
      </c>
      <c r="B45" s="1312" t="s">
        <v>3458</v>
      </c>
      <c r="C45" s="1312" t="s">
        <v>3081</v>
      </c>
      <c r="D45" s="1312" t="s">
        <v>2717</v>
      </c>
      <c r="E45" s="1312" t="s">
        <v>3</v>
      </c>
      <c r="F45" s="1316" t="s">
        <v>3459</v>
      </c>
      <c r="G45" s="1312" t="s">
        <v>3377</v>
      </c>
      <c r="H45" s="1313">
        <f t="shared" si="9"/>
        <v>232297</v>
      </c>
      <c r="I45" s="1661"/>
      <c r="J45" s="1661"/>
      <c r="K45" s="1661"/>
      <c r="L45" s="1661"/>
    </row>
    <row r="46" spans="1:12" ht="18" customHeight="1" outlineLevel="2">
      <c r="A46" s="1312">
        <v>42</v>
      </c>
      <c r="B46" s="1312" t="s">
        <v>3460</v>
      </c>
      <c r="C46" s="1312" t="s">
        <v>3081</v>
      </c>
      <c r="D46" s="1312" t="s">
        <v>2717</v>
      </c>
      <c r="E46" s="1312" t="s">
        <v>3</v>
      </c>
      <c r="F46" s="1316" t="s">
        <v>3461</v>
      </c>
      <c r="G46" s="1312" t="s">
        <v>3380</v>
      </c>
      <c r="H46" s="1317">
        <f t="shared" ref="H46:H48" si="10">ROUND(232297.1/12*5,0)</f>
        <v>96790</v>
      </c>
      <c r="I46" s="1661"/>
      <c r="J46" s="1661"/>
      <c r="K46" s="1661"/>
      <c r="L46" s="1661"/>
    </row>
    <row r="47" spans="1:12" ht="18" customHeight="1" outlineLevel="2">
      <c r="A47" s="1312">
        <v>43</v>
      </c>
      <c r="B47" s="1312" t="s">
        <v>3462</v>
      </c>
      <c r="C47" s="1312" t="s">
        <v>3081</v>
      </c>
      <c r="D47" s="1312" t="s">
        <v>2717</v>
      </c>
      <c r="E47" s="1312" t="s">
        <v>3</v>
      </c>
      <c r="F47" s="1316" t="s">
        <v>3463</v>
      </c>
      <c r="G47" s="1312" t="s">
        <v>3380</v>
      </c>
      <c r="H47" s="1317">
        <f t="shared" si="10"/>
        <v>96790</v>
      </c>
      <c r="I47" s="1661"/>
      <c r="J47" s="1661"/>
      <c r="K47" s="1661"/>
      <c r="L47" s="1661"/>
    </row>
    <row r="48" spans="1:12" ht="18" customHeight="1" outlineLevel="2">
      <c r="A48" s="1312">
        <v>44</v>
      </c>
      <c r="B48" s="1312" t="s">
        <v>3464</v>
      </c>
      <c r="C48" s="1312" t="s">
        <v>3081</v>
      </c>
      <c r="D48" s="1312" t="s">
        <v>2717</v>
      </c>
      <c r="E48" s="1312" t="s">
        <v>3</v>
      </c>
      <c r="F48" s="1316" t="s">
        <v>3465</v>
      </c>
      <c r="G48" s="1312" t="s">
        <v>3380</v>
      </c>
      <c r="H48" s="1317">
        <f t="shared" si="10"/>
        <v>96790</v>
      </c>
      <c r="I48" s="1661"/>
      <c r="J48" s="1661"/>
      <c r="K48" s="1661"/>
      <c r="L48" s="1661"/>
    </row>
    <row r="49" spans="1:12" ht="18" customHeight="1" outlineLevel="2">
      <c r="A49" s="1312">
        <v>45</v>
      </c>
      <c r="B49" s="1316" t="s">
        <v>3466</v>
      </c>
      <c r="C49" s="1312" t="s">
        <v>1465</v>
      </c>
      <c r="D49" s="1316" t="s">
        <v>165</v>
      </c>
      <c r="E49" s="1312" t="s">
        <v>3</v>
      </c>
      <c r="F49" s="1316" t="s">
        <v>3467</v>
      </c>
      <c r="G49" s="1312" t="s">
        <v>3377</v>
      </c>
      <c r="H49" s="1313">
        <f>ROUND(254991.7,0)</f>
        <v>254992</v>
      </c>
      <c r="I49" s="1661"/>
      <c r="J49" s="1661"/>
      <c r="K49" s="1661"/>
      <c r="L49" s="1661"/>
    </row>
    <row r="50" spans="1:12" ht="18" customHeight="1" outlineLevel="2">
      <c r="A50" s="1312">
        <v>46</v>
      </c>
      <c r="B50" s="1316" t="s">
        <v>3468</v>
      </c>
      <c r="C50" s="1312" t="s">
        <v>1465</v>
      </c>
      <c r="D50" s="1316" t="s">
        <v>165</v>
      </c>
      <c r="E50" s="1312" t="s">
        <v>3</v>
      </c>
      <c r="F50" s="1316" t="s">
        <v>3469</v>
      </c>
      <c r="G50" s="1312" t="s">
        <v>3377</v>
      </c>
      <c r="H50" s="1313">
        <f>ROUND(254991.7,0)</f>
        <v>254992</v>
      </c>
      <c r="I50" s="1661"/>
      <c r="J50" s="1661"/>
      <c r="K50" s="1661"/>
      <c r="L50" s="1661"/>
    </row>
    <row r="51" spans="1:12" ht="18" customHeight="1" outlineLevel="2">
      <c r="A51" s="1312">
        <v>47</v>
      </c>
      <c r="B51" s="1316" t="s">
        <v>3470</v>
      </c>
      <c r="C51" s="1312" t="s">
        <v>1465</v>
      </c>
      <c r="D51" s="1316" t="s">
        <v>165</v>
      </c>
      <c r="E51" s="1312" t="s">
        <v>3</v>
      </c>
      <c r="F51" s="1316" t="s">
        <v>3471</v>
      </c>
      <c r="G51" s="1312" t="s">
        <v>3380</v>
      </c>
      <c r="H51" s="1317">
        <f>ROUND(254991.7/12*5,0)</f>
        <v>106247</v>
      </c>
      <c r="I51" s="1661"/>
      <c r="J51" s="1661"/>
      <c r="K51" s="1661"/>
      <c r="L51" s="1661"/>
    </row>
    <row r="52" spans="1:12" ht="18" customHeight="1" outlineLevel="2">
      <c r="A52" s="1312">
        <v>48</v>
      </c>
      <c r="B52" s="1316" t="s">
        <v>3472</v>
      </c>
      <c r="C52" s="1312" t="s">
        <v>3082</v>
      </c>
      <c r="D52" s="1316" t="s">
        <v>169</v>
      </c>
      <c r="E52" s="1312" t="s">
        <v>2376</v>
      </c>
      <c r="F52" s="1316" t="s">
        <v>3473</v>
      </c>
      <c r="G52" s="1312" t="s">
        <v>3380</v>
      </c>
      <c r="H52" s="1317">
        <f>ROUND(285394/12*5,0)</f>
        <v>118914</v>
      </c>
      <c r="I52" s="1662"/>
      <c r="J52" s="1662"/>
      <c r="K52" s="1662"/>
      <c r="L52" s="1662"/>
    </row>
    <row r="53" spans="1:12" ht="18" customHeight="1" outlineLevel="1">
      <c r="A53" s="1312"/>
      <c r="B53" s="1316"/>
      <c r="C53" s="1312"/>
      <c r="D53" s="1316"/>
      <c r="E53" s="1320" t="s">
        <v>255</v>
      </c>
      <c r="F53" s="1316"/>
      <c r="G53" s="1312"/>
      <c r="H53" s="1317">
        <f>SUBTOTAL(9,H43:H52)</f>
        <v>1722406</v>
      </c>
      <c r="I53" s="1321">
        <f t="shared" ref="I53:L53" si="11">SUBTOTAL(9,I43:I52)</f>
        <v>1140419.52</v>
      </c>
      <c r="J53" s="1321">
        <f t="shared" si="11"/>
        <v>581986.48</v>
      </c>
      <c r="K53" s="1321">
        <f t="shared" si="11"/>
        <v>0</v>
      </c>
      <c r="L53" s="1321">
        <f t="shared" si="11"/>
        <v>581986.48</v>
      </c>
    </row>
    <row r="54" spans="1:12" ht="18" customHeight="1" outlineLevel="2">
      <c r="A54" s="1312">
        <v>49</v>
      </c>
      <c r="B54" s="1312" t="s">
        <v>3474</v>
      </c>
      <c r="C54" s="1312" t="s">
        <v>3081</v>
      </c>
      <c r="D54" s="1312" t="s">
        <v>995</v>
      </c>
      <c r="E54" s="1312" t="s">
        <v>2</v>
      </c>
      <c r="F54" s="1316" t="s">
        <v>3475</v>
      </c>
      <c r="G54" s="1312" t="s">
        <v>3377</v>
      </c>
      <c r="H54" s="1313">
        <f t="shared" ref="H54:H56" si="12">ROUND(232297.1,0)</f>
        <v>232297</v>
      </c>
      <c r="I54" s="1660">
        <v>2956830.16</v>
      </c>
      <c r="J54" s="1660">
        <f>H67-I54</f>
        <v>-370551.16000000015</v>
      </c>
      <c r="K54" s="1660">
        <v>0</v>
      </c>
      <c r="L54" s="1660">
        <f>J54-K54</f>
        <v>-370551.16000000015</v>
      </c>
    </row>
    <row r="55" spans="1:12" ht="18" customHeight="1" outlineLevel="2">
      <c r="A55" s="1312">
        <v>50</v>
      </c>
      <c r="B55" s="1312" t="s">
        <v>3476</v>
      </c>
      <c r="C55" s="1312" t="s">
        <v>3081</v>
      </c>
      <c r="D55" s="1312" t="s">
        <v>995</v>
      </c>
      <c r="E55" s="1312" t="s">
        <v>2</v>
      </c>
      <c r="F55" s="1316" t="s">
        <v>3477</v>
      </c>
      <c r="G55" s="1312" t="s">
        <v>3377</v>
      </c>
      <c r="H55" s="1313">
        <f t="shared" si="12"/>
        <v>232297</v>
      </c>
      <c r="I55" s="1661"/>
      <c r="J55" s="1661"/>
      <c r="K55" s="1661"/>
      <c r="L55" s="1661"/>
    </row>
    <row r="56" spans="1:12" ht="18" customHeight="1" outlineLevel="2">
      <c r="A56" s="1312">
        <v>51</v>
      </c>
      <c r="B56" s="1312" t="s">
        <v>3478</v>
      </c>
      <c r="C56" s="1312" t="s">
        <v>3081</v>
      </c>
      <c r="D56" s="1312" t="s">
        <v>995</v>
      </c>
      <c r="E56" s="1312" t="s">
        <v>2</v>
      </c>
      <c r="F56" s="1316" t="s">
        <v>3479</v>
      </c>
      <c r="G56" s="1312" t="s">
        <v>3377</v>
      </c>
      <c r="H56" s="1313">
        <f t="shared" si="12"/>
        <v>232297</v>
      </c>
      <c r="I56" s="1661"/>
      <c r="J56" s="1661"/>
      <c r="K56" s="1661"/>
      <c r="L56" s="1661"/>
    </row>
    <row r="57" spans="1:12" ht="18" customHeight="1" outlineLevel="2">
      <c r="A57" s="1312">
        <v>52</v>
      </c>
      <c r="B57" s="1316" t="s">
        <v>3480</v>
      </c>
      <c r="C57" s="1312" t="s">
        <v>958</v>
      </c>
      <c r="D57" s="1316" t="s">
        <v>244</v>
      </c>
      <c r="E57" s="1312" t="s">
        <v>2</v>
      </c>
      <c r="F57" s="1316" t="s">
        <v>3481</v>
      </c>
      <c r="G57" s="1312" t="s">
        <v>3377</v>
      </c>
      <c r="H57" s="1313">
        <f t="shared" ref="H57:H58" si="13">ROUND(254991.7,0)</f>
        <v>254992</v>
      </c>
      <c r="I57" s="1661"/>
      <c r="J57" s="1661"/>
      <c r="K57" s="1661"/>
      <c r="L57" s="1661"/>
    </row>
    <row r="58" spans="1:12" ht="18" customHeight="1" outlineLevel="2">
      <c r="A58" s="1312">
        <v>53</v>
      </c>
      <c r="B58" s="1316" t="s">
        <v>3482</v>
      </c>
      <c r="C58" s="1312" t="s">
        <v>958</v>
      </c>
      <c r="D58" s="1316" t="s">
        <v>244</v>
      </c>
      <c r="E58" s="1312" t="s">
        <v>2</v>
      </c>
      <c r="F58" s="1316" t="s">
        <v>3483</v>
      </c>
      <c r="G58" s="1312" t="s">
        <v>3377</v>
      </c>
      <c r="H58" s="1313">
        <f t="shared" si="13"/>
        <v>254992</v>
      </c>
      <c r="I58" s="1661"/>
      <c r="J58" s="1661"/>
      <c r="K58" s="1661"/>
      <c r="L58" s="1661"/>
    </row>
    <row r="59" spans="1:12" ht="18" customHeight="1" outlineLevel="2">
      <c r="A59" s="1312">
        <v>54</v>
      </c>
      <c r="B59" s="1316" t="s">
        <v>3484</v>
      </c>
      <c r="C59" s="1312" t="s">
        <v>958</v>
      </c>
      <c r="D59" s="1316" t="s">
        <v>244</v>
      </c>
      <c r="E59" s="1312" t="s">
        <v>2</v>
      </c>
      <c r="F59" s="1316" t="s">
        <v>3485</v>
      </c>
      <c r="G59" s="1312" t="s">
        <v>3377</v>
      </c>
      <c r="H59" s="1313">
        <v>285394</v>
      </c>
      <c r="I59" s="1661"/>
      <c r="J59" s="1661"/>
      <c r="K59" s="1661"/>
      <c r="L59" s="1661"/>
    </row>
    <row r="60" spans="1:12" ht="18" customHeight="1" outlineLevel="2">
      <c r="A60" s="1312">
        <v>55</v>
      </c>
      <c r="B60" s="1316" t="s">
        <v>3486</v>
      </c>
      <c r="C60" s="1312" t="s">
        <v>958</v>
      </c>
      <c r="D60" s="1316" t="s">
        <v>244</v>
      </c>
      <c r="E60" s="1312" t="s">
        <v>2</v>
      </c>
      <c r="F60" s="1316" t="s">
        <v>3487</v>
      </c>
      <c r="G60" s="1312" t="s">
        <v>3377</v>
      </c>
      <c r="H60" s="1313">
        <v>285394</v>
      </c>
      <c r="I60" s="1661"/>
      <c r="J60" s="1661"/>
      <c r="K60" s="1661"/>
      <c r="L60" s="1661"/>
    </row>
    <row r="61" spans="1:12" ht="18" customHeight="1" outlineLevel="2">
      <c r="A61" s="1312">
        <v>56</v>
      </c>
      <c r="B61" s="1316" t="s">
        <v>3488</v>
      </c>
      <c r="C61" s="1312" t="s">
        <v>958</v>
      </c>
      <c r="D61" s="1316" t="s">
        <v>244</v>
      </c>
      <c r="E61" s="1312" t="s">
        <v>2</v>
      </c>
      <c r="F61" s="1316" t="s">
        <v>3489</v>
      </c>
      <c r="G61" s="1312" t="s">
        <v>3377</v>
      </c>
      <c r="H61" s="1313">
        <v>285394</v>
      </c>
      <c r="I61" s="1661"/>
      <c r="J61" s="1661"/>
      <c r="K61" s="1661"/>
      <c r="L61" s="1661"/>
    </row>
    <row r="62" spans="1:12" ht="18" customHeight="1" outlineLevel="2">
      <c r="A62" s="1312">
        <v>57</v>
      </c>
      <c r="B62" s="1316" t="s">
        <v>3490</v>
      </c>
      <c r="C62" s="1312" t="s">
        <v>958</v>
      </c>
      <c r="D62" s="1316" t="s">
        <v>244</v>
      </c>
      <c r="E62" s="1312" t="s">
        <v>2</v>
      </c>
      <c r="F62" s="1316" t="s">
        <v>3491</v>
      </c>
      <c r="G62" s="1312" t="s">
        <v>3380</v>
      </c>
      <c r="H62" s="1317">
        <f t="shared" ref="H62:H64" si="14">ROUND(285394/12*5,0)</f>
        <v>118914</v>
      </c>
      <c r="I62" s="1661"/>
      <c r="J62" s="1661"/>
      <c r="K62" s="1661"/>
      <c r="L62" s="1661"/>
    </row>
    <row r="63" spans="1:12" ht="18" customHeight="1" outlineLevel="2">
      <c r="A63" s="1312">
        <v>58</v>
      </c>
      <c r="B63" s="1316" t="s">
        <v>3492</v>
      </c>
      <c r="C63" s="1312" t="s">
        <v>958</v>
      </c>
      <c r="D63" s="1316" t="s">
        <v>244</v>
      </c>
      <c r="E63" s="1312" t="s">
        <v>2</v>
      </c>
      <c r="F63" s="1316" t="s">
        <v>3493</v>
      </c>
      <c r="G63" s="1312" t="s">
        <v>3380</v>
      </c>
      <c r="H63" s="1317">
        <f t="shared" si="14"/>
        <v>118914</v>
      </c>
      <c r="I63" s="1661"/>
      <c r="J63" s="1661"/>
      <c r="K63" s="1661"/>
      <c r="L63" s="1661"/>
    </row>
    <row r="64" spans="1:12" ht="18" customHeight="1" outlineLevel="2">
      <c r="A64" s="1312">
        <v>59</v>
      </c>
      <c r="B64" s="1316" t="s">
        <v>3494</v>
      </c>
      <c r="C64" s="1312" t="s">
        <v>958</v>
      </c>
      <c r="D64" s="1316" t="s">
        <v>244</v>
      </c>
      <c r="E64" s="1312" t="s">
        <v>2</v>
      </c>
      <c r="F64" s="1316" t="s">
        <v>3495</v>
      </c>
      <c r="G64" s="1312" t="s">
        <v>3380</v>
      </c>
      <c r="H64" s="1317">
        <f t="shared" si="14"/>
        <v>118914</v>
      </c>
      <c r="I64" s="1661"/>
      <c r="J64" s="1661"/>
      <c r="K64" s="1661"/>
      <c r="L64" s="1661"/>
    </row>
    <row r="65" spans="1:12" ht="18" customHeight="1" outlineLevel="2">
      <c r="A65" s="1312">
        <v>60</v>
      </c>
      <c r="B65" s="1312" t="s">
        <v>3496</v>
      </c>
      <c r="C65" s="1312" t="s">
        <v>958</v>
      </c>
      <c r="D65" s="1312" t="s">
        <v>244</v>
      </c>
      <c r="E65" s="1312" t="str">
        <f>VLOOKUP(D65,[2]Sheet1!D:F,3,FALSE)</f>
        <v>莘庄</v>
      </c>
      <c r="F65" s="1312" t="s">
        <v>3497</v>
      </c>
      <c r="G65" s="1312" t="s">
        <v>3453</v>
      </c>
      <c r="H65" s="1313">
        <f>ROUND(285394/12*1,0)</f>
        <v>23783</v>
      </c>
      <c r="I65" s="1661"/>
      <c r="J65" s="1661"/>
      <c r="K65" s="1661"/>
      <c r="L65" s="1661"/>
    </row>
    <row r="66" spans="1:12" ht="18" customHeight="1" outlineLevel="2">
      <c r="A66" s="1312">
        <v>61</v>
      </c>
      <c r="B66" s="1312" t="s">
        <v>3498</v>
      </c>
      <c r="C66" s="1312" t="s">
        <v>958</v>
      </c>
      <c r="D66" s="1312" t="s">
        <v>244</v>
      </c>
      <c r="E66" s="1312" t="str">
        <f>VLOOKUP(D66,[2]Sheet1!D:F,3,FALSE)</f>
        <v>莘庄</v>
      </c>
      <c r="F66" s="1312" t="s">
        <v>3499</v>
      </c>
      <c r="G66" s="1312" t="s">
        <v>3453</v>
      </c>
      <c r="H66" s="1313">
        <f>ROUND(285394/12*6,0)</f>
        <v>142697</v>
      </c>
      <c r="I66" s="1662"/>
      <c r="J66" s="1662"/>
      <c r="K66" s="1662"/>
      <c r="L66" s="1662"/>
    </row>
    <row r="67" spans="1:12" ht="18" customHeight="1" outlineLevel="1">
      <c r="A67" s="1312"/>
      <c r="B67" s="1312"/>
      <c r="C67" s="1312"/>
      <c r="D67" s="1312"/>
      <c r="E67" s="1320" t="s">
        <v>254</v>
      </c>
      <c r="F67" s="1312"/>
      <c r="G67" s="1312"/>
      <c r="H67" s="1313">
        <f>SUBTOTAL(9,H54:H66)</f>
        <v>2586279</v>
      </c>
      <c r="I67" s="1319">
        <f t="shared" ref="I67:L67" si="15">SUBTOTAL(9,I54:I66)</f>
        <v>2956830.16</v>
      </c>
      <c r="J67" s="1319">
        <f t="shared" si="15"/>
        <v>-370551.16000000015</v>
      </c>
      <c r="K67" s="1319">
        <f t="shared" si="15"/>
        <v>0</v>
      </c>
      <c r="L67" s="1319">
        <f t="shared" si="15"/>
        <v>-370551.16000000015</v>
      </c>
    </row>
    <row r="68" spans="1:12" ht="18" customHeight="1" outlineLevel="2">
      <c r="A68" s="1312">
        <v>62</v>
      </c>
      <c r="B68" s="1312" t="s">
        <v>3500</v>
      </c>
      <c r="C68" s="1312" t="s">
        <v>3081</v>
      </c>
      <c r="D68" s="1312" t="s">
        <v>1007</v>
      </c>
      <c r="E68" s="1312" t="s">
        <v>4</v>
      </c>
      <c r="F68" s="1316" t="s">
        <v>3501</v>
      </c>
      <c r="G68" s="1312" t="s">
        <v>3377</v>
      </c>
      <c r="H68" s="1313">
        <f t="shared" ref="H68:H71" si="16">ROUND(232297.1,0)</f>
        <v>232297</v>
      </c>
      <c r="I68" s="1660">
        <v>4756561.84</v>
      </c>
      <c r="J68" s="1660">
        <f>H114-I68</f>
        <v>3206796.16</v>
      </c>
      <c r="K68" s="1660">
        <v>0</v>
      </c>
      <c r="L68" s="1660">
        <f>J68-K68</f>
        <v>3206796.16</v>
      </c>
    </row>
    <row r="69" spans="1:12" ht="18" customHeight="1" outlineLevel="2">
      <c r="A69" s="1312">
        <v>63</v>
      </c>
      <c r="B69" s="1312" t="s">
        <v>3502</v>
      </c>
      <c r="C69" s="1312" t="s">
        <v>3081</v>
      </c>
      <c r="D69" s="1312" t="s">
        <v>1009</v>
      </c>
      <c r="E69" s="1312" t="s">
        <v>4</v>
      </c>
      <c r="F69" s="1316" t="s">
        <v>3503</v>
      </c>
      <c r="G69" s="1312" t="s">
        <v>3377</v>
      </c>
      <c r="H69" s="1313">
        <f t="shared" si="16"/>
        <v>232297</v>
      </c>
      <c r="I69" s="1661"/>
      <c r="J69" s="1661"/>
      <c r="K69" s="1661"/>
      <c r="L69" s="1661"/>
    </row>
    <row r="70" spans="1:12" ht="18" customHeight="1" outlineLevel="2">
      <c r="A70" s="1312">
        <v>64</v>
      </c>
      <c r="B70" s="1312" t="s">
        <v>3504</v>
      </c>
      <c r="C70" s="1312" t="s">
        <v>3081</v>
      </c>
      <c r="D70" s="1312" t="s">
        <v>1009</v>
      </c>
      <c r="E70" s="1312" t="s">
        <v>4</v>
      </c>
      <c r="F70" s="1316" t="s">
        <v>3505</v>
      </c>
      <c r="G70" s="1312" t="s">
        <v>3377</v>
      </c>
      <c r="H70" s="1313">
        <f t="shared" si="16"/>
        <v>232297</v>
      </c>
      <c r="I70" s="1661"/>
      <c r="J70" s="1661"/>
      <c r="K70" s="1661"/>
      <c r="L70" s="1661"/>
    </row>
    <row r="71" spans="1:12" ht="18" customHeight="1" outlineLevel="2">
      <c r="A71" s="1312">
        <v>65</v>
      </c>
      <c r="B71" s="1312" t="s">
        <v>3506</v>
      </c>
      <c r="C71" s="1312" t="s">
        <v>3081</v>
      </c>
      <c r="D71" s="1312" t="s">
        <v>1009</v>
      </c>
      <c r="E71" s="1312" t="s">
        <v>4</v>
      </c>
      <c r="F71" s="1316" t="s">
        <v>3507</v>
      </c>
      <c r="G71" s="1312" t="s">
        <v>3377</v>
      </c>
      <c r="H71" s="1313">
        <f t="shared" si="16"/>
        <v>232297</v>
      </c>
      <c r="I71" s="1661"/>
      <c r="J71" s="1661"/>
      <c r="K71" s="1661"/>
      <c r="L71" s="1661"/>
    </row>
    <row r="72" spans="1:12" ht="18" customHeight="1" outlineLevel="2">
      <c r="A72" s="1312">
        <v>66</v>
      </c>
      <c r="B72" s="1316" t="s">
        <v>3508</v>
      </c>
      <c r="C72" s="1312" t="s">
        <v>1465</v>
      </c>
      <c r="D72" s="1316" t="s">
        <v>241</v>
      </c>
      <c r="E72" s="1312" t="s">
        <v>4</v>
      </c>
      <c r="F72" s="1316" t="s">
        <v>3509</v>
      </c>
      <c r="G72" s="1312" t="s">
        <v>3377</v>
      </c>
      <c r="H72" s="1313">
        <f t="shared" ref="H72:H77" si="17">ROUND(254991.7,0)</f>
        <v>254992</v>
      </c>
      <c r="I72" s="1661"/>
      <c r="J72" s="1661"/>
      <c r="K72" s="1661"/>
      <c r="L72" s="1661"/>
    </row>
    <row r="73" spans="1:12" ht="18" customHeight="1" outlineLevel="2">
      <c r="A73" s="1312">
        <v>67</v>
      </c>
      <c r="B73" s="1316" t="s">
        <v>3510</v>
      </c>
      <c r="C73" s="1312" t="s">
        <v>1465</v>
      </c>
      <c r="D73" s="1316" t="s">
        <v>241</v>
      </c>
      <c r="E73" s="1312" t="s">
        <v>4</v>
      </c>
      <c r="F73" s="1316" t="s">
        <v>3511</v>
      </c>
      <c r="G73" s="1312" t="s">
        <v>3377</v>
      </c>
      <c r="H73" s="1313">
        <f t="shared" si="17"/>
        <v>254992</v>
      </c>
      <c r="I73" s="1661"/>
      <c r="J73" s="1661"/>
      <c r="K73" s="1661"/>
      <c r="L73" s="1661"/>
    </row>
    <row r="74" spans="1:12" ht="18" customHeight="1" outlineLevel="2">
      <c r="A74" s="1312">
        <v>68</v>
      </c>
      <c r="B74" s="1316" t="s">
        <v>3512</v>
      </c>
      <c r="C74" s="1312" t="s">
        <v>1465</v>
      </c>
      <c r="D74" s="1316" t="s">
        <v>241</v>
      </c>
      <c r="E74" s="1312" t="s">
        <v>4</v>
      </c>
      <c r="F74" s="1316" t="s">
        <v>3513</v>
      </c>
      <c r="G74" s="1312" t="s">
        <v>3377</v>
      </c>
      <c r="H74" s="1313">
        <f t="shared" si="17"/>
        <v>254992</v>
      </c>
      <c r="I74" s="1661"/>
      <c r="J74" s="1661"/>
      <c r="K74" s="1661"/>
      <c r="L74" s="1661"/>
    </row>
    <row r="75" spans="1:12" ht="18" customHeight="1" outlineLevel="2">
      <c r="A75" s="1312">
        <v>69</v>
      </c>
      <c r="B75" s="1316" t="s">
        <v>3514</v>
      </c>
      <c r="C75" s="1312" t="s">
        <v>1465</v>
      </c>
      <c r="D75" s="1316" t="s">
        <v>747</v>
      </c>
      <c r="E75" s="1312" t="s">
        <v>4</v>
      </c>
      <c r="F75" s="1316" t="s">
        <v>3515</v>
      </c>
      <c r="G75" s="1312" t="s">
        <v>3377</v>
      </c>
      <c r="H75" s="1313">
        <f t="shared" si="17"/>
        <v>254992</v>
      </c>
      <c r="I75" s="1661"/>
      <c r="J75" s="1661"/>
      <c r="K75" s="1661"/>
      <c r="L75" s="1661"/>
    </row>
    <row r="76" spans="1:12" ht="18" customHeight="1" outlineLevel="2">
      <c r="A76" s="1312">
        <v>70</v>
      </c>
      <c r="B76" s="1316" t="s">
        <v>3516</v>
      </c>
      <c r="C76" s="1312" t="s">
        <v>1465</v>
      </c>
      <c r="D76" s="1316" t="s">
        <v>747</v>
      </c>
      <c r="E76" s="1312" t="s">
        <v>4</v>
      </c>
      <c r="F76" s="1316" t="s">
        <v>3517</v>
      </c>
      <c r="G76" s="1312" t="s">
        <v>3377</v>
      </c>
      <c r="H76" s="1313">
        <f t="shared" si="17"/>
        <v>254992</v>
      </c>
      <c r="I76" s="1661"/>
      <c r="J76" s="1661"/>
      <c r="K76" s="1661"/>
      <c r="L76" s="1661"/>
    </row>
    <row r="77" spans="1:12" ht="18" customHeight="1" outlineLevel="2">
      <c r="A77" s="1312">
        <v>71</v>
      </c>
      <c r="B77" s="1316" t="s">
        <v>3518</v>
      </c>
      <c r="C77" s="1312" t="s">
        <v>1465</v>
      </c>
      <c r="D77" s="1316" t="s">
        <v>747</v>
      </c>
      <c r="E77" s="1312" t="s">
        <v>4</v>
      </c>
      <c r="F77" s="1316" t="s">
        <v>3519</v>
      </c>
      <c r="G77" s="1312" t="s">
        <v>3377</v>
      </c>
      <c r="H77" s="1313">
        <f t="shared" si="17"/>
        <v>254992</v>
      </c>
      <c r="I77" s="1661"/>
      <c r="J77" s="1661"/>
      <c r="K77" s="1661"/>
      <c r="L77" s="1661"/>
    </row>
    <row r="78" spans="1:12" ht="18" customHeight="1" outlineLevel="2">
      <c r="A78" s="1312">
        <v>72</v>
      </c>
      <c r="B78" s="1316" t="s">
        <v>3520</v>
      </c>
      <c r="C78" s="1312" t="s">
        <v>1465</v>
      </c>
      <c r="D78" s="1316" t="s">
        <v>747</v>
      </c>
      <c r="E78" s="1312" t="s">
        <v>4</v>
      </c>
      <c r="F78" s="1316" t="s">
        <v>3521</v>
      </c>
      <c r="G78" s="1312" t="s">
        <v>3380</v>
      </c>
      <c r="H78" s="1317">
        <f t="shared" ref="H78:H79" si="18">ROUND(254991.7/12*5,0)</f>
        <v>106247</v>
      </c>
      <c r="I78" s="1661"/>
      <c r="J78" s="1661"/>
      <c r="K78" s="1661"/>
      <c r="L78" s="1661"/>
    </row>
    <row r="79" spans="1:12" ht="18" customHeight="1" outlineLevel="2">
      <c r="A79" s="1312">
        <v>73</v>
      </c>
      <c r="B79" s="1316" t="s">
        <v>3522</v>
      </c>
      <c r="C79" s="1312" t="s">
        <v>1465</v>
      </c>
      <c r="D79" s="1316" t="s">
        <v>747</v>
      </c>
      <c r="E79" s="1312" t="s">
        <v>4</v>
      </c>
      <c r="F79" s="1316" t="s">
        <v>3523</v>
      </c>
      <c r="G79" s="1312" t="s">
        <v>3380</v>
      </c>
      <c r="H79" s="1317">
        <f t="shared" si="18"/>
        <v>106247</v>
      </c>
      <c r="I79" s="1661"/>
      <c r="J79" s="1661"/>
      <c r="K79" s="1661"/>
      <c r="L79" s="1661"/>
    </row>
    <row r="80" spans="1:12" ht="18" customHeight="1" outlineLevel="2">
      <c r="A80" s="1312">
        <v>74</v>
      </c>
      <c r="B80" s="1316" t="s">
        <v>3524</v>
      </c>
      <c r="C80" s="1312" t="s">
        <v>958</v>
      </c>
      <c r="D80" s="1316" t="s">
        <v>265</v>
      </c>
      <c r="E80" s="1312" t="s">
        <v>4</v>
      </c>
      <c r="F80" s="1316" t="s">
        <v>3525</v>
      </c>
      <c r="G80" s="1312" t="s">
        <v>3377</v>
      </c>
      <c r="H80" s="1313">
        <f t="shared" ref="H80:H81" si="19">ROUND(254991.7,0)</f>
        <v>254992</v>
      </c>
      <c r="I80" s="1661"/>
      <c r="J80" s="1661"/>
      <c r="K80" s="1661"/>
      <c r="L80" s="1661"/>
    </row>
    <row r="81" spans="1:12" ht="18" customHeight="1" outlineLevel="2">
      <c r="A81" s="1312">
        <v>75</v>
      </c>
      <c r="B81" s="1316" t="s">
        <v>3526</v>
      </c>
      <c r="C81" s="1312" t="s">
        <v>958</v>
      </c>
      <c r="D81" s="1316" t="s">
        <v>265</v>
      </c>
      <c r="E81" s="1312" t="s">
        <v>4</v>
      </c>
      <c r="F81" s="1316" t="s">
        <v>3527</v>
      </c>
      <c r="G81" s="1312" t="s">
        <v>3377</v>
      </c>
      <c r="H81" s="1313">
        <f t="shared" si="19"/>
        <v>254992</v>
      </c>
      <c r="I81" s="1661"/>
      <c r="J81" s="1661"/>
      <c r="K81" s="1661"/>
      <c r="L81" s="1661"/>
    </row>
    <row r="82" spans="1:12" ht="18" customHeight="1" outlineLevel="2">
      <c r="A82" s="1312">
        <v>76</v>
      </c>
      <c r="B82" s="1316" t="s">
        <v>3528</v>
      </c>
      <c r="C82" s="1312" t="s">
        <v>958</v>
      </c>
      <c r="D82" s="1316" t="s">
        <v>265</v>
      </c>
      <c r="E82" s="1312" t="s">
        <v>4</v>
      </c>
      <c r="F82" s="1316" t="s">
        <v>3529</v>
      </c>
      <c r="G82" s="1312" t="s">
        <v>3380</v>
      </c>
      <c r="H82" s="1317">
        <f>ROUND(254991.7/12*5,0)</f>
        <v>106247</v>
      </c>
      <c r="I82" s="1661"/>
      <c r="J82" s="1661"/>
      <c r="K82" s="1661"/>
      <c r="L82" s="1661"/>
    </row>
    <row r="83" spans="1:12" ht="18" customHeight="1" outlineLevel="2">
      <c r="A83" s="1312">
        <v>77</v>
      </c>
      <c r="B83" s="1316" t="s">
        <v>3530</v>
      </c>
      <c r="C83" s="1312" t="s">
        <v>1465</v>
      </c>
      <c r="D83" s="1316" t="s">
        <v>240</v>
      </c>
      <c r="E83" s="1312" t="s">
        <v>4</v>
      </c>
      <c r="F83" s="1316" t="s">
        <v>3531</v>
      </c>
      <c r="G83" s="1312" t="s">
        <v>3377</v>
      </c>
      <c r="H83" s="1313">
        <f>ROUND(254991.7,0)</f>
        <v>254992</v>
      </c>
      <c r="I83" s="1661"/>
      <c r="J83" s="1661"/>
      <c r="K83" s="1661"/>
      <c r="L83" s="1661"/>
    </row>
    <row r="84" spans="1:12" ht="18" customHeight="1" outlineLevel="2">
      <c r="A84" s="1312">
        <v>78</v>
      </c>
      <c r="B84" s="1316" t="s">
        <v>3532</v>
      </c>
      <c r="C84" s="1312" t="s">
        <v>1465</v>
      </c>
      <c r="D84" s="1316" t="s">
        <v>242</v>
      </c>
      <c r="E84" s="1312" t="s">
        <v>4</v>
      </c>
      <c r="F84" s="1316" t="s">
        <v>3533</v>
      </c>
      <c r="G84" s="1312" t="s">
        <v>3380</v>
      </c>
      <c r="H84" s="1317">
        <f t="shared" ref="H84:H87" si="20">ROUND(254991.7/12*5,0)</f>
        <v>106247</v>
      </c>
      <c r="I84" s="1661"/>
      <c r="J84" s="1661"/>
      <c r="K84" s="1661"/>
      <c r="L84" s="1661"/>
    </row>
    <row r="85" spans="1:12" ht="18" customHeight="1" outlineLevel="2">
      <c r="A85" s="1312">
        <v>79</v>
      </c>
      <c r="B85" s="1316" t="s">
        <v>3534</v>
      </c>
      <c r="C85" s="1312" t="s">
        <v>1465</v>
      </c>
      <c r="D85" s="1316" t="s">
        <v>243</v>
      </c>
      <c r="E85" s="1312" t="s">
        <v>4</v>
      </c>
      <c r="F85" s="1316" t="s">
        <v>3535</v>
      </c>
      <c r="G85" s="1312" t="s">
        <v>3380</v>
      </c>
      <c r="H85" s="1317">
        <f t="shared" si="20"/>
        <v>106247</v>
      </c>
      <c r="I85" s="1661"/>
      <c r="J85" s="1661"/>
      <c r="K85" s="1661"/>
      <c r="L85" s="1661"/>
    </row>
    <row r="86" spans="1:12" ht="18" customHeight="1" outlineLevel="2">
      <c r="A86" s="1312">
        <v>80</v>
      </c>
      <c r="B86" s="1316" t="s">
        <v>3536</v>
      </c>
      <c r="C86" s="1312" t="s">
        <v>1465</v>
      </c>
      <c r="D86" s="1316" t="s">
        <v>243</v>
      </c>
      <c r="E86" s="1312" t="s">
        <v>4</v>
      </c>
      <c r="F86" s="1316" t="s">
        <v>3537</v>
      </c>
      <c r="G86" s="1312" t="s">
        <v>3380</v>
      </c>
      <c r="H86" s="1317">
        <f t="shared" si="20"/>
        <v>106247</v>
      </c>
      <c r="I86" s="1661"/>
      <c r="J86" s="1661"/>
      <c r="K86" s="1661"/>
      <c r="L86" s="1661"/>
    </row>
    <row r="87" spans="1:12" ht="18" customHeight="1" outlineLevel="2">
      <c r="A87" s="1312">
        <v>81</v>
      </c>
      <c r="B87" s="1316" t="s">
        <v>3538</v>
      </c>
      <c r="C87" s="1312" t="s">
        <v>1465</v>
      </c>
      <c r="D87" s="1316" t="s">
        <v>243</v>
      </c>
      <c r="E87" s="1312" t="s">
        <v>4</v>
      </c>
      <c r="F87" s="1316" t="s">
        <v>3539</v>
      </c>
      <c r="G87" s="1312" t="s">
        <v>3380</v>
      </c>
      <c r="H87" s="1317">
        <f t="shared" si="20"/>
        <v>106247</v>
      </c>
      <c r="I87" s="1661"/>
      <c r="J87" s="1661"/>
      <c r="K87" s="1661"/>
      <c r="L87" s="1661"/>
    </row>
    <row r="88" spans="1:12" ht="18" customHeight="1" outlineLevel="2">
      <c r="A88" s="1312">
        <v>82</v>
      </c>
      <c r="B88" s="1316" t="s">
        <v>3540</v>
      </c>
      <c r="C88" s="1312" t="s">
        <v>962</v>
      </c>
      <c r="D88" s="1316" t="s">
        <v>236</v>
      </c>
      <c r="E88" s="1312" t="s">
        <v>4</v>
      </c>
      <c r="F88" s="1316" t="s">
        <v>3541</v>
      </c>
      <c r="G88" s="1312" t="s">
        <v>3377</v>
      </c>
      <c r="H88" s="1313">
        <v>285394</v>
      </c>
      <c r="I88" s="1661"/>
      <c r="J88" s="1661"/>
      <c r="K88" s="1661"/>
      <c r="L88" s="1661"/>
    </row>
    <row r="89" spans="1:12" ht="18" customHeight="1" outlineLevel="2">
      <c r="A89" s="1312">
        <v>83</v>
      </c>
      <c r="B89" s="1316" t="s">
        <v>3542</v>
      </c>
      <c r="C89" s="1312" t="s">
        <v>962</v>
      </c>
      <c r="D89" s="1316" t="s">
        <v>236</v>
      </c>
      <c r="E89" s="1312" t="s">
        <v>4</v>
      </c>
      <c r="F89" s="1316" t="s">
        <v>3543</v>
      </c>
      <c r="G89" s="1312" t="s">
        <v>3380</v>
      </c>
      <c r="H89" s="1317">
        <f t="shared" ref="H89:H91" si="21">ROUND(285394/12*5,0)</f>
        <v>118914</v>
      </c>
      <c r="I89" s="1661"/>
      <c r="J89" s="1661"/>
      <c r="K89" s="1661"/>
      <c r="L89" s="1661"/>
    </row>
    <row r="90" spans="1:12" ht="18" customHeight="1" outlineLevel="2">
      <c r="A90" s="1312">
        <v>84</v>
      </c>
      <c r="B90" s="1316" t="s">
        <v>3544</v>
      </c>
      <c r="C90" s="1312" t="s">
        <v>962</v>
      </c>
      <c r="D90" s="1316" t="s">
        <v>236</v>
      </c>
      <c r="E90" s="1312" t="s">
        <v>4</v>
      </c>
      <c r="F90" s="1316" t="s">
        <v>3545</v>
      </c>
      <c r="G90" s="1312" t="s">
        <v>3380</v>
      </c>
      <c r="H90" s="1317">
        <f t="shared" si="21"/>
        <v>118914</v>
      </c>
      <c r="I90" s="1661"/>
      <c r="J90" s="1661"/>
      <c r="K90" s="1661"/>
      <c r="L90" s="1661"/>
    </row>
    <row r="91" spans="1:12" ht="18" customHeight="1" outlineLevel="2">
      <c r="A91" s="1312">
        <v>85</v>
      </c>
      <c r="B91" s="1316" t="s">
        <v>3546</v>
      </c>
      <c r="C91" s="1312" t="s">
        <v>962</v>
      </c>
      <c r="D91" s="1316" t="s">
        <v>236</v>
      </c>
      <c r="E91" s="1312" t="s">
        <v>4</v>
      </c>
      <c r="F91" s="1316" t="s">
        <v>3547</v>
      </c>
      <c r="G91" s="1312" t="s">
        <v>3380</v>
      </c>
      <c r="H91" s="1317">
        <f t="shared" si="21"/>
        <v>118914</v>
      </c>
      <c r="I91" s="1661"/>
      <c r="J91" s="1661"/>
      <c r="K91" s="1661"/>
      <c r="L91" s="1661"/>
    </row>
    <row r="92" spans="1:12" ht="18" customHeight="1" outlineLevel="2">
      <c r="A92" s="1312">
        <v>86</v>
      </c>
      <c r="B92" s="1316" t="s">
        <v>3548</v>
      </c>
      <c r="C92" s="1312" t="s">
        <v>962</v>
      </c>
      <c r="D92" s="1316" t="s">
        <v>237</v>
      </c>
      <c r="E92" s="1312" t="s">
        <v>4</v>
      </c>
      <c r="F92" s="1316" t="s">
        <v>3549</v>
      </c>
      <c r="G92" s="1312" t="s">
        <v>3377</v>
      </c>
      <c r="H92" s="1313">
        <v>285394</v>
      </c>
      <c r="I92" s="1661"/>
      <c r="J92" s="1661"/>
      <c r="K92" s="1661"/>
      <c r="L92" s="1661"/>
    </row>
    <row r="93" spans="1:12" ht="18" customHeight="1" outlineLevel="2">
      <c r="A93" s="1312">
        <v>87</v>
      </c>
      <c r="B93" s="1316" t="s">
        <v>3550</v>
      </c>
      <c r="C93" s="1312" t="s">
        <v>962</v>
      </c>
      <c r="D93" s="1316" t="s">
        <v>237</v>
      </c>
      <c r="E93" s="1312" t="s">
        <v>4</v>
      </c>
      <c r="F93" s="1316" t="s">
        <v>3551</v>
      </c>
      <c r="G93" s="1312" t="s">
        <v>3380</v>
      </c>
      <c r="H93" s="1317">
        <f t="shared" ref="H93:H97" si="22">ROUND(285394/12*5,0)</f>
        <v>118914</v>
      </c>
      <c r="I93" s="1661"/>
      <c r="J93" s="1661"/>
      <c r="K93" s="1661"/>
      <c r="L93" s="1661"/>
    </row>
    <row r="94" spans="1:12" ht="18" customHeight="1" outlineLevel="2">
      <c r="A94" s="1312">
        <v>88</v>
      </c>
      <c r="B94" s="1316" t="s">
        <v>3552</v>
      </c>
      <c r="C94" s="1312" t="s">
        <v>962</v>
      </c>
      <c r="D94" s="1316" t="s">
        <v>237</v>
      </c>
      <c r="E94" s="1312" t="s">
        <v>4</v>
      </c>
      <c r="F94" s="1316" t="s">
        <v>3553</v>
      </c>
      <c r="G94" s="1312" t="s">
        <v>3380</v>
      </c>
      <c r="H94" s="1317">
        <f t="shared" si="22"/>
        <v>118914</v>
      </c>
      <c r="I94" s="1661"/>
      <c r="J94" s="1661"/>
      <c r="K94" s="1661"/>
      <c r="L94" s="1661"/>
    </row>
    <row r="95" spans="1:12" ht="18" customHeight="1" outlineLevel="2">
      <c r="A95" s="1312">
        <v>89</v>
      </c>
      <c r="B95" s="1316" t="s">
        <v>3554</v>
      </c>
      <c r="C95" s="1312" t="s">
        <v>962</v>
      </c>
      <c r="D95" s="1316" t="s">
        <v>237</v>
      </c>
      <c r="E95" s="1312" t="s">
        <v>4</v>
      </c>
      <c r="F95" s="1316" t="s">
        <v>3555</v>
      </c>
      <c r="G95" s="1312" t="s">
        <v>3380</v>
      </c>
      <c r="H95" s="1317">
        <f t="shared" si="22"/>
        <v>118914</v>
      </c>
      <c r="I95" s="1661"/>
      <c r="J95" s="1661"/>
      <c r="K95" s="1661"/>
      <c r="L95" s="1661"/>
    </row>
    <row r="96" spans="1:12" ht="18" customHeight="1" outlineLevel="2">
      <c r="A96" s="1312">
        <v>90</v>
      </c>
      <c r="B96" s="1316" t="s">
        <v>3556</v>
      </c>
      <c r="C96" s="1312" t="s">
        <v>962</v>
      </c>
      <c r="D96" s="1316" t="s">
        <v>237</v>
      </c>
      <c r="E96" s="1312" t="s">
        <v>4</v>
      </c>
      <c r="F96" s="1316" t="s">
        <v>3557</v>
      </c>
      <c r="G96" s="1312" t="s">
        <v>3380</v>
      </c>
      <c r="H96" s="1317">
        <f t="shared" si="22"/>
        <v>118914</v>
      </c>
      <c r="I96" s="1661"/>
      <c r="J96" s="1661"/>
      <c r="K96" s="1661"/>
      <c r="L96" s="1661"/>
    </row>
    <row r="97" spans="1:12" ht="18" customHeight="1" outlineLevel="2">
      <c r="A97" s="1312">
        <v>91</v>
      </c>
      <c r="B97" s="1316" t="s">
        <v>3558</v>
      </c>
      <c r="C97" s="1312" t="s">
        <v>962</v>
      </c>
      <c r="D97" s="1316" t="s">
        <v>237</v>
      </c>
      <c r="E97" s="1312" t="s">
        <v>4</v>
      </c>
      <c r="F97" s="1316" t="s">
        <v>3559</v>
      </c>
      <c r="G97" s="1312" t="s">
        <v>3380</v>
      </c>
      <c r="H97" s="1317">
        <f t="shared" si="22"/>
        <v>118914</v>
      </c>
      <c r="I97" s="1661"/>
      <c r="J97" s="1661"/>
      <c r="K97" s="1661"/>
      <c r="L97" s="1661"/>
    </row>
    <row r="98" spans="1:12" ht="18" customHeight="1" outlineLevel="2">
      <c r="A98" s="1312">
        <v>92</v>
      </c>
      <c r="B98" s="1316" t="s">
        <v>3560</v>
      </c>
      <c r="C98" s="1312" t="s">
        <v>962</v>
      </c>
      <c r="D98" s="1316" t="s">
        <v>239</v>
      </c>
      <c r="E98" s="1312" t="s">
        <v>4</v>
      </c>
      <c r="F98" s="1316" t="s">
        <v>3561</v>
      </c>
      <c r="G98" s="1312" t="s">
        <v>3377</v>
      </c>
      <c r="H98" s="1313">
        <v>285394</v>
      </c>
      <c r="I98" s="1661"/>
      <c r="J98" s="1661"/>
      <c r="K98" s="1661"/>
      <c r="L98" s="1661"/>
    </row>
    <row r="99" spans="1:12" ht="18" customHeight="1" outlineLevel="2">
      <c r="A99" s="1312">
        <v>93</v>
      </c>
      <c r="B99" s="1316" t="s">
        <v>3562</v>
      </c>
      <c r="C99" s="1312" t="s">
        <v>958</v>
      </c>
      <c r="D99" s="1316" t="s">
        <v>265</v>
      </c>
      <c r="E99" s="1312" t="s">
        <v>4</v>
      </c>
      <c r="F99" s="1316" t="s">
        <v>3563</v>
      </c>
      <c r="G99" s="1312" t="s">
        <v>3377</v>
      </c>
      <c r="H99" s="1313">
        <v>285394</v>
      </c>
      <c r="I99" s="1661"/>
      <c r="J99" s="1661"/>
      <c r="K99" s="1661"/>
      <c r="L99" s="1661"/>
    </row>
    <row r="100" spans="1:12" ht="18" customHeight="1" outlineLevel="2">
      <c r="A100" s="1312">
        <v>94</v>
      </c>
      <c r="B100" s="1316" t="s">
        <v>3564</v>
      </c>
      <c r="C100" s="1312" t="s">
        <v>958</v>
      </c>
      <c r="D100" s="1316" t="s">
        <v>265</v>
      </c>
      <c r="E100" s="1312" t="s">
        <v>4</v>
      </c>
      <c r="F100" s="1316" t="s">
        <v>3565</v>
      </c>
      <c r="G100" s="1312" t="s">
        <v>3380</v>
      </c>
      <c r="H100" s="1317">
        <f t="shared" ref="H100:H102" si="23">ROUND(285394/12*5,0)</f>
        <v>118914</v>
      </c>
      <c r="I100" s="1661"/>
      <c r="J100" s="1661"/>
      <c r="K100" s="1661"/>
      <c r="L100" s="1661"/>
    </row>
    <row r="101" spans="1:12" ht="18" customHeight="1" outlineLevel="2">
      <c r="A101" s="1312">
        <v>95</v>
      </c>
      <c r="B101" s="1316" t="s">
        <v>3566</v>
      </c>
      <c r="C101" s="1312" t="s">
        <v>958</v>
      </c>
      <c r="D101" s="1316" t="s">
        <v>265</v>
      </c>
      <c r="E101" s="1312" t="s">
        <v>4</v>
      </c>
      <c r="F101" s="1316" t="s">
        <v>3567</v>
      </c>
      <c r="G101" s="1312" t="s">
        <v>3380</v>
      </c>
      <c r="H101" s="1317">
        <f t="shared" si="23"/>
        <v>118914</v>
      </c>
      <c r="I101" s="1661"/>
      <c r="J101" s="1661"/>
      <c r="K101" s="1661"/>
      <c r="L101" s="1661"/>
    </row>
    <row r="102" spans="1:12" ht="18" customHeight="1" outlineLevel="2">
      <c r="A102" s="1312">
        <v>96</v>
      </c>
      <c r="B102" s="1316" t="s">
        <v>3568</v>
      </c>
      <c r="C102" s="1312" t="s">
        <v>958</v>
      </c>
      <c r="D102" s="1316" t="s">
        <v>265</v>
      </c>
      <c r="E102" s="1312" t="s">
        <v>4</v>
      </c>
      <c r="F102" s="1316" t="s">
        <v>3569</v>
      </c>
      <c r="G102" s="1312" t="s">
        <v>3380</v>
      </c>
      <c r="H102" s="1317">
        <f t="shared" si="23"/>
        <v>118914</v>
      </c>
      <c r="I102" s="1661"/>
      <c r="J102" s="1661"/>
      <c r="K102" s="1661"/>
      <c r="L102" s="1661"/>
    </row>
    <row r="103" spans="1:12" ht="18" customHeight="1" outlineLevel="2">
      <c r="A103" s="1312">
        <v>97</v>
      </c>
      <c r="B103" s="1316" t="s">
        <v>3570</v>
      </c>
      <c r="C103" s="1312" t="s">
        <v>962</v>
      </c>
      <c r="D103" s="1316" t="s">
        <v>238</v>
      </c>
      <c r="E103" s="1312" t="s">
        <v>4</v>
      </c>
      <c r="F103" s="1316" t="s">
        <v>3571</v>
      </c>
      <c r="G103" s="1312" t="s">
        <v>3377</v>
      </c>
      <c r="H103" s="1313">
        <v>285394</v>
      </c>
      <c r="I103" s="1661"/>
      <c r="J103" s="1661"/>
      <c r="K103" s="1661"/>
      <c r="L103" s="1661"/>
    </row>
    <row r="104" spans="1:12" ht="18" customHeight="1" outlineLevel="2">
      <c r="A104" s="1312">
        <v>98</v>
      </c>
      <c r="B104" s="1316" t="s">
        <v>3572</v>
      </c>
      <c r="C104" s="1312" t="s">
        <v>962</v>
      </c>
      <c r="D104" s="1316" t="s">
        <v>238</v>
      </c>
      <c r="E104" s="1312" t="s">
        <v>4</v>
      </c>
      <c r="F104" s="1316" t="s">
        <v>3573</v>
      </c>
      <c r="G104" s="1312" t="s">
        <v>3380</v>
      </c>
      <c r="H104" s="1317">
        <f t="shared" ref="H104:H110" si="24">ROUND(285394/12*5,0)</f>
        <v>118914</v>
      </c>
      <c r="I104" s="1661"/>
      <c r="J104" s="1661"/>
      <c r="K104" s="1661"/>
      <c r="L104" s="1661"/>
    </row>
    <row r="105" spans="1:12" ht="18" customHeight="1" outlineLevel="2">
      <c r="A105" s="1312">
        <v>99</v>
      </c>
      <c r="B105" s="1316" t="s">
        <v>3574</v>
      </c>
      <c r="C105" s="1312" t="s">
        <v>962</v>
      </c>
      <c r="D105" s="1316" t="s">
        <v>238</v>
      </c>
      <c r="E105" s="1312" t="s">
        <v>4</v>
      </c>
      <c r="F105" s="1316" t="s">
        <v>3575</v>
      </c>
      <c r="G105" s="1312" t="s">
        <v>3380</v>
      </c>
      <c r="H105" s="1317">
        <f t="shared" si="24"/>
        <v>118914</v>
      </c>
      <c r="I105" s="1661"/>
      <c r="J105" s="1661"/>
      <c r="K105" s="1661"/>
      <c r="L105" s="1661"/>
    </row>
    <row r="106" spans="1:12" ht="18" customHeight="1" outlineLevel="2">
      <c r="A106" s="1312">
        <v>100</v>
      </c>
      <c r="B106" s="1316" t="s">
        <v>3576</v>
      </c>
      <c r="C106" s="1312" t="s">
        <v>962</v>
      </c>
      <c r="D106" s="1316" t="s">
        <v>238</v>
      </c>
      <c r="E106" s="1312" t="s">
        <v>4</v>
      </c>
      <c r="F106" s="1316" t="s">
        <v>3577</v>
      </c>
      <c r="G106" s="1312" t="s">
        <v>3380</v>
      </c>
      <c r="H106" s="1317">
        <f t="shared" si="24"/>
        <v>118914</v>
      </c>
      <c r="I106" s="1661"/>
      <c r="J106" s="1661"/>
      <c r="K106" s="1661"/>
      <c r="L106" s="1661"/>
    </row>
    <row r="107" spans="1:12" ht="18" customHeight="1" outlineLevel="2">
      <c r="A107" s="1312">
        <v>101</v>
      </c>
      <c r="B107" s="1316" t="s">
        <v>3578</v>
      </c>
      <c r="C107" s="1312" t="s">
        <v>962</v>
      </c>
      <c r="D107" s="1316" t="s">
        <v>238</v>
      </c>
      <c r="E107" s="1312" t="s">
        <v>4</v>
      </c>
      <c r="F107" s="1316" t="s">
        <v>3579</v>
      </c>
      <c r="G107" s="1312" t="s">
        <v>3380</v>
      </c>
      <c r="H107" s="1317">
        <f t="shared" si="24"/>
        <v>118914</v>
      </c>
      <c r="I107" s="1661"/>
      <c r="J107" s="1661"/>
      <c r="K107" s="1661"/>
      <c r="L107" s="1661"/>
    </row>
    <row r="108" spans="1:12" ht="18" customHeight="1" outlineLevel="2">
      <c r="A108" s="1312">
        <v>102</v>
      </c>
      <c r="B108" s="1316" t="s">
        <v>3580</v>
      </c>
      <c r="C108" s="1312" t="s">
        <v>962</v>
      </c>
      <c r="D108" s="1316" t="s">
        <v>238</v>
      </c>
      <c r="E108" s="1312" t="s">
        <v>4</v>
      </c>
      <c r="F108" s="1316" t="s">
        <v>3581</v>
      </c>
      <c r="G108" s="1312" t="s">
        <v>3380</v>
      </c>
      <c r="H108" s="1317">
        <f t="shared" si="24"/>
        <v>118914</v>
      </c>
      <c r="I108" s="1661"/>
      <c r="J108" s="1661"/>
      <c r="K108" s="1661"/>
      <c r="L108" s="1661"/>
    </row>
    <row r="109" spans="1:12" ht="18" customHeight="1" outlineLevel="2">
      <c r="A109" s="1312">
        <v>103</v>
      </c>
      <c r="B109" s="1316" t="s">
        <v>3582</v>
      </c>
      <c r="C109" s="1312" t="s">
        <v>962</v>
      </c>
      <c r="D109" s="1316" t="s">
        <v>238</v>
      </c>
      <c r="E109" s="1312" t="s">
        <v>4</v>
      </c>
      <c r="F109" s="1316" t="s">
        <v>3583</v>
      </c>
      <c r="G109" s="1312" t="s">
        <v>3380</v>
      </c>
      <c r="H109" s="1317">
        <f t="shared" si="24"/>
        <v>118914</v>
      </c>
      <c r="I109" s="1661"/>
      <c r="J109" s="1661"/>
      <c r="K109" s="1661"/>
      <c r="L109" s="1661"/>
    </row>
    <row r="110" spans="1:12" ht="18" customHeight="1" outlineLevel="2">
      <c r="A110" s="1312">
        <v>104</v>
      </c>
      <c r="B110" s="1316" t="s">
        <v>3584</v>
      </c>
      <c r="C110" s="1312" t="s">
        <v>962</v>
      </c>
      <c r="D110" s="1316" t="s">
        <v>238</v>
      </c>
      <c r="E110" s="1312" t="s">
        <v>4</v>
      </c>
      <c r="F110" s="1316" t="s">
        <v>3585</v>
      </c>
      <c r="G110" s="1312" t="s">
        <v>3380</v>
      </c>
      <c r="H110" s="1317">
        <f t="shared" si="24"/>
        <v>118914</v>
      </c>
      <c r="I110" s="1661"/>
      <c r="J110" s="1661"/>
      <c r="K110" s="1661"/>
      <c r="L110" s="1661"/>
    </row>
    <row r="111" spans="1:12" ht="18" customHeight="1" outlineLevel="2">
      <c r="A111" s="1312">
        <v>105</v>
      </c>
      <c r="B111" s="1312" t="s">
        <v>3586</v>
      </c>
      <c r="C111" s="1312" t="s">
        <v>962</v>
      </c>
      <c r="D111" s="1312" t="s">
        <v>239</v>
      </c>
      <c r="E111" s="1312" t="str">
        <f>VLOOKUP(D111,[2]Sheet1!D:F,3,FALSE)</f>
        <v>七宝</v>
      </c>
      <c r="F111" s="1312" t="s">
        <v>3587</v>
      </c>
      <c r="G111" s="1312" t="s">
        <v>3453</v>
      </c>
      <c r="H111" s="1313">
        <f t="shared" ref="H111:H113" si="25">ROUND(285394/12*6,0)</f>
        <v>142697</v>
      </c>
      <c r="I111" s="1661"/>
      <c r="J111" s="1661"/>
      <c r="K111" s="1661"/>
      <c r="L111" s="1661"/>
    </row>
    <row r="112" spans="1:12" ht="18" customHeight="1" outlineLevel="2">
      <c r="A112" s="1312">
        <v>106</v>
      </c>
      <c r="B112" s="1312" t="s">
        <v>3588</v>
      </c>
      <c r="C112" s="1312" t="s">
        <v>962</v>
      </c>
      <c r="D112" s="1312" t="s">
        <v>239</v>
      </c>
      <c r="E112" s="1312" t="str">
        <f>VLOOKUP(D112,[2]Sheet1!D:F,3,FALSE)</f>
        <v>七宝</v>
      </c>
      <c r="F112" s="1312" t="s">
        <v>3589</v>
      </c>
      <c r="G112" s="1312" t="s">
        <v>3453</v>
      </c>
      <c r="H112" s="1313">
        <f t="shared" si="25"/>
        <v>142697</v>
      </c>
      <c r="I112" s="1661"/>
      <c r="J112" s="1661"/>
      <c r="K112" s="1661"/>
      <c r="L112" s="1661"/>
    </row>
    <row r="113" spans="1:12" ht="18" customHeight="1" outlineLevel="2">
      <c r="A113" s="1312">
        <v>107</v>
      </c>
      <c r="B113" s="1312" t="s">
        <v>3590</v>
      </c>
      <c r="C113" s="1312" t="s">
        <v>962</v>
      </c>
      <c r="D113" s="1312" t="s">
        <v>238</v>
      </c>
      <c r="E113" s="1312" t="str">
        <f>VLOOKUP(D113,[2]Sheet1!D:F,3,FALSE)</f>
        <v>七宝</v>
      </c>
      <c r="F113" s="1312" t="s">
        <v>3591</v>
      </c>
      <c r="G113" s="1312" t="s">
        <v>3453</v>
      </c>
      <c r="H113" s="1313">
        <f t="shared" si="25"/>
        <v>142697</v>
      </c>
      <c r="I113" s="1662"/>
      <c r="J113" s="1662"/>
      <c r="K113" s="1662"/>
      <c r="L113" s="1662"/>
    </row>
    <row r="114" spans="1:12" ht="18" customHeight="1" outlineLevel="1">
      <c r="A114" s="1312"/>
      <c r="B114" s="1312"/>
      <c r="C114" s="1312"/>
      <c r="D114" s="1312"/>
      <c r="E114" s="1320" t="s">
        <v>256</v>
      </c>
      <c r="F114" s="1312"/>
      <c r="G114" s="1312"/>
      <c r="H114" s="1313">
        <f>SUBTOTAL(9,H68:H113)</f>
        <v>7963358</v>
      </c>
      <c r="I114" s="1319">
        <f t="shared" ref="I114:L114" si="26">SUBTOTAL(9,I68:I113)</f>
        <v>4756561.84</v>
      </c>
      <c r="J114" s="1319">
        <f t="shared" si="26"/>
        <v>3206796.16</v>
      </c>
      <c r="K114" s="1319">
        <f t="shared" si="26"/>
        <v>0</v>
      </c>
      <c r="L114" s="1319">
        <f t="shared" si="26"/>
        <v>3206796.16</v>
      </c>
    </row>
    <row r="115" spans="1:12" ht="18" customHeight="1" outlineLevel="2">
      <c r="A115" s="1312">
        <v>108</v>
      </c>
      <c r="B115" s="1312" t="s">
        <v>3592</v>
      </c>
      <c r="C115" s="1312" t="s">
        <v>3081</v>
      </c>
      <c r="D115" s="1312" t="s">
        <v>1013</v>
      </c>
      <c r="E115" s="1312" t="s">
        <v>5</v>
      </c>
      <c r="F115" s="1316" t="s">
        <v>3593</v>
      </c>
      <c r="G115" s="1312" t="s">
        <v>3377</v>
      </c>
      <c r="H115" s="1313">
        <f>ROUND(232297.1,0)</f>
        <v>232297</v>
      </c>
      <c r="I115" s="1660">
        <v>13514896.08</v>
      </c>
      <c r="J115" s="1660">
        <f>H239-I115</f>
        <v>6834815.9199999999</v>
      </c>
      <c r="K115" s="1660">
        <v>4216966.78</v>
      </c>
      <c r="L115" s="1660">
        <f>J115-K115</f>
        <v>2617849.1399999997</v>
      </c>
    </row>
    <row r="116" spans="1:12" ht="18" customHeight="1" outlineLevel="2">
      <c r="A116" s="1312">
        <v>109</v>
      </c>
      <c r="B116" s="1312" t="s">
        <v>3594</v>
      </c>
      <c r="C116" s="1312" t="s">
        <v>3081</v>
      </c>
      <c r="D116" s="1312" t="s">
        <v>1013</v>
      </c>
      <c r="E116" s="1312" t="s">
        <v>5</v>
      </c>
      <c r="F116" s="1316" t="s">
        <v>3595</v>
      </c>
      <c r="G116" s="1312" t="s">
        <v>3380</v>
      </c>
      <c r="H116" s="1317">
        <f t="shared" ref="H116:H125" si="27">ROUND(232297.1/12*5,0)</f>
        <v>96790</v>
      </c>
      <c r="I116" s="1661"/>
      <c r="J116" s="1661"/>
      <c r="K116" s="1661"/>
      <c r="L116" s="1661"/>
    </row>
    <row r="117" spans="1:12" ht="18" customHeight="1" outlineLevel="2">
      <c r="A117" s="1312">
        <v>110</v>
      </c>
      <c r="B117" s="1312" t="s">
        <v>3596</v>
      </c>
      <c r="C117" s="1312" t="s">
        <v>3081</v>
      </c>
      <c r="D117" s="1312" t="s">
        <v>1013</v>
      </c>
      <c r="E117" s="1312" t="s">
        <v>5</v>
      </c>
      <c r="F117" s="1316" t="s">
        <v>3597</v>
      </c>
      <c r="G117" s="1312" t="s">
        <v>3380</v>
      </c>
      <c r="H117" s="1317">
        <f t="shared" si="27"/>
        <v>96790</v>
      </c>
      <c r="I117" s="1661"/>
      <c r="J117" s="1661"/>
      <c r="K117" s="1661"/>
      <c r="L117" s="1661"/>
    </row>
    <row r="118" spans="1:12" ht="18" customHeight="1" outlineLevel="2">
      <c r="A118" s="1312">
        <v>111</v>
      </c>
      <c r="B118" s="1312" t="s">
        <v>3598</v>
      </c>
      <c r="C118" s="1312" t="s">
        <v>3081</v>
      </c>
      <c r="D118" s="1312" t="s">
        <v>1013</v>
      </c>
      <c r="E118" s="1312" t="s">
        <v>5</v>
      </c>
      <c r="F118" s="1316" t="s">
        <v>3599</v>
      </c>
      <c r="G118" s="1312" t="s">
        <v>3380</v>
      </c>
      <c r="H118" s="1317">
        <f t="shared" si="27"/>
        <v>96790</v>
      </c>
      <c r="I118" s="1661"/>
      <c r="J118" s="1661"/>
      <c r="K118" s="1661"/>
      <c r="L118" s="1661"/>
    </row>
    <row r="119" spans="1:12" ht="18" customHeight="1" outlineLevel="2">
      <c r="A119" s="1312">
        <v>112</v>
      </c>
      <c r="B119" s="1312" t="s">
        <v>3600</v>
      </c>
      <c r="C119" s="1312" t="s">
        <v>3081</v>
      </c>
      <c r="D119" s="1312" t="s">
        <v>542</v>
      </c>
      <c r="E119" s="1312" t="s">
        <v>5</v>
      </c>
      <c r="F119" s="1316" t="s">
        <v>3601</v>
      </c>
      <c r="G119" s="1312" t="s">
        <v>3380</v>
      </c>
      <c r="H119" s="1317">
        <f t="shared" si="27"/>
        <v>96790</v>
      </c>
      <c r="I119" s="1661"/>
      <c r="J119" s="1661"/>
      <c r="K119" s="1661"/>
      <c r="L119" s="1661"/>
    </row>
    <row r="120" spans="1:12" ht="18" customHeight="1" outlineLevel="2">
      <c r="A120" s="1312">
        <v>113</v>
      </c>
      <c r="B120" s="1312" t="s">
        <v>3602</v>
      </c>
      <c r="C120" s="1312" t="s">
        <v>3081</v>
      </c>
      <c r="D120" s="1312" t="s">
        <v>542</v>
      </c>
      <c r="E120" s="1312" t="s">
        <v>5</v>
      </c>
      <c r="F120" s="1316" t="s">
        <v>3603</v>
      </c>
      <c r="G120" s="1312" t="s">
        <v>3380</v>
      </c>
      <c r="H120" s="1317">
        <f t="shared" si="27"/>
        <v>96790</v>
      </c>
      <c r="I120" s="1661"/>
      <c r="J120" s="1661"/>
      <c r="K120" s="1661"/>
      <c r="L120" s="1661"/>
    </row>
    <row r="121" spans="1:12" ht="18" customHeight="1" outlineLevel="2">
      <c r="A121" s="1312">
        <v>114</v>
      </c>
      <c r="B121" s="1312" t="s">
        <v>3604</v>
      </c>
      <c r="C121" s="1312" t="s">
        <v>3081</v>
      </c>
      <c r="D121" s="1312" t="s">
        <v>542</v>
      </c>
      <c r="E121" s="1312" t="s">
        <v>5</v>
      </c>
      <c r="F121" s="1316" t="s">
        <v>3605</v>
      </c>
      <c r="G121" s="1312" t="s">
        <v>3380</v>
      </c>
      <c r="H121" s="1317">
        <f t="shared" si="27"/>
        <v>96790</v>
      </c>
      <c r="I121" s="1661"/>
      <c r="J121" s="1661"/>
      <c r="K121" s="1661"/>
      <c r="L121" s="1661"/>
    </row>
    <row r="122" spans="1:12" ht="18" customHeight="1" outlineLevel="2">
      <c r="A122" s="1312">
        <v>115</v>
      </c>
      <c r="B122" s="1312" t="s">
        <v>3606</v>
      </c>
      <c r="C122" s="1312" t="s">
        <v>3081</v>
      </c>
      <c r="D122" s="1312" t="s">
        <v>542</v>
      </c>
      <c r="E122" s="1312" t="s">
        <v>5</v>
      </c>
      <c r="F122" s="1316" t="s">
        <v>3607</v>
      </c>
      <c r="G122" s="1312" t="s">
        <v>3380</v>
      </c>
      <c r="H122" s="1317">
        <f t="shared" si="27"/>
        <v>96790</v>
      </c>
      <c r="I122" s="1661"/>
      <c r="J122" s="1661"/>
      <c r="K122" s="1661"/>
      <c r="L122" s="1661"/>
    </row>
    <row r="123" spans="1:12" ht="18" customHeight="1" outlineLevel="2">
      <c r="A123" s="1312">
        <v>116</v>
      </c>
      <c r="B123" s="1312" t="s">
        <v>3608</v>
      </c>
      <c r="C123" s="1312" t="s">
        <v>3081</v>
      </c>
      <c r="D123" s="1312" t="s">
        <v>542</v>
      </c>
      <c r="E123" s="1312" t="s">
        <v>5</v>
      </c>
      <c r="F123" s="1316" t="s">
        <v>3609</v>
      </c>
      <c r="G123" s="1312" t="s">
        <v>3380</v>
      </c>
      <c r="H123" s="1317">
        <f t="shared" si="27"/>
        <v>96790</v>
      </c>
      <c r="I123" s="1661"/>
      <c r="J123" s="1661"/>
      <c r="K123" s="1661"/>
      <c r="L123" s="1661"/>
    </row>
    <row r="124" spans="1:12" ht="18" customHeight="1" outlineLevel="2">
      <c r="A124" s="1312">
        <v>117</v>
      </c>
      <c r="B124" s="1312" t="s">
        <v>3610</v>
      </c>
      <c r="C124" s="1312" t="s">
        <v>3081</v>
      </c>
      <c r="D124" s="1312" t="s">
        <v>542</v>
      </c>
      <c r="E124" s="1312" t="s">
        <v>5</v>
      </c>
      <c r="F124" s="1316" t="s">
        <v>3611</v>
      </c>
      <c r="G124" s="1312" t="s">
        <v>3380</v>
      </c>
      <c r="H124" s="1317">
        <f t="shared" si="27"/>
        <v>96790</v>
      </c>
      <c r="I124" s="1661"/>
      <c r="J124" s="1661"/>
      <c r="K124" s="1661"/>
      <c r="L124" s="1661"/>
    </row>
    <row r="125" spans="1:12" ht="18" customHeight="1" outlineLevel="2">
      <c r="A125" s="1312">
        <v>118</v>
      </c>
      <c r="B125" s="1312" t="s">
        <v>3612</v>
      </c>
      <c r="C125" s="1312" t="s">
        <v>3081</v>
      </c>
      <c r="D125" s="1312" t="s">
        <v>542</v>
      </c>
      <c r="E125" s="1312" t="s">
        <v>5</v>
      </c>
      <c r="F125" s="1316" t="s">
        <v>3613</v>
      </c>
      <c r="G125" s="1312" t="s">
        <v>3380</v>
      </c>
      <c r="H125" s="1317">
        <f t="shared" si="27"/>
        <v>96790</v>
      </c>
      <c r="I125" s="1661"/>
      <c r="J125" s="1661"/>
      <c r="K125" s="1661"/>
      <c r="L125" s="1661"/>
    </row>
    <row r="126" spans="1:12" ht="18" customHeight="1" outlineLevel="2">
      <c r="A126" s="1312">
        <v>119</v>
      </c>
      <c r="B126" s="1312" t="s">
        <v>3614</v>
      </c>
      <c r="C126" s="1312" t="s">
        <v>3081</v>
      </c>
      <c r="D126" s="1312" t="s">
        <v>1016</v>
      </c>
      <c r="E126" s="1312" t="s">
        <v>5</v>
      </c>
      <c r="F126" s="1316" t="s">
        <v>3615</v>
      </c>
      <c r="G126" s="1312" t="s">
        <v>3377</v>
      </c>
      <c r="H126" s="1313">
        <f t="shared" ref="H126:H128" si="28">ROUND(232297.1,0)</f>
        <v>232297</v>
      </c>
      <c r="I126" s="1661"/>
      <c r="J126" s="1661"/>
      <c r="K126" s="1661"/>
      <c r="L126" s="1661"/>
    </row>
    <row r="127" spans="1:12" ht="18" customHeight="1" outlineLevel="2">
      <c r="A127" s="1312">
        <v>120</v>
      </c>
      <c r="B127" s="1312" t="s">
        <v>3616</v>
      </c>
      <c r="C127" s="1312" t="s">
        <v>3081</v>
      </c>
      <c r="D127" s="1312" t="s">
        <v>1016</v>
      </c>
      <c r="E127" s="1312" t="s">
        <v>5</v>
      </c>
      <c r="F127" s="1316" t="s">
        <v>3617</v>
      </c>
      <c r="G127" s="1312" t="s">
        <v>3377</v>
      </c>
      <c r="H127" s="1313">
        <f t="shared" si="28"/>
        <v>232297</v>
      </c>
      <c r="I127" s="1661"/>
      <c r="J127" s="1661"/>
      <c r="K127" s="1661"/>
      <c r="L127" s="1661"/>
    </row>
    <row r="128" spans="1:12" ht="18" customHeight="1" outlineLevel="2">
      <c r="A128" s="1312">
        <v>121</v>
      </c>
      <c r="B128" s="1312" t="s">
        <v>3618</v>
      </c>
      <c r="C128" s="1312" t="s">
        <v>3081</v>
      </c>
      <c r="D128" s="1312" t="s">
        <v>1016</v>
      </c>
      <c r="E128" s="1312" t="s">
        <v>5</v>
      </c>
      <c r="F128" s="1316" t="s">
        <v>3619</v>
      </c>
      <c r="G128" s="1312" t="s">
        <v>3377</v>
      </c>
      <c r="H128" s="1313">
        <f t="shared" si="28"/>
        <v>232297</v>
      </c>
      <c r="I128" s="1661"/>
      <c r="J128" s="1661"/>
      <c r="K128" s="1661"/>
      <c r="L128" s="1661"/>
    </row>
    <row r="129" spans="1:12" ht="18" customHeight="1" outlineLevel="2">
      <c r="A129" s="1312">
        <v>122</v>
      </c>
      <c r="B129" s="1312" t="s">
        <v>3620</v>
      </c>
      <c r="C129" s="1312" t="s">
        <v>3081</v>
      </c>
      <c r="D129" s="1312" t="s">
        <v>1016</v>
      </c>
      <c r="E129" s="1312" t="s">
        <v>5</v>
      </c>
      <c r="F129" s="1316" t="s">
        <v>3621</v>
      </c>
      <c r="G129" s="1312" t="s">
        <v>3380</v>
      </c>
      <c r="H129" s="1317">
        <f t="shared" ref="H129:H130" si="29">ROUND(232297.1/12*5,0)</f>
        <v>96790</v>
      </c>
      <c r="I129" s="1661"/>
      <c r="J129" s="1661"/>
      <c r="K129" s="1661"/>
      <c r="L129" s="1661"/>
    </row>
    <row r="130" spans="1:12" ht="18" customHeight="1" outlineLevel="2">
      <c r="A130" s="1312">
        <v>123</v>
      </c>
      <c r="B130" s="1312" t="s">
        <v>3622</v>
      </c>
      <c r="C130" s="1312" t="s">
        <v>3081</v>
      </c>
      <c r="D130" s="1312" t="s">
        <v>1016</v>
      </c>
      <c r="E130" s="1312" t="s">
        <v>5</v>
      </c>
      <c r="F130" s="1316" t="s">
        <v>3623</v>
      </c>
      <c r="G130" s="1312" t="s">
        <v>3380</v>
      </c>
      <c r="H130" s="1317">
        <f t="shared" si="29"/>
        <v>96790</v>
      </c>
      <c r="I130" s="1661"/>
      <c r="J130" s="1661"/>
      <c r="K130" s="1661"/>
      <c r="L130" s="1661"/>
    </row>
    <row r="131" spans="1:12" ht="18" customHeight="1" outlineLevel="2">
      <c r="A131" s="1312">
        <v>124</v>
      </c>
      <c r="B131" s="1312" t="s">
        <v>3624</v>
      </c>
      <c r="C131" s="1312" t="s">
        <v>3081</v>
      </c>
      <c r="D131" s="1312" t="s">
        <v>1014</v>
      </c>
      <c r="E131" s="1312" t="s">
        <v>5</v>
      </c>
      <c r="F131" s="1316" t="s">
        <v>3625</v>
      </c>
      <c r="G131" s="1312" t="s">
        <v>3377</v>
      </c>
      <c r="H131" s="1313">
        <f t="shared" ref="H131:H136" si="30">ROUND(232297.1,0)</f>
        <v>232297</v>
      </c>
      <c r="I131" s="1661"/>
      <c r="J131" s="1661"/>
      <c r="K131" s="1661"/>
      <c r="L131" s="1661"/>
    </row>
    <row r="132" spans="1:12" ht="18" customHeight="1" outlineLevel="2">
      <c r="A132" s="1312">
        <v>125</v>
      </c>
      <c r="B132" s="1312" t="s">
        <v>3626</v>
      </c>
      <c r="C132" s="1312" t="s">
        <v>3081</v>
      </c>
      <c r="D132" s="1312" t="s">
        <v>1014</v>
      </c>
      <c r="E132" s="1312" t="s">
        <v>5</v>
      </c>
      <c r="F132" s="1316" t="s">
        <v>3627</v>
      </c>
      <c r="G132" s="1312" t="s">
        <v>3377</v>
      </c>
      <c r="H132" s="1313">
        <f t="shared" si="30"/>
        <v>232297</v>
      </c>
      <c r="I132" s="1661"/>
      <c r="J132" s="1661"/>
      <c r="K132" s="1661"/>
      <c r="L132" s="1661"/>
    </row>
    <row r="133" spans="1:12" ht="18" customHeight="1" outlineLevel="2">
      <c r="A133" s="1312">
        <v>126</v>
      </c>
      <c r="B133" s="1312" t="s">
        <v>3628</v>
      </c>
      <c r="C133" s="1312" t="s">
        <v>3081</v>
      </c>
      <c r="D133" s="1312" t="s">
        <v>1014</v>
      </c>
      <c r="E133" s="1312" t="s">
        <v>5</v>
      </c>
      <c r="F133" s="1316" t="s">
        <v>3629</v>
      </c>
      <c r="G133" s="1312" t="s">
        <v>3377</v>
      </c>
      <c r="H133" s="1313">
        <f t="shared" si="30"/>
        <v>232297</v>
      </c>
      <c r="I133" s="1661"/>
      <c r="J133" s="1661"/>
      <c r="K133" s="1661"/>
      <c r="L133" s="1661"/>
    </row>
    <row r="134" spans="1:12" ht="18" customHeight="1" outlineLevel="2">
      <c r="A134" s="1312">
        <v>127</v>
      </c>
      <c r="B134" s="1312" t="s">
        <v>3630</v>
      </c>
      <c r="C134" s="1312" t="s">
        <v>3081</v>
      </c>
      <c r="D134" s="1312" t="s">
        <v>1014</v>
      </c>
      <c r="E134" s="1312" t="s">
        <v>5</v>
      </c>
      <c r="F134" s="1316" t="s">
        <v>3631</v>
      </c>
      <c r="G134" s="1312" t="s">
        <v>3377</v>
      </c>
      <c r="H134" s="1313">
        <f t="shared" si="30"/>
        <v>232297</v>
      </c>
      <c r="I134" s="1661"/>
      <c r="J134" s="1661"/>
      <c r="K134" s="1661"/>
      <c r="L134" s="1661"/>
    </row>
    <row r="135" spans="1:12" ht="18" customHeight="1" outlineLevel="2">
      <c r="A135" s="1312">
        <v>128</v>
      </c>
      <c r="B135" s="1312" t="s">
        <v>3632</v>
      </c>
      <c r="C135" s="1312" t="s">
        <v>3081</v>
      </c>
      <c r="D135" s="1312" t="s">
        <v>1014</v>
      </c>
      <c r="E135" s="1312" t="s">
        <v>5</v>
      </c>
      <c r="F135" s="1316" t="s">
        <v>3633</v>
      </c>
      <c r="G135" s="1312" t="s">
        <v>3377</v>
      </c>
      <c r="H135" s="1313">
        <f t="shared" si="30"/>
        <v>232297</v>
      </c>
      <c r="I135" s="1661"/>
      <c r="J135" s="1661"/>
      <c r="K135" s="1661"/>
      <c r="L135" s="1661"/>
    </row>
    <row r="136" spans="1:12" ht="18" customHeight="1" outlineLevel="2">
      <c r="A136" s="1312">
        <v>129</v>
      </c>
      <c r="B136" s="1312" t="s">
        <v>3634</v>
      </c>
      <c r="C136" s="1312" t="s">
        <v>3081</v>
      </c>
      <c r="D136" s="1312" t="s">
        <v>1014</v>
      </c>
      <c r="E136" s="1312" t="s">
        <v>5</v>
      </c>
      <c r="F136" s="1316" t="s">
        <v>3635</v>
      </c>
      <c r="G136" s="1312" t="s">
        <v>3377</v>
      </c>
      <c r="H136" s="1313">
        <f t="shared" si="30"/>
        <v>232297</v>
      </c>
      <c r="I136" s="1661"/>
      <c r="J136" s="1661"/>
      <c r="K136" s="1661"/>
      <c r="L136" s="1661"/>
    </row>
    <row r="137" spans="1:12" ht="18" customHeight="1" outlineLevel="2">
      <c r="A137" s="1312">
        <v>130</v>
      </c>
      <c r="B137" s="1312" t="s">
        <v>3636</v>
      </c>
      <c r="C137" s="1312" t="s">
        <v>3081</v>
      </c>
      <c r="D137" s="1312" t="s">
        <v>1014</v>
      </c>
      <c r="E137" s="1312" t="s">
        <v>5</v>
      </c>
      <c r="F137" s="1316" t="s">
        <v>3637</v>
      </c>
      <c r="G137" s="1312" t="s">
        <v>3380</v>
      </c>
      <c r="H137" s="1317">
        <f t="shared" ref="H137:H145" si="31">ROUND(232297.1/12*5,0)</f>
        <v>96790</v>
      </c>
      <c r="I137" s="1661"/>
      <c r="J137" s="1661"/>
      <c r="K137" s="1661"/>
      <c r="L137" s="1661"/>
    </row>
    <row r="138" spans="1:12" ht="18" customHeight="1" outlineLevel="2">
      <c r="A138" s="1312">
        <v>131</v>
      </c>
      <c r="B138" s="1312" t="s">
        <v>3638</v>
      </c>
      <c r="C138" s="1312" t="s">
        <v>3081</v>
      </c>
      <c r="D138" s="1312" t="s">
        <v>1014</v>
      </c>
      <c r="E138" s="1312" t="s">
        <v>5</v>
      </c>
      <c r="F138" s="1316" t="s">
        <v>3639</v>
      </c>
      <c r="G138" s="1312" t="s">
        <v>3380</v>
      </c>
      <c r="H138" s="1317">
        <f t="shared" si="31"/>
        <v>96790</v>
      </c>
      <c r="I138" s="1661"/>
      <c r="J138" s="1661"/>
      <c r="K138" s="1661"/>
      <c r="L138" s="1661"/>
    </row>
    <row r="139" spans="1:12" ht="18" customHeight="1" outlineLevel="2">
      <c r="A139" s="1312">
        <v>132</v>
      </c>
      <c r="B139" s="1312" t="s">
        <v>3640</v>
      </c>
      <c r="C139" s="1312" t="s">
        <v>3081</v>
      </c>
      <c r="D139" s="1312" t="s">
        <v>1014</v>
      </c>
      <c r="E139" s="1312" t="s">
        <v>5</v>
      </c>
      <c r="F139" s="1316" t="s">
        <v>3641</v>
      </c>
      <c r="G139" s="1312" t="s">
        <v>3380</v>
      </c>
      <c r="H139" s="1317">
        <f t="shared" si="31"/>
        <v>96790</v>
      </c>
      <c r="I139" s="1661"/>
      <c r="J139" s="1661"/>
      <c r="K139" s="1661"/>
      <c r="L139" s="1661"/>
    </row>
    <row r="140" spans="1:12" ht="18" customHeight="1" outlineLevel="2">
      <c r="A140" s="1312">
        <v>133</v>
      </c>
      <c r="B140" s="1312" t="s">
        <v>3642</v>
      </c>
      <c r="C140" s="1312" t="s">
        <v>3081</v>
      </c>
      <c r="D140" s="1312" t="s">
        <v>1014</v>
      </c>
      <c r="E140" s="1312" t="s">
        <v>5</v>
      </c>
      <c r="F140" s="1316" t="s">
        <v>3643</v>
      </c>
      <c r="G140" s="1312" t="s">
        <v>3380</v>
      </c>
      <c r="H140" s="1317">
        <f t="shared" si="31"/>
        <v>96790</v>
      </c>
      <c r="I140" s="1661"/>
      <c r="J140" s="1661"/>
      <c r="K140" s="1661"/>
      <c r="L140" s="1661"/>
    </row>
    <row r="141" spans="1:12" ht="18" customHeight="1" outlineLevel="2">
      <c r="A141" s="1312">
        <v>134</v>
      </c>
      <c r="B141" s="1312" t="s">
        <v>3644</v>
      </c>
      <c r="C141" s="1312" t="s">
        <v>3081</v>
      </c>
      <c r="D141" s="1312" t="s">
        <v>1014</v>
      </c>
      <c r="E141" s="1312" t="s">
        <v>5</v>
      </c>
      <c r="F141" s="1316" t="s">
        <v>3645</v>
      </c>
      <c r="G141" s="1312" t="s">
        <v>3380</v>
      </c>
      <c r="H141" s="1317">
        <f t="shared" si="31"/>
        <v>96790</v>
      </c>
      <c r="I141" s="1661"/>
      <c r="J141" s="1661"/>
      <c r="K141" s="1661"/>
      <c r="L141" s="1661"/>
    </row>
    <row r="142" spans="1:12" ht="18" customHeight="1" outlineLevel="2">
      <c r="A142" s="1312">
        <v>135</v>
      </c>
      <c r="B142" s="1312" t="s">
        <v>3646</v>
      </c>
      <c r="C142" s="1312" t="s">
        <v>3081</v>
      </c>
      <c r="D142" s="1312" t="s">
        <v>1014</v>
      </c>
      <c r="E142" s="1312" t="s">
        <v>5</v>
      </c>
      <c r="F142" s="1316" t="s">
        <v>3647</v>
      </c>
      <c r="G142" s="1312" t="s">
        <v>3380</v>
      </c>
      <c r="H142" s="1317">
        <f t="shared" si="31"/>
        <v>96790</v>
      </c>
      <c r="I142" s="1661"/>
      <c r="J142" s="1661"/>
      <c r="K142" s="1661"/>
      <c r="L142" s="1661"/>
    </row>
    <row r="143" spans="1:12" ht="18" customHeight="1" outlineLevel="2">
      <c r="A143" s="1312">
        <v>136</v>
      </c>
      <c r="B143" s="1312" t="s">
        <v>3648</v>
      </c>
      <c r="C143" s="1312" t="s">
        <v>3081</v>
      </c>
      <c r="D143" s="1312" t="s">
        <v>1014</v>
      </c>
      <c r="E143" s="1312" t="s">
        <v>5</v>
      </c>
      <c r="F143" s="1316" t="s">
        <v>3649</v>
      </c>
      <c r="G143" s="1312" t="s">
        <v>3380</v>
      </c>
      <c r="H143" s="1317">
        <f t="shared" si="31"/>
        <v>96790</v>
      </c>
      <c r="I143" s="1661"/>
      <c r="J143" s="1661"/>
      <c r="K143" s="1661"/>
      <c r="L143" s="1661"/>
    </row>
    <row r="144" spans="1:12" ht="18" customHeight="1" outlineLevel="2">
      <c r="A144" s="1312">
        <v>137</v>
      </c>
      <c r="B144" s="1312" t="s">
        <v>3650</v>
      </c>
      <c r="C144" s="1312" t="s">
        <v>3081</v>
      </c>
      <c r="D144" s="1312" t="s">
        <v>1014</v>
      </c>
      <c r="E144" s="1312" t="s">
        <v>5</v>
      </c>
      <c r="F144" s="1316" t="s">
        <v>3651</v>
      </c>
      <c r="G144" s="1312" t="s">
        <v>3380</v>
      </c>
      <c r="H144" s="1317">
        <f t="shared" si="31"/>
        <v>96790</v>
      </c>
      <c r="I144" s="1661"/>
      <c r="J144" s="1661"/>
      <c r="K144" s="1661"/>
      <c r="L144" s="1661"/>
    </row>
    <row r="145" spans="1:12" ht="18" customHeight="1" outlineLevel="2">
      <c r="A145" s="1312">
        <v>138</v>
      </c>
      <c r="B145" s="1312" t="s">
        <v>3652</v>
      </c>
      <c r="C145" s="1312" t="s">
        <v>3081</v>
      </c>
      <c r="D145" s="1312" t="s">
        <v>1014</v>
      </c>
      <c r="E145" s="1312" t="s">
        <v>5</v>
      </c>
      <c r="F145" s="1316" t="s">
        <v>3653</v>
      </c>
      <c r="G145" s="1312" t="s">
        <v>3380</v>
      </c>
      <c r="H145" s="1317">
        <f t="shared" si="31"/>
        <v>96790</v>
      </c>
      <c r="I145" s="1661"/>
      <c r="J145" s="1661"/>
      <c r="K145" s="1661"/>
      <c r="L145" s="1661"/>
    </row>
    <row r="146" spans="1:12" ht="18" customHeight="1" outlineLevel="2">
      <c r="A146" s="1312">
        <v>139</v>
      </c>
      <c r="B146" s="1312" t="s">
        <v>3654</v>
      </c>
      <c r="C146" s="1312" t="s">
        <v>3081</v>
      </c>
      <c r="D146" s="1312" t="s">
        <v>1017</v>
      </c>
      <c r="E146" s="1312" t="s">
        <v>5</v>
      </c>
      <c r="F146" s="1316" t="s">
        <v>3655</v>
      </c>
      <c r="G146" s="1312" t="s">
        <v>3377</v>
      </c>
      <c r="H146" s="1313">
        <f t="shared" ref="H146:H148" si="32">ROUND(232297.1,0)</f>
        <v>232297</v>
      </c>
      <c r="I146" s="1661"/>
      <c r="J146" s="1661"/>
      <c r="K146" s="1661"/>
      <c r="L146" s="1661"/>
    </row>
    <row r="147" spans="1:12" ht="18" customHeight="1" outlineLevel="2">
      <c r="A147" s="1312">
        <v>140</v>
      </c>
      <c r="B147" s="1312" t="s">
        <v>3656</v>
      </c>
      <c r="C147" s="1312" t="s">
        <v>3081</v>
      </c>
      <c r="D147" s="1312" t="s">
        <v>1017</v>
      </c>
      <c r="E147" s="1312" t="s">
        <v>5</v>
      </c>
      <c r="F147" s="1316" t="s">
        <v>3657</v>
      </c>
      <c r="G147" s="1312" t="s">
        <v>3377</v>
      </c>
      <c r="H147" s="1313">
        <f t="shared" si="32"/>
        <v>232297</v>
      </c>
      <c r="I147" s="1661"/>
      <c r="J147" s="1661"/>
      <c r="K147" s="1661"/>
      <c r="L147" s="1661"/>
    </row>
    <row r="148" spans="1:12" ht="18" customHeight="1" outlineLevel="2">
      <c r="A148" s="1312">
        <v>141</v>
      </c>
      <c r="B148" s="1312" t="s">
        <v>3658</v>
      </c>
      <c r="C148" s="1312" t="s">
        <v>3081</v>
      </c>
      <c r="D148" s="1312" t="s">
        <v>1017</v>
      </c>
      <c r="E148" s="1312" t="s">
        <v>5</v>
      </c>
      <c r="F148" s="1316" t="s">
        <v>3659</v>
      </c>
      <c r="G148" s="1312" t="s">
        <v>3377</v>
      </c>
      <c r="H148" s="1313">
        <f t="shared" si="32"/>
        <v>232297</v>
      </c>
      <c r="I148" s="1661"/>
      <c r="J148" s="1661"/>
      <c r="K148" s="1661"/>
      <c r="L148" s="1661"/>
    </row>
    <row r="149" spans="1:12" ht="18" customHeight="1" outlineLevel="2">
      <c r="A149" s="1312">
        <v>142</v>
      </c>
      <c r="B149" s="1312" t="s">
        <v>3660</v>
      </c>
      <c r="C149" s="1312" t="s">
        <v>3081</v>
      </c>
      <c r="D149" s="1312" t="s">
        <v>1017</v>
      </c>
      <c r="E149" s="1312" t="s">
        <v>5</v>
      </c>
      <c r="F149" s="1316" t="s">
        <v>3661</v>
      </c>
      <c r="G149" s="1312" t="s">
        <v>3380</v>
      </c>
      <c r="H149" s="1317">
        <f t="shared" ref="H149:H156" si="33">ROUND(232297.1/12*5,0)</f>
        <v>96790</v>
      </c>
      <c r="I149" s="1661"/>
      <c r="J149" s="1661"/>
      <c r="K149" s="1661"/>
      <c r="L149" s="1661"/>
    </row>
    <row r="150" spans="1:12" ht="18" customHeight="1" outlineLevel="2">
      <c r="A150" s="1312">
        <v>143</v>
      </c>
      <c r="B150" s="1312" t="s">
        <v>3662</v>
      </c>
      <c r="C150" s="1312" t="s">
        <v>3081</v>
      </c>
      <c r="D150" s="1312" t="s">
        <v>1017</v>
      </c>
      <c r="E150" s="1312" t="s">
        <v>5</v>
      </c>
      <c r="F150" s="1316" t="s">
        <v>3663</v>
      </c>
      <c r="G150" s="1312" t="s">
        <v>3380</v>
      </c>
      <c r="H150" s="1317">
        <f t="shared" si="33"/>
        <v>96790</v>
      </c>
      <c r="I150" s="1661"/>
      <c r="J150" s="1661"/>
      <c r="K150" s="1661"/>
      <c r="L150" s="1661"/>
    </row>
    <row r="151" spans="1:12" ht="18" customHeight="1" outlineLevel="2">
      <c r="A151" s="1312">
        <v>144</v>
      </c>
      <c r="B151" s="1312" t="s">
        <v>3664</v>
      </c>
      <c r="C151" s="1312" t="s">
        <v>3081</v>
      </c>
      <c r="D151" s="1312" t="s">
        <v>1017</v>
      </c>
      <c r="E151" s="1312" t="s">
        <v>5</v>
      </c>
      <c r="F151" s="1316" t="s">
        <v>3665</v>
      </c>
      <c r="G151" s="1312" t="s">
        <v>3380</v>
      </c>
      <c r="H151" s="1317">
        <f t="shared" si="33"/>
        <v>96790</v>
      </c>
      <c r="I151" s="1661"/>
      <c r="J151" s="1661"/>
      <c r="K151" s="1661"/>
      <c r="L151" s="1661"/>
    </row>
    <row r="152" spans="1:12" ht="18" customHeight="1" outlineLevel="2">
      <c r="A152" s="1312">
        <v>145</v>
      </c>
      <c r="B152" s="1312" t="s">
        <v>3666</v>
      </c>
      <c r="C152" s="1312" t="s">
        <v>3081</v>
      </c>
      <c r="D152" s="1312" t="s">
        <v>1017</v>
      </c>
      <c r="E152" s="1312" t="s">
        <v>5</v>
      </c>
      <c r="F152" s="1316" t="s">
        <v>3667</v>
      </c>
      <c r="G152" s="1312" t="s">
        <v>3380</v>
      </c>
      <c r="H152" s="1317">
        <f t="shared" si="33"/>
        <v>96790</v>
      </c>
      <c r="I152" s="1661"/>
      <c r="J152" s="1661"/>
      <c r="K152" s="1661"/>
      <c r="L152" s="1661"/>
    </row>
    <row r="153" spans="1:12" ht="18" customHeight="1" outlineLevel="2">
      <c r="A153" s="1312">
        <v>146</v>
      </c>
      <c r="B153" s="1312" t="s">
        <v>3668</v>
      </c>
      <c r="C153" s="1312" t="s">
        <v>3081</v>
      </c>
      <c r="D153" s="1312" t="s">
        <v>1017</v>
      </c>
      <c r="E153" s="1312" t="s">
        <v>5</v>
      </c>
      <c r="F153" s="1316" t="s">
        <v>3669</v>
      </c>
      <c r="G153" s="1312" t="s">
        <v>3380</v>
      </c>
      <c r="H153" s="1317">
        <f t="shared" si="33"/>
        <v>96790</v>
      </c>
      <c r="I153" s="1661"/>
      <c r="J153" s="1661"/>
      <c r="K153" s="1661"/>
      <c r="L153" s="1661"/>
    </row>
    <row r="154" spans="1:12" ht="18" customHeight="1" outlineLevel="2">
      <c r="A154" s="1312">
        <v>147</v>
      </c>
      <c r="B154" s="1312" t="s">
        <v>3670</v>
      </c>
      <c r="C154" s="1312" t="s">
        <v>3081</v>
      </c>
      <c r="D154" s="1312" t="s">
        <v>1017</v>
      </c>
      <c r="E154" s="1312" t="s">
        <v>5</v>
      </c>
      <c r="F154" s="1316" t="s">
        <v>3671</v>
      </c>
      <c r="G154" s="1312" t="s">
        <v>3380</v>
      </c>
      <c r="H154" s="1317">
        <f t="shared" si="33"/>
        <v>96790</v>
      </c>
      <c r="I154" s="1661"/>
      <c r="J154" s="1661"/>
      <c r="K154" s="1661"/>
      <c r="L154" s="1661"/>
    </row>
    <row r="155" spans="1:12" ht="18" customHeight="1" outlineLevel="2">
      <c r="A155" s="1312">
        <v>148</v>
      </c>
      <c r="B155" s="1312" t="s">
        <v>3672</v>
      </c>
      <c r="C155" s="1312" t="s">
        <v>3081</v>
      </c>
      <c r="D155" s="1312" t="s">
        <v>1017</v>
      </c>
      <c r="E155" s="1312" t="s">
        <v>5</v>
      </c>
      <c r="F155" s="1316" t="s">
        <v>3673</v>
      </c>
      <c r="G155" s="1312" t="s">
        <v>3380</v>
      </c>
      <c r="H155" s="1317">
        <f t="shared" si="33"/>
        <v>96790</v>
      </c>
      <c r="I155" s="1661"/>
      <c r="J155" s="1661"/>
      <c r="K155" s="1661"/>
      <c r="L155" s="1661"/>
    </row>
    <row r="156" spans="1:12" ht="18" customHeight="1" outlineLevel="2">
      <c r="A156" s="1312">
        <v>149</v>
      </c>
      <c r="B156" s="1312" t="s">
        <v>3674</v>
      </c>
      <c r="C156" s="1312" t="s">
        <v>3081</v>
      </c>
      <c r="D156" s="1312" t="s">
        <v>1017</v>
      </c>
      <c r="E156" s="1312" t="s">
        <v>5</v>
      </c>
      <c r="F156" s="1316" t="s">
        <v>3675</v>
      </c>
      <c r="G156" s="1312" t="s">
        <v>3380</v>
      </c>
      <c r="H156" s="1317">
        <f t="shared" si="33"/>
        <v>96790</v>
      </c>
      <c r="I156" s="1661"/>
      <c r="J156" s="1661"/>
      <c r="K156" s="1661"/>
      <c r="L156" s="1661"/>
    </row>
    <row r="157" spans="1:12" ht="18" customHeight="1" outlineLevel="2">
      <c r="A157" s="1312">
        <v>150</v>
      </c>
      <c r="B157" s="1312" t="s">
        <v>3676</v>
      </c>
      <c r="C157" s="1312" t="s">
        <v>3081</v>
      </c>
      <c r="D157" s="1312" t="s">
        <v>1015</v>
      </c>
      <c r="E157" s="1312" t="s">
        <v>5</v>
      </c>
      <c r="F157" s="1316" t="s">
        <v>3677</v>
      </c>
      <c r="G157" s="1312" t="s">
        <v>3377</v>
      </c>
      <c r="H157" s="1313">
        <f t="shared" ref="H157:H160" si="34">ROUND(232297.1,0)</f>
        <v>232297</v>
      </c>
      <c r="I157" s="1661"/>
      <c r="J157" s="1661"/>
      <c r="K157" s="1661"/>
      <c r="L157" s="1661"/>
    </row>
    <row r="158" spans="1:12" ht="18" customHeight="1" outlineLevel="2">
      <c r="A158" s="1312">
        <v>151</v>
      </c>
      <c r="B158" s="1312" t="s">
        <v>3678</v>
      </c>
      <c r="C158" s="1312" t="s">
        <v>3081</v>
      </c>
      <c r="D158" s="1312" t="s">
        <v>1015</v>
      </c>
      <c r="E158" s="1312" t="s">
        <v>5</v>
      </c>
      <c r="F158" s="1316" t="s">
        <v>3679</v>
      </c>
      <c r="G158" s="1312" t="s">
        <v>3377</v>
      </c>
      <c r="H158" s="1313">
        <f t="shared" si="34"/>
        <v>232297</v>
      </c>
      <c r="I158" s="1661"/>
      <c r="J158" s="1661"/>
      <c r="K158" s="1661"/>
      <c r="L158" s="1661"/>
    </row>
    <row r="159" spans="1:12" ht="18" customHeight="1" outlineLevel="2">
      <c r="A159" s="1312">
        <v>152</v>
      </c>
      <c r="B159" s="1312" t="s">
        <v>3680</v>
      </c>
      <c r="C159" s="1312" t="s">
        <v>3081</v>
      </c>
      <c r="D159" s="1312" t="s">
        <v>1015</v>
      </c>
      <c r="E159" s="1312" t="s">
        <v>5</v>
      </c>
      <c r="F159" s="1316" t="s">
        <v>3681</v>
      </c>
      <c r="G159" s="1312" t="s">
        <v>3377</v>
      </c>
      <c r="H159" s="1313">
        <f t="shared" si="34"/>
        <v>232297</v>
      </c>
      <c r="I159" s="1661"/>
      <c r="J159" s="1661"/>
      <c r="K159" s="1661"/>
      <c r="L159" s="1661"/>
    </row>
    <row r="160" spans="1:12" ht="18" customHeight="1" outlineLevel="2">
      <c r="A160" s="1312">
        <v>153</v>
      </c>
      <c r="B160" s="1312" t="s">
        <v>3682</v>
      </c>
      <c r="C160" s="1312" t="s">
        <v>3081</v>
      </c>
      <c r="D160" s="1312" t="s">
        <v>1015</v>
      </c>
      <c r="E160" s="1312" t="s">
        <v>5</v>
      </c>
      <c r="F160" s="1316" t="s">
        <v>3683</v>
      </c>
      <c r="G160" s="1312" t="s">
        <v>3377</v>
      </c>
      <c r="H160" s="1313">
        <f t="shared" si="34"/>
        <v>232297</v>
      </c>
      <c r="I160" s="1661"/>
      <c r="J160" s="1661"/>
      <c r="K160" s="1661"/>
      <c r="L160" s="1661"/>
    </row>
    <row r="161" spans="1:12" ht="18" customHeight="1" outlineLevel="2">
      <c r="A161" s="1312">
        <v>154</v>
      </c>
      <c r="B161" s="1312" t="s">
        <v>3684</v>
      </c>
      <c r="C161" s="1312" t="s">
        <v>3081</v>
      </c>
      <c r="D161" s="1312" t="s">
        <v>1015</v>
      </c>
      <c r="E161" s="1312" t="s">
        <v>5</v>
      </c>
      <c r="F161" s="1316" t="s">
        <v>3685</v>
      </c>
      <c r="G161" s="1312" t="s">
        <v>3380</v>
      </c>
      <c r="H161" s="1317">
        <f>ROUND(232297.1/12*5,0)</f>
        <v>96790</v>
      </c>
      <c r="I161" s="1661"/>
      <c r="J161" s="1661"/>
      <c r="K161" s="1661"/>
      <c r="L161" s="1661"/>
    </row>
    <row r="162" spans="1:12" ht="18" customHeight="1" outlineLevel="2">
      <c r="A162" s="1312">
        <v>155</v>
      </c>
      <c r="B162" s="1312" t="s">
        <v>3686</v>
      </c>
      <c r="C162" s="1312" t="s">
        <v>3081</v>
      </c>
      <c r="D162" s="1312" t="s">
        <v>1012</v>
      </c>
      <c r="E162" s="1312" t="s">
        <v>5</v>
      </c>
      <c r="F162" s="1316" t="s">
        <v>3687</v>
      </c>
      <c r="G162" s="1312" t="s">
        <v>3377</v>
      </c>
      <c r="H162" s="1313">
        <f>ROUND(232297.1,0)</f>
        <v>232297</v>
      </c>
      <c r="I162" s="1661"/>
      <c r="J162" s="1661"/>
      <c r="K162" s="1661"/>
      <c r="L162" s="1661"/>
    </row>
    <row r="163" spans="1:12" ht="18" customHeight="1" outlineLevel="2">
      <c r="A163" s="1312">
        <v>156</v>
      </c>
      <c r="B163" s="1312" t="s">
        <v>3688</v>
      </c>
      <c r="C163" s="1312" t="s">
        <v>3081</v>
      </c>
      <c r="D163" s="1312" t="s">
        <v>684</v>
      </c>
      <c r="E163" s="1312" t="s">
        <v>5</v>
      </c>
      <c r="F163" s="1316" t="s">
        <v>3689</v>
      </c>
      <c r="G163" s="1312" t="s">
        <v>3380</v>
      </c>
      <c r="H163" s="1317">
        <f t="shared" ref="H163:H170" si="35">ROUND(232297.1/12*5,0)</f>
        <v>96790</v>
      </c>
      <c r="I163" s="1661"/>
      <c r="J163" s="1661"/>
      <c r="K163" s="1661"/>
      <c r="L163" s="1661"/>
    </row>
    <row r="164" spans="1:12" ht="18" customHeight="1" outlineLevel="2">
      <c r="A164" s="1312">
        <v>157</v>
      </c>
      <c r="B164" s="1312" t="s">
        <v>3690</v>
      </c>
      <c r="C164" s="1312" t="s">
        <v>3081</v>
      </c>
      <c r="D164" s="1312" t="s">
        <v>684</v>
      </c>
      <c r="E164" s="1312" t="s">
        <v>5</v>
      </c>
      <c r="F164" s="1316" t="s">
        <v>3691</v>
      </c>
      <c r="G164" s="1312" t="s">
        <v>3380</v>
      </c>
      <c r="H164" s="1317">
        <f t="shared" si="35"/>
        <v>96790</v>
      </c>
      <c r="I164" s="1661"/>
      <c r="J164" s="1661"/>
      <c r="K164" s="1661"/>
      <c r="L164" s="1661"/>
    </row>
    <row r="165" spans="1:12" ht="18" customHeight="1" outlineLevel="2">
      <c r="A165" s="1312">
        <v>158</v>
      </c>
      <c r="B165" s="1312" t="s">
        <v>3692</v>
      </c>
      <c r="C165" s="1312" t="s">
        <v>3081</v>
      </c>
      <c r="D165" s="1312" t="s">
        <v>684</v>
      </c>
      <c r="E165" s="1312" t="s">
        <v>5</v>
      </c>
      <c r="F165" s="1316" t="s">
        <v>3693</v>
      </c>
      <c r="G165" s="1312" t="s">
        <v>3380</v>
      </c>
      <c r="H165" s="1317">
        <f t="shared" si="35"/>
        <v>96790</v>
      </c>
      <c r="I165" s="1661"/>
      <c r="J165" s="1661"/>
      <c r="K165" s="1661"/>
      <c r="L165" s="1661"/>
    </row>
    <row r="166" spans="1:12" ht="18" customHeight="1" outlineLevel="2">
      <c r="A166" s="1312">
        <v>159</v>
      </c>
      <c r="B166" s="1312" t="s">
        <v>3694</v>
      </c>
      <c r="C166" s="1312" t="s">
        <v>3081</v>
      </c>
      <c r="D166" s="1312" t="s">
        <v>684</v>
      </c>
      <c r="E166" s="1312" t="s">
        <v>5</v>
      </c>
      <c r="F166" s="1316" t="s">
        <v>3695</v>
      </c>
      <c r="G166" s="1312" t="s">
        <v>3380</v>
      </c>
      <c r="H166" s="1317">
        <f t="shared" si="35"/>
        <v>96790</v>
      </c>
      <c r="I166" s="1661"/>
      <c r="J166" s="1661"/>
      <c r="K166" s="1661"/>
      <c r="L166" s="1661"/>
    </row>
    <row r="167" spans="1:12" ht="18" customHeight="1" outlineLevel="2">
      <c r="A167" s="1312">
        <v>160</v>
      </c>
      <c r="B167" s="1312" t="s">
        <v>3696</v>
      </c>
      <c r="C167" s="1312" t="s">
        <v>3081</v>
      </c>
      <c r="D167" s="1312" t="s">
        <v>684</v>
      </c>
      <c r="E167" s="1312" t="s">
        <v>5</v>
      </c>
      <c r="F167" s="1316" t="s">
        <v>3697</v>
      </c>
      <c r="G167" s="1312" t="s">
        <v>3380</v>
      </c>
      <c r="H167" s="1317">
        <f t="shared" si="35"/>
        <v>96790</v>
      </c>
      <c r="I167" s="1661"/>
      <c r="J167" s="1661"/>
      <c r="K167" s="1661"/>
      <c r="L167" s="1661"/>
    </row>
    <row r="168" spans="1:12" ht="18" customHeight="1" outlineLevel="2">
      <c r="A168" s="1312">
        <v>161</v>
      </c>
      <c r="B168" s="1312" t="s">
        <v>3698</v>
      </c>
      <c r="C168" s="1312" t="s">
        <v>3081</v>
      </c>
      <c r="D168" s="1312" t="s">
        <v>684</v>
      </c>
      <c r="E168" s="1312" t="s">
        <v>5</v>
      </c>
      <c r="F168" s="1316" t="s">
        <v>3699</v>
      </c>
      <c r="G168" s="1312" t="s">
        <v>3380</v>
      </c>
      <c r="H168" s="1317">
        <f t="shared" si="35"/>
        <v>96790</v>
      </c>
      <c r="I168" s="1661"/>
      <c r="J168" s="1661"/>
      <c r="K168" s="1661"/>
      <c r="L168" s="1661"/>
    </row>
    <row r="169" spans="1:12" ht="18" customHeight="1" outlineLevel="2">
      <c r="A169" s="1312">
        <v>162</v>
      </c>
      <c r="B169" s="1316" t="s">
        <v>3700</v>
      </c>
      <c r="C169" s="1312" t="s">
        <v>3081</v>
      </c>
      <c r="D169" s="1316" t="s">
        <v>1014</v>
      </c>
      <c r="E169" s="1312" t="s">
        <v>5</v>
      </c>
      <c r="F169" s="1316" t="s">
        <v>3701</v>
      </c>
      <c r="G169" s="1312" t="s">
        <v>3380</v>
      </c>
      <c r="H169" s="1317">
        <f t="shared" si="35"/>
        <v>96790</v>
      </c>
      <c r="I169" s="1661"/>
      <c r="J169" s="1661"/>
      <c r="K169" s="1661"/>
      <c r="L169" s="1661"/>
    </row>
    <row r="170" spans="1:12" ht="18" customHeight="1" outlineLevel="2">
      <c r="A170" s="1312">
        <v>163</v>
      </c>
      <c r="B170" s="1316" t="s">
        <v>3702</v>
      </c>
      <c r="C170" s="1312" t="s">
        <v>3081</v>
      </c>
      <c r="D170" s="1316" t="s">
        <v>1017</v>
      </c>
      <c r="E170" s="1312" t="s">
        <v>5</v>
      </c>
      <c r="F170" s="1316" t="s">
        <v>3703</v>
      </c>
      <c r="G170" s="1312" t="s">
        <v>3380</v>
      </c>
      <c r="H170" s="1317">
        <f t="shared" si="35"/>
        <v>96790</v>
      </c>
      <c r="I170" s="1661"/>
      <c r="J170" s="1661"/>
      <c r="K170" s="1661"/>
      <c r="L170" s="1661"/>
    </row>
    <row r="171" spans="1:12" ht="18" customHeight="1" outlineLevel="2">
      <c r="A171" s="1312">
        <v>164</v>
      </c>
      <c r="B171" s="1316" t="s">
        <v>3704</v>
      </c>
      <c r="C171" s="1312" t="s">
        <v>1465</v>
      </c>
      <c r="D171" s="1316" t="s">
        <v>1011</v>
      </c>
      <c r="E171" s="1312" t="s">
        <v>5</v>
      </c>
      <c r="F171" s="1316" t="s">
        <v>3705</v>
      </c>
      <c r="G171" s="1312" t="s">
        <v>3377</v>
      </c>
      <c r="H171" s="1313">
        <f t="shared" ref="H171:H175" si="36">ROUND(254991.7,0)</f>
        <v>254992</v>
      </c>
      <c r="I171" s="1661"/>
      <c r="J171" s="1661"/>
      <c r="K171" s="1661"/>
      <c r="L171" s="1661"/>
    </row>
    <row r="172" spans="1:12" ht="18" customHeight="1" outlineLevel="2">
      <c r="A172" s="1312">
        <v>165</v>
      </c>
      <c r="B172" s="1316" t="s">
        <v>3706</v>
      </c>
      <c r="C172" s="1312" t="s">
        <v>1465</v>
      </c>
      <c r="D172" s="1316" t="s">
        <v>1011</v>
      </c>
      <c r="E172" s="1312" t="s">
        <v>5</v>
      </c>
      <c r="F172" s="1316" t="s">
        <v>3707</v>
      </c>
      <c r="G172" s="1312" t="s">
        <v>3377</v>
      </c>
      <c r="H172" s="1313">
        <f t="shared" si="36"/>
        <v>254992</v>
      </c>
      <c r="I172" s="1661"/>
      <c r="J172" s="1661"/>
      <c r="K172" s="1661"/>
      <c r="L172" s="1661"/>
    </row>
    <row r="173" spans="1:12" ht="18" customHeight="1" outlineLevel="2">
      <c r="A173" s="1312">
        <v>166</v>
      </c>
      <c r="B173" s="1316" t="s">
        <v>3708</v>
      </c>
      <c r="C173" s="1312" t="s">
        <v>1465</v>
      </c>
      <c r="D173" s="1316" t="s">
        <v>1011</v>
      </c>
      <c r="E173" s="1312" t="s">
        <v>5</v>
      </c>
      <c r="F173" s="1316" t="s">
        <v>3709</v>
      </c>
      <c r="G173" s="1312" t="s">
        <v>3377</v>
      </c>
      <c r="H173" s="1313">
        <f t="shared" si="36"/>
        <v>254992</v>
      </c>
      <c r="I173" s="1661"/>
      <c r="J173" s="1661"/>
      <c r="K173" s="1661"/>
      <c r="L173" s="1661"/>
    </row>
    <row r="174" spans="1:12" ht="18" customHeight="1" outlineLevel="2">
      <c r="A174" s="1312">
        <v>167</v>
      </c>
      <c r="B174" s="1316" t="s">
        <v>3710</v>
      </c>
      <c r="C174" s="1312" t="s">
        <v>1465</v>
      </c>
      <c r="D174" s="1316" t="s">
        <v>1011</v>
      </c>
      <c r="E174" s="1312" t="s">
        <v>5</v>
      </c>
      <c r="F174" s="1316" t="s">
        <v>3711</v>
      </c>
      <c r="G174" s="1312" t="s">
        <v>3377</v>
      </c>
      <c r="H174" s="1313">
        <f t="shared" si="36"/>
        <v>254992</v>
      </c>
      <c r="I174" s="1661"/>
      <c r="J174" s="1661"/>
      <c r="K174" s="1661"/>
      <c r="L174" s="1661"/>
    </row>
    <row r="175" spans="1:12" ht="18" customHeight="1" outlineLevel="2">
      <c r="A175" s="1312">
        <v>168</v>
      </c>
      <c r="B175" s="1316" t="s">
        <v>3712</v>
      </c>
      <c r="C175" s="1312" t="s">
        <v>1465</v>
      </c>
      <c r="D175" s="1316" t="s">
        <v>1011</v>
      </c>
      <c r="E175" s="1312" t="s">
        <v>5</v>
      </c>
      <c r="F175" s="1316" t="s">
        <v>3713</v>
      </c>
      <c r="G175" s="1312" t="s">
        <v>3377</v>
      </c>
      <c r="H175" s="1313">
        <f t="shared" si="36"/>
        <v>254992</v>
      </c>
      <c r="I175" s="1661"/>
      <c r="J175" s="1661"/>
      <c r="K175" s="1661"/>
      <c r="L175" s="1661"/>
    </row>
    <row r="176" spans="1:12" ht="18" customHeight="1" outlineLevel="2">
      <c r="A176" s="1312">
        <v>169</v>
      </c>
      <c r="B176" s="1316" t="s">
        <v>3714</v>
      </c>
      <c r="C176" s="1312" t="s">
        <v>1465</v>
      </c>
      <c r="D176" s="1316" t="s">
        <v>1011</v>
      </c>
      <c r="E176" s="1312" t="s">
        <v>5</v>
      </c>
      <c r="F176" s="1316" t="s">
        <v>3715</v>
      </c>
      <c r="G176" s="1312" t="s">
        <v>3380</v>
      </c>
      <c r="H176" s="1317">
        <f t="shared" ref="H176:H177" si="37">ROUND(254991.7/12*5,0)</f>
        <v>106247</v>
      </c>
      <c r="I176" s="1661"/>
      <c r="J176" s="1661"/>
      <c r="K176" s="1661"/>
      <c r="L176" s="1661"/>
    </row>
    <row r="177" spans="1:12" ht="18" customHeight="1" outlineLevel="2">
      <c r="A177" s="1312">
        <v>170</v>
      </c>
      <c r="B177" s="1316" t="s">
        <v>3716</v>
      </c>
      <c r="C177" s="1312" t="s">
        <v>1465</v>
      </c>
      <c r="D177" s="1316" t="s">
        <v>1011</v>
      </c>
      <c r="E177" s="1312" t="s">
        <v>5</v>
      </c>
      <c r="F177" s="1316" t="s">
        <v>3717</v>
      </c>
      <c r="G177" s="1312" t="s">
        <v>3380</v>
      </c>
      <c r="H177" s="1317">
        <f t="shared" si="37"/>
        <v>106247</v>
      </c>
      <c r="I177" s="1661"/>
      <c r="J177" s="1661"/>
      <c r="K177" s="1661"/>
      <c r="L177" s="1661"/>
    </row>
    <row r="178" spans="1:12" ht="18" customHeight="1" outlineLevel="2">
      <c r="A178" s="1312">
        <v>171</v>
      </c>
      <c r="B178" s="1316" t="s">
        <v>3718</v>
      </c>
      <c r="C178" s="1312" t="s">
        <v>1465</v>
      </c>
      <c r="D178" s="1316" t="s">
        <v>234</v>
      </c>
      <c r="E178" s="1312" t="s">
        <v>5</v>
      </c>
      <c r="F178" s="1316" t="s">
        <v>3719</v>
      </c>
      <c r="G178" s="1312" t="s">
        <v>3377</v>
      </c>
      <c r="H178" s="1313">
        <f t="shared" ref="H178:H181" si="38">ROUND(254991.7,0)</f>
        <v>254992</v>
      </c>
      <c r="I178" s="1661"/>
      <c r="J178" s="1661"/>
      <c r="K178" s="1661"/>
      <c r="L178" s="1661"/>
    </row>
    <row r="179" spans="1:12" ht="18" customHeight="1" outlineLevel="2">
      <c r="A179" s="1312">
        <v>172</v>
      </c>
      <c r="B179" s="1316" t="s">
        <v>3720</v>
      </c>
      <c r="C179" s="1312" t="s">
        <v>1465</v>
      </c>
      <c r="D179" s="1316" t="s">
        <v>234</v>
      </c>
      <c r="E179" s="1312" t="s">
        <v>5</v>
      </c>
      <c r="F179" s="1316" t="s">
        <v>3721</v>
      </c>
      <c r="G179" s="1312" t="s">
        <v>3377</v>
      </c>
      <c r="H179" s="1313">
        <f t="shared" si="38"/>
        <v>254992</v>
      </c>
      <c r="I179" s="1661"/>
      <c r="J179" s="1661"/>
      <c r="K179" s="1661"/>
      <c r="L179" s="1661"/>
    </row>
    <row r="180" spans="1:12" ht="18" customHeight="1" outlineLevel="2">
      <c r="A180" s="1312">
        <v>173</v>
      </c>
      <c r="B180" s="1316" t="s">
        <v>3722</v>
      </c>
      <c r="C180" s="1312" t="s">
        <v>1465</v>
      </c>
      <c r="D180" s="1316" t="s">
        <v>234</v>
      </c>
      <c r="E180" s="1312" t="s">
        <v>5</v>
      </c>
      <c r="F180" s="1316" t="s">
        <v>3723</v>
      </c>
      <c r="G180" s="1312" t="s">
        <v>3377</v>
      </c>
      <c r="H180" s="1313">
        <f t="shared" si="38"/>
        <v>254992</v>
      </c>
      <c r="I180" s="1661"/>
      <c r="J180" s="1661"/>
      <c r="K180" s="1661"/>
      <c r="L180" s="1661"/>
    </row>
    <row r="181" spans="1:12" ht="18" customHeight="1" outlineLevel="2">
      <c r="A181" s="1312">
        <v>174</v>
      </c>
      <c r="B181" s="1316" t="s">
        <v>3724</v>
      </c>
      <c r="C181" s="1312" t="s">
        <v>1465</v>
      </c>
      <c r="D181" s="1316" t="s">
        <v>234</v>
      </c>
      <c r="E181" s="1312" t="s">
        <v>5</v>
      </c>
      <c r="F181" s="1316" t="s">
        <v>3725</v>
      </c>
      <c r="G181" s="1312" t="s">
        <v>3377</v>
      </c>
      <c r="H181" s="1313">
        <f t="shared" si="38"/>
        <v>254992</v>
      </c>
      <c r="I181" s="1661"/>
      <c r="J181" s="1661"/>
      <c r="K181" s="1661"/>
      <c r="L181" s="1661"/>
    </row>
    <row r="182" spans="1:12" ht="18" customHeight="1" outlineLevel="2">
      <c r="A182" s="1312">
        <v>175</v>
      </c>
      <c r="B182" s="1316" t="s">
        <v>3726</v>
      </c>
      <c r="C182" s="1312" t="s">
        <v>1465</v>
      </c>
      <c r="D182" s="1316" t="s">
        <v>234</v>
      </c>
      <c r="E182" s="1312" t="s">
        <v>5</v>
      </c>
      <c r="F182" s="1316" t="s">
        <v>3727</v>
      </c>
      <c r="G182" s="1312" t="s">
        <v>3380</v>
      </c>
      <c r="H182" s="1317">
        <f t="shared" ref="H182:H186" si="39">ROUND(254991.7/12*5,0)</f>
        <v>106247</v>
      </c>
      <c r="I182" s="1661"/>
      <c r="J182" s="1661"/>
      <c r="K182" s="1661"/>
      <c r="L182" s="1661"/>
    </row>
    <row r="183" spans="1:12" ht="18" customHeight="1" outlineLevel="2">
      <c r="A183" s="1312">
        <v>176</v>
      </c>
      <c r="B183" s="1316" t="s">
        <v>3728</v>
      </c>
      <c r="C183" s="1312" t="s">
        <v>1465</v>
      </c>
      <c r="D183" s="1316" t="s">
        <v>234</v>
      </c>
      <c r="E183" s="1312" t="s">
        <v>5</v>
      </c>
      <c r="F183" s="1316" t="s">
        <v>3729</v>
      </c>
      <c r="G183" s="1312" t="s">
        <v>3380</v>
      </c>
      <c r="H183" s="1317">
        <f t="shared" si="39"/>
        <v>106247</v>
      </c>
      <c r="I183" s="1661"/>
      <c r="J183" s="1661"/>
      <c r="K183" s="1661"/>
      <c r="L183" s="1661"/>
    </row>
    <row r="184" spans="1:12" ht="18" customHeight="1" outlineLevel="2">
      <c r="A184" s="1312">
        <v>177</v>
      </c>
      <c r="B184" s="1316" t="s">
        <v>3730</v>
      </c>
      <c r="C184" s="1312" t="s">
        <v>1465</v>
      </c>
      <c r="D184" s="1316" t="s">
        <v>234</v>
      </c>
      <c r="E184" s="1312" t="s">
        <v>5</v>
      </c>
      <c r="F184" s="1316" t="s">
        <v>3731</v>
      </c>
      <c r="G184" s="1312" t="s">
        <v>3380</v>
      </c>
      <c r="H184" s="1317">
        <f t="shared" si="39"/>
        <v>106247</v>
      </c>
      <c r="I184" s="1661"/>
      <c r="J184" s="1661"/>
      <c r="K184" s="1661"/>
      <c r="L184" s="1661"/>
    </row>
    <row r="185" spans="1:12" ht="18" customHeight="1" outlineLevel="2">
      <c r="A185" s="1312">
        <v>178</v>
      </c>
      <c r="B185" s="1316" t="s">
        <v>3732</v>
      </c>
      <c r="C185" s="1312" t="s">
        <v>1465</v>
      </c>
      <c r="D185" s="1316" t="s">
        <v>234</v>
      </c>
      <c r="E185" s="1312" t="s">
        <v>5</v>
      </c>
      <c r="F185" s="1316" t="s">
        <v>3733</v>
      </c>
      <c r="G185" s="1312" t="s">
        <v>3380</v>
      </c>
      <c r="H185" s="1317">
        <f t="shared" si="39"/>
        <v>106247</v>
      </c>
      <c r="I185" s="1661"/>
      <c r="J185" s="1661"/>
      <c r="K185" s="1661"/>
      <c r="L185" s="1661"/>
    </row>
    <row r="186" spans="1:12" ht="18" customHeight="1" outlineLevel="2">
      <c r="A186" s="1312">
        <v>179</v>
      </c>
      <c r="B186" s="1316" t="s">
        <v>3734</v>
      </c>
      <c r="C186" s="1312" t="s">
        <v>1465</v>
      </c>
      <c r="D186" s="1316" t="s">
        <v>234</v>
      </c>
      <c r="E186" s="1312" t="s">
        <v>5</v>
      </c>
      <c r="F186" s="1316" t="s">
        <v>3735</v>
      </c>
      <c r="G186" s="1312" t="s">
        <v>3380</v>
      </c>
      <c r="H186" s="1317">
        <f t="shared" si="39"/>
        <v>106247</v>
      </c>
      <c r="I186" s="1661"/>
      <c r="J186" s="1661"/>
      <c r="K186" s="1661"/>
      <c r="L186" s="1661"/>
    </row>
    <row r="187" spans="1:12" ht="18" customHeight="1" outlineLevel="2">
      <c r="A187" s="1312">
        <v>180</v>
      </c>
      <c r="B187" s="1316" t="s">
        <v>3736</v>
      </c>
      <c r="C187" s="1312" t="s">
        <v>1465</v>
      </c>
      <c r="D187" s="1316" t="s">
        <v>231</v>
      </c>
      <c r="E187" s="1312" t="s">
        <v>5</v>
      </c>
      <c r="F187" s="1316" t="s">
        <v>3737</v>
      </c>
      <c r="G187" s="1312" t="s">
        <v>3377</v>
      </c>
      <c r="H187" s="1313">
        <f t="shared" ref="H187:H190" si="40">ROUND(254991.7,0)</f>
        <v>254992</v>
      </c>
      <c r="I187" s="1661"/>
      <c r="J187" s="1661"/>
      <c r="K187" s="1661"/>
      <c r="L187" s="1661"/>
    </row>
    <row r="188" spans="1:12" ht="18" customHeight="1" outlineLevel="2">
      <c r="A188" s="1312">
        <v>181</v>
      </c>
      <c r="B188" s="1316" t="s">
        <v>3738</v>
      </c>
      <c r="C188" s="1312" t="s">
        <v>1465</v>
      </c>
      <c r="D188" s="1316" t="s">
        <v>231</v>
      </c>
      <c r="E188" s="1312" t="s">
        <v>5</v>
      </c>
      <c r="F188" s="1316" t="s">
        <v>3739</v>
      </c>
      <c r="G188" s="1312" t="s">
        <v>3377</v>
      </c>
      <c r="H188" s="1313">
        <f t="shared" si="40"/>
        <v>254992</v>
      </c>
      <c r="I188" s="1661"/>
      <c r="J188" s="1661"/>
      <c r="K188" s="1661"/>
      <c r="L188" s="1661"/>
    </row>
    <row r="189" spans="1:12" ht="18" customHeight="1" outlineLevel="2">
      <c r="A189" s="1312">
        <v>182</v>
      </c>
      <c r="B189" s="1316" t="s">
        <v>3740</v>
      </c>
      <c r="C189" s="1312" t="s">
        <v>1465</v>
      </c>
      <c r="D189" s="1316" t="s">
        <v>231</v>
      </c>
      <c r="E189" s="1312" t="s">
        <v>5</v>
      </c>
      <c r="F189" s="1316" t="s">
        <v>3741</v>
      </c>
      <c r="G189" s="1312" t="s">
        <v>3377</v>
      </c>
      <c r="H189" s="1313">
        <f t="shared" si="40"/>
        <v>254992</v>
      </c>
      <c r="I189" s="1661"/>
      <c r="J189" s="1661"/>
      <c r="K189" s="1661"/>
      <c r="L189" s="1661"/>
    </row>
    <row r="190" spans="1:12" ht="18" customHeight="1" outlineLevel="2">
      <c r="A190" s="1312">
        <v>183</v>
      </c>
      <c r="B190" s="1316" t="s">
        <v>3742</v>
      </c>
      <c r="C190" s="1312" t="s">
        <v>1465</v>
      </c>
      <c r="D190" s="1316" t="s">
        <v>231</v>
      </c>
      <c r="E190" s="1312" t="s">
        <v>5</v>
      </c>
      <c r="F190" s="1316" t="s">
        <v>3743</v>
      </c>
      <c r="G190" s="1312" t="s">
        <v>3377</v>
      </c>
      <c r="H190" s="1313">
        <f t="shared" si="40"/>
        <v>254992</v>
      </c>
      <c r="I190" s="1661"/>
      <c r="J190" s="1661"/>
      <c r="K190" s="1661"/>
      <c r="L190" s="1661"/>
    </row>
    <row r="191" spans="1:12" ht="18" customHeight="1" outlineLevel="2">
      <c r="A191" s="1312">
        <v>184</v>
      </c>
      <c r="B191" s="1316" t="s">
        <v>3744</v>
      </c>
      <c r="C191" s="1312" t="s">
        <v>1465</v>
      </c>
      <c r="D191" s="1316" t="s">
        <v>231</v>
      </c>
      <c r="E191" s="1312" t="s">
        <v>5</v>
      </c>
      <c r="F191" s="1316" t="s">
        <v>3745</v>
      </c>
      <c r="G191" s="1312" t="s">
        <v>3380</v>
      </c>
      <c r="H191" s="1317">
        <f t="shared" ref="H191:H194" si="41">ROUND(254991.7/12*5,0)</f>
        <v>106247</v>
      </c>
      <c r="I191" s="1661"/>
      <c r="J191" s="1661"/>
      <c r="K191" s="1661"/>
      <c r="L191" s="1661"/>
    </row>
    <row r="192" spans="1:12" ht="18" customHeight="1" outlineLevel="2">
      <c r="A192" s="1312">
        <v>185</v>
      </c>
      <c r="B192" s="1316" t="s">
        <v>3746</v>
      </c>
      <c r="C192" s="1312" t="s">
        <v>1465</v>
      </c>
      <c r="D192" s="1316" t="s">
        <v>231</v>
      </c>
      <c r="E192" s="1312" t="s">
        <v>5</v>
      </c>
      <c r="F192" s="1316" t="s">
        <v>3747</v>
      </c>
      <c r="G192" s="1312" t="s">
        <v>3380</v>
      </c>
      <c r="H192" s="1317">
        <f t="shared" si="41"/>
        <v>106247</v>
      </c>
      <c r="I192" s="1661"/>
      <c r="J192" s="1661"/>
      <c r="K192" s="1661"/>
      <c r="L192" s="1661"/>
    </row>
    <row r="193" spans="1:12" ht="18" customHeight="1" outlineLevel="2">
      <c r="A193" s="1312">
        <v>186</v>
      </c>
      <c r="B193" s="1316" t="s">
        <v>3748</v>
      </c>
      <c r="C193" s="1312" t="s">
        <v>1465</v>
      </c>
      <c r="D193" s="1316" t="s">
        <v>231</v>
      </c>
      <c r="E193" s="1312" t="s">
        <v>5</v>
      </c>
      <c r="F193" s="1316" t="s">
        <v>3749</v>
      </c>
      <c r="G193" s="1312" t="s">
        <v>3380</v>
      </c>
      <c r="H193" s="1317">
        <f t="shared" si="41"/>
        <v>106247</v>
      </c>
      <c r="I193" s="1661"/>
      <c r="J193" s="1661"/>
      <c r="K193" s="1661"/>
      <c r="L193" s="1661"/>
    </row>
    <row r="194" spans="1:12" ht="18" customHeight="1" outlineLevel="2">
      <c r="A194" s="1312">
        <v>187</v>
      </c>
      <c r="B194" s="1316" t="s">
        <v>3750</v>
      </c>
      <c r="C194" s="1312" t="s">
        <v>1465</v>
      </c>
      <c r="D194" s="1316" t="s">
        <v>231</v>
      </c>
      <c r="E194" s="1312" t="s">
        <v>5</v>
      </c>
      <c r="F194" s="1316" t="s">
        <v>3751</v>
      </c>
      <c r="G194" s="1312" t="s">
        <v>3380</v>
      </c>
      <c r="H194" s="1317">
        <f t="shared" si="41"/>
        <v>106247</v>
      </c>
      <c r="I194" s="1661"/>
      <c r="J194" s="1661"/>
      <c r="K194" s="1661"/>
      <c r="L194" s="1661"/>
    </row>
    <row r="195" spans="1:12" ht="18" customHeight="1" outlineLevel="2">
      <c r="A195" s="1312">
        <v>188</v>
      </c>
      <c r="B195" s="1316" t="s">
        <v>3752</v>
      </c>
      <c r="C195" s="1312" t="s">
        <v>1465</v>
      </c>
      <c r="D195" s="1316" t="s">
        <v>232</v>
      </c>
      <c r="E195" s="1312" t="s">
        <v>5</v>
      </c>
      <c r="F195" s="1316" t="s">
        <v>3753</v>
      </c>
      <c r="G195" s="1312" t="s">
        <v>3377</v>
      </c>
      <c r="H195" s="1313">
        <f t="shared" ref="H195:H199" si="42">ROUND(254991.7,0)</f>
        <v>254992</v>
      </c>
      <c r="I195" s="1661"/>
      <c r="J195" s="1661"/>
      <c r="K195" s="1661"/>
      <c r="L195" s="1661"/>
    </row>
    <row r="196" spans="1:12" ht="18" customHeight="1" outlineLevel="2">
      <c r="A196" s="1312">
        <v>189</v>
      </c>
      <c r="B196" s="1316" t="s">
        <v>3754</v>
      </c>
      <c r="C196" s="1312" t="s">
        <v>1465</v>
      </c>
      <c r="D196" s="1316" t="s">
        <v>232</v>
      </c>
      <c r="E196" s="1312" t="s">
        <v>5</v>
      </c>
      <c r="F196" s="1316" t="s">
        <v>3755</v>
      </c>
      <c r="G196" s="1312" t="s">
        <v>3377</v>
      </c>
      <c r="H196" s="1313">
        <f t="shared" si="42"/>
        <v>254992</v>
      </c>
      <c r="I196" s="1661"/>
      <c r="J196" s="1661"/>
      <c r="K196" s="1661"/>
      <c r="L196" s="1661"/>
    </row>
    <row r="197" spans="1:12" ht="18" customHeight="1" outlineLevel="2">
      <c r="A197" s="1312">
        <v>190</v>
      </c>
      <c r="B197" s="1316" t="s">
        <v>3756</v>
      </c>
      <c r="C197" s="1312" t="s">
        <v>1465</v>
      </c>
      <c r="D197" s="1316" t="s">
        <v>232</v>
      </c>
      <c r="E197" s="1312" t="s">
        <v>5</v>
      </c>
      <c r="F197" s="1316" t="s">
        <v>3757</v>
      </c>
      <c r="G197" s="1312" t="s">
        <v>3377</v>
      </c>
      <c r="H197" s="1313">
        <f t="shared" si="42"/>
        <v>254992</v>
      </c>
      <c r="I197" s="1661"/>
      <c r="J197" s="1661"/>
      <c r="K197" s="1661"/>
      <c r="L197" s="1661"/>
    </row>
    <row r="198" spans="1:12" ht="18" customHeight="1" outlineLevel="2">
      <c r="A198" s="1312">
        <v>191</v>
      </c>
      <c r="B198" s="1316" t="s">
        <v>3758</v>
      </c>
      <c r="C198" s="1312" t="s">
        <v>1465</v>
      </c>
      <c r="D198" s="1316" t="s">
        <v>232</v>
      </c>
      <c r="E198" s="1312" t="s">
        <v>5</v>
      </c>
      <c r="F198" s="1316" t="s">
        <v>3759</v>
      </c>
      <c r="G198" s="1312" t="s">
        <v>3377</v>
      </c>
      <c r="H198" s="1313">
        <f t="shared" si="42"/>
        <v>254992</v>
      </c>
      <c r="I198" s="1661"/>
      <c r="J198" s="1661"/>
      <c r="K198" s="1661"/>
      <c r="L198" s="1661"/>
    </row>
    <row r="199" spans="1:12" ht="18" customHeight="1" outlineLevel="2">
      <c r="A199" s="1312">
        <v>192</v>
      </c>
      <c r="B199" s="1316" t="s">
        <v>3760</v>
      </c>
      <c r="C199" s="1312" t="s">
        <v>1465</v>
      </c>
      <c r="D199" s="1316" t="s">
        <v>232</v>
      </c>
      <c r="E199" s="1312" t="s">
        <v>5</v>
      </c>
      <c r="F199" s="1316" t="s">
        <v>3761</v>
      </c>
      <c r="G199" s="1312" t="s">
        <v>3377</v>
      </c>
      <c r="H199" s="1313">
        <f t="shared" si="42"/>
        <v>254992</v>
      </c>
      <c r="I199" s="1661"/>
      <c r="J199" s="1661"/>
      <c r="K199" s="1661"/>
      <c r="L199" s="1661"/>
    </row>
    <row r="200" spans="1:12" ht="18" customHeight="1" outlineLevel="2">
      <c r="A200" s="1312">
        <v>193</v>
      </c>
      <c r="B200" s="1316" t="s">
        <v>3762</v>
      </c>
      <c r="C200" s="1312" t="s">
        <v>1465</v>
      </c>
      <c r="D200" s="1316" t="s">
        <v>232</v>
      </c>
      <c r="E200" s="1312" t="s">
        <v>5</v>
      </c>
      <c r="F200" s="1316" t="s">
        <v>3763</v>
      </c>
      <c r="G200" s="1312" t="s">
        <v>3380</v>
      </c>
      <c r="H200" s="1317">
        <f t="shared" ref="H200:H204" si="43">ROUND(254991.7/12*5,0)</f>
        <v>106247</v>
      </c>
      <c r="I200" s="1661"/>
      <c r="J200" s="1661"/>
      <c r="K200" s="1661"/>
      <c r="L200" s="1661"/>
    </row>
    <row r="201" spans="1:12" ht="18" customHeight="1" outlineLevel="2">
      <c r="A201" s="1312">
        <v>194</v>
      </c>
      <c r="B201" s="1316" t="s">
        <v>3764</v>
      </c>
      <c r="C201" s="1312" t="s">
        <v>1465</v>
      </c>
      <c r="D201" s="1316" t="s">
        <v>232</v>
      </c>
      <c r="E201" s="1312" t="s">
        <v>5</v>
      </c>
      <c r="F201" s="1316" t="s">
        <v>3765</v>
      </c>
      <c r="G201" s="1312" t="s">
        <v>3380</v>
      </c>
      <c r="H201" s="1317">
        <f t="shared" si="43"/>
        <v>106247</v>
      </c>
      <c r="I201" s="1661"/>
      <c r="J201" s="1661"/>
      <c r="K201" s="1661"/>
      <c r="L201" s="1661"/>
    </row>
    <row r="202" spans="1:12" ht="18" customHeight="1" outlineLevel="2">
      <c r="A202" s="1312">
        <v>195</v>
      </c>
      <c r="B202" s="1316" t="s">
        <v>3766</v>
      </c>
      <c r="C202" s="1312" t="s">
        <v>1465</v>
      </c>
      <c r="D202" s="1316" t="s">
        <v>232</v>
      </c>
      <c r="E202" s="1312" t="s">
        <v>5</v>
      </c>
      <c r="F202" s="1316" t="s">
        <v>3767</v>
      </c>
      <c r="G202" s="1312" t="s">
        <v>3380</v>
      </c>
      <c r="H202" s="1317">
        <f t="shared" si="43"/>
        <v>106247</v>
      </c>
      <c r="I202" s="1661"/>
      <c r="J202" s="1661"/>
      <c r="K202" s="1661"/>
      <c r="L202" s="1661"/>
    </row>
    <row r="203" spans="1:12" ht="18" customHeight="1" outlineLevel="2">
      <c r="A203" s="1312">
        <v>196</v>
      </c>
      <c r="B203" s="1316" t="s">
        <v>3768</v>
      </c>
      <c r="C203" s="1312" t="s">
        <v>1465</v>
      </c>
      <c r="D203" s="1316" t="s">
        <v>232</v>
      </c>
      <c r="E203" s="1312" t="s">
        <v>5</v>
      </c>
      <c r="F203" s="1316" t="s">
        <v>3769</v>
      </c>
      <c r="G203" s="1312" t="s">
        <v>3380</v>
      </c>
      <c r="H203" s="1317">
        <f t="shared" si="43"/>
        <v>106247</v>
      </c>
      <c r="I203" s="1661"/>
      <c r="J203" s="1661"/>
      <c r="K203" s="1661"/>
      <c r="L203" s="1661"/>
    </row>
    <row r="204" spans="1:12" ht="18" customHeight="1" outlineLevel="2">
      <c r="A204" s="1312">
        <v>197</v>
      </c>
      <c r="B204" s="1316" t="s">
        <v>3770</v>
      </c>
      <c r="C204" s="1312" t="s">
        <v>1465</v>
      </c>
      <c r="D204" s="1316" t="s">
        <v>232</v>
      </c>
      <c r="E204" s="1312" t="s">
        <v>5</v>
      </c>
      <c r="F204" s="1316" t="s">
        <v>3771</v>
      </c>
      <c r="G204" s="1312" t="s">
        <v>3380</v>
      </c>
      <c r="H204" s="1317">
        <f t="shared" si="43"/>
        <v>106247</v>
      </c>
      <c r="I204" s="1661"/>
      <c r="J204" s="1661"/>
      <c r="K204" s="1661"/>
      <c r="L204" s="1661"/>
    </row>
    <row r="205" spans="1:12" ht="18" customHeight="1" outlineLevel="2">
      <c r="A205" s="1312">
        <v>198</v>
      </c>
      <c r="B205" s="1316" t="s">
        <v>3772</v>
      </c>
      <c r="C205" s="1312" t="s">
        <v>1465</v>
      </c>
      <c r="D205" s="1316" t="s">
        <v>233</v>
      </c>
      <c r="E205" s="1312" t="s">
        <v>5</v>
      </c>
      <c r="F205" s="1316" t="s">
        <v>3773</v>
      </c>
      <c r="G205" s="1312" t="s">
        <v>3377</v>
      </c>
      <c r="H205" s="1313">
        <f t="shared" ref="H205:H208" si="44">ROUND(254991.7,0)</f>
        <v>254992</v>
      </c>
      <c r="I205" s="1661"/>
      <c r="J205" s="1661"/>
      <c r="K205" s="1661"/>
      <c r="L205" s="1661"/>
    </row>
    <row r="206" spans="1:12" ht="18" customHeight="1" outlineLevel="2">
      <c r="A206" s="1312">
        <v>199</v>
      </c>
      <c r="B206" s="1316" t="s">
        <v>3774</v>
      </c>
      <c r="C206" s="1312" t="s">
        <v>958</v>
      </c>
      <c r="D206" s="1316" t="s">
        <v>230</v>
      </c>
      <c r="E206" s="1312" t="s">
        <v>5</v>
      </c>
      <c r="F206" s="1316" t="s">
        <v>3775</v>
      </c>
      <c r="G206" s="1312" t="s">
        <v>3377</v>
      </c>
      <c r="H206" s="1313">
        <f t="shared" si="44"/>
        <v>254992</v>
      </c>
      <c r="I206" s="1661"/>
      <c r="J206" s="1661"/>
      <c r="K206" s="1661"/>
      <c r="L206" s="1661"/>
    </row>
    <row r="207" spans="1:12" ht="18" customHeight="1" outlineLevel="2">
      <c r="A207" s="1312">
        <v>200</v>
      </c>
      <c r="B207" s="1316" t="s">
        <v>3776</v>
      </c>
      <c r="C207" s="1312" t="s">
        <v>958</v>
      </c>
      <c r="D207" s="1316" t="s">
        <v>230</v>
      </c>
      <c r="E207" s="1312" t="s">
        <v>5</v>
      </c>
      <c r="F207" s="1316" t="s">
        <v>3777</v>
      </c>
      <c r="G207" s="1312" t="s">
        <v>3377</v>
      </c>
      <c r="H207" s="1313">
        <f t="shared" si="44"/>
        <v>254992</v>
      </c>
      <c r="I207" s="1661"/>
      <c r="J207" s="1661"/>
      <c r="K207" s="1661"/>
      <c r="L207" s="1661"/>
    </row>
    <row r="208" spans="1:12" ht="18" customHeight="1" outlineLevel="2">
      <c r="A208" s="1312">
        <v>201</v>
      </c>
      <c r="B208" s="1316" t="s">
        <v>3778</v>
      </c>
      <c r="C208" s="1312" t="s">
        <v>958</v>
      </c>
      <c r="D208" s="1316" t="s">
        <v>230</v>
      </c>
      <c r="E208" s="1312" t="s">
        <v>5</v>
      </c>
      <c r="F208" s="1316" t="s">
        <v>3779</v>
      </c>
      <c r="G208" s="1312" t="s">
        <v>3377</v>
      </c>
      <c r="H208" s="1313">
        <f t="shared" si="44"/>
        <v>254992</v>
      </c>
      <c r="I208" s="1661"/>
      <c r="J208" s="1661"/>
      <c r="K208" s="1661"/>
      <c r="L208" s="1661"/>
    </row>
    <row r="209" spans="1:12" ht="18" customHeight="1" outlineLevel="2">
      <c r="A209" s="1312">
        <v>202</v>
      </c>
      <c r="B209" s="1316" t="s">
        <v>3780</v>
      </c>
      <c r="C209" s="1312" t="s">
        <v>958</v>
      </c>
      <c r="D209" s="1316" t="s">
        <v>230</v>
      </c>
      <c r="E209" s="1312" t="s">
        <v>5</v>
      </c>
      <c r="F209" s="1316" t="s">
        <v>3781</v>
      </c>
      <c r="G209" s="1312" t="s">
        <v>3380</v>
      </c>
      <c r="H209" s="1317">
        <f>ROUND(254991.7/12*5,0)</f>
        <v>106247</v>
      </c>
      <c r="I209" s="1661"/>
      <c r="J209" s="1661"/>
      <c r="K209" s="1661"/>
      <c r="L209" s="1661"/>
    </row>
    <row r="210" spans="1:12" ht="18" customHeight="1" outlineLevel="2">
      <c r="A210" s="1312">
        <v>203</v>
      </c>
      <c r="B210" s="1312" t="s">
        <v>3782</v>
      </c>
      <c r="C210" s="1312" t="s">
        <v>1465</v>
      </c>
      <c r="D210" s="1312" t="s">
        <v>231</v>
      </c>
      <c r="E210" s="1312" t="str">
        <f>VLOOKUP(D210,[2]Sheet1!D:F,3,FALSE)</f>
        <v>浦江</v>
      </c>
      <c r="F210" s="1312" t="s">
        <v>3783</v>
      </c>
      <c r="G210" s="1312" t="s">
        <v>3453</v>
      </c>
      <c r="H210" s="1313">
        <f>ROUND(254991.7/12*6,0)</f>
        <v>127496</v>
      </c>
      <c r="I210" s="1661"/>
      <c r="J210" s="1661"/>
      <c r="K210" s="1661"/>
      <c r="L210" s="1661"/>
    </row>
    <row r="211" spans="1:12" ht="18" customHeight="1" outlineLevel="2">
      <c r="A211" s="1312">
        <v>204</v>
      </c>
      <c r="B211" s="1316" t="s">
        <v>3784</v>
      </c>
      <c r="C211" s="1312" t="s">
        <v>958</v>
      </c>
      <c r="D211" s="1316" t="s">
        <v>235</v>
      </c>
      <c r="E211" s="1312" t="s">
        <v>5</v>
      </c>
      <c r="F211" s="1316" t="s">
        <v>3785</v>
      </c>
      <c r="G211" s="1312" t="s">
        <v>3377</v>
      </c>
      <c r="H211" s="1313">
        <v>285394</v>
      </c>
      <c r="I211" s="1661"/>
      <c r="J211" s="1661"/>
      <c r="K211" s="1661"/>
      <c r="L211" s="1661"/>
    </row>
    <row r="212" spans="1:12" ht="18" customHeight="1" outlineLevel="2">
      <c r="A212" s="1312">
        <v>205</v>
      </c>
      <c r="B212" s="1316" t="s">
        <v>3786</v>
      </c>
      <c r="C212" s="1312" t="s">
        <v>958</v>
      </c>
      <c r="D212" s="1316" t="s">
        <v>235</v>
      </c>
      <c r="E212" s="1312" t="s">
        <v>5</v>
      </c>
      <c r="F212" s="1316" t="s">
        <v>3787</v>
      </c>
      <c r="G212" s="1312" t="s">
        <v>3377</v>
      </c>
      <c r="H212" s="1313">
        <v>285394</v>
      </c>
      <c r="I212" s="1661"/>
      <c r="J212" s="1661"/>
      <c r="K212" s="1661"/>
      <c r="L212" s="1661"/>
    </row>
    <row r="213" spans="1:12" ht="18" customHeight="1" outlineLevel="2">
      <c r="A213" s="1312">
        <v>206</v>
      </c>
      <c r="B213" s="1316" t="s">
        <v>3788</v>
      </c>
      <c r="C213" s="1312" t="s">
        <v>958</v>
      </c>
      <c r="D213" s="1316" t="s">
        <v>235</v>
      </c>
      <c r="E213" s="1312" t="s">
        <v>5</v>
      </c>
      <c r="F213" s="1316" t="s">
        <v>3789</v>
      </c>
      <c r="G213" s="1312" t="s">
        <v>3377</v>
      </c>
      <c r="H213" s="1313">
        <v>285394</v>
      </c>
      <c r="I213" s="1661"/>
      <c r="J213" s="1661"/>
      <c r="K213" s="1661"/>
      <c r="L213" s="1661"/>
    </row>
    <row r="214" spans="1:12" ht="18" customHeight="1" outlineLevel="2">
      <c r="A214" s="1312">
        <v>207</v>
      </c>
      <c r="B214" s="1316" t="s">
        <v>3790</v>
      </c>
      <c r="C214" s="1312" t="s">
        <v>958</v>
      </c>
      <c r="D214" s="1316" t="s">
        <v>235</v>
      </c>
      <c r="E214" s="1312" t="s">
        <v>5</v>
      </c>
      <c r="F214" s="1316" t="s">
        <v>3791</v>
      </c>
      <c r="G214" s="1312" t="s">
        <v>3380</v>
      </c>
      <c r="H214" s="1317">
        <f t="shared" ref="H214:H215" si="45">ROUND(285394/12*5,0)</f>
        <v>118914</v>
      </c>
      <c r="I214" s="1661"/>
      <c r="J214" s="1661"/>
      <c r="K214" s="1661"/>
      <c r="L214" s="1661"/>
    </row>
    <row r="215" spans="1:12" ht="18" customHeight="1" outlineLevel="2">
      <c r="A215" s="1312">
        <v>208</v>
      </c>
      <c r="B215" s="1316" t="s">
        <v>3792</v>
      </c>
      <c r="C215" s="1312" t="s">
        <v>958</v>
      </c>
      <c r="D215" s="1316" t="s">
        <v>235</v>
      </c>
      <c r="E215" s="1312" t="s">
        <v>5</v>
      </c>
      <c r="F215" s="1316" t="s">
        <v>3793</v>
      </c>
      <c r="G215" s="1312" t="s">
        <v>3380</v>
      </c>
      <c r="H215" s="1317">
        <f t="shared" si="45"/>
        <v>118914</v>
      </c>
      <c r="I215" s="1661"/>
      <c r="J215" s="1661"/>
      <c r="K215" s="1661"/>
      <c r="L215" s="1661"/>
    </row>
    <row r="216" spans="1:12" ht="18" customHeight="1" outlineLevel="2">
      <c r="A216" s="1312">
        <v>209</v>
      </c>
      <c r="B216" s="1316" t="s">
        <v>3794</v>
      </c>
      <c r="C216" s="1312" t="s">
        <v>962</v>
      </c>
      <c r="D216" s="1316" t="s">
        <v>229</v>
      </c>
      <c r="E216" s="1312" t="s">
        <v>5</v>
      </c>
      <c r="F216" s="1316" t="s">
        <v>3795</v>
      </c>
      <c r="G216" s="1312" t="s">
        <v>3377</v>
      </c>
      <c r="H216" s="1313">
        <v>285394</v>
      </c>
      <c r="I216" s="1661"/>
      <c r="J216" s="1661"/>
      <c r="K216" s="1661"/>
      <c r="L216" s="1661"/>
    </row>
    <row r="217" spans="1:12" ht="18" customHeight="1" outlineLevel="2">
      <c r="A217" s="1312">
        <v>210</v>
      </c>
      <c r="B217" s="1316" t="s">
        <v>3796</v>
      </c>
      <c r="C217" s="1312" t="s">
        <v>962</v>
      </c>
      <c r="D217" s="1316" t="s">
        <v>229</v>
      </c>
      <c r="E217" s="1312" t="s">
        <v>5</v>
      </c>
      <c r="F217" s="1316" t="s">
        <v>3797</v>
      </c>
      <c r="G217" s="1312" t="s">
        <v>3377</v>
      </c>
      <c r="H217" s="1313">
        <v>285394</v>
      </c>
      <c r="I217" s="1661"/>
      <c r="J217" s="1661"/>
      <c r="K217" s="1661"/>
      <c r="L217" s="1661"/>
    </row>
    <row r="218" spans="1:12" ht="18" customHeight="1" outlineLevel="2">
      <c r="A218" s="1312">
        <v>211</v>
      </c>
      <c r="B218" s="1316" t="s">
        <v>3798</v>
      </c>
      <c r="C218" s="1312" t="s">
        <v>962</v>
      </c>
      <c r="D218" s="1316" t="s">
        <v>229</v>
      </c>
      <c r="E218" s="1312" t="s">
        <v>5</v>
      </c>
      <c r="F218" s="1316" t="s">
        <v>3799</v>
      </c>
      <c r="G218" s="1312" t="s">
        <v>3380</v>
      </c>
      <c r="H218" s="1317">
        <f t="shared" ref="H218:H221" si="46">ROUND(285394/12*5,0)</f>
        <v>118914</v>
      </c>
      <c r="I218" s="1661"/>
      <c r="J218" s="1661"/>
      <c r="K218" s="1661"/>
      <c r="L218" s="1661"/>
    </row>
    <row r="219" spans="1:12" ht="18" customHeight="1" outlineLevel="2">
      <c r="A219" s="1312">
        <v>212</v>
      </c>
      <c r="B219" s="1316" t="s">
        <v>3800</v>
      </c>
      <c r="C219" s="1312" t="s">
        <v>962</v>
      </c>
      <c r="D219" s="1316" t="s">
        <v>229</v>
      </c>
      <c r="E219" s="1312" t="s">
        <v>5</v>
      </c>
      <c r="F219" s="1316" t="s">
        <v>3801</v>
      </c>
      <c r="G219" s="1312" t="s">
        <v>3380</v>
      </c>
      <c r="H219" s="1317">
        <f t="shared" si="46"/>
        <v>118914</v>
      </c>
      <c r="I219" s="1661"/>
      <c r="J219" s="1661"/>
      <c r="K219" s="1661"/>
      <c r="L219" s="1661"/>
    </row>
    <row r="220" spans="1:12" ht="18" customHeight="1" outlineLevel="2">
      <c r="A220" s="1312">
        <v>213</v>
      </c>
      <c r="B220" s="1316" t="s">
        <v>3802</v>
      </c>
      <c r="C220" s="1312" t="s">
        <v>962</v>
      </c>
      <c r="D220" s="1316" t="s">
        <v>229</v>
      </c>
      <c r="E220" s="1312" t="s">
        <v>5</v>
      </c>
      <c r="F220" s="1316" t="s">
        <v>3803</v>
      </c>
      <c r="G220" s="1312" t="s">
        <v>3380</v>
      </c>
      <c r="H220" s="1317">
        <f t="shared" si="46"/>
        <v>118914</v>
      </c>
      <c r="I220" s="1661"/>
      <c r="J220" s="1661"/>
      <c r="K220" s="1661"/>
      <c r="L220" s="1661"/>
    </row>
    <row r="221" spans="1:12" ht="18" customHeight="1" outlineLevel="2">
      <c r="A221" s="1312">
        <v>214</v>
      </c>
      <c r="B221" s="1316" t="s">
        <v>3804</v>
      </c>
      <c r="C221" s="1312" t="s">
        <v>962</v>
      </c>
      <c r="D221" s="1316" t="s">
        <v>229</v>
      </c>
      <c r="E221" s="1312" t="s">
        <v>5</v>
      </c>
      <c r="F221" s="1316" t="s">
        <v>3805</v>
      </c>
      <c r="G221" s="1312" t="s">
        <v>3380</v>
      </c>
      <c r="H221" s="1317">
        <f t="shared" si="46"/>
        <v>118914</v>
      </c>
      <c r="I221" s="1661"/>
      <c r="J221" s="1661"/>
      <c r="K221" s="1661"/>
      <c r="L221" s="1661"/>
    </row>
    <row r="222" spans="1:12" ht="18" customHeight="1" outlineLevel="2">
      <c r="A222" s="1312">
        <v>215</v>
      </c>
      <c r="B222" s="1316" t="s">
        <v>3806</v>
      </c>
      <c r="C222" s="1312" t="s">
        <v>962</v>
      </c>
      <c r="D222" s="1316" t="s">
        <v>227</v>
      </c>
      <c r="E222" s="1312" t="s">
        <v>5</v>
      </c>
      <c r="F222" s="1316" t="s">
        <v>3807</v>
      </c>
      <c r="G222" s="1312" t="s">
        <v>3377</v>
      </c>
      <c r="H222" s="1313">
        <v>285394</v>
      </c>
      <c r="I222" s="1661"/>
      <c r="J222" s="1661"/>
      <c r="K222" s="1661"/>
      <c r="L222" s="1661"/>
    </row>
    <row r="223" spans="1:12" ht="18" customHeight="1" outlineLevel="2">
      <c r="A223" s="1312">
        <v>216</v>
      </c>
      <c r="B223" s="1316" t="s">
        <v>3808</v>
      </c>
      <c r="C223" s="1312" t="s">
        <v>962</v>
      </c>
      <c r="D223" s="1316" t="s">
        <v>227</v>
      </c>
      <c r="E223" s="1312" t="s">
        <v>5</v>
      </c>
      <c r="F223" s="1316" t="s">
        <v>3809</v>
      </c>
      <c r="G223" s="1312" t="s">
        <v>3380</v>
      </c>
      <c r="H223" s="1317">
        <f t="shared" ref="H223:H228" si="47">ROUND(285394/12*5,0)</f>
        <v>118914</v>
      </c>
      <c r="I223" s="1661"/>
      <c r="J223" s="1661"/>
      <c r="K223" s="1661"/>
      <c r="L223" s="1661"/>
    </row>
    <row r="224" spans="1:12" ht="18" customHeight="1" outlineLevel="2">
      <c r="A224" s="1312">
        <v>217</v>
      </c>
      <c r="B224" s="1316" t="s">
        <v>3810</v>
      </c>
      <c r="C224" s="1312" t="s">
        <v>962</v>
      </c>
      <c r="D224" s="1316" t="s">
        <v>227</v>
      </c>
      <c r="E224" s="1312" t="s">
        <v>5</v>
      </c>
      <c r="F224" s="1316" t="s">
        <v>3811</v>
      </c>
      <c r="G224" s="1312" t="s">
        <v>3380</v>
      </c>
      <c r="H224" s="1317">
        <f t="shared" si="47"/>
        <v>118914</v>
      </c>
      <c r="I224" s="1661"/>
      <c r="J224" s="1661"/>
      <c r="K224" s="1661"/>
      <c r="L224" s="1661"/>
    </row>
    <row r="225" spans="1:12" ht="18" customHeight="1" outlineLevel="2">
      <c r="A225" s="1312">
        <v>218</v>
      </c>
      <c r="B225" s="1316" t="s">
        <v>1204</v>
      </c>
      <c r="C225" s="1312" t="s">
        <v>962</v>
      </c>
      <c r="D225" s="1316" t="s">
        <v>227</v>
      </c>
      <c r="E225" s="1312" t="s">
        <v>5</v>
      </c>
      <c r="F225" s="1316" t="s">
        <v>3812</v>
      </c>
      <c r="G225" s="1312" t="s">
        <v>3380</v>
      </c>
      <c r="H225" s="1317">
        <f t="shared" si="47"/>
        <v>118914</v>
      </c>
      <c r="I225" s="1661"/>
      <c r="J225" s="1661"/>
      <c r="K225" s="1661"/>
      <c r="L225" s="1661"/>
    </row>
    <row r="226" spans="1:12" ht="18" customHeight="1" outlineLevel="2">
      <c r="A226" s="1312">
        <v>219</v>
      </c>
      <c r="B226" s="1316" t="s">
        <v>3813</v>
      </c>
      <c r="C226" s="1312" t="s">
        <v>962</v>
      </c>
      <c r="D226" s="1316" t="s">
        <v>227</v>
      </c>
      <c r="E226" s="1312" t="s">
        <v>5</v>
      </c>
      <c r="F226" s="1316" t="s">
        <v>3814</v>
      </c>
      <c r="G226" s="1312" t="s">
        <v>3380</v>
      </c>
      <c r="H226" s="1317">
        <f t="shared" si="47"/>
        <v>118914</v>
      </c>
      <c r="I226" s="1661"/>
      <c r="J226" s="1661"/>
      <c r="K226" s="1661"/>
      <c r="L226" s="1661"/>
    </row>
    <row r="227" spans="1:12" ht="18" customHeight="1" outlineLevel="2">
      <c r="A227" s="1312">
        <v>220</v>
      </c>
      <c r="B227" s="1316" t="s">
        <v>3815</v>
      </c>
      <c r="C227" s="1312" t="s">
        <v>962</v>
      </c>
      <c r="D227" s="1316" t="s">
        <v>227</v>
      </c>
      <c r="E227" s="1312" t="s">
        <v>5</v>
      </c>
      <c r="F227" s="1316" t="s">
        <v>3816</v>
      </c>
      <c r="G227" s="1312" t="s">
        <v>3380</v>
      </c>
      <c r="H227" s="1317">
        <f t="shared" si="47"/>
        <v>118914</v>
      </c>
      <c r="I227" s="1661"/>
      <c r="J227" s="1661"/>
      <c r="K227" s="1661"/>
      <c r="L227" s="1661"/>
    </row>
    <row r="228" spans="1:12" ht="18" customHeight="1" outlineLevel="2">
      <c r="A228" s="1312">
        <v>221</v>
      </c>
      <c r="B228" s="1316" t="s">
        <v>3817</v>
      </c>
      <c r="C228" s="1312" t="s">
        <v>962</v>
      </c>
      <c r="D228" s="1316" t="s">
        <v>227</v>
      </c>
      <c r="E228" s="1312" t="s">
        <v>5</v>
      </c>
      <c r="F228" s="1316" t="s">
        <v>3818</v>
      </c>
      <c r="G228" s="1312" t="s">
        <v>3380</v>
      </c>
      <c r="H228" s="1317">
        <f t="shared" si="47"/>
        <v>118914</v>
      </c>
      <c r="I228" s="1661"/>
      <c r="J228" s="1661"/>
      <c r="K228" s="1661"/>
      <c r="L228" s="1661"/>
    </row>
    <row r="229" spans="1:12" ht="18" customHeight="1" outlineLevel="2">
      <c r="A229" s="1312">
        <v>222</v>
      </c>
      <c r="B229" s="1316" t="s">
        <v>3819</v>
      </c>
      <c r="C229" s="1312" t="s">
        <v>962</v>
      </c>
      <c r="D229" s="1316" t="s">
        <v>228</v>
      </c>
      <c r="E229" s="1312" t="s">
        <v>5</v>
      </c>
      <c r="F229" s="1316" t="s">
        <v>3820</v>
      </c>
      <c r="G229" s="1312" t="s">
        <v>3377</v>
      </c>
      <c r="H229" s="1313">
        <v>285394</v>
      </c>
      <c r="I229" s="1661"/>
      <c r="J229" s="1661"/>
      <c r="K229" s="1661"/>
      <c r="L229" s="1661"/>
    </row>
    <row r="230" spans="1:12" ht="18" customHeight="1" outlineLevel="2">
      <c r="A230" s="1312">
        <v>223</v>
      </c>
      <c r="B230" s="1316" t="s">
        <v>3821</v>
      </c>
      <c r="C230" s="1312" t="s">
        <v>962</v>
      </c>
      <c r="D230" s="1316" t="s">
        <v>228</v>
      </c>
      <c r="E230" s="1312" t="s">
        <v>5</v>
      </c>
      <c r="F230" s="1316" t="s">
        <v>3822</v>
      </c>
      <c r="G230" s="1312" t="s">
        <v>3377</v>
      </c>
      <c r="H230" s="1313">
        <v>285394</v>
      </c>
      <c r="I230" s="1661"/>
      <c r="J230" s="1661"/>
      <c r="K230" s="1661"/>
      <c r="L230" s="1661"/>
    </row>
    <row r="231" spans="1:12" ht="18" customHeight="1" outlineLevel="2">
      <c r="A231" s="1312">
        <v>224</v>
      </c>
      <c r="B231" s="1316" t="s">
        <v>3823</v>
      </c>
      <c r="C231" s="1312" t="s">
        <v>962</v>
      </c>
      <c r="D231" s="1316" t="s">
        <v>228</v>
      </c>
      <c r="E231" s="1312" t="s">
        <v>5</v>
      </c>
      <c r="F231" s="1316" t="s">
        <v>3824</v>
      </c>
      <c r="G231" s="1312" t="s">
        <v>3377</v>
      </c>
      <c r="H231" s="1313">
        <v>285394</v>
      </c>
      <c r="I231" s="1661"/>
      <c r="J231" s="1661"/>
      <c r="K231" s="1661"/>
      <c r="L231" s="1661"/>
    </row>
    <row r="232" spans="1:12" ht="18" customHeight="1" outlineLevel="2">
      <c r="A232" s="1312">
        <v>225</v>
      </c>
      <c r="B232" s="1316" t="s">
        <v>3825</v>
      </c>
      <c r="C232" s="1312" t="s">
        <v>962</v>
      </c>
      <c r="D232" s="1316" t="s">
        <v>228</v>
      </c>
      <c r="E232" s="1312" t="s">
        <v>5</v>
      </c>
      <c r="F232" s="1316" t="s">
        <v>3826</v>
      </c>
      <c r="G232" s="1312" t="s">
        <v>3380</v>
      </c>
      <c r="H232" s="1317">
        <f t="shared" ref="H232:H233" si="48">ROUND(285394/12*5,0)</f>
        <v>118914</v>
      </c>
      <c r="I232" s="1661"/>
      <c r="J232" s="1661"/>
      <c r="K232" s="1661"/>
      <c r="L232" s="1661"/>
    </row>
    <row r="233" spans="1:12" ht="18" customHeight="1" outlineLevel="2">
      <c r="A233" s="1312">
        <v>226</v>
      </c>
      <c r="B233" s="1316" t="s">
        <v>3827</v>
      </c>
      <c r="C233" s="1312" t="s">
        <v>962</v>
      </c>
      <c r="D233" s="1316" t="s">
        <v>228</v>
      </c>
      <c r="E233" s="1312" t="s">
        <v>5</v>
      </c>
      <c r="F233" s="1316" t="s">
        <v>3828</v>
      </c>
      <c r="G233" s="1312" t="s">
        <v>3380</v>
      </c>
      <c r="H233" s="1317">
        <f t="shared" si="48"/>
        <v>118914</v>
      </c>
      <c r="I233" s="1661"/>
      <c r="J233" s="1661"/>
      <c r="K233" s="1661"/>
      <c r="L233" s="1661"/>
    </row>
    <row r="234" spans="1:12" ht="18" customHeight="1" outlineLevel="2">
      <c r="A234" s="1312">
        <v>227</v>
      </c>
      <c r="B234" s="1312" t="s">
        <v>3829</v>
      </c>
      <c r="C234" s="1312" t="s">
        <v>958</v>
      </c>
      <c r="D234" s="1312" t="s">
        <v>235</v>
      </c>
      <c r="E234" s="1312" t="str">
        <f>VLOOKUP(D234,[2]Sheet1!D:F,3,FALSE)</f>
        <v>浦江</v>
      </c>
      <c r="F234" s="1312" t="s">
        <v>3830</v>
      </c>
      <c r="G234" s="1312" t="s">
        <v>3831</v>
      </c>
      <c r="H234" s="1313">
        <f>ROUND(285394/12*6,0)</f>
        <v>142697</v>
      </c>
      <c r="I234" s="1661"/>
      <c r="J234" s="1661"/>
      <c r="K234" s="1661"/>
      <c r="L234" s="1661"/>
    </row>
    <row r="235" spans="1:12" ht="18" customHeight="1" outlineLevel="2">
      <c r="A235" s="1312">
        <v>228</v>
      </c>
      <c r="B235" s="1312" t="s">
        <v>3832</v>
      </c>
      <c r="C235" s="1312" t="s">
        <v>958</v>
      </c>
      <c r="D235" s="1312" t="s">
        <v>235</v>
      </c>
      <c r="E235" s="1312" t="str">
        <f>VLOOKUP(D235,[2]Sheet1!D:F,3,FALSE)</f>
        <v>浦江</v>
      </c>
      <c r="F235" s="1312" t="s">
        <v>3833</v>
      </c>
      <c r="G235" s="1312" t="s">
        <v>3831</v>
      </c>
      <c r="H235" s="1313">
        <f t="shared" ref="H235:H238" si="49">ROUND(285394/12*6,0)</f>
        <v>142697</v>
      </c>
      <c r="I235" s="1661"/>
      <c r="J235" s="1661"/>
      <c r="K235" s="1661"/>
      <c r="L235" s="1661"/>
    </row>
    <row r="236" spans="1:12" ht="18" customHeight="1" outlineLevel="2">
      <c r="A236" s="1312">
        <v>229</v>
      </c>
      <c r="B236" s="1312" t="s">
        <v>3834</v>
      </c>
      <c r="C236" s="1312" t="s">
        <v>962</v>
      </c>
      <c r="D236" s="1312" t="s">
        <v>229</v>
      </c>
      <c r="E236" s="1312" t="str">
        <f>VLOOKUP(D236,[2]Sheet1!D:F,3,FALSE)</f>
        <v>浦江</v>
      </c>
      <c r="F236" s="1312" t="s">
        <v>3835</v>
      </c>
      <c r="G236" s="1312" t="s">
        <v>3831</v>
      </c>
      <c r="H236" s="1313">
        <f t="shared" si="49"/>
        <v>142697</v>
      </c>
      <c r="I236" s="1661"/>
      <c r="J236" s="1661"/>
      <c r="K236" s="1661"/>
      <c r="L236" s="1661"/>
    </row>
    <row r="237" spans="1:12" ht="18" customHeight="1" outlineLevel="2">
      <c r="A237" s="1312">
        <v>230</v>
      </c>
      <c r="B237" s="1312" t="s">
        <v>3836</v>
      </c>
      <c r="C237" s="1312" t="s">
        <v>962</v>
      </c>
      <c r="D237" s="1312" t="s">
        <v>229</v>
      </c>
      <c r="E237" s="1312" t="str">
        <f>VLOOKUP(D237,[2]Sheet1!D:F,3,FALSE)</f>
        <v>浦江</v>
      </c>
      <c r="F237" s="1312" t="s">
        <v>3837</v>
      </c>
      <c r="G237" s="1312" t="s">
        <v>3831</v>
      </c>
      <c r="H237" s="1313">
        <f t="shared" si="49"/>
        <v>142697</v>
      </c>
      <c r="I237" s="1661"/>
      <c r="J237" s="1661"/>
      <c r="K237" s="1661"/>
      <c r="L237" s="1661"/>
    </row>
    <row r="238" spans="1:12" ht="18" customHeight="1" outlineLevel="2">
      <c r="A238" s="1312">
        <v>231</v>
      </c>
      <c r="B238" s="1312" t="s">
        <v>3838</v>
      </c>
      <c r="C238" s="1312" t="s">
        <v>962</v>
      </c>
      <c r="D238" s="1312" t="s">
        <v>227</v>
      </c>
      <c r="E238" s="1312" t="str">
        <f>VLOOKUP(D238,[2]Sheet1!D:F,3,FALSE)</f>
        <v>浦江</v>
      </c>
      <c r="F238" s="1312" t="s">
        <v>3839</v>
      </c>
      <c r="G238" s="1312" t="s">
        <v>3831</v>
      </c>
      <c r="H238" s="1313">
        <f t="shared" si="49"/>
        <v>142697</v>
      </c>
      <c r="I238" s="1662"/>
      <c r="J238" s="1662"/>
      <c r="K238" s="1662"/>
      <c r="L238" s="1662"/>
    </row>
    <row r="239" spans="1:12" ht="18" customHeight="1" outlineLevel="1">
      <c r="A239" s="1312"/>
      <c r="B239" s="1312"/>
      <c r="C239" s="1312"/>
      <c r="D239" s="1312"/>
      <c r="E239" s="1320" t="s">
        <v>257</v>
      </c>
      <c r="F239" s="1312"/>
      <c r="G239" s="1312"/>
      <c r="H239" s="1313">
        <f>SUBTOTAL(9,H115:H238)</f>
        <v>20349712</v>
      </c>
      <c r="I239" s="1319">
        <f t="shared" ref="I239:L239" si="50">SUBTOTAL(9,I115:I238)</f>
        <v>13514896.08</v>
      </c>
      <c r="J239" s="1319">
        <f t="shared" si="50"/>
        <v>6834815.9199999999</v>
      </c>
      <c r="K239" s="1319">
        <f t="shared" si="50"/>
        <v>4216966.78</v>
      </c>
      <c r="L239" s="1319">
        <f t="shared" si="50"/>
        <v>2617849.1399999997</v>
      </c>
    </row>
    <row r="240" spans="1:12" ht="18" customHeight="1" outlineLevel="2">
      <c r="A240" s="1312">
        <v>232</v>
      </c>
      <c r="B240" s="1312" t="s">
        <v>3840</v>
      </c>
      <c r="C240" s="1312" t="s">
        <v>3081</v>
      </c>
      <c r="D240" s="1312" t="s">
        <v>1023</v>
      </c>
      <c r="E240" s="1312" t="s">
        <v>6</v>
      </c>
      <c r="F240" s="1316" t="s">
        <v>3841</v>
      </c>
      <c r="G240" s="1312" t="s">
        <v>3377</v>
      </c>
      <c r="H240" s="1313">
        <f t="shared" ref="H240:H243" si="51">ROUND(232297.1,0)</f>
        <v>232297</v>
      </c>
      <c r="I240" s="1660">
        <v>2702973.44</v>
      </c>
      <c r="J240" s="1660">
        <f>H260-I240</f>
        <v>911550.56</v>
      </c>
      <c r="K240" s="1660">
        <v>0</v>
      </c>
      <c r="L240" s="1660">
        <f>J240-K240</f>
        <v>911550.56</v>
      </c>
    </row>
    <row r="241" spans="1:12" ht="18" customHeight="1" outlineLevel="2">
      <c r="A241" s="1312">
        <v>233</v>
      </c>
      <c r="B241" s="1312" t="s">
        <v>3842</v>
      </c>
      <c r="C241" s="1312" t="s">
        <v>3081</v>
      </c>
      <c r="D241" s="1312" t="s">
        <v>1028</v>
      </c>
      <c r="E241" s="1312" t="s">
        <v>6</v>
      </c>
      <c r="F241" s="1316" t="s">
        <v>3843</v>
      </c>
      <c r="G241" s="1312" t="s">
        <v>3377</v>
      </c>
      <c r="H241" s="1313">
        <f t="shared" si="51"/>
        <v>232297</v>
      </c>
      <c r="I241" s="1661"/>
      <c r="J241" s="1661"/>
      <c r="K241" s="1661"/>
      <c r="L241" s="1661"/>
    </row>
    <row r="242" spans="1:12" ht="18" customHeight="1" outlineLevel="2">
      <c r="A242" s="1312">
        <v>234</v>
      </c>
      <c r="B242" s="1312" t="s">
        <v>3844</v>
      </c>
      <c r="C242" s="1312" t="s">
        <v>3081</v>
      </c>
      <c r="D242" s="1312" t="s">
        <v>1027</v>
      </c>
      <c r="E242" s="1312" t="s">
        <v>6</v>
      </c>
      <c r="F242" s="1316" t="s">
        <v>3845</v>
      </c>
      <c r="G242" s="1312" t="s">
        <v>3377</v>
      </c>
      <c r="H242" s="1313">
        <f t="shared" si="51"/>
        <v>232297</v>
      </c>
      <c r="I242" s="1661"/>
      <c r="J242" s="1661"/>
      <c r="K242" s="1661"/>
      <c r="L242" s="1661"/>
    </row>
    <row r="243" spans="1:12" ht="18" customHeight="1" outlineLevel="2">
      <c r="A243" s="1312">
        <v>235</v>
      </c>
      <c r="B243" s="1312" t="s">
        <v>3846</v>
      </c>
      <c r="C243" s="1312" t="s">
        <v>3081</v>
      </c>
      <c r="D243" s="1312" t="s">
        <v>1027</v>
      </c>
      <c r="E243" s="1312" t="s">
        <v>6</v>
      </c>
      <c r="F243" s="1316" t="s">
        <v>3847</v>
      </c>
      <c r="G243" s="1312" t="s">
        <v>3377</v>
      </c>
      <c r="H243" s="1313">
        <f t="shared" si="51"/>
        <v>232297</v>
      </c>
      <c r="I243" s="1661"/>
      <c r="J243" s="1661"/>
      <c r="K243" s="1661"/>
      <c r="L243" s="1661"/>
    </row>
    <row r="244" spans="1:12" ht="18" customHeight="1" outlineLevel="2">
      <c r="A244" s="1312">
        <v>236</v>
      </c>
      <c r="B244" s="1316" t="s">
        <v>3848</v>
      </c>
      <c r="C244" s="1312" t="s">
        <v>1465</v>
      </c>
      <c r="D244" s="1316" t="s">
        <v>1021</v>
      </c>
      <c r="E244" s="1312" t="s">
        <v>6</v>
      </c>
      <c r="F244" s="1316" t="s">
        <v>3849</v>
      </c>
      <c r="G244" s="1312" t="s">
        <v>3377</v>
      </c>
      <c r="H244" s="1313">
        <f t="shared" ref="H244:H245" si="52">ROUND(254991.7,0)</f>
        <v>254992</v>
      </c>
      <c r="I244" s="1661"/>
      <c r="J244" s="1661"/>
      <c r="K244" s="1661"/>
      <c r="L244" s="1661"/>
    </row>
    <row r="245" spans="1:12" ht="18" customHeight="1" outlineLevel="2">
      <c r="A245" s="1312">
        <v>237</v>
      </c>
      <c r="B245" s="1316" t="s">
        <v>3850</v>
      </c>
      <c r="C245" s="1312" t="s">
        <v>1465</v>
      </c>
      <c r="D245" s="1316" t="s">
        <v>3851</v>
      </c>
      <c r="E245" s="1312" t="s">
        <v>6</v>
      </c>
      <c r="F245" s="1316" t="s">
        <v>3852</v>
      </c>
      <c r="G245" s="1312" t="s">
        <v>3377</v>
      </c>
      <c r="H245" s="1313">
        <f t="shared" si="52"/>
        <v>254992</v>
      </c>
      <c r="I245" s="1661"/>
      <c r="J245" s="1661"/>
      <c r="K245" s="1661"/>
      <c r="L245" s="1661"/>
    </row>
    <row r="246" spans="1:12" ht="18" customHeight="1" outlineLevel="2">
      <c r="A246" s="1312">
        <v>238</v>
      </c>
      <c r="B246" s="1316" t="s">
        <v>3853</v>
      </c>
      <c r="C246" s="1312" t="s">
        <v>958</v>
      </c>
      <c r="D246" s="1316" t="s">
        <v>1019</v>
      </c>
      <c r="E246" s="1312" t="s">
        <v>6</v>
      </c>
      <c r="F246" s="1316" t="s">
        <v>3854</v>
      </c>
      <c r="G246" s="1312" t="s">
        <v>3380</v>
      </c>
      <c r="H246" s="1317">
        <f>ROUND(254991.7/12*5,0)</f>
        <v>106247</v>
      </c>
      <c r="I246" s="1661"/>
      <c r="J246" s="1661"/>
      <c r="K246" s="1661"/>
      <c r="L246" s="1661"/>
    </row>
    <row r="247" spans="1:12" ht="18" customHeight="1" outlineLevel="2">
      <c r="A247" s="1312">
        <v>239</v>
      </c>
      <c r="B247" s="1316" t="s">
        <v>3855</v>
      </c>
      <c r="C247" s="1312" t="s">
        <v>962</v>
      </c>
      <c r="D247" s="1316" t="s">
        <v>226</v>
      </c>
      <c r="E247" s="1312" t="s">
        <v>6</v>
      </c>
      <c r="F247" s="1316" t="s">
        <v>3856</v>
      </c>
      <c r="G247" s="1312" t="s">
        <v>3377</v>
      </c>
      <c r="H247" s="1313">
        <v>285394</v>
      </c>
      <c r="I247" s="1661"/>
      <c r="J247" s="1661"/>
      <c r="K247" s="1661"/>
      <c r="L247" s="1661"/>
    </row>
    <row r="248" spans="1:12" ht="18" customHeight="1" outlineLevel="2">
      <c r="A248" s="1312">
        <v>240</v>
      </c>
      <c r="B248" s="1316" t="s">
        <v>3857</v>
      </c>
      <c r="C248" s="1312" t="s">
        <v>962</v>
      </c>
      <c r="D248" s="1316" t="s">
        <v>226</v>
      </c>
      <c r="E248" s="1312" t="s">
        <v>6</v>
      </c>
      <c r="F248" s="1316" t="s">
        <v>3858</v>
      </c>
      <c r="G248" s="1312" t="s">
        <v>3380</v>
      </c>
      <c r="H248" s="1317">
        <f t="shared" ref="H248:H249" si="53">ROUND(285394/12*5,0)</f>
        <v>118914</v>
      </c>
      <c r="I248" s="1661"/>
      <c r="J248" s="1661"/>
      <c r="K248" s="1661"/>
      <c r="L248" s="1661"/>
    </row>
    <row r="249" spans="1:12" ht="18" customHeight="1" outlineLevel="2">
      <c r="A249" s="1312">
        <v>241</v>
      </c>
      <c r="B249" s="1316" t="s">
        <v>3859</v>
      </c>
      <c r="C249" s="1312" t="s">
        <v>962</v>
      </c>
      <c r="D249" s="1316" t="s">
        <v>226</v>
      </c>
      <c r="E249" s="1312" t="s">
        <v>6</v>
      </c>
      <c r="F249" s="1316" t="s">
        <v>3860</v>
      </c>
      <c r="G249" s="1312" t="s">
        <v>3380</v>
      </c>
      <c r="H249" s="1317">
        <f t="shared" si="53"/>
        <v>118914</v>
      </c>
      <c r="I249" s="1661"/>
      <c r="J249" s="1661"/>
      <c r="K249" s="1661"/>
      <c r="L249" s="1661"/>
    </row>
    <row r="250" spans="1:12" ht="18" customHeight="1" outlineLevel="2">
      <c r="A250" s="1312">
        <v>242</v>
      </c>
      <c r="B250" s="1316" t="s">
        <v>3861</v>
      </c>
      <c r="C250" s="1312" t="s">
        <v>962</v>
      </c>
      <c r="D250" s="1316" t="s">
        <v>466</v>
      </c>
      <c r="E250" s="1312" t="s">
        <v>6</v>
      </c>
      <c r="F250" s="1316" t="s">
        <v>3862</v>
      </c>
      <c r="G250" s="1312" t="s">
        <v>3377</v>
      </c>
      <c r="H250" s="1313">
        <v>285394</v>
      </c>
      <c r="I250" s="1661"/>
      <c r="J250" s="1661"/>
      <c r="K250" s="1661"/>
      <c r="L250" s="1661"/>
    </row>
    <row r="251" spans="1:12" ht="18" customHeight="1" outlineLevel="2">
      <c r="A251" s="1312">
        <v>243</v>
      </c>
      <c r="B251" s="1316" t="s">
        <v>3863</v>
      </c>
      <c r="C251" s="1312" t="s">
        <v>962</v>
      </c>
      <c r="D251" s="1316" t="s">
        <v>466</v>
      </c>
      <c r="E251" s="1312" t="s">
        <v>6</v>
      </c>
      <c r="F251" s="1316" t="s">
        <v>3864</v>
      </c>
      <c r="G251" s="1312" t="s">
        <v>3380</v>
      </c>
      <c r="H251" s="1317">
        <f t="shared" ref="H251:H254" si="54">ROUND(285394/12*5,0)</f>
        <v>118914</v>
      </c>
      <c r="I251" s="1661"/>
      <c r="J251" s="1661"/>
      <c r="K251" s="1661"/>
      <c r="L251" s="1661"/>
    </row>
    <row r="252" spans="1:12" ht="18" customHeight="1" outlineLevel="2">
      <c r="A252" s="1312">
        <v>244</v>
      </c>
      <c r="B252" s="1316" t="s">
        <v>3865</v>
      </c>
      <c r="C252" s="1312" t="s">
        <v>962</v>
      </c>
      <c r="D252" s="1316" t="s">
        <v>466</v>
      </c>
      <c r="E252" s="1312" t="s">
        <v>6</v>
      </c>
      <c r="F252" s="1316" t="s">
        <v>3866</v>
      </c>
      <c r="G252" s="1312" t="s">
        <v>3380</v>
      </c>
      <c r="H252" s="1317">
        <f t="shared" si="54"/>
        <v>118914</v>
      </c>
      <c r="I252" s="1661"/>
      <c r="J252" s="1661"/>
      <c r="K252" s="1661"/>
      <c r="L252" s="1661"/>
    </row>
    <row r="253" spans="1:12" ht="18" customHeight="1" outlineLevel="2">
      <c r="A253" s="1312">
        <v>245</v>
      </c>
      <c r="B253" s="1316" t="s">
        <v>3867</v>
      </c>
      <c r="C253" s="1312" t="s">
        <v>962</v>
      </c>
      <c r="D253" s="1316" t="s">
        <v>466</v>
      </c>
      <c r="E253" s="1312" t="s">
        <v>6</v>
      </c>
      <c r="F253" s="1316" t="s">
        <v>3868</v>
      </c>
      <c r="G253" s="1312" t="s">
        <v>3380</v>
      </c>
      <c r="H253" s="1317">
        <f t="shared" si="54"/>
        <v>118914</v>
      </c>
      <c r="I253" s="1661"/>
      <c r="J253" s="1661"/>
      <c r="K253" s="1661"/>
      <c r="L253" s="1661"/>
    </row>
    <row r="254" spans="1:12" ht="18" customHeight="1" outlineLevel="2">
      <c r="A254" s="1312">
        <v>246</v>
      </c>
      <c r="B254" s="1316" t="s">
        <v>3869</v>
      </c>
      <c r="C254" s="1312" t="s">
        <v>962</v>
      </c>
      <c r="D254" s="1316" t="s">
        <v>466</v>
      </c>
      <c r="E254" s="1312" t="s">
        <v>6</v>
      </c>
      <c r="F254" s="1316" t="s">
        <v>3870</v>
      </c>
      <c r="G254" s="1312" t="s">
        <v>3380</v>
      </c>
      <c r="H254" s="1317">
        <f t="shared" si="54"/>
        <v>118914</v>
      </c>
      <c r="I254" s="1661"/>
      <c r="J254" s="1661"/>
      <c r="K254" s="1661"/>
      <c r="L254" s="1661"/>
    </row>
    <row r="255" spans="1:12" ht="18" customHeight="1" outlineLevel="2">
      <c r="A255" s="1312">
        <v>247</v>
      </c>
      <c r="B255" s="1316" t="s">
        <v>3871</v>
      </c>
      <c r="C255" s="1312" t="s">
        <v>962</v>
      </c>
      <c r="D255" s="1316" t="s">
        <v>1020</v>
      </c>
      <c r="E255" s="1312" t="s">
        <v>6</v>
      </c>
      <c r="F255" s="1316" t="s">
        <v>3872</v>
      </c>
      <c r="G255" s="1312" t="s">
        <v>3377</v>
      </c>
      <c r="H255" s="1313">
        <v>285394</v>
      </c>
      <c r="I255" s="1661"/>
      <c r="J255" s="1661"/>
      <c r="K255" s="1661"/>
      <c r="L255" s="1661"/>
    </row>
    <row r="256" spans="1:12" ht="18" customHeight="1" outlineLevel="2">
      <c r="A256" s="1312">
        <v>248</v>
      </c>
      <c r="B256" s="1316" t="s">
        <v>3873</v>
      </c>
      <c r="C256" s="1312" t="s">
        <v>962</v>
      </c>
      <c r="D256" s="1316" t="s">
        <v>1020</v>
      </c>
      <c r="E256" s="1312" t="s">
        <v>6</v>
      </c>
      <c r="F256" s="1316" t="s">
        <v>3874</v>
      </c>
      <c r="G256" s="1312" t="s">
        <v>3380</v>
      </c>
      <c r="H256" s="1317">
        <f t="shared" ref="H256:H258" si="55">ROUND(285394/12*5,0)</f>
        <v>118914</v>
      </c>
      <c r="I256" s="1661"/>
      <c r="J256" s="1661"/>
      <c r="K256" s="1661"/>
      <c r="L256" s="1661"/>
    </row>
    <row r="257" spans="1:12" ht="18" customHeight="1" outlineLevel="2">
      <c r="A257" s="1312">
        <v>249</v>
      </c>
      <c r="B257" s="1316" t="s">
        <v>3875</v>
      </c>
      <c r="C257" s="1312" t="s">
        <v>962</v>
      </c>
      <c r="D257" s="1316" t="s">
        <v>1020</v>
      </c>
      <c r="E257" s="1312" t="s">
        <v>6</v>
      </c>
      <c r="F257" s="1316" t="s">
        <v>3876</v>
      </c>
      <c r="G257" s="1312" t="s">
        <v>3380</v>
      </c>
      <c r="H257" s="1317">
        <f t="shared" si="55"/>
        <v>118914</v>
      </c>
      <c r="I257" s="1661"/>
      <c r="J257" s="1661"/>
      <c r="K257" s="1661"/>
      <c r="L257" s="1661"/>
    </row>
    <row r="258" spans="1:12" ht="18" customHeight="1" outlineLevel="2">
      <c r="A258" s="1312">
        <v>250</v>
      </c>
      <c r="B258" s="1316" t="s">
        <v>3877</v>
      </c>
      <c r="C258" s="1312" t="s">
        <v>962</v>
      </c>
      <c r="D258" s="1316" t="s">
        <v>1020</v>
      </c>
      <c r="E258" s="1312" t="s">
        <v>6</v>
      </c>
      <c r="F258" s="1316" t="s">
        <v>3878</v>
      </c>
      <c r="G258" s="1312" t="s">
        <v>3380</v>
      </c>
      <c r="H258" s="1317">
        <f t="shared" si="55"/>
        <v>118914</v>
      </c>
      <c r="I258" s="1661"/>
      <c r="J258" s="1661"/>
      <c r="K258" s="1661"/>
      <c r="L258" s="1661"/>
    </row>
    <row r="259" spans="1:12" ht="18" customHeight="1" outlineLevel="2">
      <c r="A259" s="1312">
        <v>251</v>
      </c>
      <c r="B259" s="1312" t="s">
        <v>3879</v>
      </c>
      <c r="C259" s="1312" t="s">
        <v>962</v>
      </c>
      <c r="D259" s="1312" t="s">
        <v>1020</v>
      </c>
      <c r="E259" s="1312" t="str">
        <f>VLOOKUP(D259,[2]Sheet1!D:F,3,FALSE)</f>
        <v>梅陇</v>
      </c>
      <c r="F259" s="1312" t="s">
        <v>3880</v>
      </c>
      <c r="G259" s="1312" t="s">
        <v>3831</v>
      </c>
      <c r="H259" s="1313">
        <f>ROUND(285394/12*6,0)</f>
        <v>142697</v>
      </c>
      <c r="I259" s="1662"/>
      <c r="J259" s="1662"/>
      <c r="K259" s="1662"/>
      <c r="L259" s="1662"/>
    </row>
    <row r="260" spans="1:12" ht="18" customHeight="1" outlineLevel="1">
      <c r="A260" s="1312"/>
      <c r="B260" s="1312"/>
      <c r="C260" s="1312"/>
      <c r="D260" s="1312"/>
      <c r="E260" s="1320" t="s">
        <v>258</v>
      </c>
      <c r="F260" s="1312"/>
      <c r="G260" s="1312"/>
      <c r="H260" s="1313">
        <f>SUBTOTAL(9,H240:H259)</f>
        <v>3614524</v>
      </c>
      <c r="I260" s="1319">
        <f t="shared" ref="I260:L260" si="56">SUBTOTAL(9,I240:I259)</f>
        <v>2702973.44</v>
      </c>
      <c r="J260" s="1319">
        <f t="shared" si="56"/>
        <v>911550.56</v>
      </c>
      <c r="K260" s="1319">
        <f t="shared" si="56"/>
        <v>0</v>
      </c>
      <c r="L260" s="1319">
        <f t="shared" si="56"/>
        <v>911550.56</v>
      </c>
    </row>
    <row r="261" spans="1:12" ht="18" customHeight="1" outlineLevel="2">
      <c r="A261" s="1312">
        <v>252</v>
      </c>
      <c r="B261" s="1312" t="s">
        <v>3881</v>
      </c>
      <c r="C261" s="1312" t="s">
        <v>3081</v>
      </c>
      <c r="D261" s="1312" t="s">
        <v>1038</v>
      </c>
      <c r="E261" s="1312" t="s">
        <v>7</v>
      </c>
      <c r="F261" s="1316" t="s">
        <v>3882</v>
      </c>
      <c r="G261" s="1312" t="s">
        <v>3377</v>
      </c>
      <c r="H261" s="1313">
        <f>ROUND(232297.1,0)</f>
        <v>232297</v>
      </c>
      <c r="I261" s="1660">
        <v>3710599.68</v>
      </c>
      <c r="J261" s="1660">
        <f>H287-I261</f>
        <v>1134155.3199999998</v>
      </c>
      <c r="K261" s="1660">
        <v>0</v>
      </c>
      <c r="L261" s="1660">
        <f>J261-K261</f>
        <v>1134155.3199999998</v>
      </c>
    </row>
    <row r="262" spans="1:12" ht="18" customHeight="1" outlineLevel="2">
      <c r="A262" s="1312">
        <v>253</v>
      </c>
      <c r="B262" s="1312" t="s">
        <v>3883</v>
      </c>
      <c r="C262" s="1312" t="s">
        <v>3081</v>
      </c>
      <c r="D262" s="1312" t="s">
        <v>1038</v>
      </c>
      <c r="E262" s="1312" t="s">
        <v>7</v>
      </c>
      <c r="F262" s="1316" t="s">
        <v>3884</v>
      </c>
      <c r="G262" s="1312" t="s">
        <v>3380</v>
      </c>
      <c r="H262" s="1317">
        <f t="shared" ref="H262:H266" si="57">ROUND(232297.1/12*5,0)</f>
        <v>96790</v>
      </c>
      <c r="I262" s="1661"/>
      <c r="J262" s="1661"/>
      <c r="K262" s="1661"/>
      <c r="L262" s="1661"/>
    </row>
    <row r="263" spans="1:12" ht="18" customHeight="1" outlineLevel="2">
      <c r="A263" s="1312">
        <v>254</v>
      </c>
      <c r="B263" s="1312" t="s">
        <v>3885</v>
      </c>
      <c r="C263" s="1312" t="s">
        <v>3081</v>
      </c>
      <c r="D263" s="1312" t="s">
        <v>1038</v>
      </c>
      <c r="E263" s="1312" t="s">
        <v>7</v>
      </c>
      <c r="F263" s="1316" t="s">
        <v>3886</v>
      </c>
      <c r="G263" s="1312" t="s">
        <v>3380</v>
      </c>
      <c r="H263" s="1317">
        <f t="shared" si="57"/>
        <v>96790</v>
      </c>
      <c r="I263" s="1661"/>
      <c r="J263" s="1661"/>
      <c r="K263" s="1661"/>
      <c r="L263" s="1661"/>
    </row>
    <row r="264" spans="1:12" ht="18" customHeight="1" outlineLevel="2">
      <c r="A264" s="1312">
        <v>255</v>
      </c>
      <c r="B264" s="1312" t="s">
        <v>3887</v>
      </c>
      <c r="C264" s="1312" t="s">
        <v>3081</v>
      </c>
      <c r="D264" s="1312" t="s">
        <v>1036</v>
      </c>
      <c r="E264" s="1312" t="s">
        <v>7</v>
      </c>
      <c r="F264" s="1316" t="s">
        <v>3888</v>
      </c>
      <c r="G264" s="1312" t="s">
        <v>3380</v>
      </c>
      <c r="H264" s="1317">
        <f t="shared" si="57"/>
        <v>96790</v>
      </c>
      <c r="I264" s="1661"/>
      <c r="J264" s="1661"/>
      <c r="K264" s="1661"/>
      <c r="L264" s="1661"/>
    </row>
    <row r="265" spans="1:12" ht="18" customHeight="1" outlineLevel="2">
      <c r="A265" s="1312">
        <v>256</v>
      </c>
      <c r="B265" s="1312" t="s">
        <v>3889</v>
      </c>
      <c r="C265" s="1312" t="s">
        <v>3081</v>
      </c>
      <c r="D265" s="1312" t="s">
        <v>1036</v>
      </c>
      <c r="E265" s="1312" t="s">
        <v>7</v>
      </c>
      <c r="F265" s="1316" t="s">
        <v>3890</v>
      </c>
      <c r="G265" s="1312" t="s">
        <v>3380</v>
      </c>
      <c r="H265" s="1317">
        <f t="shared" si="57"/>
        <v>96790</v>
      </c>
      <c r="I265" s="1661"/>
      <c r="J265" s="1661"/>
      <c r="K265" s="1661"/>
      <c r="L265" s="1661"/>
    </row>
    <row r="266" spans="1:12" ht="18" customHeight="1" outlineLevel="2">
      <c r="A266" s="1312">
        <v>257</v>
      </c>
      <c r="B266" s="1312" t="s">
        <v>3891</v>
      </c>
      <c r="C266" s="1312" t="s">
        <v>3081</v>
      </c>
      <c r="D266" s="1312" t="s">
        <v>1036</v>
      </c>
      <c r="E266" s="1312" t="s">
        <v>7</v>
      </c>
      <c r="F266" s="1316" t="s">
        <v>3892</v>
      </c>
      <c r="G266" s="1312" t="s">
        <v>3380</v>
      </c>
      <c r="H266" s="1317">
        <f t="shared" si="57"/>
        <v>96790</v>
      </c>
      <c r="I266" s="1661"/>
      <c r="J266" s="1661"/>
      <c r="K266" s="1661"/>
      <c r="L266" s="1661"/>
    </row>
    <row r="267" spans="1:12" ht="18" customHeight="1" outlineLevel="2">
      <c r="A267" s="1312">
        <v>258</v>
      </c>
      <c r="B267" s="1312" t="s">
        <v>3893</v>
      </c>
      <c r="C267" s="1312" t="s">
        <v>3081</v>
      </c>
      <c r="D267" s="1312" t="s">
        <v>1038</v>
      </c>
      <c r="E267" s="1312" t="str">
        <f>VLOOKUP(D267,[2]Sheet1!D:F,3,FALSE)</f>
        <v>马桥</v>
      </c>
      <c r="F267" s="1312" t="s">
        <v>3894</v>
      </c>
      <c r="G267" s="1312" t="s">
        <v>3831</v>
      </c>
      <c r="H267" s="1313">
        <f>ROUND(232297.1/12*6,0)</f>
        <v>116149</v>
      </c>
      <c r="I267" s="1661"/>
      <c r="J267" s="1661"/>
      <c r="K267" s="1661"/>
      <c r="L267" s="1661"/>
    </row>
    <row r="268" spans="1:12" ht="18" customHeight="1" outlineLevel="2">
      <c r="A268" s="1312">
        <v>259</v>
      </c>
      <c r="B268" s="1316" t="s">
        <v>3895</v>
      </c>
      <c r="C268" s="1312" t="s">
        <v>1465</v>
      </c>
      <c r="D268" s="1316" t="s">
        <v>1032</v>
      </c>
      <c r="E268" s="1312" t="s">
        <v>7</v>
      </c>
      <c r="F268" s="1316" t="s">
        <v>3896</v>
      </c>
      <c r="G268" s="1312" t="s">
        <v>3377</v>
      </c>
      <c r="H268" s="1313">
        <f t="shared" ref="H268:H275" si="58">ROUND(254991.7,0)</f>
        <v>254992</v>
      </c>
      <c r="I268" s="1661"/>
      <c r="J268" s="1661"/>
      <c r="K268" s="1661"/>
      <c r="L268" s="1661"/>
    </row>
    <row r="269" spans="1:12" ht="18" customHeight="1" outlineLevel="2">
      <c r="A269" s="1312">
        <v>260</v>
      </c>
      <c r="B269" s="1316" t="s">
        <v>3897</v>
      </c>
      <c r="C269" s="1312" t="s">
        <v>1465</v>
      </c>
      <c r="D269" s="1316" t="s">
        <v>1032</v>
      </c>
      <c r="E269" s="1312" t="s">
        <v>7</v>
      </c>
      <c r="F269" s="1316" t="s">
        <v>3898</v>
      </c>
      <c r="G269" s="1312" t="s">
        <v>3377</v>
      </c>
      <c r="H269" s="1313">
        <f t="shared" si="58"/>
        <v>254992</v>
      </c>
      <c r="I269" s="1661"/>
      <c r="J269" s="1661"/>
      <c r="K269" s="1661"/>
      <c r="L269" s="1661"/>
    </row>
    <row r="270" spans="1:12" ht="18" customHeight="1" outlineLevel="2">
      <c r="A270" s="1312">
        <v>261</v>
      </c>
      <c r="B270" s="1316" t="s">
        <v>3899</v>
      </c>
      <c r="C270" s="1312" t="s">
        <v>1465</v>
      </c>
      <c r="D270" s="1316" t="s">
        <v>1032</v>
      </c>
      <c r="E270" s="1312" t="s">
        <v>7</v>
      </c>
      <c r="F270" s="1316" t="s">
        <v>3900</v>
      </c>
      <c r="G270" s="1312" t="s">
        <v>3377</v>
      </c>
      <c r="H270" s="1313">
        <f t="shared" si="58"/>
        <v>254992</v>
      </c>
      <c r="I270" s="1661"/>
      <c r="J270" s="1661"/>
      <c r="K270" s="1661"/>
      <c r="L270" s="1661"/>
    </row>
    <row r="271" spans="1:12" ht="18" customHeight="1" outlineLevel="2">
      <c r="A271" s="1312">
        <v>262</v>
      </c>
      <c r="B271" s="1316" t="s">
        <v>3901</v>
      </c>
      <c r="C271" s="1312" t="s">
        <v>1465</v>
      </c>
      <c r="D271" s="1316" t="s">
        <v>1032</v>
      </c>
      <c r="E271" s="1312" t="s">
        <v>7</v>
      </c>
      <c r="F271" s="1316" t="s">
        <v>3902</v>
      </c>
      <c r="G271" s="1312" t="s">
        <v>3377</v>
      </c>
      <c r="H271" s="1313">
        <f t="shared" si="58"/>
        <v>254992</v>
      </c>
      <c r="I271" s="1661"/>
      <c r="J271" s="1661"/>
      <c r="K271" s="1661"/>
      <c r="L271" s="1661"/>
    </row>
    <row r="272" spans="1:12" ht="18" customHeight="1" outlineLevel="2">
      <c r="A272" s="1312">
        <v>263</v>
      </c>
      <c r="B272" s="1316" t="s">
        <v>3903</v>
      </c>
      <c r="C272" s="1312" t="s">
        <v>958</v>
      </c>
      <c r="D272" s="1316" t="s">
        <v>266</v>
      </c>
      <c r="E272" s="1312" t="s">
        <v>7</v>
      </c>
      <c r="F272" s="1316" t="s">
        <v>3904</v>
      </c>
      <c r="G272" s="1312" t="s">
        <v>3377</v>
      </c>
      <c r="H272" s="1313">
        <f t="shared" si="58"/>
        <v>254992</v>
      </c>
      <c r="I272" s="1661"/>
      <c r="J272" s="1661"/>
      <c r="K272" s="1661"/>
      <c r="L272" s="1661"/>
    </row>
    <row r="273" spans="1:12" ht="18" customHeight="1" outlineLevel="2">
      <c r="A273" s="1312">
        <v>264</v>
      </c>
      <c r="B273" s="1316" t="s">
        <v>3905</v>
      </c>
      <c r="C273" s="1312" t="s">
        <v>958</v>
      </c>
      <c r="D273" s="1316" t="s">
        <v>266</v>
      </c>
      <c r="E273" s="1312" t="s">
        <v>7</v>
      </c>
      <c r="F273" s="1316" t="s">
        <v>3906</v>
      </c>
      <c r="G273" s="1312" t="s">
        <v>3377</v>
      </c>
      <c r="H273" s="1313">
        <f t="shared" si="58"/>
        <v>254992</v>
      </c>
      <c r="I273" s="1661"/>
      <c r="J273" s="1661"/>
      <c r="K273" s="1661"/>
      <c r="L273" s="1661"/>
    </row>
    <row r="274" spans="1:12" ht="18" customHeight="1" outlineLevel="2">
      <c r="A274" s="1312">
        <v>265</v>
      </c>
      <c r="B274" s="1316" t="s">
        <v>3907</v>
      </c>
      <c r="C274" s="1312" t="s">
        <v>958</v>
      </c>
      <c r="D274" s="1316" t="s">
        <v>266</v>
      </c>
      <c r="E274" s="1312" t="s">
        <v>7</v>
      </c>
      <c r="F274" s="1316" t="s">
        <v>3908</v>
      </c>
      <c r="G274" s="1312" t="s">
        <v>3377</v>
      </c>
      <c r="H274" s="1313">
        <f t="shared" si="58"/>
        <v>254992</v>
      </c>
      <c r="I274" s="1661"/>
      <c r="J274" s="1661"/>
      <c r="K274" s="1661"/>
      <c r="L274" s="1661"/>
    </row>
    <row r="275" spans="1:12" ht="18" customHeight="1" outlineLevel="2">
      <c r="A275" s="1312">
        <v>266</v>
      </c>
      <c r="B275" s="1316" t="s">
        <v>3909</v>
      </c>
      <c r="C275" s="1312" t="s">
        <v>958</v>
      </c>
      <c r="D275" s="1316" t="s">
        <v>266</v>
      </c>
      <c r="E275" s="1312" t="s">
        <v>7</v>
      </c>
      <c r="F275" s="1316" t="s">
        <v>3910</v>
      </c>
      <c r="G275" s="1312" t="s">
        <v>3377</v>
      </c>
      <c r="H275" s="1313">
        <f t="shared" si="58"/>
        <v>254992</v>
      </c>
      <c r="I275" s="1661"/>
      <c r="J275" s="1661"/>
      <c r="K275" s="1661"/>
      <c r="L275" s="1661"/>
    </row>
    <row r="276" spans="1:12" ht="18" customHeight="1" outlineLevel="2">
      <c r="A276" s="1312">
        <v>267</v>
      </c>
      <c r="B276" s="1316" t="s">
        <v>3911</v>
      </c>
      <c r="C276" s="1312" t="s">
        <v>958</v>
      </c>
      <c r="D276" s="1316" t="s">
        <v>266</v>
      </c>
      <c r="E276" s="1312" t="s">
        <v>7</v>
      </c>
      <c r="F276" s="1316" t="s">
        <v>3912</v>
      </c>
      <c r="G276" s="1312" t="s">
        <v>3380</v>
      </c>
      <c r="H276" s="1317">
        <f t="shared" ref="H276:H277" si="59">ROUND(254991.7/12*5,0)</f>
        <v>106247</v>
      </c>
      <c r="I276" s="1661"/>
      <c r="J276" s="1661"/>
      <c r="K276" s="1661"/>
      <c r="L276" s="1661"/>
    </row>
    <row r="277" spans="1:12" ht="18" customHeight="1" outlineLevel="2">
      <c r="A277" s="1312">
        <v>268</v>
      </c>
      <c r="B277" s="1316" t="s">
        <v>3913</v>
      </c>
      <c r="C277" s="1312" t="s">
        <v>958</v>
      </c>
      <c r="D277" s="1316" t="s">
        <v>266</v>
      </c>
      <c r="E277" s="1312" t="s">
        <v>7</v>
      </c>
      <c r="F277" s="1316" t="s">
        <v>3914</v>
      </c>
      <c r="G277" s="1312" t="s">
        <v>3380</v>
      </c>
      <c r="H277" s="1317">
        <f t="shared" si="59"/>
        <v>106247</v>
      </c>
      <c r="I277" s="1661"/>
      <c r="J277" s="1661"/>
      <c r="K277" s="1661"/>
      <c r="L277" s="1661"/>
    </row>
    <row r="278" spans="1:12" ht="18" customHeight="1" outlineLevel="2">
      <c r="A278" s="1312">
        <v>269</v>
      </c>
      <c r="B278" s="1316" t="s">
        <v>3915</v>
      </c>
      <c r="C278" s="1312" t="s">
        <v>958</v>
      </c>
      <c r="D278" s="1316" t="s">
        <v>266</v>
      </c>
      <c r="E278" s="1312" t="s">
        <v>7</v>
      </c>
      <c r="F278" s="1316" t="s">
        <v>3916</v>
      </c>
      <c r="G278" s="1312" t="s">
        <v>3377</v>
      </c>
      <c r="H278" s="1313">
        <v>285394</v>
      </c>
      <c r="I278" s="1661"/>
      <c r="J278" s="1661"/>
      <c r="K278" s="1661"/>
      <c r="L278" s="1661"/>
    </row>
    <row r="279" spans="1:12" ht="18" customHeight="1" outlineLevel="2">
      <c r="A279" s="1312">
        <v>270</v>
      </c>
      <c r="B279" s="1316" t="s">
        <v>3917</v>
      </c>
      <c r="C279" s="1312" t="s">
        <v>958</v>
      </c>
      <c r="D279" s="1316" t="s">
        <v>266</v>
      </c>
      <c r="E279" s="1312" t="s">
        <v>7</v>
      </c>
      <c r="F279" s="1316" t="s">
        <v>3918</v>
      </c>
      <c r="G279" s="1312" t="s">
        <v>3377</v>
      </c>
      <c r="H279" s="1313">
        <v>285394</v>
      </c>
      <c r="I279" s="1661"/>
      <c r="J279" s="1661"/>
      <c r="K279" s="1661"/>
      <c r="L279" s="1661"/>
    </row>
    <row r="280" spans="1:12" ht="18" customHeight="1" outlineLevel="2">
      <c r="A280" s="1312">
        <v>271</v>
      </c>
      <c r="B280" s="1316" t="s">
        <v>3919</v>
      </c>
      <c r="C280" s="1312" t="s">
        <v>958</v>
      </c>
      <c r="D280" s="1316" t="s">
        <v>266</v>
      </c>
      <c r="E280" s="1312" t="s">
        <v>7</v>
      </c>
      <c r="F280" s="1316" t="s">
        <v>3920</v>
      </c>
      <c r="G280" s="1312" t="s">
        <v>3380</v>
      </c>
      <c r="H280" s="1317">
        <f t="shared" ref="H280:H281" si="60">ROUND(285394/12*5,0)</f>
        <v>118914</v>
      </c>
      <c r="I280" s="1661"/>
      <c r="J280" s="1661"/>
      <c r="K280" s="1661"/>
      <c r="L280" s="1661"/>
    </row>
    <row r="281" spans="1:12" ht="18" customHeight="1" outlineLevel="2">
      <c r="A281" s="1312">
        <v>272</v>
      </c>
      <c r="B281" s="1316" t="s">
        <v>3921</v>
      </c>
      <c r="C281" s="1312" t="s">
        <v>958</v>
      </c>
      <c r="D281" s="1316" t="s">
        <v>266</v>
      </c>
      <c r="E281" s="1312" t="s">
        <v>7</v>
      </c>
      <c r="F281" s="1316" t="s">
        <v>3922</v>
      </c>
      <c r="G281" s="1312" t="s">
        <v>3380</v>
      </c>
      <c r="H281" s="1317">
        <f t="shared" si="60"/>
        <v>118914</v>
      </c>
      <c r="I281" s="1661"/>
      <c r="J281" s="1661"/>
      <c r="K281" s="1661"/>
      <c r="L281" s="1661"/>
    </row>
    <row r="282" spans="1:12" ht="18" customHeight="1" outlineLevel="2">
      <c r="A282" s="1312">
        <v>273</v>
      </c>
      <c r="B282" s="1316" t="s">
        <v>3923</v>
      </c>
      <c r="C282" s="1312" t="s">
        <v>958</v>
      </c>
      <c r="D282" s="1316" t="s">
        <v>1031</v>
      </c>
      <c r="E282" s="1312" t="s">
        <v>7</v>
      </c>
      <c r="F282" s="1316" t="s">
        <v>3924</v>
      </c>
      <c r="G282" s="1312" t="s">
        <v>3377</v>
      </c>
      <c r="H282" s="1313">
        <v>285394</v>
      </c>
      <c r="I282" s="1661"/>
      <c r="J282" s="1661"/>
      <c r="K282" s="1661"/>
      <c r="L282" s="1661"/>
    </row>
    <row r="283" spans="1:12" ht="18" customHeight="1" outlineLevel="2">
      <c r="A283" s="1312">
        <v>274</v>
      </c>
      <c r="B283" s="1316" t="s">
        <v>3925</v>
      </c>
      <c r="C283" s="1312" t="s">
        <v>958</v>
      </c>
      <c r="D283" s="1316" t="s">
        <v>1031</v>
      </c>
      <c r="E283" s="1312" t="s">
        <v>7</v>
      </c>
      <c r="F283" s="1316" t="s">
        <v>3926</v>
      </c>
      <c r="G283" s="1312" t="s">
        <v>3377</v>
      </c>
      <c r="H283" s="1313">
        <v>285394</v>
      </c>
      <c r="I283" s="1661"/>
      <c r="J283" s="1661"/>
      <c r="K283" s="1661"/>
      <c r="L283" s="1661"/>
    </row>
    <row r="284" spans="1:12" ht="18" customHeight="1" outlineLevel="2">
      <c r="A284" s="1312">
        <v>275</v>
      </c>
      <c r="B284" s="1316" t="s">
        <v>3927</v>
      </c>
      <c r="C284" s="1312" t="s">
        <v>962</v>
      </c>
      <c r="D284" s="1316" t="s">
        <v>1030</v>
      </c>
      <c r="E284" s="1312" t="s">
        <v>7</v>
      </c>
      <c r="F284" s="1316" t="s">
        <v>3928</v>
      </c>
      <c r="G284" s="1312" t="s">
        <v>3380</v>
      </c>
      <c r="H284" s="1317">
        <f t="shared" ref="H284:H285" si="61">ROUND(285394/12*5,0)</f>
        <v>118914</v>
      </c>
      <c r="I284" s="1661"/>
      <c r="J284" s="1661"/>
      <c r="K284" s="1661"/>
      <c r="L284" s="1661"/>
    </row>
    <row r="285" spans="1:12" ht="18" customHeight="1" outlineLevel="2">
      <c r="A285" s="1312">
        <v>276</v>
      </c>
      <c r="B285" s="1316" t="s">
        <v>3929</v>
      </c>
      <c r="C285" s="1312" t="s">
        <v>962</v>
      </c>
      <c r="D285" s="1316" t="s">
        <v>1030</v>
      </c>
      <c r="E285" s="1312" t="s">
        <v>7</v>
      </c>
      <c r="F285" s="1316" t="s">
        <v>3930</v>
      </c>
      <c r="G285" s="1312" t="s">
        <v>3380</v>
      </c>
      <c r="H285" s="1317">
        <f t="shared" si="61"/>
        <v>118914</v>
      </c>
      <c r="I285" s="1661"/>
      <c r="J285" s="1661"/>
      <c r="K285" s="1661"/>
      <c r="L285" s="1661"/>
    </row>
    <row r="286" spans="1:12" ht="18" customHeight="1" outlineLevel="2">
      <c r="A286" s="1312">
        <v>277</v>
      </c>
      <c r="B286" s="1312" t="s">
        <v>3931</v>
      </c>
      <c r="C286" s="1312" t="s">
        <v>958</v>
      </c>
      <c r="D286" s="1312" t="s">
        <v>266</v>
      </c>
      <c r="E286" s="1312" t="str">
        <f>VLOOKUP(D286,[2]Sheet1!D:F,3,FALSE)</f>
        <v>马桥</v>
      </c>
      <c r="F286" s="1312" t="s">
        <v>3932</v>
      </c>
      <c r="G286" s="1312" t="s">
        <v>3831</v>
      </c>
      <c r="H286" s="1313">
        <f>ROUND(285394/12*6,0)</f>
        <v>142697</v>
      </c>
      <c r="I286" s="1662"/>
      <c r="J286" s="1662"/>
      <c r="K286" s="1662"/>
      <c r="L286" s="1662"/>
    </row>
    <row r="287" spans="1:12" ht="18" customHeight="1" outlineLevel="1">
      <c r="A287" s="1312"/>
      <c r="B287" s="1312"/>
      <c r="C287" s="1312"/>
      <c r="D287" s="1312"/>
      <c r="E287" s="1320" t="s">
        <v>259</v>
      </c>
      <c r="F287" s="1312"/>
      <c r="G287" s="1312"/>
      <c r="H287" s="1313">
        <f>SUBTOTAL(9,H261:H286)</f>
        <v>4844755</v>
      </c>
      <c r="I287" s="1319">
        <f t="shared" ref="I287:L287" si="62">SUBTOTAL(9,I261:I286)</f>
        <v>3710599.68</v>
      </c>
      <c r="J287" s="1319">
        <f t="shared" si="62"/>
        <v>1134155.3199999998</v>
      </c>
      <c r="K287" s="1319">
        <f t="shared" si="62"/>
        <v>0</v>
      </c>
      <c r="L287" s="1319">
        <f t="shared" si="62"/>
        <v>1134155.3199999998</v>
      </c>
    </row>
    <row r="288" spans="1:12" ht="18" customHeight="1" outlineLevel="2">
      <c r="A288" s="1312">
        <v>278</v>
      </c>
      <c r="B288" s="1312" t="s">
        <v>3933</v>
      </c>
      <c r="C288" s="1312" t="s">
        <v>3081</v>
      </c>
      <c r="D288" s="1312" t="s">
        <v>1044</v>
      </c>
      <c r="E288" s="1312" t="s">
        <v>8</v>
      </c>
      <c r="F288" s="1316" t="s">
        <v>3934</v>
      </c>
      <c r="G288" s="1312" t="s">
        <v>3377</v>
      </c>
      <c r="H288" s="1313">
        <f t="shared" ref="H288:H289" si="63">ROUND(232297.1,0)</f>
        <v>232297</v>
      </c>
      <c r="I288" s="1660">
        <v>1713103.84</v>
      </c>
      <c r="J288" s="1660">
        <f>H313-I288</f>
        <v>2018960.16</v>
      </c>
      <c r="K288" s="1660">
        <v>0</v>
      </c>
      <c r="L288" s="1660">
        <f>J288-K288</f>
        <v>2018960.16</v>
      </c>
    </row>
    <row r="289" spans="1:12" ht="18" customHeight="1" outlineLevel="2">
      <c r="A289" s="1312">
        <v>279</v>
      </c>
      <c r="B289" s="1312" t="s">
        <v>3935</v>
      </c>
      <c r="C289" s="1312" t="s">
        <v>3081</v>
      </c>
      <c r="D289" s="1312" t="s">
        <v>659</v>
      </c>
      <c r="E289" s="1312" t="s">
        <v>8</v>
      </c>
      <c r="F289" s="1316" t="s">
        <v>3936</v>
      </c>
      <c r="G289" s="1312" t="s">
        <v>3377</v>
      </c>
      <c r="H289" s="1313">
        <f t="shared" si="63"/>
        <v>232297</v>
      </c>
      <c r="I289" s="1661"/>
      <c r="J289" s="1661"/>
      <c r="K289" s="1661"/>
      <c r="L289" s="1661"/>
    </row>
    <row r="290" spans="1:12" ht="18" customHeight="1" outlineLevel="2">
      <c r="A290" s="1312">
        <v>280</v>
      </c>
      <c r="B290" s="1312" t="s">
        <v>3937</v>
      </c>
      <c r="C290" s="1312" t="s">
        <v>3081</v>
      </c>
      <c r="D290" s="1312" t="s">
        <v>1042</v>
      </c>
      <c r="E290" s="1312" t="s">
        <v>8</v>
      </c>
      <c r="F290" s="1316" t="s">
        <v>3938</v>
      </c>
      <c r="G290" s="1312" t="s">
        <v>3380</v>
      </c>
      <c r="H290" s="1317">
        <f t="shared" ref="H290:H295" si="64">ROUND(232297.1/12*5,0)</f>
        <v>96790</v>
      </c>
      <c r="I290" s="1661"/>
      <c r="J290" s="1661"/>
      <c r="K290" s="1661"/>
      <c r="L290" s="1661"/>
    </row>
    <row r="291" spans="1:12" ht="18" customHeight="1" outlineLevel="2">
      <c r="A291" s="1312">
        <v>281</v>
      </c>
      <c r="B291" s="1312" t="s">
        <v>3939</v>
      </c>
      <c r="C291" s="1312" t="s">
        <v>3081</v>
      </c>
      <c r="D291" s="1312" t="s">
        <v>1042</v>
      </c>
      <c r="E291" s="1312" t="s">
        <v>8</v>
      </c>
      <c r="F291" s="1316" t="s">
        <v>3940</v>
      </c>
      <c r="G291" s="1312" t="s">
        <v>3380</v>
      </c>
      <c r="H291" s="1317">
        <f t="shared" si="64"/>
        <v>96790</v>
      </c>
      <c r="I291" s="1661"/>
      <c r="J291" s="1661"/>
      <c r="K291" s="1661"/>
      <c r="L291" s="1661"/>
    </row>
    <row r="292" spans="1:12" ht="18" customHeight="1" outlineLevel="2">
      <c r="A292" s="1312">
        <v>282</v>
      </c>
      <c r="B292" s="1312" t="s">
        <v>3941</v>
      </c>
      <c r="C292" s="1312" t="s">
        <v>3081</v>
      </c>
      <c r="D292" s="1312" t="s">
        <v>1042</v>
      </c>
      <c r="E292" s="1312" t="s">
        <v>8</v>
      </c>
      <c r="F292" s="1316" t="s">
        <v>3942</v>
      </c>
      <c r="G292" s="1312" t="s">
        <v>3380</v>
      </c>
      <c r="H292" s="1317">
        <f t="shared" si="64"/>
        <v>96790</v>
      </c>
      <c r="I292" s="1661"/>
      <c r="J292" s="1661"/>
      <c r="K292" s="1661"/>
      <c r="L292" s="1661"/>
    </row>
    <row r="293" spans="1:12" ht="18" customHeight="1" outlineLevel="2">
      <c r="A293" s="1312">
        <v>283</v>
      </c>
      <c r="B293" s="1312" t="s">
        <v>3943</v>
      </c>
      <c r="C293" s="1312" t="s">
        <v>3081</v>
      </c>
      <c r="D293" s="1312" t="s">
        <v>1042</v>
      </c>
      <c r="E293" s="1312" t="s">
        <v>8</v>
      </c>
      <c r="F293" s="1316" t="s">
        <v>3944</v>
      </c>
      <c r="G293" s="1312" t="s">
        <v>3380</v>
      </c>
      <c r="H293" s="1317">
        <f t="shared" si="64"/>
        <v>96790</v>
      </c>
      <c r="I293" s="1661"/>
      <c r="J293" s="1661"/>
      <c r="K293" s="1661"/>
      <c r="L293" s="1661"/>
    </row>
    <row r="294" spans="1:12" ht="18" customHeight="1" outlineLevel="2">
      <c r="A294" s="1312">
        <v>284</v>
      </c>
      <c r="B294" s="1312" t="s">
        <v>3945</v>
      </c>
      <c r="C294" s="1312" t="s">
        <v>3081</v>
      </c>
      <c r="D294" s="1312" t="s">
        <v>1042</v>
      </c>
      <c r="E294" s="1312" t="s">
        <v>8</v>
      </c>
      <c r="F294" s="1316" t="s">
        <v>3946</v>
      </c>
      <c r="G294" s="1312" t="s">
        <v>3380</v>
      </c>
      <c r="H294" s="1317">
        <f t="shared" si="64"/>
        <v>96790</v>
      </c>
      <c r="I294" s="1661"/>
      <c r="J294" s="1661"/>
      <c r="K294" s="1661"/>
      <c r="L294" s="1661"/>
    </row>
    <row r="295" spans="1:12" ht="18" customHeight="1" outlineLevel="2">
      <c r="A295" s="1312">
        <v>285</v>
      </c>
      <c r="B295" s="1312" t="s">
        <v>3947</v>
      </c>
      <c r="C295" s="1312" t="s">
        <v>3081</v>
      </c>
      <c r="D295" s="1312" t="s">
        <v>1042</v>
      </c>
      <c r="E295" s="1312" t="s">
        <v>8</v>
      </c>
      <c r="F295" s="1316" t="s">
        <v>3948</v>
      </c>
      <c r="G295" s="1312" t="s">
        <v>3380</v>
      </c>
      <c r="H295" s="1317">
        <f t="shared" si="64"/>
        <v>96790</v>
      </c>
      <c r="I295" s="1661"/>
      <c r="J295" s="1661"/>
      <c r="K295" s="1661"/>
      <c r="L295" s="1661"/>
    </row>
    <row r="296" spans="1:12" ht="18" customHeight="1" outlineLevel="2">
      <c r="A296" s="1312">
        <v>286</v>
      </c>
      <c r="B296" s="1316" t="s">
        <v>3949</v>
      </c>
      <c r="C296" s="1312" t="s">
        <v>958</v>
      </c>
      <c r="D296" s="1316" t="s">
        <v>225</v>
      </c>
      <c r="E296" s="1312" t="s">
        <v>8</v>
      </c>
      <c r="F296" s="1316" t="s">
        <v>3950</v>
      </c>
      <c r="G296" s="1312" t="s">
        <v>3377</v>
      </c>
      <c r="H296" s="1313">
        <f>ROUND(254991.7,0)</f>
        <v>254992</v>
      </c>
      <c r="I296" s="1661"/>
      <c r="J296" s="1661"/>
      <c r="K296" s="1661"/>
      <c r="L296" s="1661"/>
    </row>
    <row r="297" spans="1:12" ht="18" customHeight="1" outlineLevel="2">
      <c r="A297" s="1312">
        <v>287</v>
      </c>
      <c r="B297" s="1316" t="s">
        <v>3951</v>
      </c>
      <c r="C297" s="1312" t="s">
        <v>958</v>
      </c>
      <c r="D297" s="1316" t="s">
        <v>225</v>
      </c>
      <c r="E297" s="1312" t="s">
        <v>8</v>
      </c>
      <c r="F297" s="1316" t="s">
        <v>3952</v>
      </c>
      <c r="G297" s="1312" t="s">
        <v>3380</v>
      </c>
      <c r="H297" s="1317">
        <f t="shared" ref="H297:H298" si="65">ROUND(254991.7/12*5,0)</f>
        <v>106247</v>
      </c>
      <c r="I297" s="1661"/>
      <c r="J297" s="1661"/>
      <c r="K297" s="1661"/>
      <c r="L297" s="1661"/>
    </row>
    <row r="298" spans="1:12" ht="18" customHeight="1" outlineLevel="2">
      <c r="A298" s="1312">
        <v>288</v>
      </c>
      <c r="B298" s="1316" t="s">
        <v>3953</v>
      </c>
      <c r="C298" s="1312" t="s">
        <v>958</v>
      </c>
      <c r="D298" s="1316" t="s">
        <v>225</v>
      </c>
      <c r="E298" s="1312" t="s">
        <v>8</v>
      </c>
      <c r="F298" s="1316" t="s">
        <v>3954</v>
      </c>
      <c r="G298" s="1312" t="s">
        <v>3380</v>
      </c>
      <c r="H298" s="1317">
        <f t="shared" si="65"/>
        <v>106247</v>
      </c>
      <c r="I298" s="1661"/>
      <c r="J298" s="1661"/>
      <c r="K298" s="1661"/>
      <c r="L298" s="1661"/>
    </row>
    <row r="299" spans="1:12" ht="18" customHeight="1" outlineLevel="2">
      <c r="A299" s="1312">
        <v>289</v>
      </c>
      <c r="B299" s="1316" t="s">
        <v>3955</v>
      </c>
      <c r="C299" s="1312" t="s">
        <v>958</v>
      </c>
      <c r="D299" s="1316" t="s">
        <v>224</v>
      </c>
      <c r="E299" s="1312" t="s">
        <v>8</v>
      </c>
      <c r="F299" s="1316" t="s">
        <v>3956</v>
      </c>
      <c r="G299" s="1312" t="s">
        <v>3377</v>
      </c>
      <c r="H299" s="1313">
        <f t="shared" ref="H299:H300" si="66">ROUND(254991.7,0)</f>
        <v>254992</v>
      </c>
      <c r="I299" s="1661"/>
      <c r="J299" s="1661"/>
      <c r="K299" s="1661"/>
      <c r="L299" s="1661"/>
    </row>
    <row r="300" spans="1:12" ht="18" customHeight="1" outlineLevel="2">
      <c r="A300" s="1312">
        <v>290</v>
      </c>
      <c r="B300" s="1316" t="s">
        <v>3957</v>
      </c>
      <c r="C300" s="1312" t="s">
        <v>958</v>
      </c>
      <c r="D300" s="1316" t="s">
        <v>224</v>
      </c>
      <c r="E300" s="1312" t="s">
        <v>8</v>
      </c>
      <c r="F300" s="1316" t="s">
        <v>3958</v>
      </c>
      <c r="G300" s="1312" t="s">
        <v>3377</v>
      </c>
      <c r="H300" s="1313">
        <f t="shared" si="66"/>
        <v>254992</v>
      </c>
      <c r="I300" s="1661"/>
      <c r="J300" s="1661"/>
      <c r="K300" s="1661"/>
      <c r="L300" s="1661"/>
    </row>
    <row r="301" spans="1:12" ht="18" customHeight="1" outlineLevel="2">
      <c r="A301" s="1312">
        <v>291</v>
      </c>
      <c r="B301" s="1316" t="s">
        <v>3959</v>
      </c>
      <c r="C301" s="1312" t="s">
        <v>958</v>
      </c>
      <c r="D301" s="1316" t="s">
        <v>224</v>
      </c>
      <c r="E301" s="1312" t="s">
        <v>8</v>
      </c>
      <c r="F301" s="1316" t="s">
        <v>3960</v>
      </c>
      <c r="G301" s="1312" t="s">
        <v>3380</v>
      </c>
      <c r="H301" s="1317">
        <f t="shared" ref="H301:H304" si="67">ROUND(254991.7/12*5,0)</f>
        <v>106247</v>
      </c>
      <c r="I301" s="1661"/>
      <c r="J301" s="1661"/>
      <c r="K301" s="1661"/>
      <c r="L301" s="1661"/>
    </row>
    <row r="302" spans="1:12" ht="18" customHeight="1" outlineLevel="2">
      <c r="A302" s="1312">
        <v>292</v>
      </c>
      <c r="B302" s="1316" t="s">
        <v>3961</v>
      </c>
      <c r="C302" s="1312" t="s">
        <v>958</v>
      </c>
      <c r="D302" s="1316" t="s">
        <v>224</v>
      </c>
      <c r="E302" s="1312" t="s">
        <v>8</v>
      </c>
      <c r="F302" s="1316" t="s">
        <v>3962</v>
      </c>
      <c r="G302" s="1312" t="s">
        <v>3380</v>
      </c>
      <c r="H302" s="1317">
        <f t="shared" si="67"/>
        <v>106247</v>
      </c>
      <c r="I302" s="1661"/>
      <c r="J302" s="1661"/>
      <c r="K302" s="1661"/>
      <c r="L302" s="1661"/>
    </row>
    <row r="303" spans="1:12" ht="18" customHeight="1" outlineLevel="2">
      <c r="A303" s="1312">
        <v>293</v>
      </c>
      <c r="B303" s="1316" t="s">
        <v>3963</v>
      </c>
      <c r="C303" s="1312" t="s">
        <v>958</v>
      </c>
      <c r="D303" s="1316" t="s">
        <v>224</v>
      </c>
      <c r="E303" s="1312" t="s">
        <v>8</v>
      </c>
      <c r="F303" s="1316" t="s">
        <v>3964</v>
      </c>
      <c r="G303" s="1312" t="s">
        <v>3380</v>
      </c>
      <c r="H303" s="1317">
        <f t="shared" si="67"/>
        <v>106247</v>
      </c>
      <c r="I303" s="1661"/>
      <c r="J303" s="1661"/>
      <c r="K303" s="1661"/>
      <c r="L303" s="1661"/>
    </row>
    <row r="304" spans="1:12" ht="18" customHeight="1" outlineLevel="2">
      <c r="A304" s="1312">
        <v>294</v>
      </c>
      <c r="B304" s="1316" t="s">
        <v>3965</v>
      </c>
      <c r="C304" s="1312" t="s">
        <v>958</v>
      </c>
      <c r="D304" s="1316" t="s">
        <v>224</v>
      </c>
      <c r="E304" s="1312" t="s">
        <v>8</v>
      </c>
      <c r="F304" s="1316" t="s">
        <v>3966</v>
      </c>
      <c r="G304" s="1312" t="s">
        <v>3380</v>
      </c>
      <c r="H304" s="1317">
        <f t="shared" si="67"/>
        <v>106247</v>
      </c>
      <c r="I304" s="1661"/>
      <c r="J304" s="1661"/>
      <c r="K304" s="1661"/>
      <c r="L304" s="1661"/>
    </row>
    <row r="305" spans="1:12" ht="18" customHeight="1" outlineLevel="2">
      <c r="A305" s="1312">
        <v>295</v>
      </c>
      <c r="B305" s="1316" t="s">
        <v>3967</v>
      </c>
      <c r="C305" s="1312" t="s">
        <v>958</v>
      </c>
      <c r="D305" s="1316" t="s">
        <v>225</v>
      </c>
      <c r="E305" s="1312" t="s">
        <v>8</v>
      </c>
      <c r="F305" s="1316" t="s">
        <v>3968</v>
      </c>
      <c r="G305" s="1312" t="s">
        <v>3377</v>
      </c>
      <c r="H305" s="1313">
        <v>285394</v>
      </c>
      <c r="I305" s="1661"/>
      <c r="J305" s="1661"/>
      <c r="K305" s="1661"/>
      <c r="L305" s="1661"/>
    </row>
    <row r="306" spans="1:12" ht="18" customHeight="1" outlineLevel="2">
      <c r="A306" s="1312">
        <v>296</v>
      </c>
      <c r="B306" s="1316" t="s">
        <v>3969</v>
      </c>
      <c r="C306" s="1312" t="s">
        <v>958</v>
      </c>
      <c r="D306" s="1316" t="s">
        <v>224</v>
      </c>
      <c r="E306" s="1312" t="s">
        <v>8</v>
      </c>
      <c r="F306" s="1316" t="s">
        <v>3970</v>
      </c>
      <c r="G306" s="1312" t="s">
        <v>3380</v>
      </c>
      <c r="H306" s="1317">
        <f>ROUND(285394/12*5,0)</f>
        <v>118914</v>
      </c>
      <c r="I306" s="1661"/>
      <c r="J306" s="1661"/>
      <c r="K306" s="1661"/>
      <c r="L306" s="1661"/>
    </row>
    <row r="307" spans="1:12" ht="18" customHeight="1" outlineLevel="2">
      <c r="A307" s="1312">
        <v>297</v>
      </c>
      <c r="B307" s="1316" t="s">
        <v>3971</v>
      </c>
      <c r="C307" s="1312" t="s">
        <v>958</v>
      </c>
      <c r="D307" s="1316" t="s">
        <v>224</v>
      </c>
      <c r="E307" s="1312" t="s">
        <v>8</v>
      </c>
      <c r="F307" s="1316" t="s">
        <v>3972</v>
      </c>
      <c r="G307" s="1312" t="s">
        <v>3377</v>
      </c>
      <c r="H307" s="1313">
        <v>285394</v>
      </c>
      <c r="I307" s="1661"/>
      <c r="J307" s="1661"/>
      <c r="K307" s="1661"/>
      <c r="L307" s="1661"/>
    </row>
    <row r="308" spans="1:12" ht="18" customHeight="1" outlineLevel="2">
      <c r="A308" s="1312">
        <v>298</v>
      </c>
      <c r="B308" s="1316" t="s">
        <v>3973</v>
      </c>
      <c r="C308" s="1312" t="s">
        <v>958</v>
      </c>
      <c r="D308" s="1316" t="s">
        <v>224</v>
      </c>
      <c r="E308" s="1312" t="s">
        <v>8</v>
      </c>
      <c r="F308" s="1316" t="s">
        <v>3974</v>
      </c>
      <c r="G308" s="1312" t="s">
        <v>3380</v>
      </c>
      <c r="H308" s="1317">
        <f t="shared" ref="H308:H312" si="68">ROUND(285394/12*5,0)</f>
        <v>118914</v>
      </c>
      <c r="I308" s="1661"/>
      <c r="J308" s="1661"/>
      <c r="K308" s="1661"/>
      <c r="L308" s="1661"/>
    </row>
    <row r="309" spans="1:12" ht="18" customHeight="1" outlineLevel="2">
      <c r="A309" s="1312">
        <v>299</v>
      </c>
      <c r="B309" s="1316" t="s">
        <v>3975</v>
      </c>
      <c r="C309" s="1312" t="s">
        <v>958</v>
      </c>
      <c r="D309" s="1316" t="s">
        <v>224</v>
      </c>
      <c r="E309" s="1312" t="s">
        <v>8</v>
      </c>
      <c r="F309" s="1316" t="s">
        <v>3976</v>
      </c>
      <c r="G309" s="1312" t="s">
        <v>3380</v>
      </c>
      <c r="H309" s="1317">
        <f t="shared" si="68"/>
        <v>118914</v>
      </c>
      <c r="I309" s="1661"/>
      <c r="J309" s="1661"/>
      <c r="K309" s="1661"/>
      <c r="L309" s="1661"/>
    </row>
    <row r="310" spans="1:12" ht="18" customHeight="1" outlineLevel="2">
      <c r="A310" s="1312">
        <v>300</v>
      </c>
      <c r="B310" s="1316" t="s">
        <v>3977</v>
      </c>
      <c r="C310" s="1312" t="s">
        <v>958</v>
      </c>
      <c r="D310" s="1316" t="s">
        <v>224</v>
      </c>
      <c r="E310" s="1312" t="s">
        <v>8</v>
      </c>
      <c r="F310" s="1316" t="s">
        <v>3978</v>
      </c>
      <c r="G310" s="1312" t="s">
        <v>3380</v>
      </c>
      <c r="H310" s="1317">
        <f t="shared" si="68"/>
        <v>118914</v>
      </c>
      <c r="I310" s="1661"/>
      <c r="J310" s="1661"/>
      <c r="K310" s="1661"/>
      <c r="L310" s="1661"/>
    </row>
    <row r="311" spans="1:12" ht="18" customHeight="1" outlineLevel="2">
      <c r="A311" s="1312">
        <v>301</v>
      </c>
      <c r="B311" s="1316" t="s">
        <v>3979</v>
      </c>
      <c r="C311" s="1312" t="s">
        <v>958</v>
      </c>
      <c r="D311" s="1316" t="s">
        <v>1040</v>
      </c>
      <c r="E311" s="1312" t="s">
        <v>8</v>
      </c>
      <c r="F311" s="1316" t="s">
        <v>3980</v>
      </c>
      <c r="G311" s="1312" t="s">
        <v>3380</v>
      </c>
      <c r="H311" s="1317">
        <f t="shared" si="68"/>
        <v>118914</v>
      </c>
      <c r="I311" s="1661"/>
      <c r="J311" s="1661"/>
      <c r="K311" s="1661"/>
      <c r="L311" s="1661"/>
    </row>
    <row r="312" spans="1:12" ht="18" customHeight="1" outlineLevel="2">
      <c r="A312" s="1312">
        <v>302</v>
      </c>
      <c r="B312" s="1316" t="s">
        <v>3981</v>
      </c>
      <c r="C312" s="1312" t="s">
        <v>958</v>
      </c>
      <c r="D312" s="1316" t="s">
        <v>1040</v>
      </c>
      <c r="E312" s="1312" t="s">
        <v>8</v>
      </c>
      <c r="F312" s="1316" t="s">
        <v>3982</v>
      </c>
      <c r="G312" s="1312" t="s">
        <v>3380</v>
      </c>
      <c r="H312" s="1317">
        <f t="shared" si="68"/>
        <v>118914</v>
      </c>
      <c r="I312" s="1662"/>
      <c r="J312" s="1662"/>
      <c r="K312" s="1662"/>
      <c r="L312" s="1662"/>
    </row>
    <row r="313" spans="1:12" ht="18" customHeight="1" outlineLevel="1">
      <c r="A313" s="1312"/>
      <c r="B313" s="1316"/>
      <c r="C313" s="1312"/>
      <c r="D313" s="1316"/>
      <c r="E313" s="1320" t="s">
        <v>260</v>
      </c>
      <c r="F313" s="1316"/>
      <c r="G313" s="1312"/>
      <c r="H313" s="1317">
        <f>SUBTOTAL(9,H288:H312)</f>
        <v>3732064</v>
      </c>
      <c r="I313" s="1321">
        <f t="shared" ref="I313:L313" si="69">SUBTOTAL(9,I288:I312)</f>
        <v>1713103.84</v>
      </c>
      <c r="J313" s="1321">
        <f t="shared" si="69"/>
        <v>2018960.16</v>
      </c>
      <c r="K313" s="1321">
        <f t="shared" si="69"/>
        <v>0</v>
      </c>
      <c r="L313" s="1321">
        <f t="shared" si="69"/>
        <v>2018960.16</v>
      </c>
    </row>
    <row r="314" spans="1:12" ht="18" customHeight="1" outlineLevel="2">
      <c r="A314" s="1312">
        <v>303</v>
      </c>
      <c r="B314" s="1312" t="s">
        <v>3983</v>
      </c>
      <c r="C314" s="1312" t="s">
        <v>3081</v>
      </c>
      <c r="D314" s="1312" t="s">
        <v>2491</v>
      </c>
      <c r="E314" s="1312" t="s">
        <v>10</v>
      </c>
      <c r="F314" s="1316" t="s">
        <v>3984</v>
      </c>
      <c r="G314" s="1312" t="s">
        <v>3380</v>
      </c>
      <c r="H314" s="1317">
        <f t="shared" ref="H314:H318" si="70">ROUND(232297.1/12*5,0)</f>
        <v>96790</v>
      </c>
      <c r="I314" s="1660">
        <v>2789601.2799999998</v>
      </c>
      <c r="J314" s="1660">
        <f>H333-I314</f>
        <v>803531.7200000002</v>
      </c>
      <c r="K314" s="1660">
        <v>0</v>
      </c>
      <c r="L314" s="1660">
        <f>J314-K314</f>
        <v>803531.7200000002</v>
      </c>
    </row>
    <row r="315" spans="1:12" ht="18" customHeight="1" outlineLevel="2">
      <c r="A315" s="1312">
        <v>304</v>
      </c>
      <c r="B315" s="1312" t="s">
        <v>3985</v>
      </c>
      <c r="C315" s="1312" t="s">
        <v>3081</v>
      </c>
      <c r="D315" s="1312" t="s">
        <v>2491</v>
      </c>
      <c r="E315" s="1312" t="s">
        <v>10</v>
      </c>
      <c r="F315" s="1316" t="s">
        <v>3986</v>
      </c>
      <c r="G315" s="1312" t="s">
        <v>3380</v>
      </c>
      <c r="H315" s="1317">
        <f t="shared" si="70"/>
        <v>96790</v>
      </c>
      <c r="I315" s="1661"/>
      <c r="J315" s="1661"/>
      <c r="K315" s="1661"/>
      <c r="L315" s="1661"/>
    </row>
    <row r="316" spans="1:12" ht="18" customHeight="1" outlineLevel="2">
      <c r="A316" s="1312">
        <v>305</v>
      </c>
      <c r="B316" s="1312" t="s">
        <v>3987</v>
      </c>
      <c r="C316" s="1312" t="s">
        <v>3081</v>
      </c>
      <c r="D316" s="1312" t="s">
        <v>2491</v>
      </c>
      <c r="E316" s="1312" t="s">
        <v>10</v>
      </c>
      <c r="F316" s="1316" t="s">
        <v>3988</v>
      </c>
      <c r="G316" s="1312" t="s">
        <v>3380</v>
      </c>
      <c r="H316" s="1317">
        <f t="shared" si="70"/>
        <v>96790</v>
      </c>
      <c r="I316" s="1661"/>
      <c r="J316" s="1661"/>
      <c r="K316" s="1661"/>
      <c r="L316" s="1661"/>
    </row>
    <row r="317" spans="1:12" ht="18" customHeight="1" outlineLevel="2">
      <c r="A317" s="1312">
        <v>306</v>
      </c>
      <c r="B317" s="1312" t="s">
        <v>3989</v>
      </c>
      <c r="C317" s="1312" t="s">
        <v>3081</v>
      </c>
      <c r="D317" s="1312" t="s">
        <v>2491</v>
      </c>
      <c r="E317" s="1312" t="s">
        <v>10</v>
      </c>
      <c r="F317" s="1316" t="s">
        <v>3990</v>
      </c>
      <c r="G317" s="1312" t="s">
        <v>3380</v>
      </c>
      <c r="H317" s="1317">
        <f t="shared" si="70"/>
        <v>96790</v>
      </c>
      <c r="I317" s="1661"/>
      <c r="J317" s="1661"/>
      <c r="K317" s="1661"/>
      <c r="L317" s="1661"/>
    </row>
    <row r="318" spans="1:12" ht="18" customHeight="1" outlineLevel="2">
      <c r="A318" s="1312">
        <v>307</v>
      </c>
      <c r="B318" s="1312" t="s">
        <v>3991</v>
      </c>
      <c r="C318" s="1312" t="s">
        <v>3081</v>
      </c>
      <c r="D318" s="1312" t="s">
        <v>2491</v>
      </c>
      <c r="E318" s="1312" t="s">
        <v>10</v>
      </c>
      <c r="F318" s="1316" t="s">
        <v>3992</v>
      </c>
      <c r="G318" s="1312" t="s">
        <v>3380</v>
      </c>
      <c r="H318" s="1317">
        <f t="shared" si="70"/>
        <v>96790</v>
      </c>
      <c r="I318" s="1661"/>
      <c r="J318" s="1661"/>
      <c r="K318" s="1661"/>
      <c r="L318" s="1661"/>
    </row>
    <row r="319" spans="1:12" ht="18" customHeight="1" outlineLevel="2">
      <c r="A319" s="1312">
        <v>308</v>
      </c>
      <c r="B319" s="1316" t="s">
        <v>3993</v>
      </c>
      <c r="C319" s="1312" t="s">
        <v>1465</v>
      </c>
      <c r="D319" s="1316" t="s">
        <v>222</v>
      </c>
      <c r="E319" s="1312" t="s">
        <v>10</v>
      </c>
      <c r="F319" s="1316" t="s">
        <v>3994</v>
      </c>
      <c r="G319" s="1312" t="s">
        <v>3380</v>
      </c>
      <c r="H319" s="1317">
        <f>ROUND(254991.7/12*5,0)</f>
        <v>106247</v>
      </c>
      <c r="I319" s="1661"/>
      <c r="J319" s="1661"/>
      <c r="K319" s="1661"/>
      <c r="L319" s="1661"/>
    </row>
    <row r="320" spans="1:12" ht="18" customHeight="1" outlineLevel="2">
      <c r="A320" s="1312">
        <v>309</v>
      </c>
      <c r="B320" s="1316" t="s">
        <v>3995</v>
      </c>
      <c r="C320" s="1312" t="s">
        <v>1465</v>
      </c>
      <c r="D320" s="1316" t="s">
        <v>222</v>
      </c>
      <c r="E320" s="1312" t="s">
        <v>10</v>
      </c>
      <c r="F320" s="1316" t="s">
        <v>3996</v>
      </c>
      <c r="G320" s="1312" t="s">
        <v>3377</v>
      </c>
      <c r="H320" s="1313">
        <f t="shared" ref="H320:H321" si="71">ROUND(254991.7,0)</f>
        <v>254992</v>
      </c>
      <c r="I320" s="1661"/>
      <c r="J320" s="1661"/>
      <c r="K320" s="1661"/>
      <c r="L320" s="1661"/>
    </row>
    <row r="321" spans="1:12" ht="18" customHeight="1" outlineLevel="2">
      <c r="A321" s="1312">
        <v>310</v>
      </c>
      <c r="B321" s="1316" t="s">
        <v>3997</v>
      </c>
      <c r="C321" s="1312" t="s">
        <v>1465</v>
      </c>
      <c r="D321" s="1316" t="s">
        <v>222</v>
      </c>
      <c r="E321" s="1312" t="s">
        <v>10</v>
      </c>
      <c r="F321" s="1316" t="s">
        <v>3998</v>
      </c>
      <c r="G321" s="1312" t="s">
        <v>3377</v>
      </c>
      <c r="H321" s="1313">
        <f t="shared" si="71"/>
        <v>254992</v>
      </c>
      <c r="I321" s="1661"/>
      <c r="J321" s="1661"/>
      <c r="K321" s="1661"/>
      <c r="L321" s="1661"/>
    </row>
    <row r="322" spans="1:12" ht="18" customHeight="1" outlineLevel="2">
      <c r="A322" s="1312">
        <v>311</v>
      </c>
      <c r="B322" s="1316" t="s">
        <v>3999</v>
      </c>
      <c r="C322" s="1312" t="s">
        <v>1465</v>
      </c>
      <c r="D322" s="1316" t="s">
        <v>222</v>
      </c>
      <c r="E322" s="1312" t="s">
        <v>10</v>
      </c>
      <c r="F322" s="1316" t="s">
        <v>4000</v>
      </c>
      <c r="G322" s="1312" t="s">
        <v>3380</v>
      </c>
      <c r="H322" s="1317">
        <f t="shared" ref="H322:H323" si="72">ROUND(254991.7/12*5,0)</f>
        <v>106247</v>
      </c>
      <c r="I322" s="1661"/>
      <c r="J322" s="1661"/>
      <c r="K322" s="1661"/>
      <c r="L322" s="1661"/>
    </row>
    <row r="323" spans="1:12" ht="18" customHeight="1" outlineLevel="2">
      <c r="A323" s="1312">
        <v>312</v>
      </c>
      <c r="B323" s="1316" t="s">
        <v>4001</v>
      </c>
      <c r="C323" s="1312" t="s">
        <v>1465</v>
      </c>
      <c r="D323" s="1316" t="s">
        <v>222</v>
      </c>
      <c r="E323" s="1312" t="s">
        <v>10</v>
      </c>
      <c r="F323" s="1316" t="s">
        <v>4002</v>
      </c>
      <c r="G323" s="1312" t="s">
        <v>3380</v>
      </c>
      <c r="H323" s="1317">
        <f t="shared" si="72"/>
        <v>106247</v>
      </c>
      <c r="I323" s="1661"/>
      <c r="J323" s="1661"/>
      <c r="K323" s="1661"/>
      <c r="L323" s="1661"/>
    </row>
    <row r="324" spans="1:12" ht="18" customHeight="1" outlineLevel="2">
      <c r="A324" s="1312">
        <v>313</v>
      </c>
      <c r="B324" s="1316" t="s">
        <v>4003</v>
      </c>
      <c r="C324" s="1312" t="s">
        <v>958</v>
      </c>
      <c r="D324" s="1316" t="s">
        <v>734</v>
      </c>
      <c r="E324" s="1312" t="s">
        <v>10</v>
      </c>
      <c r="F324" s="1316" t="s">
        <v>4004</v>
      </c>
      <c r="G324" s="1312" t="s">
        <v>3377</v>
      </c>
      <c r="H324" s="1313">
        <f t="shared" ref="H324:H327" si="73">ROUND(254991.7,0)</f>
        <v>254992</v>
      </c>
      <c r="I324" s="1661"/>
      <c r="J324" s="1661"/>
      <c r="K324" s="1661"/>
      <c r="L324" s="1661"/>
    </row>
    <row r="325" spans="1:12" ht="18" customHeight="1" outlineLevel="2">
      <c r="A325" s="1312">
        <v>314</v>
      </c>
      <c r="B325" s="1316" t="s">
        <v>4005</v>
      </c>
      <c r="C325" s="1312" t="s">
        <v>958</v>
      </c>
      <c r="D325" s="1316" t="s">
        <v>734</v>
      </c>
      <c r="E325" s="1312" t="s">
        <v>10</v>
      </c>
      <c r="F325" s="1316" t="s">
        <v>4006</v>
      </c>
      <c r="G325" s="1312" t="s">
        <v>3377</v>
      </c>
      <c r="H325" s="1313">
        <f t="shared" si="73"/>
        <v>254992</v>
      </c>
      <c r="I325" s="1661"/>
      <c r="J325" s="1661"/>
      <c r="K325" s="1661"/>
      <c r="L325" s="1661"/>
    </row>
    <row r="326" spans="1:12" ht="18" customHeight="1" outlineLevel="2">
      <c r="A326" s="1312">
        <v>315</v>
      </c>
      <c r="B326" s="1316" t="s">
        <v>4007</v>
      </c>
      <c r="C326" s="1312" t="s">
        <v>958</v>
      </c>
      <c r="D326" s="1316" t="s">
        <v>734</v>
      </c>
      <c r="E326" s="1312" t="s">
        <v>10</v>
      </c>
      <c r="F326" s="1316" t="s">
        <v>4008</v>
      </c>
      <c r="G326" s="1312" t="s">
        <v>3377</v>
      </c>
      <c r="H326" s="1313">
        <f t="shared" si="73"/>
        <v>254992</v>
      </c>
      <c r="I326" s="1661"/>
      <c r="J326" s="1661"/>
      <c r="K326" s="1661"/>
      <c r="L326" s="1661"/>
    </row>
    <row r="327" spans="1:12" ht="18" customHeight="1" outlineLevel="2">
      <c r="A327" s="1312">
        <v>316</v>
      </c>
      <c r="B327" s="1316" t="s">
        <v>4009</v>
      </c>
      <c r="C327" s="1312" t="s">
        <v>1465</v>
      </c>
      <c r="D327" s="1316" t="s">
        <v>223</v>
      </c>
      <c r="E327" s="1312" t="s">
        <v>10</v>
      </c>
      <c r="F327" s="1316" t="s">
        <v>4010</v>
      </c>
      <c r="G327" s="1312" t="s">
        <v>3377</v>
      </c>
      <c r="H327" s="1313">
        <f t="shared" si="73"/>
        <v>254992</v>
      </c>
      <c r="I327" s="1661"/>
      <c r="J327" s="1661"/>
      <c r="K327" s="1661"/>
      <c r="L327" s="1661"/>
    </row>
    <row r="328" spans="1:12" ht="18" customHeight="1" outlineLevel="2">
      <c r="A328" s="1312">
        <v>317</v>
      </c>
      <c r="B328" s="1316" t="s">
        <v>4011</v>
      </c>
      <c r="C328" s="1312" t="s">
        <v>962</v>
      </c>
      <c r="D328" s="1316" t="s">
        <v>221</v>
      </c>
      <c r="E328" s="1312" t="s">
        <v>10</v>
      </c>
      <c r="F328" s="1316" t="s">
        <v>4012</v>
      </c>
      <c r="G328" s="1312" t="s">
        <v>3377</v>
      </c>
      <c r="H328" s="1313">
        <v>285394</v>
      </c>
      <c r="I328" s="1661"/>
      <c r="J328" s="1661"/>
      <c r="K328" s="1661"/>
      <c r="L328" s="1661"/>
    </row>
    <row r="329" spans="1:12" ht="18" customHeight="1" outlineLevel="2">
      <c r="A329" s="1312">
        <v>318</v>
      </c>
      <c r="B329" s="1316" t="s">
        <v>4013</v>
      </c>
      <c r="C329" s="1312" t="s">
        <v>962</v>
      </c>
      <c r="D329" s="1316" t="s">
        <v>221</v>
      </c>
      <c r="E329" s="1312" t="s">
        <v>10</v>
      </c>
      <c r="F329" s="1316" t="s">
        <v>4014</v>
      </c>
      <c r="G329" s="1312" t="s">
        <v>3377</v>
      </c>
      <c r="H329" s="1313">
        <v>285394</v>
      </c>
      <c r="I329" s="1661"/>
      <c r="J329" s="1661"/>
      <c r="K329" s="1661"/>
      <c r="L329" s="1661"/>
    </row>
    <row r="330" spans="1:12" ht="18" customHeight="1" outlineLevel="2">
      <c r="A330" s="1312">
        <v>319</v>
      </c>
      <c r="B330" s="1316" t="s">
        <v>4015</v>
      </c>
      <c r="C330" s="1312" t="s">
        <v>962</v>
      </c>
      <c r="D330" s="1316" t="s">
        <v>221</v>
      </c>
      <c r="E330" s="1312" t="s">
        <v>10</v>
      </c>
      <c r="F330" s="1316" t="s">
        <v>4016</v>
      </c>
      <c r="G330" s="1312" t="s">
        <v>3380</v>
      </c>
      <c r="H330" s="1317">
        <f>ROUND(285394/12*5,0)</f>
        <v>118914</v>
      </c>
      <c r="I330" s="1661"/>
      <c r="J330" s="1661"/>
      <c r="K330" s="1661"/>
      <c r="L330" s="1661"/>
    </row>
    <row r="331" spans="1:12" ht="18" customHeight="1" outlineLevel="2">
      <c r="A331" s="1312">
        <v>320</v>
      </c>
      <c r="B331" s="1316" t="s">
        <v>4017</v>
      </c>
      <c r="C331" s="1312" t="s">
        <v>962</v>
      </c>
      <c r="D331" s="1316" t="s">
        <v>654</v>
      </c>
      <c r="E331" s="1312" t="s">
        <v>10</v>
      </c>
      <c r="F331" s="1316" t="s">
        <v>4018</v>
      </c>
      <c r="G331" s="1312" t="s">
        <v>3377</v>
      </c>
      <c r="H331" s="1313">
        <v>285394</v>
      </c>
      <c r="I331" s="1661"/>
      <c r="J331" s="1661"/>
      <c r="K331" s="1661"/>
      <c r="L331" s="1661"/>
    </row>
    <row r="332" spans="1:12" ht="18" customHeight="1" outlineLevel="2">
      <c r="A332" s="1312">
        <v>321</v>
      </c>
      <c r="B332" s="1316" t="s">
        <v>4019</v>
      </c>
      <c r="C332" s="1312" t="s">
        <v>962</v>
      </c>
      <c r="D332" s="1316" t="s">
        <v>654</v>
      </c>
      <c r="E332" s="1312" t="s">
        <v>10</v>
      </c>
      <c r="F332" s="1316" t="s">
        <v>4020</v>
      </c>
      <c r="G332" s="1312" t="s">
        <v>3377</v>
      </c>
      <c r="H332" s="1313">
        <v>285394</v>
      </c>
      <c r="I332" s="1662"/>
      <c r="J332" s="1662"/>
      <c r="K332" s="1662"/>
      <c r="L332" s="1662"/>
    </row>
    <row r="333" spans="1:12" ht="18" customHeight="1" outlineLevel="1">
      <c r="A333" s="1312"/>
      <c r="B333" s="1316"/>
      <c r="C333" s="1312"/>
      <c r="D333" s="1316"/>
      <c r="E333" s="1320" t="s">
        <v>262</v>
      </c>
      <c r="F333" s="1316"/>
      <c r="G333" s="1312"/>
      <c r="H333" s="1313">
        <f>SUBTOTAL(9,H314:H332)</f>
        <v>3593133</v>
      </c>
      <c r="I333" s="1319">
        <f t="shared" ref="I333:L333" si="74">SUBTOTAL(9,I314:I332)</f>
        <v>2789601.2799999998</v>
      </c>
      <c r="J333" s="1319">
        <f t="shared" si="74"/>
        <v>803531.7200000002</v>
      </c>
      <c r="K333" s="1319">
        <f t="shared" si="74"/>
        <v>0</v>
      </c>
      <c r="L333" s="1319">
        <f t="shared" si="74"/>
        <v>803531.7200000002</v>
      </c>
    </row>
    <row r="334" spans="1:12" ht="18" customHeight="1">
      <c r="A334" s="1312"/>
      <c r="B334" s="1316"/>
      <c r="C334" s="1312"/>
      <c r="D334" s="1316"/>
      <c r="E334" s="1320" t="s">
        <v>252</v>
      </c>
      <c r="F334" s="1316"/>
      <c r="G334" s="1312"/>
      <c r="H334" s="1313">
        <f>SUBTOTAL(9,H4:H332)</f>
        <v>54839029</v>
      </c>
      <c r="I334" s="1319">
        <f t="shared" ref="I334:L334" si="75">SUBTOTAL(9,I4:I332)</f>
        <v>36913906.800000004</v>
      </c>
      <c r="J334" s="1319">
        <f t="shared" si="75"/>
        <v>17925122.199999999</v>
      </c>
      <c r="K334" s="1319">
        <f t="shared" si="75"/>
        <v>4216966.78</v>
      </c>
      <c r="L334" s="1319">
        <f t="shared" si="75"/>
        <v>13708155.420000002</v>
      </c>
    </row>
    <row r="335" spans="1:12" ht="18" customHeight="1">
      <c r="H335" s="1322"/>
    </row>
  </sheetData>
  <mergeCells count="38">
    <mergeCell ref="A1:L1"/>
    <mergeCell ref="A2:L2"/>
    <mergeCell ref="I4:I41"/>
    <mergeCell ref="J4:J41"/>
    <mergeCell ref="K4:K41"/>
    <mergeCell ref="L4:L41"/>
    <mergeCell ref="I43:I52"/>
    <mergeCell ref="J43:J52"/>
    <mergeCell ref="K43:K52"/>
    <mergeCell ref="L43:L52"/>
    <mergeCell ref="I54:I66"/>
    <mergeCell ref="J54:J66"/>
    <mergeCell ref="K54:K66"/>
    <mergeCell ref="L54:L66"/>
    <mergeCell ref="I68:I113"/>
    <mergeCell ref="J68:J113"/>
    <mergeCell ref="K68:K113"/>
    <mergeCell ref="L68:L113"/>
    <mergeCell ref="I115:I238"/>
    <mergeCell ref="J115:J238"/>
    <mergeCell ref="K115:K238"/>
    <mergeCell ref="L115:L238"/>
    <mergeCell ref="I240:I259"/>
    <mergeCell ref="J240:J259"/>
    <mergeCell ref="K240:K259"/>
    <mergeCell ref="L240:L259"/>
    <mergeCell ref="I261:I286"/>
    <mergeCell ref="J261:J286"/>
    <mergeCell ref="K261:K286"/>
    <mergeCell ref="L261:L286"/>
    <mergeCell ref="I288:I312"/>
    <mergeCell ref="J288:J312"/>
    <mergeCell ref="K288:K312"/>
    <mergeCell ref="L288:L312"/>
    <mergeCell ref="I314:I332"/>
    <mergeCell ref="J314:J332"/>
    <mergeCell ref="K314:K332"/>
    <mergeCell ref="L314:L332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354" t="s">
        <v>831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</row>
    <row r="2" spans="1:15" ht="15" customHeight="1">
      <c r="A2" s="1358" t="s">
        <v>12</v>
      </c>
      <c r="B2" s="1358" t="s">
        <v>13</v>
      </c>
      <c r="C2" s="1358" t="s">
        <v>14</v>
      </c>
      <c r="D2" s="1358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358" t="s">
        <v>17</v>
      </c>
      <c r="O2" s="1358" t="s">
        <v>18</v>
      </c>
    </row>
    <row r="3" spans="1:15" ht="15" customHeight="1">
      <c r="A3" s="1359"/>
      <c r="B3" s="1359"/>
      <c r="C3" s="1359"/>
      <c r="D3" s="1359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359"/>
      <c r="O3" s="1359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24" sqref="A24:XFD108"/>
    </sheetView>
  </sheetViews>
  <sheetFormatPr defaultRowHeight="15" outlineLevelRow="2"/>
  <cols>
    <col min="1" max="1" width="19.125" style="255" customWidth="1"/>
    <col min="2" max="2" width="8" style="255" customWidth="1"/>
    <col min="3" max="3" width="7.625" style="255" customWidth="1"/>
    <col min="4" max="4" width="8.5" style="255" customWidth="1"/>
    <col min="5" max="5" width="14.625" style="255" customWidth="1"/>
    <col min="6" max="6" width="12.1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307" customWidth="1"/>
    <col min="12" max="12" width="10" style="1307" customWidth="1"/>
    <col min="13" max="13" width="11.375" style="1307" customWidth="1"/>
    <col min="14" max="14" width="10.625" style="226" customWidth="1"/>
    <col min="15" max="16384" width="9" style="227"/>
  </cols>
  <sheetData>
    <row r="1" spans="1:14" ht="22.5">
      <c r="A1" s="1390" t="s">
        <v>4032</v>
      </c>
      <c r="B1" s="1390"/>
      <c r="C1" s="1390"/>
      <c r="D1" s="1390"/>
      <c r="E1" s="1390"/>
      <c r="F1" s="1390"/>
      <c r="G1" s="1390"/>
      <c r="H1" s="1390"/>
      <c r="I1" s="1390"/>
      <c r="J1" s="1390"/>
      <c r="K1" s="1571"/>
      <c r="L1" s="1571"/>
      <c r="M1" s="1571"/>
      <c r="N1" s="1571"/>
    </row>
    <row r="2" spans="1:14" ht="20.100000000000001" customHeight="1" outlineLevel="1">
      <c r="A2" s="1659" t="s">
        <v>3000</v>
      </c>
      <c r="B2" s="1641"/>
      <c r="C2" s="1641"/>
      <c r="D2" s="1641"/>
      <c r="E2" s="1641"/>
      <c r="F2" s="1641"/>
      <c r="G2" s="1641"/>
      <c r="H2" s="1641"/>
      <c r="I2" s="1641"/>
      <c r="J2" s="1641"/>
      <c r="K2" s="1641"/>
      <c r="L2" s="1641"/>
      <c r="M2" s="1641"/>
      <c r="N2" s="1641"/>
    </row>
    <row r="3" spans="1:14" ht="29.1" customHeight="1" outlineLevel="2">
      <c r="A3" s="1665" t="s">
        <v>632</v>
      </c>
      <c r="B3" s="1665" t="s">
        <v>1248</v>
      </c>
      <c r="C3" s="1665" t="s">
        <v>3203</v>
      </c>
      <c r="D3" s="1665" t="s">
        <v>3353</v>
      </c>
      <c r="E3" s="1665" t="s">
        <v>13</v>
      </c>
      <c r="F3" s="1665" t="s">
        <v>1242</v>
      </c>
      <c r="G3" s="1665" t="s">
        <v>1243</v>
      </c>
      <c r="H3" s="1665" t="s">
        <v>1244</v>
      </c>
      <c r="I3" s="1665" t="s">
        <v>1245</v>
      </c>
      <c r="J3" s="1666" t="s">
        <v>4028</v>
      </c>
      <c r="K3" s="1666" t="s">
        <v>4029</v>
      </c>
      <c r="L3" s="1656" t="s">
        <v>4030</v>
      </c>
      <c r="M3" s="1667"/>
      <c r="N3" s="1658"/>
    </row>
    <row r="4" spans="1:14" ht="29.1" customHeight="1" outlineLevel="1">
      <c r="A4" s="1652"/>
      <c r="B4" s="1652" t="s">
        <v>4027</v>
      </c>
      <c r="C4" s="1652"/>
      <c r="D4" s="1652"/>
      <c r="E4" s="1652"/>
      <c r="F4" s="1652"/>
      <c r="G4" s="1652"/>
      <c r="H4" s="1652"/>
      <c r="I4" s="1652"/>
      <c r="J4" s="1655">
        <f>SUBTOTAL(9,J3:J3)</f>
        <v>0</v>
      </c>
      <c r="K4" s="1655">
        <f>SUBTOTAL(9,K3:K3)</f>
        <v>0</v>
      </c>
      <c r="L4" s="1334">
        <f>SUBTOTAL(9,L3:L3)</f>
        <v>0</v>
      </c>
      <c r="M4" s="1331">
        <f>SUBTOTAL(9,M3:M3)</f>
        <v>0</v>
      </c>
      <c r="N4" s="1335">
        <f>SUBTOTAL(9,N3:N3)</f>
        <v>0</v>
      </c>
    </row>
    <row r="5" spans="1:14" ht="29.1" customHeight="1" outlineLevel="1">
      <c r="A5" s="1653"/>
      <c r="B5" s="1653"/>
      <c r="C5" s="1653"/>
      <c r="D5" s="1653"/>
      <c r="E5" s="1653"/>
      <c r="F5" s="1653"/>
      <c r="G5" s="1653"/>
      <c r="H5" s="1653"/>
      <c r="I5" s="1653"/>
      <c r="J5" s="1653"/>
      <c r="K5" s="1653"/>
      <c r="L5" s="1308" t="s">
        <v>3233</v>
      </c>
      <c r="M5" s="1324" t="s">
        <v>4031</v>
      </c>
      <c r="N5" s="1301" t="s">
        <v>4034</v>
      </c>
    </row>
    <row r="6" spans="1:14" ht="23.1" customHeight="1" outlineLevel="2">
      <c r="A6" s="237" t="s">
        <v>1262</v>
      </c>
      <c r="B6" s="239" t="s">
        <v>5</v>
      </c>
      <c r="C6" s="239" t="s">
        <v>464</v>
      </c>
      <c r="D6" s="239" t="s">
        <v>2374</v>
      </c>
      <c r="E6" s="254" t="s">
        <v>1251</v>
      </c>
      <c r="F6" s="254" t="s">
        <v>1252</v>
      </c>
      <c r="G6" s="254" t="s">
        <v>1253</v>
      </c>
      <c r="H6" s="239">
        <v>1</v>
      </c>
      <c r="I6" s="1302">
        <v>1300000</v>
      </c>
      <c r="J6" s="1333">
        <v>1300000</v>
      </c>
      <c r="K6" s="1336">
        <v>1000000</v>
      </c>
      <c r="L6" s="1309">
        <f t="shared" ref="L6" si="0">K6-J6</f>
        <v>-300000</v>
      </c>
      <c r="M6" s="1336">
        <f>L6</f>
        <v>-300000</v>
      </c>
      <c r="N6" s="1303">
        <f>L6-M6</f>
        <v>0</v>
      </c>
    </row>
    <row r="7" spans="1:14" ht="23.1" customHeight="1" outlineLevel="1">
      <c r="A7" s="237"/>
      <c r="B7" s="238" t="s">
        <v>257</v>
      </c>
      <c r="C7" s="239"/>
      <c r="D7" s="239"/>
      <c r="E7" s="1299"/>
      <c r="F7" s="1299"/>
      <c r="G7" s="1299"/>
      <c r="H7" s="1300"/>
      <c r="I7" s="1329"/>
      <c r="J7" s="1306">
        <f>SUBTOTAL(9,J6:J6)</f>
        <v>1300000</v>
      </c>
      <c r="K7" s="1306">
        <f>SUBTOTAL(9,K6:K6)</f>
        <v>1000000</v>
      </c>
      <c r="L7" s="1306">
        <f>SUBTOTAL(9,L6:L6)</f>
        <v>-300000</v>
      </c>
      <c r="M7" s="1306">
        <f>SUBTOTAL(9,M6:M6)</f>
        <v>-300000</v>
      </c>
      <c r="N7" s="1306">
        <f>SUBTOTAL(9,N6:N6)</f>
        <v>0</v>
      </c>
    </row>
  </sheetData>
  <mergeCells count="14">
    <mergeCell ref="I3:I5"/>
    <mergeCell ref="J3:J5"/>
    <mergeCell ref="K3:K5"/>
    <mergeCell ref="L3:N3"/>
    <mergeCell ref="A1:N1"/>
    <mergeCell ref="A2:N2"/>
    <mergeCell ref="A3:A5"/>
    <mergeCell ref="B3:B5"/>
    <mergeCell ref="C3:C5"/>
    <mergeCell ref="D3:D5"/>
    <mergeCell ref="E3:E5"/>
    <mergeCell ref="F3:F5"/>
    <mergeCell ref="G3:G5"/>
    <mergeCell ref="H3:H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360" t="s">
        <v>415</v>
      </c>
      <c r="B1" s="1361"/>
      <c r="C1" s="1361"/>
      <c r="D1" s="1361"/>
      <c r="E1" s="1361"/>
      <c r="F1" s="1361"/>
      <c r="G1" s="1361"/>
      <c r="H1" s="1361"/>
      <c r="I1" s="1361"/>
      <c r="J1" s="1361"/>
      <c r="K1" s="1361"/>
      <c r="L1" s="1361"/>
      <c r="M1" s="1361"/>
      <c r="N1" s="1361"/>
      <c r="O1" s="1361"/>
      <c r="P1" s="1361"/>
      <c r="Q1" s="1361"/>
      <c r="R1" s="1361"/>
      <c r="S1" s="1361"/>
      <c r="T1" s="1361"/>
    </row>
    <row r="2" spans="1:20" ht="20.100000000000001" customHeight="1">
      <c r="A2" s="1363" t="s">
        <v>12</v>
      </c>
      <c r="B2" s="1363" t="s">
        <v>13</v>
      </c>
      <c r="C2" s="1363" t="s">
        <v>14</v>
      </c>
      <c r="D2" s="1363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363" t="s">
        <v>17</v>
      </c>
    </row>
    <row r="3" spans="1:20" ht="20.100000000000001" customHeight="1">
      <c r="A3" s="1364"/>
      <c r="B3" s="1364"/>
      <c r="C3" s="1364"/>
      <c r="D3" s="1364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364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362"/>
      <c r="C75" s="1362"/>
      <c r="D75" s="1362"/>
      <c r="E75" s="1362"/>
      <c r="F75" s="1362"/>
      <c r="G75" s="1362"/>
      <c r="H75" s="1362"/>
      <c r="I75" s="1362"/>
      <c r="J75" s="1362"/>
      <c r="K75" s="1362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354" t="s">
        <v>832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  <c r="N1" s="1355"/>
      <c r="O1" s="1355"/>
      <c r="P1" s="1355"/>
    </row>
    <row r="2" spans="1:16" ht="15" customHeight="1">
      <c r="A2" s="1358" t="s">
        <v>12</v>
      </c>
      <c r="B2" s="1358" t="s">
        <v>13</v>
      </c>
      <c r="C2" s="1358" t="s">
        <v>14</v>
      </c>
      <c r="D2" s="1358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358" t="s">
        <v>17</v>
      </c>
    </row>
    <row r="3" spans="1:16" ht="15" customHeight="1">
      <c r="A3" s="1359"/>
      <c r="B3" s="1359"/>
      <c r="C3" s="1359"/>
      <c r="D3" s="1359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359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365" t="s">
        <v>979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L1" s="1366"/>
      <c r="M1" s="1366"/>
      <c r="N1" s="1366"/>
      <c r="O1" s="1366"/>
      <c r="P1" s="1366"/>
      <c r="Q1" s="1366"/>
    </row>
    <row r="2" spans="1:17">
      <c r="A2" s="1367" t="s">
        <v>631</v>
      </c>
      <c r="B2" s="1369" t="s">
        <v>980</v>
      </c>
      <c r="C2" s="1369" t="s">
        <v>12</v>
      </c>
      <c r="D2" s="1367" t="s">
        <v>981</v>
      </c>
      <c r="E2" s="1370" t="s">
        <v>982</v>
      </c>
      <c r="F2" s="1371" t="s">
        <v>983</v>
      </c>
      <c r="G2" s="1372"/>
      <c r="H2" s="1372"/>
      <c r="I2" s="1372"/>
      <c r="J2" s="1371" t="s">
        <v>984</v>
      </c>
      <c r="K2" s="1372"/>
      <c r="L2" s="1372"/>
      <c r="M2" s="1372"/>
      <c r="N2" s="1371" t="s">
        <v>985</v>
      </c>
      <c r="O2" s="1372"/>
      <c r="P2" s="1372"/>
      <c r="Q2" s="1372"/>
    </row>
    <row r="3" spans="1:17" ht="22.5">
      <c r="A3" s="1368"/>
      <c r="B3" s="1368"/>
      <c r="C3" s="1368"/>
      <c r="D3" s="1368"/>
      <c r="E3" s="1368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60</vt:i4>
      </vt:variant>
      <vt:variant>
        <vt:lpstr>命名范围</vt:lpstr>
      </vt:variant>
      <vt:variant>
        <vt:i4>89</vt:i4>
      </vt:variant>
    </vt:vector>
  </HeadingPairs>
  <TitlesOfParts>
    <vt:vector size="149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学前科（补充）</vt:lpstr>
      <vt:lpstr>普教一科（补充）</vt:lpstr>
      <vt:lpstr>基本支出调整</vt:lpstr>
      <vt:lpstr>莘庄基本支出调整</vt:lpstr>
      <vt:lpstr>吴泾基本支出调整</vt:lpstr>
      <vt:lpstr>七宝基本支出调整</vt:lpstr>
      <vt:lpstr>浦江基本支出调整</vt:lpstr>
      <vt:lpstr>梅陇基本支出调整</vt:lpstr>
      <vt:lpstr>马桥基本支出调整</vt:lpstr>
      <vt:lpstr>华漕基本支出调整</vt:lpstr>
      <vt:lpstr>颛桥基本支出调整</vt:lpstr>
      <vt:lpstr>虹桥基本支出调整</vt:lpstr>
      <vt:lpstr>社区教育调整</vt:lpstr>
      <vt:lpstr>浦江镇</vt:lpstr>
      <vt:lpstr>补充公用经费调整</vt:lpstr>
      <vt:lpstr>残疾人保障金调整</vt:lpstr>
      <vt:lpstr>抚恤金调整</vt:lpstr>
      <vt:lpstr>2025年镇级维修尾款清算</vt:lpstr>
      <vt:lpstr>普教二科调整</vt:lpstr>
      <vt:lpstr>储备教师</vt:lpstr>
      <vt:lpstr>普教二科学区化集团化</vt:lpstr>
      <vt:lpstr>'2024年校舍维修尾款'!Print_Area</vt:lpstr>
      <vt:lpstr>'2025年设备购置与更新'!Print_Area</vt:lpstr>
      <vt:lpstr>'2025年校舍维修'!Print_Area</vt:lpstr>
      <vt:lpstr>'2025年镇级维修尾款清算'!Print_Area</vt:lpstr>
      <vt:lpstr>保安经费!Print_Area</vt:lpstr>
      <vt:lpstr>保安经费追加!Print_Area</vt:lpstr>
      <vt:lpstr>北桥中学应急维修!Print_Area</vt:lpstr>
      <vt:lpstr>补充公用经费!Print_Area</vt:lpstr>
      <vt:lpstr>补充公用经费调整!Print_Area</vt:lpstr>
      <vt:lpstr>残疾就业保障!Print_Area</vt:lpstr>
      <vt:lpstr>残疾人保障金调整!Print_Area</vt:lpstr>
      <vt:lpstr>抚恤金调整!Print_Area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虹桥基本支出调整!Print_Area</vt:lpstr>
      <vt:lpstr>华漕!Print_Area</vt:lpstr>
      <vt:lpstr>华漕基本支出调整!Print_Area</vt:lpstr>
      <vt:lpstr>'华漕镇06-02地块设备'!Print_Area</vt:lpstr>
      <vt:lpstr>基本支出!Print_Area</vt:lpstr>
      <vt:lpstr>基本支出调整!Print_Area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马桥基本支出调整!Print_Area</vt:lpstr>
      <vt:lpstr>梅陇基本支出调整!Print_Area</vt:lpstr>
      <vt:lpstr>浦江基本支出调整!Print_Area</vt:lpstr>
      <vt:lpstr>普教二科调整!Print_Area</vt:lpstr>
      <vt:lpstr>'普教一科（补充）'!Print_Area</vt:lpstr>
      <vt:lpstr>七宝!Print_Area</vt:lpstr>
      <vt:lpstr>七宝基本支出调整!Print_Area</vt:lpstr>
      <vt:lpstr>启英宝盛茂盛分园维修!Print_Area</vt:lpstr>
      <vt:lpstr>社区教育!Print_Area</vt:lpstr>
      <vt:lpstr>莘庄!Print_Area</vt:lpstr>
      <vt:lpstr>莘庄基本支出调整!Print_Area</vt:lpstr>
      <vt:lpstr>实验幼儿园群英分园维修!Print_Area</vt:lpstr>
      <vt:lpstr>塘湾小学维修!Print_Area</vt:lpstr>
      <vt:lpstr>吴泾!Print_Area</vt:lpstr>
      <vt:lpstr>吴泾基本支出调整!Print_Area</vt:lpstr>
      <vt:lpstr>中小学教育补充!Print_Area</vt:lpstr>
      <vt:lpstr>颛桥!Print_Area</vt:lpstr>
      <vt:lpstr>颛桥基本支出调整!Print_Area</vt:lpstr>
      <vt:lpstr>'2024年校舍维修尾款'!Print_Titles</vt:lpstr>
      <vt:lpstr>'2025年设备购置与更新'!Print_Titles</vt:lpstr>
      <vt:lpstr>'2025年校舍维修'!Print_Titles</vt:lpstr>
      <vt:lpstr>'2025年镇级维修尾款清算'!Print_Titles</vt:lpstr>
      <vt:lpstr>保安经费!Print_Titles</vt:lpstr>
      <vt:lpstr>保安经费追加!Print_Titles</vt:lpstr>
      <vt:lpstr>北桥中学应急维修!Print_Titles</vt:lpstr>
      <vt:lpstr>补充公用经费!Print_Titles</vt:lpstr>
      <vt:lpstr>补充公用经费调整!Print_Titles</vt:lpstr>
      <vt:lpstr>残疾就业保障!Print_Titles</vt:lpstr>
      <vt:lpstr>残疾人保障金调整!Print_Titles</vt:lpstr>
      <vt:lpstr>抚恤金调整!Print_Titles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虹桥基本支出调整!Print_Titles</vt:lpstr>
      <vt:lpstr>华漕!Print_Titles</vt:lpstr>
      <vt:lpstr>华漕基本支出调整!Print_Titles</vt:lpstr>
      <vt:lpstr>'华漕镇06-02地块设备'!Print_Titles</vt:lpstr>
      <vt:lpstr>基本支出!Print_Titles</vt:lpstr>
      <vt:lpstr>基本支出调整!Print_Titles</vt:lpstr>
      <vt:lpstr>晶城中学应急维修!Print_Titles</vt:lpstr>
      <vt:lpstr>扩班设备!Print_Titles</vt:lpstr>
      <vt:lpstr>龙柏一幼雨林分园维修!Print_Titles</vt:lpstr>
      <vt:lpstr>马桥!Print_Titles</vt:lpstr>
      <vt:lpstr>马桥基本支出调整!Print_Titles</vt:lpstr>
      <vt:lpstr>梅陇基本支出调整!Print_Titles</vt:lpstr>
      <vt:lpstr>浦江基本支出调整!Print_Titles</vt:lpstr>
      <vt:lpstr>普教二科调整!Print_Titles</vt:lpstr>
      <vt:lpstr>'普教一科（补充）'!Print_Titles</vt:lpstr>
      <vt:lpstr>七宝!Print_Titles</vt:lpstr>
      <vt:lpstr>七宝基本支出调整!Print_Titles</vt:lpstr>
      <vt:lpstr>启英宝盛茂盛分园维修!Print_Titles</vt:lpstr>
      <vt:lpstr>莘庄!Print_Titles</vt:lpstr>
      <vt:lpstr>莘庄基本支出调整!Print_Titles</vt:lpstr>
      <vt:lpstr>实验幼儿园群英分园维修!Print_Titles</vt:lpstr>
      <vt:lpstr>塘湾小学维修!Print_Titles</vt:lpstr>
      <vt:lpstr>吴泾!Print_Titles</vt:lpstr>
      <vt:lpstr>吴泾基本支出调整!Print_Titles</vt:lpstr>
      <vt:lpstr>中小学教育补充!Print_Titles</vt:lpstr>
      <vt:lpstr>颛桥!Print_Titles</vt:lpstr>
      <vt:lpstr>颛桥基本支出调整!Print_Titles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黄雅雯</cp:lastModifiedBy>
  <cp:lastPrinted>2025-11-20T06:16:29Z</cp:lastPrinted>
  <dcterms:created xsi:type="dcterms:W3CDTF">2022-11-10T02:18:00Z</dcterms:created>
  <dcterms:modified xsi:type="dcterms:W3CDTF">2025-11-20T06:16:30Z</dcterms:modified>
</cp:coreProperties>
</file>