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1" activeTab="1"/>
  </bookViews>
  <sheets>
    <sheet name="龙柏一幼雨林分园维修" sheetId="86" r:id="rId1"/>
    <sheet name="颛桥镇" sheetId="115" r:id="rId2"/>
    <sheet name="基本支出" sheetId="117" state="hidden" r:id="rId3"/>
    <sheet name="社区教育" sheetId="118" state="hidden" r:id="rId4"/>
    <sheet name="残疾就业保障" sheetId="119" state="hidden" r:id="rId5"/>
  </sheets>
  <externalReferences>
    <externalReference r:id="rId6"/>
  </externalReferences>
  <definedNames>
    <definedName name="_xlnm.Print_Area" localSheetId="0">龙柏一幼雨林分园维修!$A$1:$M$57</definedName>
    <definedName name="_xlnm.Print_Titles" localSheetId="0">龙柏一幼雨林分园维修!$1:$3</definedName>
  </definedNames>
  <calcPr calcId="124519"/>
</workbook>
</file>

<file path=xl/calcChain.xml><?xml version="1.0" encoding="utf-8"?>
<calcChain xmlns="http://schemas.openxmlformats.org/spreadsheetml/2006/main">
  <c r="C10" i="115"/>
  <c r="C8"/>
  <c r="C7"/>
  <c r="C6"/>
  <c r="C5"/>
  <c r="C4"/>
  <c r="D5" i="119"/>
  <c r="E5" s="1"/>
  <c r="E4"/>
  <c r="B5" i="118"/>
  <c r="C4"/>
  <c r="C5" s="1"/>
  <c r="L74" i="117"/>
  <c r="T74" s="1"/>
  <c r="K74"/>
  <c r="T73"/>
  <c r="S73"/>
  <c r="L73"/>
  <c r="K73"/>
  <c r="T72"/>
  <c r="T71"/>
  <c r="T70"/>
  <c r="T69"/>
  <c r="T68"/>
  <c r="S67"/>
  <c r="R67"/>
  <c r="Q67"/>
  <c r="P67"/>
  <c r="O67"/>
  <c r="N67"/>
  <c r="M67"/>
  <c r="L67"/>
  <c r="K67"/>
  <c r="J67"/>
  <c r="I67"/>
  <c r="H67"/>
  <c r="G67"/>
  <c r="F67"/>
  <c r="E67"/>
  <c r="T67" s="1"/>
  <c r="T66"/>
  <c r="T65"/>
  <c r="T64"/>
  <c r="T63"/>
  <c r="S62"/>
  <c r="R62"/>
  <c r="Q62"/>
  <c r="P62"/>
  <c r="O62"/>
  <c r="N62"/>
  <c r="M62"/>
  <c r="L62"/>
  <c r="K62"/>
  <c r="J62"/>
  <c r="I62"/>
  <c r="H62"/>
  <c r="G62"/>
  <c r="F62"/>
  <c r="E62"/>
  <c r="T62" s="1"/>
  <c r="T61"/>
  <c r="T60"/>
  <c r="S59"/>
  <c r="R59"/>
  <c r="Q59"/>
  <c r="P59"/>
  <c r="O59"/>
  <c r="N59"/>
  <c r="M59"/>
  <c r="L59"/>
  <c r="K59"/>
  <c r="J59"/>
  <c r="I59"/>
  <c r="H59"/>
  <c r="G59"/>
  <c r="F59"/>
  <c r="E59"/>
  <c r="T59" s="1"/>
  <c r="T58"/>
  <c r="S57"/>
  <c r="R57"/>
  <c r="Q57"/>
  <c r="P57"/>
  <c r="O57"/>
  <c r="N57"/>
  <c r="M57"/>
  <c r="L57"/>
  <c r="K57"/>
  <c r="J57"/>
  <c r="I57"/>
  <c r="H57"/>
  <c r="T57" s="1"/>
  <c r="G57"/>
  <c r="F57"/>
  <c r="E57"/>
  <c r="S56"/>
  <c r="R56"/>
  <c r="Q56"/>
  <c r="P56"/>
  <c r="O56"/>
  <c r="N56"/>
  <c r="M56"/>
  <c r="L56"/>
  <c r="K56"/>
  <c r="J56"/>
  <c r="I56"/>
  <c r="H56"/>
  <c r="T56" s="1"/>
  <c r="G56"/>
  <c r="F56"/>
  <c r="E56"/>
  <c r="S55"/>
  <c r="R55"/>
  <c r="Q55"/>
  <c r="P55"/>
  <c r="O55"/>
  <c r="N55"/>
  <c r="M55"/>
  <c r="L55"/>
  <c r="K55"/>
  <c r="J55"/>
  <c r="I55"/>
  <c r="H55"/>
  <c r="T55" s="1"/>
  <c r="G55"/>
  <c r="F55"/>
  <c r="E55"/>
  <c r="T54"/>
  <c r="L54"/>
  <c r="H54"/>
  <c r="S53"/>
  <c r="R53"/>
  <c r="Q53"/>
  <c r="P53"/>
  <c r="O53"/>
  <c r="N53"/>
  <c r="M53"/>
  <c r="L53"/>
  <c r="K53"/>
  <c r="J53"/>
  <c r="I53"/>
  <c r="H53"/>
  <c r="G53"/>
  <c r="T53" s="1"/>
  <c r="F53"/>
  <c r="E53"/>
  <c r="S52"/>
  <c r="Q52"/>
  <c r="P52"/>
  <c r="O52"/>
  <c r="N52"/>
  <c r="M52"/>
  <c r="L52"/>
  <c r="K52"/>
  <c r="J52"/>
  <c r="I52"/>
  <c r="H52"/>
  <c r="G52"/>
  <c r="F52"/>
  <c r="E52"/>
  <c r="S51"/>
  <c r="Q51"/>
  <c r="P51"/>
  <c r="O51"/>
  <c r="N51"/>
  <c r="M51"/>
  <c r="L51"/>
  <c r="K51"/>
  <c r="J51"/>
  <c r="I51"/>
  <c r="H51"/>
  <c r="G51"/>
  <c r="F51"/>
  <c r="E51"/>
  <c r="S50"/>
  <c r="R50"/>
  <c r="Q50"/>
  <c r="P50"/>
  <c r="O50"/>
  <c r="N50"/>
  <c r="M50"/>
  <c r="L50"/>
  <c r="K50"/>
  <c r="J50"/>
  <c r="I50"/>
  <c r="H50"/>
  <c r="G50"/>
  <c r="F50"/>
  <c r="E50"/>
  <c r="T50" s="1"/>
  <c r="S49"/>
  <c r="R49"/>
  <c r="Q49"/>
  <c r="P49"/>
  <c r="O49"/>
  <c r="N49"/>
  <c r="M49"/>
  <c r="L49"/>
  <c r="K49"/>
  <c r="J49"/>
  <c r="I49"/>
  <c r="H49"/>
  <c r="G49"/>
  <c r="F49"/>
  <c r="E49"/>
  <c r="T49" s="1"/>
  <c r="S48"/>
  <c r="R48"/>
  <c r="Q48"/>
  <c r="P48"/>
  <c r="O48"/>
  <c r="N48"/>
  <c r="M48"/>
  <c r="L48"/>
  <c r="K48"/>
  <c r="J48"/>
  <c r="I48"/>
  <c r="H48"/>
  <c r="G48"/>
  <c r="F48"/>
  <c r="E48"/>
  <c r="T48" s="1"/>
  <c r="S47"/>
  <c r="R47"/>
  <c r="Q47"/>
  <c r="P47"/>
  <c r="O47"/>
  <c r="N47"/>
  <c r="M47"/>
  <c r="L47"/>
  <c r="K47"/>
  <c r="J47"/>
  <c r="I47"/>
  <c r="H47"/>
  <c r="G47"/>
  <c r="T47" s="1"/>
  <c r="F47"/>
  <c r="E47"/>
  <c r="S46"/>
  <c r="R46"/>
  <c r="Q46"/>
  <c r="P46"/>
  <c r="O46"/>
  <c r="N46"/>
  <c r="M46"/>
  <c r="L46"/>
  <c r="K46"/>
  <c r="J46"/>
  <c r="I46"/>
  <c r="H46"/>
  <c r="G46"/>
  <c r="F46"/>
  <c r="E46"/>
  <c r="T46" s="1"/>
  <c r="S45"/>
  <c r="R45"/>
  <c r="Q45"/>
  <c r="P45"/>
  <c r="O45"/>
  <c r="N45"/>
  <c r="M45"/>
  <c r="L45"/>
  <c r="K45"/>
  <c r="J45"/>
  <c r="I45"/>
  <c r="H45"/>
  <c r="G45"/>
  <c r="F45"/>
  <c r="E45"/>
  <c r="T45" s="1"/>
  <c r="S44"/>
  <c r="R44"/>
  <c r="Q44"/>
  <c r="P44"/>
  <c r="O44"/>
  <c r="N44"/>
  <c r="M44"/>
  <c r="L44"/>
  <c r="K44"/>
  <c r="J44"/>
  <c r="I44"/>
  <c r="H44"/>
  <c r="G44"/>
  <c r="F44"/>
  <c r="E44"/>
  <c r="T44" s="1"/>
  <c r="S43"/>
  <c r="R43"/>
  <c r="Q43"/>
  <c r="P43"/>
  <c r="O43"/>
  <c r="N43"/>
  <c r="M43"/>
  <c r="L43"/>
  <c r="K43"/>
  <c r="J43"/>
  <c r="I43"/>
  <c r="H43"/>
  <c r="G43"/>
  <c r="F43"/>
  <c r="E43"/>
  <c r="T43" s="1"/>
  <c r="S42"/>
  <c r="R42"/>
  <c r="Q42"/>
  <c r="P42"/>
  <c r="O42"/>
  <c r="N42"/>
  <c r="M42"/>
  <c r="L42"/>
  <c r="K42"/>
  <c r="J42"/>
  <c r="I42"/>
  <c r="H42"/>
  <c r="G42"/>
  <c r="F42"/>
  <c r="E42"/>
  <c r="T42" s="1"/>
  <c r="S41"/>
  <c r="R41"/>
  <c r="Q41"/>
  <c r="O41"/>
  <c r="N41"/>
  <c r="M41"/>
  <c r="L41"/>
  <c r="K41"/>
  <c r="J41"/>
  <c r="I41"/>
  <c r="H41"/>
  <c r="G41"/>
  <c r="F41"/>
  <c r="E41"/>
  <c r="S40"/>
  <c r="R40"/>
  <c r="Q40"/>
  <c r="P40"/>
  <c r="P41" s="1"/>
  <c r="O40"/>
  <c r="N40"/>
  <c r="M40"/>
  <c r="L40"/>
  <c r="K40"/>
  <c r="J40"/>
  <c r="I40"/>
  <c r="H40"/>
  <c r="G40"/>
  <c r="F40"/>
  <c r="E40"/>
  <c r="T40" s="1"/>
  <c r="S39"/>
  <c r="Q39"/>
  <c r="P39"/>
  <c r="O39"/>
  <c r="N39"/>
  <c r="M39"/>
  <c r="L39"/>
  <c r="K39"/>
  <c r="J39"/>
  <c r="I39"/>
  <c r="H39"/>
  <c r="G39"/>
  <c r="F39"/>
  <c r="E39"/>
  <c r="T38"/>
  <c r="S37"/>
  <c r="R37"/>
  <c r="Q37"/>
  <c r="P37"/>
  <c r="O37"/>
  <c r="N37"/>
  <c r="M37"/>
  <c r="L37"/>
  <c r="K37"/>
  <c r="J37"/>
  <c r="I37"/>
  <c r="H37"/>
  <c r="G37"/>
  <c r="F37"/>
  <c r="E37"/>
  <c r="T37" s="1"/>
  <c r="S36"/>
  <c r="R36"/>
  <c r="O36"/>
  <c r="N36"/>
  <c r="M36"/>
  <c r="L36"/>
  <c r="K36"/>
  <c r="J36"/>
  <c r="I36"/>
  <c r="H36"/>
  <c r="G36"/>
  <c r="F36"/>
  <c r="E36"/>
  <c r="T36" s="1"/>
  <c r="S35"/>
  <c r="R35"/>
  <c r="Q35"/>
  <c r="P35"/>
  <c r="O35"/>
  <c r="N35"/>
  <c r="M35"/>
  <c r="L35"/>
  <c r="K35"/>
  <c r="J35"/>
  <c r="I35"/>
  <c r="H35"/>
  <c r="G35"/>
  <c r="F35"/>
  <c r="E35"/>
  <c r="T35" s="1"/>
  <c r="T34"/>
  <c r="R34"/>
  <c r="S33"/>
  <c r="R33"/>
  <c r="Q33"/>
  <c r="P33"/>
  <c r="O33"/>
  <c r="N33"/>
  <c r="M33"/>
  <c r="L33"/>
  <c r="K33"/>
  <c r="J33"/>
  <c r="I33"/>
  <c r="H33"/>
  <c r="G33"/>
  <c r="F33"/>
  <c r="E33"/>
  <c r="T33" s="1"/>
  <c r="S32"/>
  <c r="R32"/>
  <c r="Q32"/>
  <c r="P32"/>
  <c r="O32"/>
  <c r="N32"/>
  <c r="M32"/>
  <c r="L32"/>
  <c r="K32"/>
  <c r="J32"/>
  <c r="I32"/>
  <c r="H32"/>
  <c r="G32"/>
  <c r="F32"/>
  <c r="E32"/>
  <c r="T32" s="1"/>
  <c r="T31"/>
  <c r="T30"/>
  <c r="R30"/>
  <c r="R52" s="1"/>
  <c r="R51" s="1"/>
  <c r="R39" s="1"/>
  <c r="R4" s="1"/>
  <c r="S29"/>
  <c r="R29"/>
  <c r="Q29"/>
  <c r="P29"/>
  <c r="O29"/>
  <c r="N29"/>
  <c r="M29"/>
  <c r="L29"/>
  <c r="K29"/>
  <c r="J29"/>
  <c r="I29"/>
  <c r="H29"/>
  <c r="G29"/>
  <c r="F29"/>
  <c r="E29"/>
  <c r="T29" s="1"/>
  <c r="S28"/>
  <c r="R28"/>
  <c r="Q28"/>
  <c r="P28"/>
  <c r="O28"/>
  <c r="N28"/>
  <c r="M28"/>
  <c r="L28"/>
  <c r="K28"/>
  <c r="J28"/>
  <c r="I28"/>
  <c r="H28"/>
  <c r="G28"/>
  <c r="F28"/>
  <c r="E28"/>
  <c r="T28" s="1"/>
  <c r="S27"/>
  <c r="R27"/>
  <c r="Q27"/>
  <c r="P27"/>
  <c r="O27"/>
  <c r="N27"/>
  <c r="M27"/>
  <c r="L27"/>
  <c r="K27"/>
  <c r="J27"/>
  <c r="I27"/>
  <c r="H27"/>
  <c r="G27"/>
  <c r="F27"/>
  <c r="E27"/>
  <c r="T27" s="1"/>
  <c r="S26"/>
  <c r="R26"/>
  <c r="Q26"/>
  <c r="P26"/>
  <c r="O26"/>
  <c r="N26"/>
  <c r="M26"/>
  <c r="L26"/>
  <c r="K26"/>
  <c r="J26"/>
  <c r="I26"/>
  <c r="H26"/>
  <c r="G26"/>
  <c r="F26"/>
  <c r="E26"/>
  <c r="T26" s="1"/>
  <c r="S25"/>
  <c r="R25"/>
  <c r="Q25"/>
  <c r="P25"/>
  <c r="O25"/>
  <c r="N25"/>
  <c r="M25"/>
  <c r="L25"/>
  <c r="K25"/>
  <c r="J25"/>
  <c r="I25"/>
  <c r="H25"/>
  <c r="G25"/>
  <c r="F25"/>
  <c r="E25"/>
  <c r="T25" s="1"/>
  <c r="S24"/>
  <c r="R24"/>
  <c r="Q24"/>
  <c r="P24"/>
  <c r="O24"/>
  <c r="N24"/>
  <c r="M24"/>
  <c r="L24"/>
  <c r="K24"/>
  <c r="J24"/>
  <c r="I24"/>
  <c r="H24"/>
  <c r="G24"/>
  <c r="F24"/>
  <c r="E24"/>
  <c r="T24" s="1"/>
  <c r="S23"/>
  <c r="R23"/>
  <c r="Q23"/>
  <c r="P23"/>
  <c r="O23"/>
  <c r="N23"/>
  <c r="M23"/>
  <c r="L23"/>
  <c r="K23"/>
  <c r="J23"/>
  <c r="I23"/>
  <c r="H23"/>
  <c r="G23"/>
  <c r="F23"/>
  <c r="E23"/>
  <c r="T23" s="1"/>
  <c r="S22"/>
  <c r="R22"/>
  <c r="Q22"/>
  <c r="P22"/>
  <c r="O22"/>
  <c r="N22"/>
  <c r="M22"/>
  <c r="L22"/>
  <c r="K22"/>
  <c r="J22"/>
  <c r="I22"/>
  <c r="H22"/>
  <c r="G22"/>
  <c r="F22"/>
  <c r="E22"/>
  <c r="T22" s="1"/>
  <c r="S21"/>
  <c r="R21"/>
  <c r="Q21"/>
  <c r="P21"/>
  <c r="O21"/>
  <c r="N21"/>
  <c r="M21"/>
  <c r="L21"/>
  <c r="K21"/>
  <c r="J21"/>
  <c r="I21"/>
  <c r="H21"/>
  <c r="G21"/>
  <c r="F21"/>
  <c r="E21"/>
  <c r="T21" s="1"/>
  <c r="R20"/>
  <c r="O20"/>
  <c r="J20"/>
  <c r="I20"/>
  <c r="H20"/>
  <c r="G20"/>
  <c r="F20"/>
  <c r="E20"/>
  <c r="T20" s="1"/>
  <c r="S19"/>
  <c r="R19"/>
  <c r="Q19"/>
  <c r="P19"/>
  <c r="O19"/>
  <c r="N19"/>
  <c r="M19"/>
  <c r="L19"/>
  <c r="K19"/>
  <c r="J19"/>
  <c r="I19"/>
  <c r="H19"/>
  <c r="G19"/>
  <c r="F19"/>
  <c r="E19"/>
  <c r="T19" s="1"/>
  <c r="S18"/>
  <c r="R18"/>
  <c r="Q18"/>
  <c r="O18"/>
  <c r="N18"/>
  <c r="M18"/>
  <c r="L18"/>
  <c r="K18"/>
  <c r="J18"/>
  <c r="I18"/>
  <c r="H18"/>
  <c r="G18"/>
  <c r="F18"/>
  <c r="E18"/>
  <c r="T18" s="1"/>
  <c r="T17"/>
  <c r="S16"/>
  <c r="R16"/>
  <c r="Q16"/>
  <c r="P16"/>
  <c r="O16"/>
  <c r="N16"/>
  <c r="M16"/>
  <c r="L16"/>
  <c r="K16"/>
  <c r="J16"/>
  <c r="I16"/>
  <c r="H16"/>
  <c r="G16"/>
  <c r="F16"/>
  <c r="E16"/>
  <c r="T16" s="1"/>
  <c r="S15"/>
  <c r="R15"/>
  <c r="Q15"/>
  <c r="P15"/>
  <c r="O15"/>
  <c r="N15"/>
  <c r="M15"/>
  <c r="L15"/>
  <c r="K15"/>
  <c r="J15"/>
  <c r="I15"/>
  <c r="H15"/>
  <c r="G15"/>
  <c r="F15"/>
  <c r="E15"/>
  <c r="T15" s="1"/>
  <c r="S14"/>
  <c r="R14"/>
  <c r="Q14"/>
  <c r="P14"/>
  <c r="O14"/>
  <c r="N14"/>
  <c r="M14"/>
  <c r="L14"/>
  <c r="K14"/>
  <c r="J14"/>
  <c r="I14"/>
  <c r="H14"/>
  <c r="G14"/>
  <c r="F14"/>
  <c r="E14"/>
  <c r="T14" s="1"/>
  <c r="S13"/>
  <c r="R13"/>
  <c r="Q13"/>
  <c r="P13"/>
  <c r="O13"/>
  <c r="N13"/>
  <c r="M13"/>
  <c r="L13"/>
  <c r="K13"/>
  <c r="J13"/>
  <c r="I13"/>
  <c r="H13"/>
  <c r="G13"/>
  <c r="F13"/>
  <c r="E13"/>
  <c r="T13" s="1"/>
  <c r="S12"/>
  <c r="R12"/>
  <c r="Q12"/>
  <c r="P12"/>
  <c r="O12"/>
  <c r="N12"/>
  <c r="M12"/>
  <c r="L12"/>
  <c r="K12"/>
  <c r="J12"/>
  <c r="I12"/>
  <c r="H12"/>
  <c r="G12"/>
  <c r="F12"/>
  <c r="E12"/>
  <c r="T12" s="1"/>
  <c r="S11"/>
  <c r="R11"/>
  <c r="Q11"/>
  <c r="P11"/>
  <c r="O11"/>
  <c r="N11"/>
  <c r="M11"/>
  <c r="L11"/>
  <c r="K11"/>
  <c r="J11"/>
  <c r="I11"/>
  <c r="H11"/>
  <c r="G11"/>
  <c r="F11"/>
  <c r="E11"/>
  <c r="T11" s="1"/>
  <c r="S10"/>
  <c r="R10"/>
  <c r="Q10"/>
  <c r="P10"/>
  <c r="O10"/>
  <c r="N10"/>
  <c r="M10"/>
  <c r="L10"/>
  <c r="K10"/>
  <c r="J10"/>
  <c r="I10"/>
  <c r="H10"/>
  <c r="G10"/>
  <c r="F10"/>
  <c r="E10"/>
  <c r="T10" s="1"/>
  <c r="S9"/>
  <c r="R9"/>
  <c r="Q9"/>
  <c r="P9"/>
  <c r="O9"/>
  <c r="N9"/>
  <c r="M9"/>
  <c r="L9"/>
  <c r="K9"/>
  <c r="J9"/>
  <c r="I9"/>
  <c r="H9"/>
  <c r="G9"/>
  <c r="F9"/>
  <c r="E9"/>
  <c r="T9" s="1"/>
  <c r="S8"/>
  <c r="R8"/>
  <c r="Q8"/>
  <c r="P8"/>
  <c r="O8"/>
  <c r="N8"/>
  <c r="M8"/>
  <c r="L8"/>
  <c r="K8"/>
  <c r="J8"/>
  <c r="I8"/>
  <c r="H8"/>
  <c r="G8"/>
  <c r="F8"/>
  <c r="E8"/>
  <c r="T8" s="1"/>
  <c r="S7"/>
  <c r="R7"/>
  <c r="Q7"/>
  <c r="P7"/>
  <c r="O7"/>
  <c r="N7"/>
  <c r="M7"/>
  <c r="L7"/>
  <c r="K7"/>
  <c r="J7"/>
  <c r="I7"/>
  <c r="H7"/>
  <c r="G7"/>
  <c r="F7"/>
  <c r="E7"/>
  <c r="T7" s="1"/>
  <c r="S6"/>
  <c r="R6"/>
  <c r="Q6"/>
  <c r="P6"/>
  <c r="O6"/>
  <c r="N6"/>
  <c r="M6"/>
  <c r="L6"/>
  <c r="K6"/>
  <c r="J6"/>
  <c r="I6"/>
  <c r="H6"/>
  <c r="G6"/>
  <c r="F6"/>
  <c r="E6"/>
  <c r="T6" s="1"/>
  <c r="S5"/>
  <c r="R5"/>
  <c r="Q5"/>
  <c r="P5"/>
  <c r="O5"/>
  <c r="N5"/>
  <c r="M5"/>
  <c r="L5"/>
  <c r="K5"/>
  <c r="J5"/>
  <c r="I5"/>
  <c r="H5"/>
  <c r="G5"/>
  <c r="F5"/>
  <c r="E5"/>
  <c r="T5" s="1"/>
  <c r="S4"/>
  <c r="Q4"/>
  <c r="P4"/>
  <c r="O4"/>
  <c r="N4"/>
  <c r="M4"/>
  <c r="L4"/>
  <c r="K4"/>
  <c r="J4"/>
  <c r="I4"/>
  <c r="H4"/>
  <c r="G4"/>
  <c r="F4"/>
  <c r="E4"/>
  <c r="T4" s="1"/>
  <c r="T51" l="1"/>
  <c r="T41"/>
  <c r="T39"/>
  <c r="T52"/>
  <c r="F53" i="86" l="1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F5" l="1"/>
  <c r="K45"/>
  <c r="F43" l="1"/>
  <c r="F57" s="1"/>
  <c r="K57" s="1"/>
  <c r="K5"/>
  <c r="K43" s="1"/>
</calcChain>
</file>

<file path=xl/comments1.xml><?xml version="1.0" encoding="utf-8"?>
<comments xmlns="http://schemas.openxmlformats.org/spreadsheetml/2006/main">
  <authors>
    <author>meng</author>
  </authors>
  <commentList>
    <comment ref="L73" authorId="0">
      <text>
        <r>
          <rPr>
            <b/>
            <sz val="9"/>
            <color indexed="81"/>
            <rFont val="Tahoma"/>
            <family val="2"/>
          </rPr>
          <t>meng:</t>
        </r>
        <r>
          <rPr>
            <sz val="9"/>
            <color indexed="81"/>
            <rFont val="Tahoma"/>
            <family val="2"/>
          </rPr>
          <t xml:space="preserve">
1053.21</t>
        </r>
      </text>
    </comment>
    <comment ref="O73" authorId="0">
      <text>
        <r>
          <rPr>
            <b/>
            <sz val="9"/>
            <color indexed="81"/>
            <rFont val="Tahoma"/>
            <family val="2"/>
          </rPr>
          <t>meng:</t>
        </r>
        <r>
          <rPr>
            <sz val="9"/>
            <color indexed="81"/>
            <rFont val="Tahoma"/>
            <family val="2"/>
          </rPr>
          <t xml:space="preserve">
7453.44</t>
        </r>
      </text>
    </comment>
    <comment ref="L74" authorId="0">
      <text>
        <r>
          <rPr>
            <b/>
            <sz val="9"/>
            <color indexed="81"/>
            <rFont val="Tahoma"/>
            <family val="2"/>
          </rPr>
          <t>meng:</t>
        </r>
        <r>
          <rPr>
            <sz val="9"/>
            <color indexed="81"/>
            <rFont val="Tahoma"/>
            <family val="2"/>
          </rPr>
          <t xml:space="preserve">
520</t>
        </r>
      </text>
    </comment>
    <comment ref="O74" authorId="0">
      <text>
        <r>
          <rPr>
            <b/>
            <sz val="9"/>
            <color indexed="81"/>
            <rFont val="Tahoma"/>
            <family val="2"/>
          </rPr>
          <t>meng:</t>
        </r>
        <r>
          <rPr>
            <sz val="9"/>
            <color indexed="81"/>
            <rFont val="Tahoma"/>
            <family val="2"/>
          </rPr>
          <t xml:space="preserve">
3800</t>
        </r>
      </text>
    </comment>
  </commentList>
</comments>
</file>

<file path=xl/sharedStrings.xml><?xml version="1.0" encoding="utf-8"?>
<sst xmlns="http://schemas.openxmlformats.org/spreadsheetml/2006/main" count="433" uniqueCount="306">
  <si>
    <t>工资福利支出</t>
  </si>
  <si>
    <t>颛桥</t>
  </si>
  <si>
    <t>序号</t>
  </si>
  <si>
    <t>项目名称</t>
  </si>
  <si>
    <t>功能分类</t>
  </si>
  <si>
    <t>口径</t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</si>
  <si>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</si>
  <si>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</si>
  <si>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</si>
  <si>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</si>
  <si>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</si>
  <si>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</si>
  <si>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</si>
  <si>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</si>
  <si>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</si>
  <si>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</si>
  <si>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</si>
  <si>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</si>
  <si>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</si>
  <si>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</si>
  <si>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</si>
  <si>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</si>
  <si>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</si>
  <si>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</si>
  <si>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</si>
  <si>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</si>
  <si>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</si>
  <si>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</si>
  <si>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</si>
  <si>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</si>
  <si>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</si>
  <si>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</si>
  <si>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</si>
  <si>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13</t>
  </si>
  <si>
    <t>　　绩效工资</t>
  </si>
  <si>
    <t>14</t>
  </si>
  <si>
    <t>　　　　1、绩效工资</t>
  </si>
  <si>
    <t>15</t>
  </si>
  <si>
    <t>　　　　2、校长职级制</t>
  </si>
  <si>
    <t>根据校长职级制按实编制</t>
  </si>
  <si>
    <t>16</t>
  </si>
  <si>
    <t>17</t>
  </si>
  <si>
    <t>18</t>
  </si>
  <si>
    <t xml:space="preserve">   城镇职工基本医疗保险缴费</t>
  </si>
  <si>
    <t>19</t>
  </si>
  <si>
    <t>事业单位医疗</t>
  </si>
  <si>
    <t>20</t>
  </si>
  <si>
    <t>21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</si>
  <si>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</si>
  <si>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</si>
  <si>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</si>
  <si>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</si>
  <si>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</si>
  <si>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</si>
  <si>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</si>
  <si>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</si>
  <si>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</si>
  <si>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</si>
  <si>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</si>
  <si>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公积金</t>
  </si>
  <si>
    <t>28</t>
  </si>
  <si>
    <t>29</t>
  </si>
  <si>
    <t>对个人和家庭补助</t>
  </si>
  <si>
    <t>30</t>
  </si>
  <si>
    <t>离退休</t>
  </si>
  <si>
    <t>31</t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</si>
  <si>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</si>
  <si>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</si>
  <si>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</si>
  <si>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</si>
  <si>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</si>
  <si>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</si>
  <si>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</si>
  <si>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</si>
  <si>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</si>
  <si>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</si>
  <si>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</si>
  <si>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</si>
  <si>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</si>
  <si>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</si>
  <si>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</si>
  <si>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</si>
  <si>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</si>
  <si>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</si>
  <si>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</si>
  <si>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</si>
  <si>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</si>
  <si>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</si>
  <si>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</si>
  <si>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</si>
  <si>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</si>
  <si>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</si>
  <si>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</si>
  <si>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</si>
  <si>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46</t>
  </si>
  <si>
    <t>教职工人数*4320元（公式计算）</t>
  </si>
  <si>
    <t>47</t>
  </si>
  <si>
    <t>48</t>
  </si>
  <si>
    <t>49</t>
  </si>
  <si>
    <t>　　　　1、工会经费2%</t>
  </si>
  <si>
    <t>50</t>
  </si>
  <si>
    <t>51</t>
  </si>
  <si>
    <t>　　　　1、教育系统，校/辆</t>
  </si>
  <si>
    <t>52</t>
  </si>
  <si>
    <t>53</t>
  </si>
  <si>
    <t>54</t>
  </si>
  <si>
    <t>　　　　　　(1)活动费(活动费+活动费(托管))</t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</si>
  <si>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</si>
  <si>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</si>
  <si>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</si>
  <si>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</si>
  <si>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</si>
  <si>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</si>
  <si>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</si>
  <si>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</si>
  <si>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</si>
  <si>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</si>
  <si>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</si>
  <si>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</si>
  <si>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</si>
  <si>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</si>
  <si>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</si>
  <si>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</si>
  <si>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</si>
  <si>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</si>
  <si>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</si>
  <si>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</si>
  <si>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</si>
  <si>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</si>
  <si>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</si>
  <si>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</si>
  <si>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</si>
  <si>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</si>
  <si>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</si>
  <si>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</si>
  <si>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</si>
  <si>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</si>
  <si>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</si>
  <si>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</si>
  <si>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</si>
  <si>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</si>
  <si>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</si>
  <si>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</si>
  <si>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</si>
  <si>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</si>
  <si>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</si>
  <si>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</si>
  <si>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</si>
  <si>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t>　　　　1、基本养老保险16%</t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</si>
  <si>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</si>
  <si>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</si>
  <si>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</si>
  <si>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</si>
  <si>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</si>
  <si>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</si>
  <si>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</si>
  <si>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</si>
  <si>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</si>
  <si>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</si>
  <si>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</si>
  <si>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</si>
  <si>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</si>
  <si>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</si>
  <si>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</si>
  <si>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</si>
  <si>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</si>
  <si>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</si>
  <si>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镇属</t>
    <phoneticPr fontId="1" type="noConversion"/>
  </si>
  <si>
    <t>合计</t>
    <phoneticPr fontId="1" type="noConversion"/>
  </si>
  <si>
    <t>金额（3元/人）</t>
    <phoneticPr fontId="1" type="noConversion"/>
  </si>
  <si>
    <t>颛桥镇二幼</t>
  </si>
  <si>
    <t>田园中学</t>
  </si>
  <si>
    <t>田园幼儿园</t>
  </si>
  <si>
    <t>幼儿园</t>
    <phoneticPr fontId="2" type="noConversion"/>
  </si>
  <si>
    <t>三</t>
  </si>
  <si>
    <t>一</t>
  </si>
  <si>
    <t>小学</t>
    <phoneticPr fontId="2" type="noConversion"/>
  </si>
  <si>
    <t>初中</t>
    <phoneticPr fontId="2" type="noConversion"/>
  </si>
  <si>
    <t>单位</t>
    <phoneticPr fontId="1" type="noConversion"/>
  </si>
  <si>
    <t>一次分配</t>
    <phoneticPr fontId="1" type="noConversion"/>
  </si>
  <si>
    <t>颛桥</t>
    <phoneticPr fontId="1" type="noConversion"/>
  </si>
  <si>
    <t>上海市闵行区颛桥镇社区学校</t>
  </si>
  <si>
    <t>单 位</t>
  </si>
  <si>
    <t>工程量</t>
  </si>
  <si>
    <t>项</t>
  </si>
  <si>
    <t>m2</t>
  </si>
  <si>
    <t>垃圾清运</t>
  </si>
  <si>
    <t>教学楼</t>
  </si>
  <si>
    <t>点</t>
  </si>
  <si>
    <t>m</t>
  </si>
  <si>
    <t>二</t>
  </si>
  <si>
    <t>门卫</t>
  </si>
  <si>
    <t>厨房整体改造</t>
  </si>
  <si>
    <t>四</t>
  </si>
  <si>
    <t>空气检测费</t>
  </si>
  <si>
    <t>设计费</t>
  </si>
  <si>
    <t>五</t>
  </si>
  <si>
    <t>室外工程</t>
  </si>
  <si>
    <t>工程或费目名称</t>
  </si>
  <si>
    <t>评估意见简要及备注</t>
  </si>
  <si>
    <t>概算金额（万元）</t>
  </si>
  <si>
    <t>技经指标（元）</t>
  </si>
  <si>
    <t>概算金额（元）</t>
    <phoneticPr fontId="2" type="noConversion"/>
  </si>
  <si>
    <t>第一部分  建筑安装工程费用</t>
  </si>
  <si>
    <t>第一部分费用小计</t>
  </si>
  <si>
    <t>第二部分  工程建设其他费用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</si>
  <si>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</si>
  <si>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</si>
  <si>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</si>
  <si>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</si>
  <si>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</si>
  <si>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</si>
  <si>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前期工作咨询费</t>
  </si>
  <si>
    <t>工可评审费</t>
  </si>
  <si>
    <t>工程监理费（含审价费）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</si>
  <si>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</si>
  <si>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</si>
  <si>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</si>
  <si>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</si>
  <si>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</si>
  <si>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</si>
  <si>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</si>
  <si>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</si>
  <si>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</si>
  <si>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</si>
  <si>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</si>
  <si>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</si>
  <si>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</si>
  <si>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</si>
  <si>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</si>
  <si>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</si>
  <si>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</si>
  <si>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</si>
  <si>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</si>
  <si>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</si>
  <si>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</si>
  <si>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</si>
  <si>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</si>
  <si>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</si>
  <si>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</si>
  <si>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</si>
  <si>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</si>
  <si>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</si>
  <si>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</si>
  <si>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</si>
  <si>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</si>
  <si>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</si>
  <si>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</si>
  <si>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</si>
  <si>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</si>
  <si>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</si>
  <si>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</si>
  <si>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</si>
  <si>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</si>
  <si>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</si>
  <si>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</si>
  <si>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</si>
  <si>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</si>
  <si>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</si>
  <si>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</si>
  <si>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</si>
  <si>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</si>
  <si>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</si>
  <si>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</si>
  <si>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下达（元）</t>
    <phoneticPr fontId="2" type="noConversion"/>
  </si>
  <si>
    <t>2025年闵行区龙柏第一幼儿园（雨林分园）校舍维修项目明细表</t>
    <phoneticPr fontId="2" type="noConversion"/>
  </si>
  <si>
    <t>　　其他支出对个人和家庭补助</t>
  </si>
  <si>
    <t>　　　　1、其他</t>
  </si>
  <si>
    <t>除罗阳小学3人及七宝二中1人的退休共享费外，其他学校填0</t>
  </si>
  <si>
    <t>　　(八)其他商品和服务支出</t>
  </si>
  <si>
    <t>　　　　1、离退休公用支出</t>
  </si>
  <si>
    <t>　　　　2、子女幼托费</t>
  </si>
  <si>
    <t>　　(九)其他交通费用</t>
  </si>
  <si>
    <t>填写2025年秋季在编教职工人数</t>
  </si>
  <si>
    <t>70</t>
  </si>
  <si>
    <t>71</t>
  </si>
  <si>
    <t>填写2025年秋季学期学生人数，以招办人数为准</t>
  </si>
  <si>
    <t>成人</t>
    <phoneticPr fontId="1" type="noConversion"/>
  </si>
  <si>
    <t xml:space="preserve">        1、医疗保险费9%</t>
  </si>
  <si>
    <t xml:space="preserve">        2、其他医疗保险费4%</t>
  </si>
  <si>
    <t xml:space="preserve">    公积金7%</t>
  </si>
  <si>
    <t>2025年残疾人就业保障预算调整表</t>
    <phoneticPr fontId="1" type="noConversion"/>
  </si>
  <si>
    <t>学段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</si>
  <si>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</si>
  <si>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</si>
  <si>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项目</t>
  </si>
  <si>
    <t>颛桥镇：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</si>
  <si>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</si>
  <si>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</si>
  <si>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</si>
  <si>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2026年教育统筹经费第一次分配明细表</t>
    <phoneticPr fontId="1" type="noConversion"/>
  </si>
  <si>
    <t>残疾就业保障</t>
  </si>
  <si>
    <t>社区教育经费</t>
  </si>
  <si>
    <t>社区教育志愿者联盟</t>
  </si>
  <si>
    <t>2026年基本支出预算表</t>
  </si>
  <si>
    <t>一贯制</t>
    <phoneticPr fontId="2" type="noConversion"/>
  </si>
  <si>
    <t>成人</t>
    <phoneticPr fontId="2" type="noConversion"/>
  </si>
  <si>
    <t>　　　　1、工伤保险费0.5(0.2%-1.9%)</t>
  </si>
  <si>
    <t xml:space="preserve">     (1)其他保险2%(统筹)：住院及大病补助</t>
  </si>
  <si>
    <t xml:space="preserve">     (2)其他保险2%(单位)：购买保险</t>
  </si>
  <si>
    <t>机关局有编制的车辆数*32000元/25000元/年（分园及分校预算在其他交通费中编制）</t>
  </si>
  <si>
    <t>2026年社区教育预算表(年初预算）</t>
    <phoneticPr fontId="1" type="noConversion"/>
  </si>
  <si>
    <t>常住人口</t>
    <phoneticPr fontId="1" type="noConversion"/>
  </si>
  <si>
    <t>2025年实际需求</t>
    <phoneticPr fontId="1" type="noConversion"/>
  </si>
  <si>
    <t>2026年年初预算</t>
    <phoneticPr fontId="1" type="noConversion"/>
  </si>
  <si>
    <t>颛桥合计</t>
    <phoneticPr fontId="1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</si>
</sst>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0_ "/>
    <numFmt numFmtId="180" formatCode="[$-F800]dddd\,\ mmmm\ dd\,\ yyyy"/>
    <numFmt numFmtId="181" formatCode="0_);[Red]\(0\)"/>
  </numFmts>
  <fonts count="6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9"/>
      <color indexed="81"/>
      <name val="Tahoma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2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20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13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39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9" fillId="0" borderId="0">
      <alignment vertical="center"/>
    </xf>
    <xf numFmtId="0" fontId="4" fillId="0" borderId="0"/>
    <xf numFmtId="17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176" fontId="39" fillId="0" borderId="0">
      <alignment vertical="center"/>
    </xf>
    <xf numFmtId="0" fontId="11" fillId="0" borderId="0"/>
  </cellStyleXfs>
  <cellXfs count="137">
    <xf numFmtId="0" fontId="0" fillId="0" borderId="0" xfId="0">
      <alignment vertical="center"/>
    </xf>
    <xf numFmtId="0" fontId="2" fillId="2" borderId="0" xfId="0" applyFont="1" applyFill="1" applyAlignment="1" applyProtection="1">
      <protection locked="0"/>
    </xf>
    <xf numFmtId="177" fontId="2" fillId="2" borderId="11" xfId="0" applyNumberFormat="1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7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13" xfId="0" applyBorder="1" applyAlignment="1">
      <alignment horizontal="center" vertical="center"/>
    </xf>
    <xf numFmtId="0" fontId="38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0" fillId="2" borderId="14" xfId="0" applyNumberFormat="1" applyFont="1" applyFill="1" applyBorder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4" fillId="0" borderId="13" xfId="2012" applyFont="1" applyFill="1" applyBorder="1" applyAlignment="1">
      <alignment horizontal="center" vertical="center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/>
    </xf>
    <xf numFmtId="176" fontId="4" fillId="0" borderId="13" xfId="2012" applyNumberFormat="1" applyFont="1" applyFill="1" applyBorder="1" applyAlignment="1">
      <alignment horizontal="center" vertical="center" wrapText="1"/>
    </xf>
    <xf numFmtId="1" fontId="49" fillId="0" borderId="13" xfId="2012" applyNumberFormat="1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vertical="center"/>
    </xf>
    <xf numFmtId="176" fontId="41" fillId="0" borderId="13" xfId="2012" applyNumberFormat="1" applyFont="1" applyFill="1" applyBorder="1" applyAlignment="1">
      <alignment horizontal="center" vertical="center" wrapText="1"/>
    </xf>
    <xf numFmtId="0" fontId="41" fillId="0" borderId="13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1" fillId="0" borderId="13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13" xfId="2012" quotePrefix="1" applyFont="1" applyFill="1" applyBorder="1" applyAlignment="1">
      <alignment horizontal="center" vertical="center" wrapText="1"/>
    </xf>
    <xf numFmtId="0" fontId="41" fillId="0" borderId="13" xfId="2012" applyFont="1" applyFill="1" applyBorder="1" applyAlignment="1">
      <alignment horizontal="center" vertical="center"/>
    </xf>
    <xf numFmtId="2" fontId="48" fillId="0" borderId="13" xfId="0" applyNumberFormat="1" applyFont="1" applyFill="1" applyBorder="1" applyAlignment="1">
      <alignment horizontal="center" vertical="center"/>
    </xf>
    <xf numFmtId="176" fontId="48" fillId="0" borderId="13" xfId="0" applyNumberFormat="1" applyFont="1" applyFill="1" applyBorder="1" applyAlignment="1">
      <alignment horizontal="center" vertical="center"/>
    </xf>
    <xf numFmtId="1" fontId="48" fillId="0" borderId="13" xfId="2012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left" vertical="center" wrapText="1"/>
    </xf>
    <xf numFmtId="2" fontId="49" fillId="0" borderId="13" xfId="0" applyNumberFormat="1" applyFont="1" applyFill="1" applyBorder="1" applyAlignment="1">
      <alignment horizontal="center" vertical="center"/>
    </xf>
    <xf numFmtId="176" fontId="54" fillId="0" borderId="13" xfId="0" applyNumberFormat="1" applyFont="1" applyFill="1" applyBorder="1" applyAlignment="1">
      <alignment horizontal="center" vertical="center"/>
    </xf>
    <xf numFmtId="176" fontId="4" fillId="0" borderId="13" xfId="2012" applyNumberFormat="1" applyFont="1" applyFill="1" applyBorder="1" applyAlignment="1">
      <alignment horizontal="left" vertical="center" wrapText="1"/>
    </xf>
    <xf numFmtId="2" fontId="49" fillId="0" borderId="13" xfId="2012" applyNumberFormat="1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left" vertical="center" wrapText="1"/>
    </xf>
    <xf numFmtId="176" fontId="41" fillId="0" borderId="13" xfId="2012" applyNumberFormat="1" applyFont="1" applyFill="1" applyBorder="1" applyAlignment="1">
      <alignment horizontal="left" vertical="center" wrapText="1"/>
    </xf>
    <xf numFmtId="1" fontId="49" fillId="0" borderId="13" xfId="0" applyNumberFormat="1" applyFont="1" applyFill="1" applyBorder="1" applyAlignment="1">
      <alignment horizontal="center" vertical="center"/>
    </xf>
    <xf numFmtId="4" fontId="49" fillId="0" borderId="13" xfId="0" applyNumberFormat="1" applyFont="1" applyFill="1" applyBorder="1" applyAlignment="1">
      <alignment horizontal="center" vertical="center"/>
    </xf>
    <xf numFmtId="181" fontId="52" fillId="0" borderId="13" xfId="0" applyNumberFormat="1" applyFont="1" applyFill="1" applyBorder="1" applyAlignment="1">
      <alignment vertical="center"/>
    </xf>
    <xf numFmtId="0" fontId="52" fillId="0" borderId="13" xfId="0" applyFont="1" applyFill="1" applyBorder="1" applyAlignment="1">
      <alignment horizontal="center" vertical="center" wrapText="1"/>
    </xf>
    <xf numFmtId="0" fontId="52" fillId="0" borderId="13" xfId="0" applyFont="1" applyFill="1" applyBorder="1" applyAlignment="1">
      <alignment vertical="center"/>
    </xf>
    <xf numFmtId="4" fontId="48" fillId="0" borderId="13" xfId="0" applyNumberFormat="1" applyFont="1" applyFill="1" applyBorder="1" applyAlignment="1">
      <alignment horizontal="center" vertical="center"/>
    </xf>
    <xf numFmtId="2" fontId="48" fillId="0" borderId="13" xfId="0" applyNumberFormat="1" applyFont="1" applyFill="1" applyBorder="1" applyAlignment="1">
      <alignment horizontal="center" vertical="center" shrinkToFit="1"/>
    </xf>
    <xf numFmtId="176" fontId="48" fillId="0" borderId="13" xfId="2012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9" fillId="0" borderId="13" xfId="0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176" fontId="49" fillId="0" borderId="13" xfId="2012" applyNumberFormat="1" applyFont="1" applyFill="1" applyBorder="1" applyAlignment="1">
      <alignment horizontal="center" vertical="center" wrapText="1"/>
    </xf>
    <xf numFmtId="176" fontId="49" fillId="0" borderId="13" xfId="0" applyNumberFormat="1" applyFont="1" applyFill="1" applyBorder="1" applyAlignment="1">
      <alignment horizontal="center" vertical="center"/>
    </xf>
    <xf numFmtId="176" fontId="47" fillId="0" borderId="13" xfId="0" applyNumberFormat="1" applyFont="1" applyFill="1" applyBorder="1" applyAlignment="1">
      <alignment horizontal="left" vertical="center" wrapText="1"/>
    </xf>
    <xf numFmtId="0" fontId="55" fillId="0" borderId="13" xfId="0" applyFont="1" applyFill="1" applyBorder="1" applyAlignment="1">
      <alignment vertical="center"/>
    </xf>
    <xf numFmtId="0" fontId="47" fillId="0" borderId="13" xfId="0" applyFont="1" applyFill="1" applyBorder="1" applyAlignment="1">
      <alignment horizontal="left" vertical="center" wrapText="1"/>
    </xf>
    <xf numFmtId="2" fontId="4" fillId="0" borderId="13" xfId="0" applyNumberFormat="1" applyFont="1" applyFill="1" applyBorder="1" applyAlignment="1">
      <alignment horizontal="center" vertical="center" shrinkToFit="1"/>
    </xf>
    <xf numFmtId="176" fontId="4" fillId="0" borderId="13" xfId="2012" applyNumberFormat="1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  <xf numFmtId="0" fontId="49" fillId="0" borderId="13" xfId="2012" applyFont="1" applyFill="1" applyBorder="1" applyAlignment="1">
      <alignment horizontal="center" vertical="center" wrapText="1"/>
    </xf>
    <xf numFmtId="176" fontId="49" fillId="0" borderId="13" xfId="2012" applyNumberFormat="1" applyFont="1" applyFill="1" applyBorder="1" applyAlignment="1">
      <alignment horizontal="center" vertical="center"/>
    </xf>
    <xf numFmtId="0" fontId="48" fillId="0" borderId="13" xfId="2012" applyFont="1" applyFill="1" applyBorder="1" applyAlignment="1">
      <alignment horizontal="center" vertical="center" wrapText="1"/>
    </xf>
    <xf numFmtId="0" fontId="48" fillId="0" borderId="1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176" fontId="48" fillId="0" borderId="13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0" fontId="4" fillId="0" borderId="14" xfId="2006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" fillId="0" borderId="14" xfId="2006" applyFont="1" applyBorder="1" applyAlignment="1">
      <alignment horizontal="center" vertical="center"/>
    </xf>
    <xf numFmtId="176" fontId="50" fillId="0" borderId="14" xfId="0" applyNumberFormat="1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179" fontId="50" fillId="0" borderId="14" xfId="0" applyNumberFormat="1" applyFont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5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59" fillId="0" borderId="0" xfId="0" applyNumberFormat="1" applyFont="1" applyBorder="1" applyAlignment="1">
      <alignment horizontal="right" vertical="center"/>
    </xf>
    <xf numFmtId="0" fontId="46" fillId="0" borderId="14" xfId="0" applyNumberFormat="1" applyFont="1" applyBorder="1" applyAlignment="1">
      <alignment horizontal="center" vertical="center"/>
    </xf>
    <xf numFmtId="0" fontId="46" fillId="0" borderId="0" xfId="0" applyNumberFormat="1" applyFont="1" applyBorder="1" applyAlignment="1">
      <alignment horizontal="center" vertical="center"/>
    </xf>
    <xf numFmtId="0" fontId="46" fillId="0" borderId="1" xfId="0" applyNumberFormat="1" applyFont="1" applyBorder="1" applyAlignment="1">
      <alignment horizontal="center" vertical="center"/>
    </xf>
    <xf numFmtId="176" fontId="46" fillId="0" borderId="1" xfId="0" applyNumberFormat="1" applyFont="1" applyBorder="1" applyAlignment="1">
      <alignment horizontal="center" vertical="center"/>
    </xf>
    <xf numFmtId="176" fontId="46" fillId="0" borderId="14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2" borderId="0" xfId="0" applyFont="1" applyFill="1" applyAlignment="1" applyProtection="1">
      <alignment wrapText="1"/>
      <protection locked="0"/>
    </xf>
    <xf numFmtId="0" fontId="0" fillId="0" borderId="12" xfId="0" applyBorder="1" applyAlignment="1">
      <alignment horizontal="center" vertical="center"/>
    </xf>
    <xf numFmtId="0" fontId="45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49" fontId="2" fillId="2" borderId="14" xfId="0" applyNumberFormat="1" applyFont="1" applyFill="1" applyBorder="1" applyAlignment="1" applyProtection="1">
      <protection locked="0"/>
    </xf>
    <xf numFmtId="49" fontId="2" fillId="2" borderId="14" xfId="0" applyNumberFormat="1" applyFont="1" applyFill="1" applyBorder="1" applyAlignment="1" applyProtection="1">
      <alignment wrapText="1"/>
      <protection locked="0"/>
    </xf>
    <xf numFmtId="177" fontId="2" fillId="2" borderId="14" xfId="0" applyNumberFormat="1" applyFont="1" applyFill="1" applyBorder="1" applyAlignment="1" applyProtection="1"/>
    <xf numFmtId="177" fontId="2" fillId="2" borderId="14" xfId="0" applyNumberFormat="1" applyFont="1" applyFill="1" applyBorder="1" applyAlignment="1" applyProtection="1">
      <protection locked="0"/>
    </xf>
    <xf numFmtId="49" fontId="2" fillId="2" borderId="14" xfId="0" applyNumberFormat="1" applyFont="1" applyFill="1" applyBorder="1" applyAlignment="1" applyProtection="1">
      <alignment horizontal="left"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78" fontId="2" fillId="2" borderId="14" xfId="0" applyNumberFormat="1" applyFont="1" applyFill="1" applyBorder="1" applyAlignment="1" applyProtection="1">
      <protection locked="0"/>
    </xf>
    <xf numFmtId="49" fontId="2" fillId="2" borderId="14" xfId="0" applyNumberFormat="1" applyFont="1" applyFill="1" applyBorder="1" applyAlignment="1" applyProtection="1">
      <alignment horizontal="left"/>
      <protection locked="0"/>
    </xf>
    <xf numFmtId="176" fontId="50" fillId="2" borderId="14" xfId="0" applyNumberFormat="1" applyFont="1" applyFill="1" applyBorder="1" applyAlignment="1">
      <alignment horizontal="center" vertical="center"/>
    </xf>
    <xf numFmtId="0" fontId="44" fillId="2" borderId="14" xfId="1225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176" fontId="47" fillId="0" borderId="13" xfId="0" applyNumberFormat="1" applyFont="1" applyFill="1" applyBorder="1" applyAlignment="1">
      <alignment horizontal="left" vertical="center" wrapText="1"/>
    </xf>
    <xf numFmtId="0" fontId="53" fillId="0" borderId="0" xfId="201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2012" quotePrefix="1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1" fontId="4" fillId="0" borderId="13" xfId="2012" applyNumberFormat="1" applyFont="1" applyFill="1" applyBorder="1" applyAlignment="1">
      <alignment horizontal="center" vertical="center" wrapText="1"/>
    </xf>
    <xf numFmtId="0" fontId="4" fillId="0" borderId="13" xfId="201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7" fillId="0" borderId="0" xfId="0" applyNumberFormat="1" applyFont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58" fillId="0" borderId="0" xfId="0" applyNumberFormat="1" applyFont="1" applyBorder="1" applyAlignment="1">
      <alignment vertical="center"/>
    </xf>
    <xf numFmtId="180" fontId="0" fillId="0" borderId="0" xfId="0" applyNumberFormat="1" applyBorder="1" applyAlignment="1">
      <alignment vertical="center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45" fillId="2" borderId="16" xfId="0" applyNumberFormat="1" applyFont="1" applyFill="1" applyBorder="1" applyAlignment="1" applyProtection="1">
      <alignment horizontal="center" vertical="center"/>
      <protection locked="0"/>
    </xf>
    <xf numFmtId="0" fontId="45" fillId="2" borderId="1" xfId="0" applyNumberFormat="1" applyFont="1" applyFill="1" applyBorder="1" applyAlignment="1" applyProtection="1">
      <alignment horizontal="center" vertical="center"/>
      <protection locked="0"/>
    </xf>
    <xf numFmtId="0" fontId="4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4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NumberFormat="1" applyFont="1" applyBorder="1" applyAlignment="1">
      <alignment horizontal="center" vertical="center"/>
    </xf>
    <xf numFmtId="0" fontId="51" fillId="0" borderId="0" xfId="0" applyNumberFormat="1" applyFont="1" applyBorder="1" applyAlignment="1">
      <alignment vertical="center"/>
    </xf>
    <xf numFmtId="0" fontId="51" fillId="0" borderId="0" xfId="0" applyFont="1" applyAlignment="1">
      <alignment vertical="center"/>
    </xf>
    <xf numFmtId="0" fontId="38" fillId="0" borderId="12" xfId="0" applyNumberFormat="1" applyFont="1" applyBorder="1" applyAlignment="1">
      <alignment horizontal="right" vertical="center"/>
    </xf>
    <xf numFmtId="0" fontId="38" fillId="0" borderId="12" xfId="0" applyFont="1" applyBorder="1" applyAlignment="1">
      <alignment horizontal="right" vertical="center"/>
    </xf>
  </cellXfs>
  <cellStyles count="2013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09"/>
    <cellStyle name="常规 297" xfId="201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杨浦大桥" xfId="2012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 2" xfId="2007"/>
    <cellStyle name="千位分隔[0] 3" xfId="2010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57</xdr:row>
      <xdr:rowOff>19050</xdr:rowOff>
    </xdr:from>
    <xdr:to>
      <xdr:col>7</xdr:col>
      <xdr:colOff>723900</xdr:colOff>
      <xdr:row>57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43775" y="15201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10;&#22238;%20(1)\2026\&#24180;&#21021;&#39044;&#31639;\2026&#24180;&#39044;&#31639;&#34920;&#24335;&#39067;&#2672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6年基本支出预算表"/>
      <sheetName val="生均公用定额标准"/>
      <sheetName val="其他定额标准"/>
      <sheetName val="2026年中小学人数"/>
      <sheetName val="2026年幼儿园人数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O3">
            <v>4885620</v>
          </cell>
          <cell r="P3">
            <v>244281</v>
          </cell>
        </row>
        <row r="4">
          <cell r="O4">
            <v>4994760</v>
          </cell>
          <cell r="P4">
            <v>249738</v>
          </cell>
        </row>
        <row r="5">
          <cell r="O5">
            <v>3900150</v>
          </cell>
          <cell r="P5">
            <v>195007.5</v>
          </cell>
        </row>
        <row r="6">
          <cell r="O6">
            <v>3415440</v>
          </cell>
          <cell r="P6">
            <v>170772</v>
          </cell>
        </row>
        <row r="7">
          <cell r="O7">
            <v>3049500</v>
          </cell>
          <cell r="P7">
            <v>152475</v>
          </cell>
        </row>
        <row r="8">
          <cell r="O8">
            <v>3957800</v>
          </cell>
          <cell r="P8">
            <v>197890</v>
          </cell>
        </row>
        <row r="9">
          <cell r="O9">
            <v>6826050</v>
          </cell>
          <cell r="P9">
            <v>341302.5</v>
          </cell>
        </row>
        <row r="10">
          <cell r="M10">
            <v>7010750</v>
          </cell>
          <cell r="P10">
            <v>350537.5</v>
          </cell>
        </row>
        <row r="11">
          <cell r="M11">
            <v>3080000</v>
          </cell>
          <cell r="P11">
            <v>154000</v>
          </cell>
        </row>
        <row r="12">
          <cell r="M12">
            <v>2637250</v>
          </cell>
          <cell r="P12">
            <v>131862.5</v>
          </cell>
        </row>
      </sheetData>
      <sheetData sheetId="11">
        <row r="2">
          <cell r="I2">
            <v>669240</v>
          </cell>
          <cell r="J2">
            <v>33462</v>
          </cell>
        </row>
        <row r="3">
          <cell r="I3">
            <v>572000</v>
          </cell>
          <cell r="J3">
            <v>14157</v>
          </cell>
        </row>
        <row r="4">
          <cell r="I4">
            <v>858000</v>
          </cell>
          <cell r="J4">
            <v>35035</v>
          </cell>
        </row>
        <row r="5">
          <cell r="I5">
            <v>1021020</v>
          </cell>
          <cell r="J5">
            <v>51051</v>
          </cell>
        </row>
        <row r="6">
          <cell r="I6">
            <v>715000</v>
          </cell>
          <cell r="J6">
            <v>29029</v>
          </cell>
        </row>
        <row r="7">
          <cell r="I7">
            <v>858000</v>
          </cell>
          <cell r="J7">
            <v>38038</v>
          </cell>
        </row>
        <row r="8">
          <cell r="I8">
            <v>858000</v>
          </cell>
          <cell r="J8">
            <v>35321</v>
          </cell>
        </row>
        <row r="9">
          <cell r="I9">
            <v>1129700</v>
          </cell>
          <cell r="J9">
            <v>56485</v>
          </cell>
        </row>
        <row r="10">
          <cell r="I10">
            <v>572000</v>
          </cell>
          <cell r="J10">
            <v>19019</v>
          </cell>
        </row>
        <row r="11">
          <cell r="I11">
            <v>715000</v>
          </cell>
          <cell r="J11">
            <v>33605</v>
          </cell>
        </row>
        <row r="12">
          <cell r="I12">
            <v>572000</v>
          </cell>
          <cell r="J12">
            <v>15158</v>
          </cell>
        </row>
        <row r="13">
          <cell r="I13">
            <v>858000</v>
          </cell>
          <cell r="J13">
            <v>29315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73" customWidth="1"/>
    <col min="2" max="2" width="24" style="33" customWidth="1"/>
    <col min="3" max="3" width="6.75" style="33" customWidth="1"/>
    <col min="4" max="5" width="11.125" style="33" hidden="1" customWidth="1"/>
    <col min="6" max="6" width="11.125" style="72" hidden="1" customWidth="1"/>
    <col min="7" max="8" width="11.125" style="33" customWidth="1"/>
    <col min="9" max="9" width="11.125" style="76" customWidth="1"/>
    <col min="10" max="11" width="11.125" style="33" hidden="1" customWidth="1"/>
    <col min="12" max="12" width="27.25" style="33" customWidth="1"/>
    <col min="13" max="16384" width="9" style="33"/>
  </cols>
  <sheetData>
    <row r="1" spans="1:13" ht="35.1" customHeight="1">
      <c r="A1" s="113" t="s">
        <v>265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</row>
    <row r="2" spans="1:13" ht="24.95" customHeight="1">
      <c r="A2" s="115" t="s">
        <v>2</v>
      </c>
      <c r="B2" s="116" t="s">
        <v>198</v>
      </c>
      <c r="C2" s="116" t="s">
        <v>182</v>
      </c>
      <c r="D2" s="118" t="s">
        <v>206</v>
      </c>
      <c r="E2" s="118"/>
      <c r="F2" s="118"/>
      <c r="G2" s="118" t="s">
        <v>207</v>
      </c>
      <c r="H2" s="118"/>
      <c r="I2" s="118"/>
      <c r="J2" s="16" t="s">
        <v>183</v>
      </c>
      <c r="K2" s="16" t="s">
        <v>208</v>
      </c>
      <c r="L2" s="119" t="s">
        <v>199</v>
      </c>
      <c r="M2" s="115" t="s">
        <v>264</v>
      </c>
    </row>
    <row r="3" spans="1:13" ht="35.1" customHeight="1">
      <c r="A3" s="115"/>
      <c r="B3" s="117"/>
      <c r="C3" s="117"/>
      <c r="D3" s="16" t="s">
        <v>183</v>
      </c>
      <c r="E3" s="18" t="s">
        <v>201</v>
      </c>
      <c r="F3" s="17" t="s">
        <v>200</v>
      </c>
      <c r="G3" s="16" t="s">
        <v>183</v>
      </c>
      <c r="H3" s="18" t="s">
        <v>223</v>
      </c>
      <c r="I3" s="28" t="s">
        <v>202</v>
      </c>
      <c r="J3" s="16" t="s">
        <v>209</v>
      </c>
      <c r="K3" s="16" t="s">
        <v>209</v>
      </c>
      <c r="L3" s="119"/>
      <c r="M3" s="120"/>
    </row>
    <row r="4" spans="1:13" ht="26.1" customHeight="1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3">
        <v>9</v>
      </c>
      <c r="J4" s="34" t="s">
        <v>210</v>
      </c>
      <c r="K4" s="34" t="s">
        <v>211</v>
      </c>
      <c r="L4" s="21">
        <v>12</v>
      </c>
      <c r="M4" s="7">
        <v>13</v>
      </c>
    </row>
    <row r="5" spans="1:13" s="39" customFormat="1" ht="26.1" customHeight="1">
      <c r="A5" s="35"/>
      <c r="B5" s="31" t="s">
        <v>203</v>
      </c>
      <c r="C5" s="10"/>
      <c r="D5" s="36"/>
      <c r="E5" s="36"/>
      <c r="F5" s="37">
        <f>F6+F11+F16+F20+F24</f>
        <v>87.374445300000019</v>
      </c>
      <c r="G5" s="36"/>
      <c r="H5" s="36"/>
      <c r="I5" s="37">
        <v>778448.28899999999</v>
      </c>
      <c r="J5" s="38"/>
      <c r="K5" s="37">
        <f t="shared" ref="K5:K11" si="0">I5-F5</f>
        <v>778360.91455470002</v>
      </c>
      <c r="L5" s="26"/>
      <c r="M5" s="25"/>
    </row>
    <row r="6" spans="1:13" s="39" customFormat="1" ht="25.5" customHeight="1">
      <c r="A6" s="35" t="s">
        <v>175</v>
      </c>
      <c r="B6" s="31" t="s">
        <v>224</v>
      </c>
      <c r="C6" s="10"/>
      <c r="D6" s="36"/>
      <c r="E6" s="36"/>
      <c r="F6" s="37">
        <f>SUM(F7:F10)</f>
        <v>3.81358</v>
      </c>
      <c r="G6" s="36"/>
      <c r="H6" s="36"/>
      <c r="I6" s="37">
        <v>34111.536</v>
      </c>
      <c r="J6" s="38"/>
      <c r="K6" s="37">
        <f t="shared" si="0"/>
        <v>34107.722419999998</v>
      </c>
      <c r="L6" s="26"/>
      <c r="M6" s="11"/>
    </row>
    <row r="7" spans="1:13" ht="25.5" customHeight="1">
      <c r="A7" s="40">
        <v>1</v>
      </c>
      <c r="B7" s="41" t="s">
        <v>225</v>
      </c>
      <c r="C7" s="16" t="s">
        <v>185</v>
      </c>
      <c r="D7" s="42">
        <v>19.7</v>
      </c>
      <c r="E7" s="42">
        <v>370.11015228426402</v>
      </c>
      <c r="F7" s="42">
        <f t="shared" ref="F7:F10" si="1">D7*E7/10000</f>
        <v>0.72911700000000013</v>
      </c>
      <c r="G7" s="42">
        <v>19.7</v>
      </c>
      <c r="H7" s="42">
        <v>370.11015228426402</v>
      </c>
      <c r="I7" s="61">
        <v>7291.17</v>
      </c>
      <c r="J7" s="24"/>
      <c r="K7" s="43"/>
      <c r="L7" s="44"/>
      <c r="M7" s="11"/>
    </row>
    <row r="8" spans="1:13" ht="25.5" customHeight="1">
      <c r="A8" s="40">
        <v>2</v>
      </c>
      <c r="B8" s="41" t="s">
        <v>226</v>
      </c>
      <c r="C8" s="16" t="s">
        <v>185</v>
      </c>
      <c r="D8" s="42">
        <v>39.4</v>
      </c>
      <c r="E8" s="42">
        <v>271.379949238579</v>
      </c>
      <c r="F8" s="42">
        <f t="shared" si="1"/>
        <v>1.0692370000000011</v>
      </c>
      <c r="G8" s="42">
        <v>39.4</v>
      </c>
      <c r="H8" s="42">
        <v>271.379949238579</v>
      </c>
      <c r="I8" s="61">
        <v>10692.37</v>
      </c>
      <c r="J8" s="24"/>
      <c r="K8" s="43"/>
      <c r="L8" s="44"/>
      <c r="M8" s="11"/>
    </row>
    <row r="9" spans="1:13" ht="25.5" customHeight="1">
      <c r="A9" s="40">
        <v>3</v>
      </c>
      <c r="B9" s="29" t="s">
        <v>227</v>
      </c>
      <c r="C9" s="16" t="s">
        <v>185</v>
      </c>
      <c r="D9" s="42">
        <v>19.7</v>
      </c>
      <c r="E9" s="42">
        <v>251.02030456852799</v>
      </c>
      <c r="F9" s="42">
        <f t="shared" si="1"/>
        <v>0.49451000000000012</v>
      </c>
      <c r="G9" s="42">
        <v>19.7</v>
      </c>
      <c r="H9" s="42">
        <v>214.26</v>
      </c>
      <c r="I9" s="61">
        <v>4220.9219999999996</v>
      </c>
      <c r="J9" s="45"/>
      <c r="K9" s="43">
        <f t="shared" si="0"/>
        <v>4220.4274899999991</v>
      </c>
      <c r="L9" s="44" t="s">
        <v>228</v>
      </c>
      <c r="M9" s="11"/>
    </row>
    <row r="10" spans="1:13" s="39" customFormat="1" ht="25.5" customHeight="1">
      <c r="A10" s="40">
        <v>4</v>
      </c>
      <c r="B10" s="46" t="s">
        <v>229</v>
      </c>
      <c r="C10" s="16" t="s">
        <v>185</v>
      </c>
      <c r="D10" s="42">
        <v>19.7</v>
      </c>
      <c r="E10" s="42">
        <v>771.93705583756298</v>
      </c>
      <c r="F10" s="42">
        <f t="shared" si="1"/>
        <v>1.5207159999999991</v>
      </c>
      <c r="G10" s="42">
        <v>19.7</v>
      </c>
      <c r="H10" s="42">
        <v>604.41999999999996</v>
      </c>
      <c r="I10" s="61">
        <v>11907.074000000001</v>
      </c>
      <c r="J10" s="24"/>
      <c r="K10" s="43">
        <f t="shared" si="0"/>
        <v>11905.553284</v>
      </c>
      <c r="L10" s="44" t="s">
        <v>230</v>
      </c>
      <c r="M10" s="11"/>
    </row>
    <row r="11" spans="1:13" s="39" customFormat="1" ht="25.5" customHeight="1">
      <c r="A11" s="35" t="s">
        <v>190</v>
      </c>
      <c r="B11" s="31" t="s">
        <v>192</v>
      </c>
      <c r="C11" s="10"/>
      <c r="D11" s="36"/>
      <c r="E11" s="36"/>
      <c r="F11" s="36">
        <f>SUM(F12:F15)</f>
        <v>17.181480000000008</v>
      </c>
      <c r="G11" s="36"/>
      <c r="H11" s="36"/>
      <c r="I11" s="37">
        <v>146323.6</v>
      </c>
      <c r="J11" s="38"/>
      <c r="K11" s="37">
        <f t="shared" si="0"/>
        <v>146306.41852000001</v>
      </c>
      <c r="L11" s="47"/>
      <c r="M11" s="11"/>
    </row>
    <row r="12" spans="1:13" s="39" customFormat="1" ht="25.5" customHeight="1">
      <c r="A12" s="40">
        <v>1</v>
      </c>
      <c r="B12" s="46" t="s">
        <v>225</v>
      </c>
      <c r="C12" s="16" t="s">
        <v>185</v>
      </c>
      <c r="D12" s="42">
        <v>95</v>
      </c>
      <c r="E12" s="42">
        <v>442.58842105263199</v>
      </c>
      <c r="F12" s="42">
        <f t="shared" ref="F12:F15" si="2">D12*E12/10000</f>
        <v>4.204590000000004</v>
      </c>
      <c r="G12" s="42">
        <v>95</v>
      </c>
      <c r="H12" s="42">
        <v>442.58842105263199</v>
      </c>
      <c r="I12" s="61">
        <v>42045.899999999994</v>
      </c>
      <c r="J12" s="24"/>
      <c r="K12" s="43"/>
      <c r="L12" s="44" t="s">
        <v>231</v>
      </c>
      <c r="M12" s="11"/>
    </row>
    <row r="13" spans="1:13" s="39" customFormat="1" ht="25.5" customHeight="1">
      <c r="A13" s="40">
        <v>2</v>
      </c>
      <c r="B13" s="46" t="s">
        <v>226</v>
      </c>
      <c r="C13" s="16" t="s">
        <v>185</v>
      </c>
      <c r="D13" s="42">
        <v>190</v>
      </c>
      <c r="E13" s="42">
        <v>271.38</v>
      </c>
      <c r="F13" s="42">
        <f t="shared" si="2"/>
        <v>5.1562199999999994</v>
      </c>
      <c r="G13" s="42">
        <v>190</v>
      </c>
      <c r="H13" s="42">
        <v>271.38</v>
      </c>
      <c r="I13" s="61">
        <v>51562.200000000004</v>
      </c>
      <c r="J13" s="24"/>
      <c r="K13" s="43"/>
      <c r="L13" s="44"/>
      <c r="M13" s="11"/>
    </row>
    <row r="14" spans="1:13" s="39" customFormat="1" ht="25.5" customHeight="1">
      <c r="A14" s="40">
        <v>3</v>
      </c>
      <c r="B14" s="46" t="s">
        <v>227</v>
      </c>
      <c r="C14" s="16" t="s">
        <v>185</v>
      </c>
      <c r="D14" s="42">
        <v>95</v>
      </c>
      <c r="E14" s="42">
        <v>251.02</v>
      </c>
      <c r="F14" s="42">
        <f t="shared" si="2"/>
        <v>2.38469</v>
      </c>
      <c r="G14" s="42">
        <v>95</v>
      </c>
      <c r="H14" s="42">
        <v>214.26</v>
      </c>
      <c r="I14" s="61">
        <v>20354.7</v>
      </c>
      <c r="J14" s="24"/>
      <c r="K14" s="43">
        <f t="shared" ref="K14:K16" si="3">I14-F14</f>
        <v>20352.315310000002</v>
      </c>
      <c r="L14" s="44" t="s">
        <v>228</v>
      </c>
      <c r="M14" s="11"/>
    </row>
    <row r="15" spans="1:13" s="39" customFormat="1" ht="25.5" customHeight="1">
      <c r="A15" s="40">
        <v>4</v>
      </c>
      <c r="B15" s="46" t="s">
        <v>229</v>
      </c>
      <c r="C15" s="16" t="s">
        <v>185</v>
      </c>
      <c r="D15" s="42">
        <v>95</v>
      </c>
      <c r="E15" s="42">
        <v>572.20842105263205</v>
      </c>
      <c r="F15" s="42">
        <f t="shared" si="2"/>
        <v>5.4359800000000043</v>
      </c>
      <c r="G15" s="42">
        <v>95</v>
      </c>
      <c r="H15" s="42">
        <v>340.64</v>
      </c>
      <c r="I15" s="61">
        <v>32360.799999999999</v>
      </c>
      <c r="J15" s="24"/>
      <c r="K15" s="43">
        <f t="shared" si="3"/>
        <v>32355.364020000001</v>
      </c>
      <c r="L15" s="44" t="s">
        <v>230</v>
      </c>
      <c r="M15" s="11"/>
    </row>
    <row r="16" spans="1:13" s="39" customFormat="1" ht="25.5" customHeight="1">
      <c r="A16" s="35" t="s">
        <v>174</v>
      </c>
      <c r="B16" s="31" t="s">
        <v>191</v>
      </c>
      <c r="C16" s="10"/>
      <c r="D16" s="36"/>
      <c r="E16" s="36"/>
      <c r="F16" s="36">
        <f>SUM(F17:F19)</f>
        <v>4.5637620000000023</v>
      </c>
      <c r="G16" s="36"/>
      <c r="H16" s="36"/>
      <c r="I16" s="37">
        <v>40323.200000000004</v>
      </c>
      <c r="J16" s="24"/>
      <c r="K16" s="37">
        <f t="shared" si="3"/>
        <v>40318.636238000006</v>
      </c>
      <c r="L16" s="44"/>
      <c r="M16" s="11"/>
    </row>
    <row r="17" spans="1:13" s="39" customFormat="1" ht="25.5" customHeight="1">
      <c r="A17" s="40">
        <v>1</v>
      </c>
      <c r="B17" s="46" t="s">
        <v>226</v>
      </c>
      <c r="C17" s="16" t="s">
        <v>185</v>
      </c>
      <c r="D17" s="42">
        <v>60</v>
      </c>
      <c r="E17" s="42">
        <v>154.166666666667</v>
      </c>
      <c r="F17" s="42">
        <f t="shared" ref="F17:F19" si="4">D17*E17/10000</f>
        <v>0.92500000000000204</v>
      </c>
      <c r="G17" s="42">
        <v>60</v>
      </c>
      <c r="H17" s="42">
        <v>154.166666666667</v>
      </c>
      <c r="I17" s="61">
        <v>9250</v>
      </c>
      <c r="J17" s="24"/>
      <c r="K17" s="43"/>
      <c r="L17" s="44"/>
      <c r="M17" s="11"/>
    </row>
    <row r="18" spans="1:13" s="39" customFormat="1" ht="25.5" customHeight="1">
      <c r="A18" s="40">
        <v>2</v>
      </c>
      <c r="B18" s="46" t="s">
        <v>227</v>
      </c>
      <c r="C18" s="16" t="s">
        <v>185</v>
      </c>
      <c r="D18" s="42">
        <v>40</v>
      </c>
      <c r="E18" s="42">
        <v>245.38</v>
      </c>
      <c r="F18" s="42">
        <f t="shared" si="4"/>
        <v>0.98152000000000006</v>
      </c>
      <c r="G18" s="42">
        <v>40</v>
      </c>
      <c r="H18" s="42">
        <v>245.38</v>
      </c>
      <c r="I18" s="61">
        <v>9815.1999999999989</v>
      </c>
      <c r="J18" s="24"/>
      <c r="K18" s="43"/>
      <c r="L18" s="44"/>
      <c r="M18" s="11"/>
    </row>
    <row r="19" spans="1:13" s="39" customFormat="1" ht="25.5" customHeight="1">
      <c r="A19" s="40">
        <v>3</v>
      </c>
      <c r="B19" s="46" t="s">
        <v>232</v>
      </c>
      <c r="C19" s="16" t="s">
        <v>185</v>
      </c>
      <c r="D19" s="42">
        <v>40</v>
      </c>
      <c r="E19" s="42">
        <v>664.31050000000005</v>
      </c>
      <c r="F19" s="42">
        <f t="shared" si="4"/>
        <v>2.6572420000000001</v>
      </c>
      <c r="G19" s="42">
        <v>40</v>
      </c>
      <c r="H19" s="42">
        <v>531.45000000000005</v>
      </c>
      <c r="I19" s="61">
        <v>21258</v>
      </c>
      <c r="J19" s="24"/>
      <c r="K19" s="43">
        <f t="shared" ref="K19:K22" si="5">I19-F19</f>
        <v>21255.342757999999</v>
      </c>
      <c r="L19" s="44" t="s">
        <v>233</v>
      </c>
      <c r="M19" s="11"/>
    </row>
    <row r="20" spans="1:13" s="39" customFormat="1" ht="25.5" customHeight="1">
      <c r="A20" s="35" t="s">
        <v>193</v>
      </c>
      <c r="B20" s="31" t="s">
        <v>187</v>
      </c>
      <c r="C20" s="10"/>
      <c r="D20" s="36"/>
      <c r="E20" s="36"/>
      <c r="F20" s="36">
        <f>SUM(F21:F23)</f>
        <v>23.549129999999998</v>
      </c>
      <c r="G20" s="36"/>
      <c r="H20" s="36"/>
      <c r="I20" s="37">
        <v>231838.00000000003</v>
      </c>
      <c r="J20" s="24"/>
      <c r="K20" s="37">
        <f t="shared" si="5"/>
        <v>231814.45087000003</v>
      </c>
      <c r="L20" s="44"/>
      <c r="M20" s="11"/>
    </row>
    <row r="21" spans="1:13" s="39" customFormat="1" ht="25.5" customHeight="1">
      <c r="A21" s="40">
        <v>1</v>
      </c>
      <c r="B21" s="46" t="s">
        <v>234</v>
      </c>
      <c r="C21" s="16" t="s">
        <v>185</v>
      </c>
      <c r="D21" s="42">
        <v>2000</v>
      </c>
      <c r="E21" s="42">
        <v>43.22</v>
      </c>
      <c r="F21" s="42">
        <f t="shared" ref="F21:F23" si="6">D21*E21/10000</f>
        <v>8.6440000000000001</v>
      </c>
      <c r="G21" s="42">
        <v>2000</v>
      </c>
      <c r="H21" s="42">
        <v>43.22</v>
      </c>
      <c r="I21" s="61">
        <v>86440</v>
      </c>
      <c r="J21" s="24"/>
      <c r="K21" s="43"/>
      <c r="L21" s="44"/>
      <c r="M21" s="11"/>
    </row>
    <row r="22" spans="1:13" s="39" customFormat="1" ht="36" customHeight="1">
      <c r="A22" s="40">
        <v>2</v>
      </c>
      <c r="B22" s="46" t="s">
        <v>235</v>
      </c>
      <c r="C22" s="16" t="s">
        <v>185</v>
      </c>
      <c r="D22" s="42">
        <v>70</v>
      </c>
      <c r="E22" s="42">
        <v>250.86</v>
      </c>
      <c r="F22" s="42">
        <f t="shared" si="6"/>
        <v>1.7560200000000001</v>
      </c>
      <c r="G22" s="42">
        <v>70</v>
      </c>
      <c r="H22" s="42">
        <v>198.67</v>
      </c>
      <c r="I22" s="61">
        <v>13906.9</v>
      </c>
      <c r="J22" s="24"/>
      <c r="K22" s="43">
        <f t="shared" si="5"/>
        <v>13905.143979999999</v>
      </c>
      <c r="L22" s="44" t="s">
        <v>236</v>
      </c>
      <c r="M22" s="11"/>
    </row>
    <row r="23" spans="1:13" s="39" customFormat="1" ht="26.1" customHeight="1">
      <c r="A23" s="40">
        <v>3</v>
      </c>
      <c r="B23" s="46" t="s">
        <v>237</v>
      </c>
      <c r="C23" s="16" t="s">
        <v>184</v>
      </c>
      <c r="D23" s="42">
        <v>1</v>
      </c>
      <c r="E23" s="42">
        <v>131491.1</v>
      </c>
      <c r="F23" s="42">
        <f t="shared" si="6"/>
        <v>13.14911</v>
      </c>
      <c r="G23" s="42">
        <v>1</v>
      </c>
      <c r="H23" s="42">
        <v>131491.1</v>
      </c>
      <c r="I23" s="61">
        <v>131491.1</v>
      </c>
      <c r="J23" s="24"/>
      <c r="K23" s="43"/>
      <c r="L23" s="44"/>
      <c r="M23" s="11"/>
    </row>
    <row r="24" spans="1:13" s="39" customFormat="1" ht="26.1" customHeight="1">
      <c r="A24" s="35" t="s">
        <v>196</v>
      </c>
      <c r="B24" s="31" t="s">
        <v>197</v>
      </c>
      <c r="C24" s="10"/>
      <c r="D24" s="36"/>
      <c r="E24" s="36"/>
      <c r="F24" s="36">
        <f>SUM(F25:F41)-0.003</f>
        <v>38.2664933</v>
      </c>
      <c r="G24" s="36"/>
      <c r="H24" s="36"/>
      <c r="I24" s="37">
        <v>325851.95300000004</v>
      </c>
      <c r="J24" s="24"/>
      <c r="K24" s="37">
        <f t="shared" ref="K24:K29" si="7">I24-F24</f>
        <v>325813.68650670006</v>
      </c>
      <c r="L24" s="44"/>
      <c r="M24" s="11"/>
    </row>
    <row r="25" spans="1:13" s="39" customFormat="1" ht="26.1" customHeight="1">
      <c r="A25" s="40">
        <v>1</v>
      </c>
      <c r="B25" s="46" t="s">
        <v>238</v>
      </c>
      <c r="C25" s="16" t="s">
        <v>185</v>
      </c>
      <c r="D25" s="42">
        <v>8.6999999999999993</v>
      </c>
      <c r="E25" s="42">
        <v>256.54000000000002</v>
      </c>
      <c r="F25" s="42">
        <f t="shared" ref="F25:F41" si="8">D25*E25/10000</f>
        <v>0.22318980000000002</v>
      </c>
      <c r="G25" s="42">
        <v>8.6999999999999993</v>
      </c>
      <c r="H25" s="42">
        <v>256.54000000000002</v>
      </c>
      <c r="I25" s="61">
        <v>2231.8980000000001</v>
      </c>
      <c r="J25" s="24"/>
      <c r="K25" s="43"/>
      <c r="L25" s="44"/>
      <c r="M25" s="11"/>
    </row>
    <row r="26" spans="1:13" s="39" customFormat="1" ht="26.1" customHeight="1">
      <c r="A26" s="40">
        <v>2</v>
      </c>
      <c r="B26" s="46" t="s">
        <v>239</v>
      </c>
      <c r="C26" s="16" t="s">
        <v>185</v>
      </c>
      <c r="D26" s="42">
        <v>60</v>
      </c>
      <c r="E26" s="42">
        <v>348.31</v>
      </c>
      <c r="F26" s="42">
        <f t="shared" si="8"/>
        <v>2.0898599999999998</v>
      </c>
      <c r="G26" s="42">
        <v>60</v>
      </c>
      <c r="H26" s="42">
        <v>240.32</v>
      </c>
      <c r="I26" s="61">
        <v>14419.2</v>
      </c>
      <c r="J26" s="24"/>
      <c r="K26" s="43">
        <f t="shared" si="7"/>
        <v>14417.110140000001</v>
      </c>
      <c r="L26" s="44" t="s">
        <v>240</v>
      </c>
      <c r="M26" s="11"/>
    </row>
    <row r="27" spans="1:13" s="39" customFormat="1" ht="26.1" customHeight="1">
      <c r="A27" s="40">
        <v>3</v>
      </c>
      <c r="B27" s="46" t="s">
        <v>241</v>
      </c>
      <c r="C27" s="16" t="s">
        <v>189</v>
      </c>
      <c r="D27" s="42">
        <v>50</v>
      </c>
      <c r="E27" s="42">
        <v>813.89</v>
      </c>
      <c r="F27" s="42">
        <f t="shared" si="8"/>
        <v>4.0694499999999998</v>
      </c>
      <c r="G27" s="42">
        <v>50</v>
      </c>
      <c r="H27" s="42">
        <v>813.89</v>
      </c>
      <c r="I27" s="61">
        <v>40694.5</v>
      </c>
      <c r="J27" s="24"/>
      <c r="K27" s="43"/>
      <c r="L27" s="44"/>
      <c r="M27" s="11"/>
    </row>
    <row r="28" spans="1:13" s="39" customFormat="1" ht="26.1" customHeight="1">
      <c r="A28" s="40">
        <v>4</v>
      </c>
      <c r="B28" s="46" t="s">
        <v>242</v>
      </c>
      <c r="C28" s="16" t="s">
        <v>185</v>
      </c>
      <c r="D28" s="42">
        <v>30</v>
      </c>
      <c r="E28" s="42">
        <v>52.59</v>
      </c>
      <c r="F28" s="42">
        <f t="shared" si="8"/>
        <v>0.15776999999999999</v>
      </c>
      <c r="G28" s="42">
        <v>30</v>
      </c>
      <c r="H28" s="42">
        <v>51.49</v>
      </c>
      <c r="I28" s="61">
        <v>1544.7</v>
      </c>
      <c r="J28" s="24"/>
      <c r="K28" s="43"/>
      <c r="L28" s="44"/>
      <c r="M28" s="11"/>
    </row>
    <row r="29" spans="1:13" s="39" customFormat="1" ht="26.1" customHeight="1">
      <c r="A29" s="40">
        <v>5</v>
      </c>
      <c r="B29" s="46" t="s">
        <v>243</v>
      </c>
      <c r="C29" s="16" t="s">
        <v>185</v>
      </c>
      <c r="D29" s="42">
        <v>42.5</v>
      </c>
      <c r="E29" s="42">
        <v>410.29</v>
      </c>
      <c r="F29" s="42">
        <f t="shared" si="8"/>
        <v>1.7437325000000001</v>
      </c>
      <c r="G29" s="42">
        <v>42.5</v>
      </c>
      <c r="H29" s="42">
        <v>305.52999999999997</v>
      </c>
      <c r="I29" s="61">
        <v>12985.025</v>
      </c>
      <c r="J29" s="24"/>
      <c r="K29" s="43">
        <f t="shared" si="7"/>
        <v>12983.2812675</v>
      </c>
      <c r="L29" s="44" t="s">
        <v>244</v>
      </c>
      <c r="M29" s="11"/>
    </row>
    <row r="30" spans="1:13" s="39" customFormat="1" ht="26.1" customHeight="1">
      <c r="A30" s="40">
        <v>6</v>
      </c>
      <c r="B30" s="46" t="s">
        <v>245</v>
      </c>
      <c r="C30" s="16" t="s">
        <v>184</v>
      </c>
      <c r="D30" s="42">
        <v>1</v>
      </c>
      <c r="E30" s="42">
        <v>2019.5</v>
      </c>
      <c r="F30" s="42">
        <f t="shared" si="8"/>
        <v>0.20194999999999999</v>
      </c>
      <c r="G30" s="42">
        <v>1</v>
      </c>
      <c r="H30" s="42">
        <v>2019.5</v>
      </c>
      <c r="I30" s="61">
        <v>2019.5</v>
      </c>
      <c r="J30" s="24"/>
      <c r="K30" s="43"/>
      <c r="L30" s="44"/>
      <c r="M30" s="11"/>
    </row>
    <row r="31" spans="1:13" s="39" customFormat="1" ht="26.1" customHeight="1">
      <c r="A31" s="40">
        <v>7</v>
      </c>
      <c r="B31" s="46" t="s">
        <v>246</v>
      </c>
      <c r="C31" s="16" t="s">
        <v>189</v>
      </c>
      <c r="D31" s="42">
        <v>50</v>
      </c>
      <c r="E31" s="42">
        <v>563.61</v>
      </c>
      <c r="F31" s="42">
        <f t="shared" si="8"/>
        <v>2.8180499999999999</v>
      </c>
      <c r="G31" s="42">
        <v>50</v>
      </c>
      <c r="H31" s="42">
        <v>292.45999999999998</v>
      </c>
      <c r="I31" s="61">
        <v>14623</v>
      </c>
      <c r="J31" s="24"/>
      <c r="K31" s="43">
        <f>I31-F31</f>
        <v>14620.18195</v>
      </c>
      <c r="L31" s="44" t="s">
        <v>247</v>
      </c>
      <c r="M31" s="11"/>
    </row>
    <row r="32" spans="1:13" s="39" customFormat="1" ht="26.1" customHeight="1">
      <c r="A32" s="40">
        <v>8</v>
      </c>
      <c r="B32" s="46" t="s">
        <v>248</v>
      </c>
      <c r="C32" s="16" t="s">
        <v>185</v>
      </c>
      <c r="D32" s="42">
        <v>12</v>
      </c>
      <c r="E32" s="42">
        <v>2449.83</v>
      </c>
      <c r="F32" s="42">
        <f t="shared" si="8"/>
        <v>2.9397959999999999</v>
      </c>
      <c r="G32" s="42">
        <v>6</v>
      </c>
      <c r="H32" s="42">
        <v>1693.41</v>
      </c>
      <c r="I32" s="61">
        <v>10160.460000000001</v>
      </c>
      <c r="J32" s="24"/>
      <c r="K32" s="43">
        <f>I32-F32</f>
        <v>10157.520204</v>
      </c>
      <c r="L32" s="44" t="s">
        <v>249</v>
      </c>
      <c r="M32" s="11"/>
    </row>
    <row r="33" spans="1:13" s="39" customFormat="1" ht="26.1" customHeight="1">
      <c r="A33" s="40">
        <v>9</v>
      </c>
      <c r="B33" s="46" t="s">
        <v>250</v>
      </c>
      <c r="C33" s="16" t="s">
        <v>185</v>
      </c>
      <c r="D33" s="42">
        <v>100</v>
      </c>
      <c r="E33" s="42">
        <v>40.549999999999997</v>
      </c>
      <c r="F33" s="42">
        <f t="shared" si="8"/>
        <v>0.40549999999999997</v>
      </c>
      <c r="G33" s="42">
        <v>100</v>
      </c>
      <c r="H33" s="42">
        <v>39.6</v>
      </c>
      <c r="I33" s="61">
        <v>3960</v>
      </c>
      <c r="J33" s="24"/>
      <c r="K33" s="43"/>
      <c r="L33" s="44"/>
      <c r="M33" s="11"/>
    </row>
    <row r="34" spans="1:13" s="39" customFormat="1" ht="26.1" customHeight="1">
      <c r="A34" s="40">
        <v>10</v>
      </c>
      <c r="B34" s="46" t="s">
        <v>251</v>
      </c>
      <c r="C34" s="16" t="s">
        <v>185</v>
      </c>
      <c r="D34" s="42">
        <v>500</v>
      </c>
      <c r="E34" s="42">
        <v>138.08000000000001</v>
      </c>
      <c r="F34" s="42">
        <f t="shared" si="8"/>
        <v>6.9039999999999999</v>
      </c>
      <c r="G34" s="42">
        <v>500</v>
      </c>
      <c r="H34" s="42">
        <v>138.08000000000001</v>
      </c>
      <c r="I34" s="61">
        <v>69040</v>
      </c>
      <c r="J34" s="24"/>
      <c r="K34" s="43"/>
      <c r="L34" s="44"/>
      <c r="M34" s="11"/>
    </row>
    <row r="35" spans="1:13" s="39" customFormat="1" ht="26.1" customHeight="1">
      <c r="A35" s="40">
        <v>11</v>
      </c>
      <c r="B35" s="46" t="s">
        <v>252</v>
      </c>
      <c r="C35" s="16" t="s">
        <v>185</v>
      </c>
      <c r="D35" s="42">
        <v>130</v>
      </c>
      <c r="E35" s="42">
        <v>118.58</v>
      </c>
      <c r="F35" s="42">
        <f t="shared" si="8"/>
        <v>1.5415399999999999</v>
      </c>
      <c r="G35" s="42">
        <v>130</v>
      </c>
      <c r="H35" s="42">
        <v>118.58</v>
      </c>
      <c r="I35" s="61">
        <v>15415.4</v>
      </c>
      <c r="J35" s="24"/>
      <c r="K35" s="43"/>
      <c r="L35" s="44"/>
      <c r="M35" s="11"/>
    </row>
    <row r="36" spans="1:13" s="39" customFormat="1" ht="26.1" customHeight="1">
      <c r="A36" s="40">
        <v>12</v>
      </c>
      <c r="B36" s="46" t="s">
        <v>253</v>
      </c>
      <c r="C36" s="16" t="s">
        <v>189</v>
      </c>
      <c r="D36" s="42">
        <v>20</v>
      </c>
      <c r="E36" s="42">
        <v>453.57</v>
      </c>
      <c r="F36" s="42">
        <f t="shared" si="8"/>
        <v>0.90713999999999995</v>
      </c>
      <c r="G36" s="42">
        <v>20</v>
      </c>
      <c r="H36" s="42">
        <v>453.57</v>
      </c>
      <c r="I36" s="61">
        <v>9071.4</v>
      </c>
      <c r="J36" s="24"/>
      <c r="K36" s="43"/>
      <c r="L36" s="44"/>
      <c r="M36" s="11"/>
    </row>
    <row r="37" spans="1:13" s="39" customFormat="1" ht="26.1" customHeight="1">
      <c r="A37" s="40">
        <v>13</v>
      </c>
      <c r="B37" s="46" t="s">
        <v>254</v>
      </c>
      <c r="C37" s="16" t="s">
        <v>185</v>
      </c>
      <c r="D37" s="42">
        <v>60</v>
      </c>
      <c r="E37" s="42">
        <v>540.29999999999995</v>
      </c>
      <c r="F37" s="42">
        <f t="shared" si="8"/>
        <v>3.2417999999999996</v>
      </c>
      <c r="G37" s="42">
        <v>60</v>
      </c>
      <c r="H37" s="42">
        <v>540.29999999999995</v>
      </c>
      <c r="I37" s="61">
        <v>32418</v>
      </c>
      <c r="J37" s="24"/>
      <c r="K37" s="43"/>
      <c r="L37" s="44"/>
      <c r="M37" s="11"/>
    </row>
    <row r="38" spans="1:13" s="39" customFormat="1" ht="26.1" customHeight="1">
      <c r="A38" s="40">
        <v>14</v>
      </c>
      <c r="B38" s="46" t="s">
        <v>255</v>
      </c>
      <c r="C38" s="16" t="s">
        <v>185</v>
      </c>
      <c r="D38" s="42">
        <v>2</v>
      </c>
      <c r="E38" s="42">
        <v>283.16000000000003</v>
      </c>
      <c r="F38" s="42">
        <f t="shared" si="8"/>
        <v>5.6632000000000002E-2</v>
      </c>
      <c r="G38" s="42">
        <v>2</v>
      </c>
      <c r="H38" s="42">
        <v>283.16000000000003</v>
      </c>
      <c r="I38" s="61">
        <v>566.32000000000005</v>
      </c>
      <c r="J38" s="24"/>
      <c r="K38" s="43"/>
      <c r="L38" s="44"/>
      <c r="M38" s="11"/>
    </row>
    <row r="39" spans="1:13" s="39" customFormat="1" ht="26.1" customHeight="1">
      <c r="A39" s="40">
        <v>15</v>
      </c>
      <c r="B39" s="46" t="s">
        <v>256</v>
      </c>
      <c r="C39" s="16" t="s">
        <v>184</v>
      </c>
      <c r="D39" s="42">
        <v>1</v>
      </c>
      <c r="E39" s="42">
        <v>15943.45</v>
      </c>
      <c r="F39" s="42">
        <f t="shared" si="8"/>
        <v>1.5943450000000001</v>
      </c>
      <c r="G39" s="42">
        <v>1</v>
      </c>
      <c r="H39" s="42">
        <v>10628.97</v>
      </c>
      <c r="I39" s="61">
        <v>10628.97</v>
      </c>
      <c r="J39" s="24"/>
      <c r="K39" s="43">
        <f>I39-F39</f>
        <v>10627.375655</v>
      </c>
      <c r="L39" s="44" t="s">
        <v>233</v>
      </c>
      <c r="M39" s="11"/>
    </row>
    <row r="40" spans="1:13" s="39" customFormat="1" ht="25.5" customHeight="1">
      <c r="A40" s="40">
        <v>16</v>
      </c>
      <c r="B40" s="46" t="s">
        <v>257</v>
      </c>
      <c r="C40" s="16" t="s">
        <v>184</v>
      </c>
      <c r="D40" s="42">
        <v>1</v>
      </c>
      <c r="E40" s="42">
        <v>76528.58</v>
      </c>
      <c r="F40" s="42">
        <f t="shared" si="8"/>
        <v>7.6528580000000002</v>
      </c>
      <c r="G40" s="42">
        <v>1</v>
      </c>
      <c r="H40" s="42">
        <v>76528.58</v>
      </c>
      <c r="I40" s="61">
        <v>76528.58</v>
      </c>
      <c r="J40" s="24"/>
      <c r="K40" s="43"/>
      <c r="L40" s="44"/>
      <c r="M40" s="11"/>
    </row>
    <row r="41" spans="1:13" s="39" customFormat="1" ht="25.5" customHeight="1">
      <c r="A41" s="40">
        <v>17</v>
      </c>
      <c r="B41" s="46" t="s">
        <v>186</v>
      </c>
      <c r="C41" s="16" t="s">
        <v>258</v>
      </c>
      <c r="D41" s="42">
        <v>1</v>
      </c>
      <c r="E41" s="42">
        <v>17218.8</v>
      </c>
      <c r="F41" s="42">
        <f t="shared" si="8"/>
        <v>1.7218799999999999</v>
      </c>
      <c r="G41" s="42">
        <v>120</v>
      </c>
      <c r="H41" s="42">
        <v>80</v>
      </c>
      <c r="I41" s="61">
        <v>9600</v>
      </c>
      <c r="J41" s="24"/>
      <c r="K41" s="43">
        <f t="shared" ref="K41:K52" si="9">I41-F41</f>
        <v>9598.2781200000009</v>
      </c>
      <c r="L41" s="44" t="s">
        <v>259</v>
      </c>
      <c r="M41" s="11"/>
    </row>
    <row r="42" spans="1:13" ht="25.5" customHeight="1">
      <c r="A42" s="40"/>
      <c r="B42" s="29"/>
      <c r="C42" s="16"/>
      <c r="D42" s="48"/>
      <c r="E42" s="48"/>
      <c r="F42" s="49"/>
      <c r="G42" s="50"/>
      <c r="H42" s="50"/>
      <c r="I42" s="61">
        <v>0</v>
      </c>
      <c r="J42" s="24"/>
      <c r="K42" s="43"/>
      <c r="L42" s="23"/>
      <c r="M42" s="11"/>
    </row>
    <row r="43" spans="1:13" ht="25.5" customHeight="1">
      <c r="A43" s="40"/>
      <c r="B43" s="51" t="s">
        <v>204</v>
      </c>
      <c r="C43" s="52"/>
      <c r="D43" s="50"/>
      <c r="E43" s="50"/>
      <c r="F43" s="53">
        <f t="shared" ref="F43:K43" si="10">F5</f>
        <v>87.374445300000019</v>
      </c>
      <c r="G43" s="50"/>
      <c r="H43" s="50"/>
      <c r="I43" s="37">
        <v>778448.28899999999</v>
      </c>
      <c r="J43" s="38"/>
      <c r="K43" s="53">
        <f t="shared" si="10"/>
        <v>778360.91455470002</v>
      </c>
      <c r="L43" s="23"/>
      <c r="M43" s="11"/>
    </row>
    <row r="44" spans="1:13" ht="25.5" customHeight="1">
      <c r="A44" s="40"/>
      <c r="B44" s="29"/>
      <c r="C44" s="16"/>
      <c r="D44" s="48"/>
      <c r="E44" s="48"/>
      <c r="F44" s="49"/>
      <c r="G44" s="50"/>
      <c r="H44" s="50"/>
      <c r="I44" s="61">
        <v>0</v>
      </c>
      <c r="J44" s="24"/>
      <c r="K44" s="43"/>
      <c r="L44" s="23"/>
      <c r="M44" s="11"/>
    </row>
    <row r="45" spans="1:13" s="39" customFormat="1" ht="25.5" customHeight="1">
      <c r="A45" s="35"/>
      <c r="B45" s="10" t="s">
        <v>205</v>
      </c>
      <c r="C45" s="25"/>
      <c r="D45" s="27"/>
      <c r="E45" s="27"/>
      <c r="F45" s="54">
        <f>F46+F48+F49+F50+F51+F52+F53+0.005</f>
        <v>12.625000000000002</v>
      </c>
      <c r="G45" s="27"/>
      <c r="H45" s="27"/>
      <c r="I45" s="74">
        <v>104062.4149072</v>
      </c>
      <c r="J45" s="38"/>
      <c r="K45" s="55">
        <f t="shared" si="9"/>
        <v>104049.7899072</v>
      </c>
      <c r="L45" s="31"/>
      <c r="M45" s="11"/>
    </row>
    <row r="46" spans="1:13" s="59" customFormat="1" ht="25.5" customHeight="1">
      <c r="A46" s="16">
        <v>1</v>
      </c>
      <c r="B46" s="56" t="s">
        <v>212</v>
      </c>
      <c r="C46" s="16"/>
      <c r="D46" s="56"/>
      <c r="E46" s="56"/>
      <c r="F46" s="49">
        <f>SUM(F47:F47)</f>
        <v>1</v>
      </c>
      <c r="G46" s="57"/>
      <c r="H46" s="57"/>
      <c r="I46" s="61">
        <v>20000</v>
      </c>
      <c r="J46" s="58"/>
      <c r="K46" s="43">
        <f t="shared" si="9"/>
        <v>19999</v>
      </c>
      <c r="L46" s="112" t="s">
        <v>260</v>
      </c>
      <c r="M46" s="11"/>
    </row>
    <row r="47" spans="1:13" s="59" customFormat="1" ht="25.5" customHeight="1">
      <c r="A47" s="16">
        <v>1.1000000000000001</v>
      </c>
      <c r="B47" s="16" t="s">
        <v>213</v>
      </c>
      <c r="C47" s="16" t="s">
        <v>184</v>
      </c>
      <c r="D47" s="56"/>
      <c r="E47" s="56"/>
      <c r="F47" s="49">
        <v>1</v>
      </c>
      <c r="G47" s="57"/>
      <c r="H47" s="57"/>
      <c r="I47" s="60">
        <v>20000</v>
      </c>
      <c r="J47" s="58"/>
      <c r="K47" s="43">
        <f t="shared" si="9"/>
        <v>19999</v>
      </c>
      <c r="L47" s="112"/>
      <c r="M47" s="11"/>
    </row>
    <row r="48" spans="1:13" s="59" customFormat="1" ht="35.1" customHeight="1">
      <c r="A48" s="16">
        <v>2</v>
      </c>
      <c r="B48" s="56" t="s">
        <v>214</v>
      </c>
      <c r="C48" s="16" t="s">
        <v>184</v>
      </c>
      <c r="D48" s="56"/>
      <c r="E48" s="56"/>
      <c r="F48" s="49">
        <v>2.89</v>
      </c>
      <c r="G48" s="57"/>
      <c r="H48" s="57"/>
      <c r="I48" s="61">
        <v>25688.793536999998</v>
      </c>
      <c r="J48" s="58"/>
      <c r="K48" s="43">
        <f t="shared" si="9"/>
        <v>25685.903536999998</v>
      </c>
      <c r="L48" s="62" t="s">
        <v>261</v>
      </c>
      <c r="M48" s="11"/>
    </row>
    <row r="49" spans="1:13" s="59" customFormat="1" ht="25.5" customHeight="1">
      <c r="A49" s="16">
        <v>3</v>
      </c>
      <c r="B49" s="56" t="s">
        <v>195</v>
      </c>
      <c r="C49" s="16" t="s">
        <v>184</v>
      </c>
      <c r="D49" s="56"/>
      <c r="E49" s="56"/>
      <c r="F49" s="49">
        <v>3.93</v>
      </c>
      <c r="G49" s="63"/>
      <c r="H49" s="63"/>
      <c r="I49" s="61">
        <v>35030.173004999997</v>
      </c>
      <c r="J49" s="58"/>
      <c r="K49" s="43">
        <f t="shared" si="9"/>
        <v>35026.243004999997</v>
      </c>
      <c r="L49" s="30" t="s">
        <v>215</v>
      </c>
      <c r="M49" s="11"/>
    </row>
    <row r="50" spans="1:13" s="59" customFormat="1" ht="25.5" customHeight="1">
      <c r="A50" s="16">
        <v>4</v>
      </c>
      <c r="B50" s="56" t="s">
        <v>262</v>
      </c>
      <c r="C50" s="16" t="s">
        <v>184</v>
      </c>
      <c r="D50" s="56"/>
      <c r="E50" s="56"/>
      <c r="F50" s="49">
        <v>2.1</v>
      </c>
      <c r="G50" s="63"/>
      <c r="H50" s="63"/>
      <c r="I50" s="61">
        <v>0</v>
      </c>
      <c r="J50" s="58"/>
      <c r="K50" s="43">
        <f t="shared" si="9"/>
        <v>-2.1</v>
      </c>
      <c r="L50" s="30" t="s">
        <v>263</v>
      </c>
      <c r="M50" s="11"/>
    </row>
    <row r="51" spans="1:13" s="59" customFormat="1" ht="36" customHeight="1">
      <c r="A51" s="16">
        <v>5</v>
      </c>
      <c r="B51" s="56" t="s">
        <v>216</v>
      </c>
      <c r="C51" s="16" t="s">
        <v>184</v>
      </c>
      <c r="D51" s="56"/>
      <c r="E51" s="56"/>
      <c r="F51" s="49">
        <v>0.59</v>
      </c>
      <c r="G51" s="57"/>
      <c r="H51" s="57"/>
      <c r="I51" s="61">
        <v>5293.4483651999999</v>
      </c>
      <c r="J51" s="58"/>
      <c r="K51" s="43">
        <f t="shared" si="9"/>
        <v>5292.8583651999998</v>
      </c>
      <c r="L51" s="64" t="s">
        <v>217</v>
      </c>
      <c r="M51" s="11"/>
    </row>
    <row r="52" spans="1:13" s="59" customFormat="1" ht="27" customHeight="1">
      <c r="A52" s="16">
        <v>6</v>
      </c>
      <c r="B52" s="56" t="s">
        <v>218</v>
      </c>
      <c r="C52" s="16" t="s">
        <v>184</v>
      </c>
      <c r="D52" s="56"/>
      <c r="E52" s="56"/>
      <c r="F52" s="49">
        <v>0.31</v>
      </c>
      <c r="G52" s="57"/>
      <c r="H52" s="57"/>
      <c r="I52" s="61">
        <v>0</v>
      </c>
      <c r="J52" s="58"/>
      <c r="K52" s="43">
        <f t="shared" si="9"/>
        <v>-0.31</v>
      </c>
      <c r="L52" s="62" t="s">
        <v>219</v>
      </c>
      <c r="M52" s="11"/>
    </row>
    <row r="53" spans="1:13" s="59" customFormat="1" ht="36" customHeight="1">
      <c r="A53" s="16">
        <v>7</v>
      </c>
      <c r="B53" s="56" t="s">
        <v>194</v>
      </c>
      <c r="C53" s="16" t="s">
        <v>188</v>
      </c>
      <c r="D53" s="57">
        <v>20</v>
      </c>
      <c r="E53" s="57">
        <v>900</v>
      </c>
      <c r="F53" s="61">
        <f>D53*E53/10000</f>
        <v>1.8</v>
      </c>
      <c r="G53" s="57">
        <v>20</v>
      </c>
      <c r="H53" s="57">
        <v>900</v>
      </c>
      <c r="I53" s="61">
        <v>18000</v>
      </c>
      <c r="J53" s="58"/>
      <c r="K53" s="43"/>
      <c r="L53" s="62" t="s">
        <v>220</v>
      </c>
      <c r="M53" s="11"/>
    </row>
    <row r="54" spans="1:13" ht="25.5" customHeight="1">
      <c r="A54" s="20"/>
      <c r="B54" s="19"/>
      <c r="C54" s="21"/>
      <c r="D54" s="22"/>
      <c r="E54" s="22"/>
      <c r="F54" s="65"/>
      <c r="G54" s="22"/>
      <c r="H54" s="22"/>
      <c r="I54" s="75">
        <v>0</v>
      </c>
      <c r="J54" s="22"/>
      <c r="K54" s="66"/>
      <c r="L54" s="32"/>
      <c r="M54" s="11"/>
    </row>
    <row r="55" spans="1:13" ht="25.5" customHeight="1">
      <c r="A55" s="67"/>
      <c r="B55" s="51" t="s">
        <v>221</v>
      </c>
      <c r="C55" s="52"/>
      <c r="D55" s="50"/>
      <c r="E55" s="50"/>
      <c r="F55" s="53">
        <f>F45</f>
        <v>12.625000000000002</v>
      </c>
      <c r="G55" s="50"/>
      <c r="H55" s="50"/>
      <c r="I55" s="37">
        <v>104062.4149072</v>
      </c>
      <c r="J55" s="38"/>
      <c r="K55" s="55">
        <f>I55-F55</f>
        <v>104049.7899072</v>
      </c>
      <c r="L55" s="23"/>
      <c r="M55" s="11"/>
    </row>
    <row r="56" spans="1:13" ht="25.5" customHeight="1">
      <c r="A56" s="20"/>
      <c r="B56" s="32"/>
      <c r="C56" s="68"/>
      <c r="D56" s="22"/>
      <c r="E56" s="22"/>
      <c r="F56" s="65"/>
      <c r="G56" s="22"/>
      <c r="H56" s="22"/>
      <c r="I56" s="75">
        <v>0</v>
      </c>
      <c r="J56" s="22"/>
      <c r="K56" s="69"/>
      <c r="L56" s="32"/>
      <c r="M56" s="11"/>
    </row>
    <row r="57" spans="1:13" s="39" customFormat="1" ht="25.5" customHeight="1">
      <c r="A57" s="35"/>
      <c r="B57" s="31" t="s">
        <v>222</v>
      </c>
      <c r="C57" s="70"/>
      <c r="D57" s="36"/>
      <c r="E57" s="36"/>
      <c r="F57" s="54">
        <f>F43+F55</f>
        <v>99.999445300000019</v>
      </c>
      <c r="G57" s="36"/>
      <c r="H57" s="36"/>
      <c r="I57" s="74">
        <v>882510.70390720002</v>
      </c>
      <c r="J57" s="71"/>
      <c r="K57" s="55">
        <f>I57-F57</f>
        <v>882410.70446190005</v>
      </c>
      <c r="L57" s="32"/>
      <c r="M57" s="11">
        <f>ROUND(I57*0.8,0)</f>
        <v>706009</v>
      </c>
    </row>
    <row r="58" spans="1:13" ht="18.75" customHeight="1">
      <c r="A58" s="33"/>
    </row>
    <row r="59" spans="1:13" ht="18.75" customHeight="1">
      <c r="A59" s="33"/>
    </row>
    <row r="60" spans="1:13" ht="18.75" customHeight="1">
      <c r="A60" s="33"/>
    </row>
    <row r="61" spans="1:13" ht="18.75" customHeight="1">
      <c r="A61" s="33"/>
    </row>
    <row r="62" spans="1:13" ht="18.75" customHeight="1">
      <c r="A62" s="33"/>
    </row>
    <row r="63" spans="1:13" ht="18.75" customHeight="1">
      <c r="A63" s="33"/>
    </row>
    <row r="64" spans="1:13" ht="18.75" customHeight="1">
      <c r="A64" s="33"/>
    </row>
    <row r="65" spans="1:1">
      <c r="A65" s="33"/>
    </row>
    <row r="66" spans="1:1">
      <c r="A66" s="33"/>
    </row>
    <row r="67" spans="1:1">
      <c r="A67" s="33"/>
    </row>
    <row r="68" spans="1:1">
      <c r="A68" s="33"/>
    </row>
    <row r="69" spans="1:1">
      <c r="A69" s="33"/>
    </row>
    <row r="70" spans="1:1">
      <c r="A70" s="33"/>
    </row>
    <row r="71" spans="1:1">
      <c r="A71" s="33"/>
    </row>
    <row r="72" spans="1:1">
      <c r="A72" s="33"/>
    </row>
    <row r="73" spans="1:1">
      <c r="A73" s="33"/>
    </row>
    <row r="74" spans="1:1">
      <c r="A74" s="33"/>
    </row>
    <row r="75" spans="1:1">
      <c r="A75" s="33"/>
    </row>
    <row r="76" spans="1:1">
      <c r="A76" s="33"/>
    </row>
    <row r="77" spans="1:1">
      <c r="A77" s="33"/>
    </row>
    <row r="78" spans="1:1">
      <c r="A78" s="33"/>
    </row>
    <row r="79" spans="1:1">
      <c r="A79" s="33"/>
    </row>
    <row r="80" spans="1:1">
      <c r="A80" s="33"/>
    </row>
    <row r="81" spans="1:1">
      <c r="A81" s="33"/>
    </row>
    <row r="82" spans="1:1">
      <c r="A82" s="33"/>
    </row>
    <row r="83" spans="1:1">
      <c r="A83" s="33"/>
    </row>
    <row r="84" spans="1:1">
      <c r="A84" s="33"/>
    </row>
    <row r="85" spans="1:1">
      <c r="A85" s="33"/>
    </row>
    <row r="86" spans="1:1">
      <c r="A86" s="33"/>
    </row>
    <row r="87" spans="1:1">
      <c r="A87" s="33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UZ12"/>
  <sheetViews>
    <sheetView tabSelected="1" workbookViewId="0">
      <selection activeCell="C5" sqref="C5"/>
    </sheetView>
  </sheetViews>
  <sheetFormatPr defaultColWidth="9" defaultRowHeight="13.5"/>
  <cols>
    <col min="1" max="1" width="14.125" style="89" customWidth="1"/>
    <col min="2" max="2" width="25.625" style="96" customWidth="1"/>
    <col min="3" max="3" width="25.625" style="89" customWidth="1"/>
    <col min="4" max="236" width="9" style="89"/>
    <col min="237" max="237" width="6.625" style="89" customWidth="1"/>
    <col min="238" max="239" width="21.625" style="89" customWidth="1"/>
    <col min="240" max="240" width="16.125" style="89" customWidth="1"/>
    <col min="241" max="241" width="13.875" style="89" customWidth="1"/>
    <col min="242" max="242" width="17.25" style="89" customWidth="1"/>
    <col min="243" max="244" width="20.5" style="89" customWidth="1"/>
    <col min="245" max="245" width="9" style="89" hidden="1" customWidth="1"/>
    <col min="246" max="246" width="18.375" style="89" customWidth="1"/>
    <col min="247" max="248" width="9" style="89" hidden="1" customWidth="1"/>
    <col min="249" max="492" width="9" style="89"/>
    <col min="493" max="493" width="6.625" style="89" customWidth="1"/>
    <col min="494" max="495" width="21.625" style="89" customWidth="1"/>
    <col min="496" max="496" width="16.125" style="89" customWidth="1"/>
    <col min="497" max="497" width="13.875" style="89" customWidth="1"/>
    <col min="498" max="498" width="17.25" style="89" customWidth="1"/>
    <col min="499" max="500" width="20.5" style="89" customWidth="1"/>
    <col min="501" max="501" width="9" style="89" hidden="1" customWidth="1"/>
    <col min="502" max="502" width="18.375" style="89" customWidth="1"/>
    <col min="503" max="504" width="9" style="89" hidden="1" customWidth="1"/>
    <col min="505" max="748" width="9" style="89"/>
    <col min="749" max="749" width="6.625" style="89" customWidth="1"/>
    <col min="750" max="751" width="21.625" style="89" customWidth="1"/>
    <col min="752" max="752" width="16.125" style="89" customWidth="1"/>
    <col min="753" max="753" width="13.875" style="89" customWidth="1"/>
    <col min="754" max="754" width="17.25" style="89" customWidth="1"/>
    <col min="755" max="756" width="20.5" style="89" customWidth="1"/>
    <col min="757" max="757" width="9" style="89" hidden="1" customWidth="1"/>
    <col min="758" max="758" width="18.375" style="89" customWidth="1"/>
    <col min="759" max="760" width="9" style="89" hidden="1" customWidth="1"/>
    <col min="761" max="1004" width="9" style="89"/>
    <col min="1005" max="1005" width="6.625" style="89" customWidth="1"/>
    <col min="1006" max="1007" width="21.625" style="89" customWidth="1"/>
    <col min="1008" max="1008" width="16.125" style="89" customWidth="1"/>
    <col min="1009" max="1009" width="13.875" style="89" customWidth="1"/>
    <col min="1010" max="1010" width="17.25" style="89" customWidth="1"/>
    <col min="1011" max="1012" width="20.5" style="89" customWidth="1"/>
    <col min="1013" max="1013" width="9" style="89" hidden="1" customWidth="1"/>
    <col min="1014" max="1014" width="18.375" style="89" customWidth="1"/>
    <col min="1015" max="1016" width="9" style="89" hidden="1" customWidth="1"/>
    <col min="1017" max="1260" width="9" style="89"/>
    <col min="1261" max="1261" width="6.625" style="89" customWidth="1"/>
    <col min="1262" max="1263" width="21.625" style="89" customWidth="1"/>
    <col min="1264" max="1264" width="16.125" style="89" customWidth="1"/>
    <col min="1265" max="1265" width="13.875" style="89" customWidth="1"/>
    <col min="1266" max="1266" width="17.25" style="89" customWidth="1"/>
    <col min="1267" max="1268" width="20.5" style="89" customWidth="1"/>
    <col min="1269" max="1269" width="9" style="89" hidden="1" customWidth="1"/>
    <col min="1270" max="1270" width="18.375" style="89" customWidth="1"/>
    <col min="1271" max="1272" width="9" style="89" hidden="1" customWidth="1"/>
    <col min="1273" max="1516" width="9" style="89"/>
    <col min="1517" max="1517" width="6.625" style="89" customWidth="1"/>
    <col min="1518" max="1519" width="21.625" style="89" customWidth="1"/>
    <col min="1520" max="1520" width="16.125" style="89" customWidth="1"/>
    <col min="1521" max="1521" width="13.875" style="89" customWidth="1"/>
    <col min="1522" max="1522" width="17.25" style="89" customWidth="1"/>
    <col min="1523" max="1524" width="20.5" style="89" customWidth="1"/>
    <col min="1525" max="1525" width="9" style="89" hidden="1" customWidth="1"/>
    <col min="1526" max="1526" width="18.375" style="89" customWidth="1"/>
    <col min="1527" max="1528" width="9" style="89" hidden="1" customWidth="1"/>
    <col min="1529" max="1772" width="9" style="89"/>
    <col min="1773" max="1773" width="6.625" style="89" customWidth="1"/>
    <col min="1774" max="1775" width="21.625" style="89" customWidth="1"/>
    <col min="1776" max="1776" width="16.125" style="89" customWidth="1"/>
    <col min="1777" max="1777" width="13.875" style="89" customWidth="1"/>
    <col min="1778" max="1778" width="17.25" style="89" customWidth="1"/>
    <col min="1779" max="1780" width="20.5" style="89" customWidth="1"/>
    <col min="1781" max="1781" width="9" style="89" hidden="1" customWidth="1"/>
    <col min="1782" max="1782" width="18.375" style="89" customWidth="1"/>
    <col min="1783" max="1784" width="9" style="89" hidden="1" customWidth="1"/>
    <col min="1785" max="2028" width="9" style="89"/>
    <col min="2029" max="2029" width="6.625" style="89" customWidth="1"/>
    <col min="2030" max="2031" width="21.625" style="89" customWidth="1"/>
    <col min="2032" max="2032" width="16.125" style="89" customWidth="1"/>
    <col min="2033" max="2033" width="13.875" style="89" customWidth="1"/>
    <col min="2034" max="2034" width="17.25" style="89" customWidth="1"/>
    <col min="2035" max="2036" width="20.5" style="89" customWidth="1"/>
    <col min="2037" max="2037" width="9" style="89" hidden="1" customWidth="1"/>
    <col min="2038" max="2038" width="18.375" style="89" customWidth="1"/>
    <col min="2039" max="2040" width="9" style="89" hidden="1" customWidth="1"/>
    <col min="2041" max="2284" width="9" style="89"/>
    <col min="2285" max="2285" width="6.625" style="89" customWidth="1"/>
    <col min="2286" max="2287" width="21.625" style="89" customWidth="1"/>
    <col min="2288" max="2288" width="16.125" style="89" customWidth="1"/>
    <col min="2289" max="2289" width="13.875" style="89" customWidth="1"/>
    <col min="2290" max="2290" width="17.25" style="89" customWidth="1"/>
    <col min="2291" max="2292" width="20.5" style="89" customWidth="1"/>
    <col min="2293" max="2293" width="9" style="89" hidden="1" customWidth="1"/>
    <col min="2294" max="2294" width="18.375" style="89" customWidth="1"/>
    <col min="2295" max="2296" width="9" style="89" hidden="1" customWidth="1"/>
    <col min="2297" max="2540" width="9" style="89"/>
    <col min="2541" max="2541" width="6.625" style="89" customWidth="1"/>
    <col min="2542" max="2543" width="21.625" style="89" customWidth="1"/>
    <col min="2544" max="2544" width="16.125" style="89" customWidth="1"/>
    <col min="2545" max="2545" width="13.875" style="89" customWidth="1"/>
    <col min="2546" max="2546" width="17.25" style="89" customWidth="1"/>
    <col min="2547" max="2548" width="20.5" style="89" customWidth="1"/>
    <col min="2549" max="2549" width="9" style="89" hidden="1" customWidth="1"/>
    <col min="2550" max="2550" width="18.375" style="89" customWidth="1"/>
    <col min="2551" max="2552" width="9" style="89" hidden="1" customWidth="1"/>
    <col min="2553" max="2796" width="9" style="89"/>
    <col min="2797" max="2797" width="6.625" style="89" customWidth="1"/>
    <col min="2798" max="2799" width="21.625" style="89" customWidth="1"/>
    <col min="2800" max="2800" width="16.125" style="89" customWidth="1"/>
    <col min="2801" max="2801" width="13.875" style="89" customWidth="1"/>
    <col min="2802" max="2802" width="17.25" style="89" customWidth="1"/>
    <col min="2803" max="2804" width="20.5" style="89" customWidth="1"/>
    <col min="2805" max="2805" width="9" style="89" hidden="1" customWidth="1"/>
    <col min="2806" max="2806" width="18.375" style="89" customWidth="1"/>
    <col min="2807" max="2808" width="9" style="89" hidden="1" customWidth="1"/>
    <col min="2809" max="3052" width="9" style="89"/>
    <col min="3053" max="3053" width="6.625" style="89" customWidth="1"/>
    <col min="3054" max="3055" width="21.625" style="89" customWidth="1"/>
    <col min="3056" max="3056" width="16.125" style="89" customWidth="1"/>
    <col min="3057" max="3057" width="13.875" style="89" customWidth="1"/>
    <col min="3058" max="3058" width="17.25" style="89" customWidth="1"/>
    <col min="3059" max="3060" width="20.5" style="89" customWidth="1"/>
    <col min="3061" max="3061" width="9" style="89" hidden="1" customWidth="1"/>
    <col min="3062" max="3062" width="18.375" style="89" customWidth="1"/>
    <col min="3063" max="3064" width="9" style="89" hidden="1" customWidth="1"/>
    <col min="3065" max="3308" width="9" style="89"/>
    <col min="3309" max="3309" width="6.625" style="89" customWidth="1"/>
    <col min="3310" max="3311" width="21.625" style="89" customWidth="1"/>
    <col min="3312" max="3312" width="16.125" style="89" customWidth="1"/>
    <col min="3313" max="3313" width="13.875" style="89" customWidth="1"/>
    <col min="3314" max="3314" width="17.25" style="89" customWidth="1"/>
    <col min="3315" max="3316" width="20.5" style="89" customWidth="1"/>
    <col min="3317" max="3317" width="9" style="89" hidden="1" customWidth="1"/>
    <col min="3318" max="3318" width="18.375" style="89" customWidth="1"/>
    <col min="3319" max="3320" width="9" style="89" hidden="1" customWidth="1"/>
    <col min="3321" max="3564" width="9" style="89"/>
    <col min="3565" max="3565" width="6.625" style="89" customWidth="1"/>
    <col min="3566" max="3567" width="21.625" style="89" customWidth="1"/>
    <col min="3568" max="3568" width="16.125" style="89" customWidth="1"/>
    <col min="3569" max="3569" width="13.875" style="89" customWidth="1"/>
    <col min="3570" max="3570" width="17.25" style="89" customWidth="1"/>
    <col min="3571" max="3572" width="20.5" style="89" customWidth="1"/>
    <col min="3573" max="3573" width="9" style="89" hidden="1" customWidth="1"/>
    <col min="3574" max="3574" width="18.375" style="89" customWidth="1"/>
    <col min="3575" max="3576" width="9" style="89" hidden="1" customWidth="1"/>
    <col min="3577" max="3820" width="9" style="89"/>
    <col min="3821" max="3821" width="6.625" style="89" customWidth="1"/>
    <col min="3822" max="3823" width="21.625" style="89" customWidth="1"/>
    <col min="3824" max="3824" width="16.125" style="89" customWidth="1"/>
    <col min="3825" max="3825" width="13.875" style="89" customWidth="1"/>
    <col min="3826" max="3826" width="17.25" style="89" customWidth="1"/>
    <col min="3827" max="3828" width="20.5" style="89" customWidth="1"/>
    <col min="3829" max="3829" width="9" style="89" hidden="1" customWidth="1"/>
    <col min="3830" max="3830" width="18.375" style="89" customWidth="1"/>
    <col min="3831" max="3832" width="9" style="89" hidden="1" customWidth="1"/>
    <col min="3833" max="4076" width="9" style="89"/>
    <col min="4077" max="4077" width="6.625" style="89" customWidth="1"/>
    <col min="4078" max="4079" width="21.625" style="89" customWidth="1"/>
    <col min="4080" max="4080" width="16.125" style="89" customWidth="1"/>
    <col min="4081" max="4081" width="13.875" style="89" customWidth="1"/>
    <col min="4082" max="4082" width="17.25" style="89" customWidth="1"/>
    <col min="4083" max="4084" width="20.5" style="89" customWidth="1"/>
    <col min="4085" max="4085" width="9" style="89" hidden="1" customWidth="1"/>
    <col min="4086" max="4086" width="18.375" style="89" customWidth="1"/>
    <col min="4087" max="4088" width="9" style="89" hidden="1" customWidth="1"/>
    <col min="4089" max="4332" width="9" style="89"/>
    <col min="4333" max="4333" width="6.625" style="89" customWidth="1"/>
    <col min="4334" max="4335" width="21.625" style="89" customWidth="1"/>
    <col min="4336" max="4336" width="16.125" style="89" customWidth="1"/>
    <col min="4337" max="4337" width="13.875" style="89" customWidth="1"/>
    <col min="4338" max="4338" width="17.25" style="89" customWidth="1"/>
    <col min="4339" max="4340" width="20.5" style="89" customWidth="1"/>
    <col min="4341" max="4341" width="9" style="89" hidden="1" customWidth="1"/>
    <col min="4342" max="4342" width="18.375" style="89" customWidth="1"/>
    <col min="4343" max="4344" width="9" style="89" hidden="1" customWidth="1"/>
    <col min="4345" max="4588" width="9" style="89"/>
    <col min="4589" max="4589" width="6.625" style="89" customWidth="1"/>
    <col min="4590" max="4591" width="21.625" style="89" customWidth="1"/>
    <col min="4592" max="4592" width="16.125" style="89" customWidth="1"/>
    <col min="4593" max="4593" width="13.875" style="89" customWidth="1"/>
    <col min="4594" max="4594" width="17.25" style="89" customWidth="1"/>
    <col min="4595" max="4596" width="20.5" style="89" customWidth="1"/>
    <col min="4597" max="4597" width="9" style="89" hidden="1" customWidth="1"/>
    <col min="4598" max="4598" width="18.375" style="89" customWidth="1"/>
    <col min="4599" max="4600" width="9" style="89" hidden="1" customWidth="1"/>
    <col min="4601" max="4844" width="9" style="89"/>
    <col min="4845" max="4845" width="6.625" style="89" customWidth="1"/>
    <col min="4846" max="4847" width="21.625" style="89" customWidth="1"/>
    <col min="4848" max="4848" width="16.125" style="89" customWidth="1"/>
    <col min="4849" max="4849" width="13.875" style="89" customWidth="1"/>
    <col min="4850" max="4850" width="17.25" style="89" customWidth="1"/>
    <col min="4851" max="4852" width="20.5" style="89" customWidth="1"/>
    <col min="4853" max="4853" width="9" style="89" hidden="1" customWidth="1"/>
    <col min="4854" max="4854" width="18.375" style="89" customWidth="1"/>
    <col min="4855" max="4856" width="9" style="89" hidden="1" customWidth="1"/>
    <col min="4857" max="5100" width="9" style="89"/>
    <col min="5101" max="5101" width="6.625" style="89" customWidth="1"/>
    <col min="5102" max="5103" width="21.625" style="89" customWidth="1"/>
    <col min="5104" max="5104" width="16.125" style="89" customWidth="1"/>
    <col min="5105" max="5105" width="13.875" style="89" customWidth="1"/>
    <col min="5106" max="5106" width="17.25" style="89" customWidth="1"/>
    <col min="5107" max="5108" width="20.5" style="89" customWidth="1"/>
    <col min="5109" max="5109" width="9" style="89" hidden="1" customWidth="1"/>
    <col min="5110" max="5110" width="18.375" style="89" customWidth="1"/>
    <col min="5111" max="5112" width="9" style="89" hidden="1" customWidth="1"/>
    <col min="5113" max="5356" width="9" style="89"/>
    <col min="5357" max="5357" width="6.625" style="89" customWidth="1"/>
    <col min="5358" max="5359" width="21.625" style="89" customWidth="1"/>
    <col min="5360" max="5360" width="16.125" style="89" customWidth="1"/>
    <col min="5361" max="5361" width="13.875" style="89" customWidth="1"/>
    <col min="5362" max="5362" width="17.25" style="89" customWidth="1"/>
    <col min="5363" max="5364" width="20.5" style="89" customWidth="1"/>
    <col min="5365" max="5365" width="9" style="89" hidden="1" customWidth="1"/>
    <col min="5366" max="5366" width="18.375" style="89" customWidth="1"/>
    <col min="5367" max="5368" width="9" style="89" hidden="1" customWidth="1"/>
    <col min="5369" max="5612" width="9" style="89"/>
    <col min="5613" max="5613" width="6.625" style="89" customWidth="1"/>
    <col min="5614" max="5615" width="21.625" style="89" customWidth="1"/>
    <col min="5616" max="5616" width="16.125" style="89" customWidth="1"/>
    <col min="5617" max="5617" width="13.875" style="89" customWidth="1"/>
    <col min="5618" max="5618" width="17.25" style="89" customWidth="1"/>
    <col min="5619" max="5620" width="20.5" style="89" customWidth="1"/>
    <col min="5621" max="5621" width="9" style="89" hidden="1" customWidth="1"/>
    <col min="5622" max="5622" width="18.375" style="89" customWidth="1"/>
    <col min="5623" max="5624" width="9" style="89" hidden="1" customWidth="1"/>
    <col min="5625" max="5868" width="9" style="89"/>
    <col min="5869" max="5869" width="6.625" style="89" customWidth="1"/>
    <col min="5870" max="5871" width="21.625" style="89" customWidth="1"/>
    <col min="5872" max="5872" width="16.125" style="89" customWidth="1"/>
    <col min="5873" max="5873" width="13.875" style="89" customWidth="1"/>
    <col min="5874" max="5874" width="17.25" style="89" customWidth="1"/>
    <col min="5875" max="5876" width="20.5" style="89" customWidth="1"/>
    <col min="5877" max="5877" width="9" style="89" hidden="1" customWidth="1"/>
    <col min="5878" max="5878" width="18.375" style="89" customWidth="1"/>
    <col min="5879" max="5880" width="9" style="89" hidden="1" customWidth="1"/>
    <col min="5881" max="6124" width="9" style="89"/>
    <col min="6125" max="6125" width="6.625" style="89" customWidth="1"/>
    <col min="6126" max="6127" width="21.625" style="89" customWidth="1"/>
    <col min="6128" max="6128" width="16.125" style="89" customWidth="1"/>
    <col min="6129" max="6129" width="13.875" style="89" customWidth="1"/>
    <col min="6130" max="6130" width="17.25" style="89" customWidth="1"/>
    <col min="6131" max="6132" width="20.5" style="89" customWidth="1"/>
    <col min="6133" max="6133" width="9" style="89" hidden="1" customWidth="1"/>
    <col min="6134" max="6134" width="18.375" style="89" customWidth="1"/>
    <col min="6135" max="6136" width="9" style="89" hidden="1" customWidth="1"/>
    <col min="6137" max="6380" width="9" style="89"/>
    <col min="6381" max="6381" width="6.625" style="89" customWidth="1"/>
    <col min="6382" max="6383" width="21.625" style="89" customWidth="1"/>
    <col min="6384" max="6384" width="16.125" style="89" customWidth="1"/>
    <col min="6385" max="6385" width="13.875" style="89" customWidth="1"/>
    <col min="6386" max="6386" width="17.25" style="89" customWidth="1"/>
    <col min="6387" max="6388" width="20.5" style="89" customWidth="1"/>
    <col min="6389" max="6389" width="9" style="89" hidden="1" customWidth="1"/>
    <col min="6390" max="6390" width="18.375" style="89" customWidth="1"/>
    <col min="6391" max="6392" width="9" style="89" hidden="1" customWidth="1"/>
    <col min="6393" max="6636" width="9" style="89"/>
    <col min="6637" max="6637" width="6.625" style="89" customWidth="1"/>
    <col min="6638" max="6639" width="21.625" style="89" customWidth="1"/>
    <col min="6640" max="6640" width="16.125" style="89" customWidth="1"/>
    <col min="6641" max="6641" width="13.875" style="89" customWidth="1"/>
    <col min="6642" max="6642" width="17.25" style="89" customWidth="1"/>
    <col min="6643" max="6644" width="20.5" style="89" customWidth="1"/>
    <col min="6645" max="6645" width="9" style="89" hidden="1" customWidth="1"/>
    <col min="6646" max="6646" width="18.375" style="89" customWidth="1"/>
    <col min="6647" max="6648" width="9" style="89" hidden="1" customWidth="1"/>
    <col min="6649" max="6892" width="9" style="89"/>
    <col min="6893" max="6893" width="6.625" style="89" customWidth="1"/>
    <col min="6894" max="6895" width="21.625" style="89" customWidth="1"/>
    <col min="6896" max="6896" width="16.125" style="89" customWidth="1"/>
    <col min="6897" max="6897" width="13.875" style="89" customWidth="1"/>
    <col min="6898" max="6898" width="17.25" style="89" customWidth="1"/>
    <col min="6899" max="6900" width="20.5" style="89" customWidth="1"/>
    <col min="6901" max="6901" width="9" style="89" hidden="1" customWidth="1"/>
    <col min="6902" max="6902" width="18.375" style="89" customWidth="1"/>
    <col min="6903" max="6904" width="9" style="89" hidden="1" customWidth="1"/>
    <col min="6905" max="7148" width="9" style="89"/>
    <col min="7149" max="7149" width="6.625" style="89" customWidth="1"/>
    <col min="7150" max="7151" width="21.625" style="89" customWidth="1"/>
    <col min="7152" max="7152" width="16.125" style="89" customWidth="1"/>
    <col min="7153" max="7153" width="13.875" style="89" customWidth="1"/>
    <col min="7154" max="7154" width="17.25" style="89" customWidth="1"/>
    <col min="7155" max="7156" width="20.5" style="89" customWidth="1"/>
    <col min="7157" max="7157" width="9" style="89" hidden="1" customWidth="1"/>
    <col min="7158" max="7158" width="18.375" style="89" customWidth="1"/>
    <col min="7159" max="7160" width="9" style="89" hidden="1" customWidth="1"/>
    <col min="7161" max="7404" width="9" style="89"/>
    <col min="7405" max="7405" width="6.625" style="89" customWidth="1"/>
    <col min="7406" max="7407" width="21.625" style="89" customWidth="1"/>
    <col min="7408" max="7408" width="16.125" style="89" customWidth="1"/>
    <col min="7409" max="7409" width="13.875" style="89" customWidth="1"/>
    <col min="7410" max="7410" width="17.25" style="89" customWidth="1"/>
    <col min="7411" max="7412" width="20.5" style="89" customWidth="1"/>
    <col min="7413" max="7413" width="9" style="89" hidden="1" customWidth="1"/>
    <col min="7414" max="7414" width="18.375" style="89" customWidth="1"/>
    <col min="7415" max="7416" width="9" style="89" hidden="1" customWidth="1"/>
    <col min="7417" max="7660" width="9" style="89"/>
    <col min="7661" max="7661" width="6.625" style="89" customWidth="1"/>
    <col min="7662" max="7663" width="21.625" style="89" customWidth="1"/>
    <col min="7664" max="7664" width="16.125" style="89" customWidth="1"/>
    <col min="7665" max="7665" width="13.875" style="89" customWidth="1"/>
    <col min="7666" max="7666" width="17.25" style="89" customWidth="1"/>
    <col min="7667" max="7668" width="20.5" style="89" customWidth="1"/>
    <col min="7669" max="7669" width="9" style="89" hidden="1" customWidth="1"/>
    <col min="7670" max="7670" width="18.375" style="89" customWidth="1"/>
    <col min="7671" max="7672" width="9" style="89" hidden="1" customWidth="1"/>
    <col min="7673" max="7916" width="9" style="89"/>
    <col min="7917" max="7917" width="6.625" style="89" customWidth="1"/>
    <col min="7918" max="7919" width="21.625" style="89" customWidth="1"/>
    <col min="7920" max="7920" width="16.125" style="89" customWidth="1"/>
    <col min="7921" max="7921" width="13.875" style="89" customWidth="1"/>
    <col min="7922" max="7922" width="17.25" style="89" customWidth="1"/>
    <col min="7923" max="7924" width="20.5" style="89" customWidth="1"/>
    <col min="7925" max="7925" width="9" style="89" hidden="1" customWidth="1"/>
    <col min="7926" max="7926" width="18.375" style="89" customWidth="1"/>
    <col min="7927" max="7928" width="9" style="89" hidden="1" customWidth="1"/>
    <col min="7929" max="8172" width="9" style="89"/>
    <col min="8173" max="8173" width="6.625" style="89" customWidth="1"/>
    <col min="8174" max="8175" width="21.625" style="89" customWidth="1"/>
    <col min="8176" max="8176" width="16.125" style="89" customWidth="1"/>
    <col min="8177" max="8177" width="13.875" style="89" customWidth="1"/>
    <col min="8178" max="8178" width="17.25" style="89" customWidth="1"/>
    <col min="8179" max="8180" width="20.5" style="89" customWidth="1"/>
    <col min="8181" max="8181" width="9" style="89" hidden="1" customWidth="1"/>
    <col min="8182" max="8182" width="18.375" style="89" customWidth="1"/>
    <col min="8183" max="8184" width="9" style="89" hidden="1" customWidth="1"/>
    <col min="8185" max="8428" width="9" style="89"/>
    <col min="8429" max="8429" width="6.625" style="89" customWidth="1"/>
    <col min="8430" max="8431" width="21.625" style="89" customWidth="1"/>
    <col min="8432" max="8432" width="16.125" style="89" customWidth="1"/>
    <col min="8433" max="8433" width="13.875" style="89" customWidth="1"/>
    <col min="8434" max="8434" width="17.25" style="89" customWidth="1"/>
    <col min="8435" max="8436" width="20.5" style="89" customWidth="1"/>
    <col min="8437" max="8437" width="9" style="89" hidden="1" customWidth="1"/>
    <col min="8438" max="8438" width="18.375" style="89" customWidth="1"/>
    <col min="8439" max="8440" width="9" style="89" hidden="1" customWidth="1"/>
    <col min="8441" max="8684" width="9" style="89"/>
    <col min="8685" max="8685" width="6.625" style="89" customWidth="1"/>
    <col min="8686" max="8687" width="21.625" style="89" customWidth="1"/>
    <col min="8688" max="8688" width="16.125" style="89" customWidth="1"/>
    <col min="8689" max="8689" width="13.875" style="89" customWidth="1"/>
    <col min="8690" max="8690" width="17.25" style="89" customWidth="1"/>
    <col min="8691" max="8692" width="20.5" style="89" customWidth="1"/>
    <col min="8693" max="8693" width="9" style="89" hidden="1" customWidth="1"/>
    <col min="8694" max="8694" width="18.375" style="89" customWidth="1"/>
    <col min="8695" max="8696" width="9" style="89" hidden="1" customWidth="1"/>
    <col min="8697" max="8940" width="9" style="89"/>
    <col min="8941" max="8941" width="6.625" style="89" customWidth="1"/>
    <col min="8942" max="8943" width="21.625" style="89" customWidth="1"/>
    <col min="8944" max="8944" width="16.125" style="89" customWidth="1"/>
    <col min="8945" max="8945" width="13.875" style="89" customWidth="1"/>
    <col min="8946" max="8946" width="17.25" style="89" customWidth="1"/>
    <col min="8947" max="8948" width="20.5" style="89" customWidth="1"/>
    <col min="8949" max="8949" width="9" style="89" hidden="1" customWidth="1"/>
    <col min="8950" max="8950" width="18.375" style="89" customWidth="1"/>
    <col min="8951" max="8952" width="9" style="89" hidden="1" customWidth="1"/>
    <col min="8953" max="9196" width="9" style="89"/>
    <col min="9197" max="9197" width="6.625" style="89" customWidth="1"/>
    <col min="9198" max="9199" width="21.625" style="89" customWidth="1"/>
    <col min="9200" max="9200" width="16.125" style="89" customWidth="1"/>
    <col min="9201" max="9201" width="13.875" style="89" customWidth="1"/>
    <col min="9202" max="9202" width="17.25" style="89" customWidth="1"/>
    <col min="9203" max="9204" width="20.5" style="89" customWidth="1"/>
    <col min="9205" max="9205" width="9" style="89" hidden="1" customWidth="1"/>
    <col min="9206" max="9206" width="18.375" style="89" customWidth="1"/>
    <col min="9207" max="9208" width="9" style="89" hidden="1" customWidth="1"/>
    <col min="9209" max="9452" width="9" style="89"/>
    <col min="9453" max="9453" width="6.625" style="89" customWidth="1"/>
    <col min="9454" max="9455" width="21.625" style="89" customWidth="1"/>
    <col min="9456" max="9456" width="16.125" style="89" customWidth="1"/>
    <col min="9457" max="9457" width="13.875" style="89" customWidth="1"/>
    <col min="9458" max="9458" width="17.25" style="89" customWidth="1"/>
    <col min="9459" max="9460" width="20.5" style="89" customWidth="1"/>
    <col min="9461" max="9461" width="9" style="89" hidden="1" customWidth="1"/>
    <col min="9462" max="9462" width="18.375" style="89" customWidth="1"/>
    <col min="9463" max="9464" width="9" style="89" hidden="1" customWidth="1"/>
    <col min="9465" max="9708" width="9" style="89"/>
    <col min="9709" max="9709" width="6.625" style="89" customWidth="1"/>
    <col min="9710" max="9711" width="21.625" style="89" customWidth="1"/>
    <col min="9712" max="9712" width="16.125" style="89" customWidth="1"/>
    <col min="9713" max="9713" width="13.875" style="89" customWidth="1"/>
    <col min="9714" max="9714" width="17.25" style="89" customWidth="1"/>
    <col min="9715" max="9716" width="20.5" style="89" customWidth="1"/>
    <col min="9717" max="9717" width="9" style="89" hidden="1" customWidth="1"/>
    <col min="9718" max="9718" width="18.375" style="89" customWidth="1"/>
    <col min="9719" max="9720" width="9" style="89" hidden="1" customWidth="1"/>
    <col min="9721" max="9964" width="9" style="89"/>
    <col min="9965" max="9965" width="6.625" style="89" customWidth="1"/>
    <col min="9966" max="9967" width="21.625" style="89" customWidth="1"/>
    <col min="9968" max="9968" width="16.125" style="89" customWidth="1"/>
    <col min="9969" max="9969" width="13.875" style="89" customWidth="1"/>
    <col min="9970" max="9970" width="17.25" style="89" customWidth="1"/>
    <col min="9971" max="9972" width="20.5" style="89" customWidth="1"/>
    <col min="9973" max="9973" width="9" style="89" hidden="1" customWidth="1"/>
    <col min="9974" max="9974" width="18.375" style="89" customWidth="1"/>
    <col min="9975" max="9976" width="9" style="89" hidden="1" customWidth="1"/>
    <col min="9977" max="10220" width="9" style="89"/>
    <col min="10221" max="10221" width="6.625" style="89" customWidth="1"/>
    <col min="10222" max="10223" width="21.625" style="89" customWidth="1"/>
    <col min="10224" max="10224" width="16.125" style="89" customWidth="1"/>
    <col min="10225" max="10225" width="13.875" style="89" customWidth="1"/>
    <col min="10226" max="10226" width="17.25" style="89" customWidth="1"/>
    <col min="10227" max="10228" width="20.5" style="89" customWidth="1"/>
    <col min="10229" max="10229" width="9" style="89" hidden="1" customWidth="1"/>
    <col min="10230" max="10230" width="18.375" style="89" customWidth="1"/>
    <col min="10231" max="10232" width="9" style="89" hidden="1" customWidth="1"/>
    <col min="10233" max="10476" width="9" style="89"/>
    <col min="10477" max="10477" width="6.625" style="89" customWidth="1"/>
    <col min="10478" max="10479" width="21.625" style="89" customWidth="1"/>
    <col min="10480" max="10480" width="16.125" style="89" customWidth="1"/>
    <col min="10481" max="10481" width="13.875" style="89" customWidth="1"/>
    <col min="10482" max="10482" width="17.25" style="89" customWidth="1"/>
    <col min="10483" max="10484" width="20.5" style="89" customWidth="1"/>
    <col min="10485" max="10485" width="9" style="89" hidden="1" customWidth="1"/>
    <col min="10486" max="10486" width="18.375" style="89" customWidth="1"/>
    <col min="10487" max="10488" width="9" style="89" hidden="1" customWidth="1"/>
    <col min="10489" max="10732" width="9" style="89"/>
    <col min="10733" max="10733" width="6.625" style="89" customWidth="1"/>
    <col min="10734" max="10735" width="21.625" style="89" customWidth="1"/>
    <col min="10736" max="10736" width="16.125" style="89" customWidth="1"/>
    <col min="10737" max="10737" width="13.875" style="89" customWidth="1"/>
    <col min="10738" max="10738" width="17.25" style="89" customWidth="1"/>
    <col min="10739" max="10740" width="20.5" style="89" customWidth="1"/>
    <col min="10741" max="10741" width="9" style="89" hidden="1" customWidth="1"/>
    <col min="10742" max="10742" width="18.375" style="89" customWidth="1"/>
    <col min="10743" max="10744" width="9" style="89" hidden="1" customWidth="1"/>
    <col min="10745" max="10988" width="9" style="89"/>
    <col min="10989" max="10989" width="6.625" style="89" customWidth="1"/>
    <col min="10990" max="10991" width="21.625" style="89" customWidth="1"/>
    <col min="10992" max="10992" width="16.125" style="89" customWidth="1"/>
    <col min="10993" max="10993" width="13.875" style="89" customWidth="1"/>
    <col min="10994" max="10994" width="17.25" style="89" customWidth="1"/>
    <col min="10995" max="10996" width="20.5" style="89" customWidth="1"/>
    <col min="10997" max="10997" width="9" style="89" hidden="1" customWidth="1"/>
    <col min="10998" max="10998" width="18.375" style="89" customWidth="1"/>
    <col min="10999" max="11000" width="9" style="89" hidden="1" customWidth="1"/>
    <col min="11001" max="11244" width="9" style="89"/>
    <col min="11245" max="11245" width="6.625" style="89" customWidth="1"/>
    <col min="11246" max="11247" width="21.625" style="89" customWidth="1"/>
    <col min="11248" max="11248" width="16.125" style="89" customWidth="1"/>
    <col min="11249" max="11249" width="13.875" style="89" customWidth="1"/>
    <col min="11250" max="11250" width="17.25" style="89" customWidth="1"/>
    <col min="11251" max="11252" width="20.5" style="89" customWidth="1"/>
    <col min="11253" max="11253" width="9" style="89" hidden="1" customWidth="1"/>
    <col min="11254" max="11254" width="18.375" style="89" customWidth="1"/>
    <col min="11255" max="11256" width="9" style="89" hidden="1" customWidth="1"/>
    <col min="11257" max="11500" width="9" style="89"/>
    <col min="11501" max="11501" width="6.625" style="89" customWidth="1"/>
    <col min="11502" max="11503" width="21.625" style="89" customWidth="1"/>
    <col min="11504" max="11504" width="16.125" style="89" customWidth="1"/>
    <col min="11505" max="11505" width="13.875" style="89" customWidth="1"/>
    <col min="11506" max="11506" width="17.25" style="89" customWidth="1"/>
    <col min="11507" max="11508" width="20.5" style="89" customWidth="1"/>
    <col min="11509" max="11509" width="9" style="89" hidden="1" customWidth="1"/>
    <col min="11510" max="11510" width="18.375" style="89" customWidth="1"/>
    <col min="11511" max="11512" width="9" style="89" hidden="1" customWidth="1"/>
    <col min="11513" max="11756" width="9" style="89"/>
    <col min="11757" max="11757" width="6.625" style="89" customWidth="1"/>
    <col min="11758" max="11759" width="21.625" style="89" customWidth="1"/>
    <col min="11760" max="11760" width="16.125" style="89" customWidth="1"/>
    <col min="11761" max="11761" width="13.875" style="89" customWidth="1"/>
    <col min="11762" max="11762" width="17.25" style="89" customWidth="1"/>
    <col min="11763" max="11764" width="20.5" style="89" customWidth="1"/>
    <col min="11765" max="11765" width="9" style="89" hidden="1" customWidth="1"/>
    <col min="11766" max="11766" width="18.375" style="89" customWidth="1"/>
    <col min="11767" max="11768" width="9" style="89" hidden="1" customWidth="1"/>
    <col min="11769" max="12012" width="9" style="89"/>
    <col min="12013" max="12013" width="6.625" style="89" customWidth="1"/>
    <col min="12014" max="12015" width="21.625" style="89" customWidth="1"/>
    <col min="12016" max="12016" width="16.125" style="89" customWidth="1"/>
    <col min="12017" max="12017" width="13.875" style="89" customWidth="1"/>
    <col min="12018" max="12018" width="17.25" style="89" customWidth="1"/>
    <col min="12019" max="12020" width="20.5" style="89" customWidth="1"/>
    <col min="12021" max="12021" width="9" style="89" hidden="1" customWidth="1"/>
    <col min="12022" max="12022" width="18.375" style="89" customWidth="1"/>
    <col min="12023" max="12024" width="9" style="89" hidden="1" customWidth="1"/>
    <col min="12025" max="12268" width="9" style="89"/>
    <col min="12269" max="12269" width="6.625" style="89" customWidth="1"/>
    <col min="12270" max="12271" width="21.625" style="89" customWidth="1"/>
    <col min="12272" max="12272" width="16.125" style="89" customWidth="1"/>
    <col min="12273" max="12273" width="13.875" style="89" customWidth="1"/>
    <col min="12274" max="12274" width="17.25" style="89" customWidth="1"/>
    <col min="12275" max="12276" width="20.5" style="89" customWidth="1"/>
    <col min="12277" max="12277" width="9" style="89" hidden="1" customWidth="1"/>
    <col min="12278" max="12278" width="18.375" style="89" customWidth="1"/>
    <col min="12279" max="12280" width="9" style="89" hidden="1" customWidth="1"/>
    <col min="12281" max="12524" width="9" style="89"/>
    <col min="12525" max="12525" width="6.625" style="89" customWidth="1"/>
    <col min="12526" max="12527" width="21.625" style="89" customWidth="1"/>
    <col min="12528" max="12528" width="16.125" style="89" customWidth="1"/>
    <col min="12529" max="12529" width="13.875" style="89" customWidth="1"/>
    <col min="12530" max="12530" width="17.25" style="89" customWidth="1"/>
    <col min="12531" max="12532" width="20.5" style="89" customWidth="1"/>
    <col min="12533" max="12533" width="9" style="89" hidden="1" customWidth="1"/>
    <col min="12534" max="12534" width="18.375" style="89" customWidth="1"/>
    <col min="12535" max="12536" width="9" style="89" hidden="1" customWidth="1"/>
    <col min="12537" max="12780" width="9" style="89"/>
    <col min="12781" max="12781" width="6.625" style="89" customWidth="1"/>
    <col min="12782" max="12783" width="21.625" style="89" customWidth="1"/>
    <col min="12784" max="12784" width="16.125" style="89" customWidth="1"/>
    <col min="12785" max="12785" width="13.875" style="89" customWidth="1"/>
    <col min="12786" max="12786" width="17.25" style="89" customWidth="1"/>
    <col min="12787" max="12788" width="20.5" style="89" customWidth="1"/>
    <col min="12789" max="12789" width="9" style="89" hidden="1" customWidth="1"/>
    <col min="12790" max="12790" width="18.375" style="89" customWidth="1"/>
    <col min="12791" max="12792" width="9" style="89" hidden="1" customWidth="1"/>
    <col min="12793" max="13036" width="9" style="89"/>
    <col min="13037" max="13037" width="6.625" style="89" customWidth="1"/>
    <col min="13038" max="13039" width="21.625" style="89" customWidth="1"/>
    <col min="13040" max="13040" width="16.125" style="89" customWidth="1"/>
    <col min="13041" max="13041" width="13.875" style="89" customWidth="1"/>
    <col min="13042" max="13042" width="17.25" style="89" customWidth="1"/>
    <col min="13043" max="13044" width="20.5" style="89" customWidth="1"/>
    <col min="13045" max="13045" width="9" style="89" hidden="1" customWidth="1"/>
    <col min="13046" max="13046" width="18.375" style="89" customWidth="1"/>
    <col min="13047" max="13048" width="9" style="89" hidden="1" customWidth="1"/>
    <col min="13049" max="13292" width="9" style="89"/>
    <col min="13293" max="13293" width="6.625" style="89" customWidth="1"/>
    <col min="13294" max="13295" width="21.625" style="89" customWidth="1"/>
    <col min="13296" max="13296" width="16.125" style="89" customWidth="1"/>
    <col min="13297" max="13297" width="13.875" style="89" customWidth="1"/>
    <col min="13298" max="13298" width="17.25" style="89" customWidth="1"/>
    <col min="13299" max="13300" width="20.5" style="89" customWidth="1"/>
    <col min="13301" max="13301" width="9" style="89" hidden="1" customWidth="1"/>
    <col min="13302" max="13302" width="18.375" style="89" customWidth="1"/>
    <col min="13303" max="13304" width="9" style="89" hidden="1" customWidth="1"/>
    <col min="13305" max="13548" width="9" style="89"/>
    <col min="13549" max="13549" width="6.625" style="89" customWidth="1"/>
    <col min="13550" max="13551" width="21.625" style="89" customWidth="1"/>
    <col min="13552" max="13552" width="16.125" style="89" customWidth="1"/>
    <col min="13553" max="13553" width="13.875" style="89" customWidth="1"/>
    <col min="13554" max="13554" width="17.25" style="89" customWidth="1"/>
    <col min="13555" max="13556" width="20.5" style="89" customWidth="1"/>
    <col min="13557" max="13557" width="9" style="89" hidden="1" customWidth="1"/>
    <col min="13558" max="13558" width="18.375" style="89" customWidth="1"/>
    <col min="13559" max="13560" width="9" style="89" hidden="1" customWidth="1"/>
    <col min="13561" max="13804" width="9" style="89"/>
    <col min="13805" max="13805" width="6.625" style="89" customWidth="1"/>
    <col min="13806" max="13807" width="21.625" style="89" customWidth="1"/>
    <col min="13808" max="13808" width="16.125" style="89" customWidth="1"/>
    <col min="13809" max="13809" width="13.875" style="89" customWidth="1"/>
    <col min="13810" max="13810" width="17.25" style="89" customWidth="1"/>
    <col min="13811" max="13812" width="20.5" style="89" customWidth="1"/>
    <col min="13813" max="13813" width="9" style="89" hidden="1" customWidth="1"/>
    <col min="13814" max="13814" width="18.375" style="89" customWidth="1"/>
    <col min="13815" max="13816" width="9" style="89" hidden="1" customWidth="1"/>
    <col min="13817" max="14060" width="9" style="89"/>
    <col min="14061" max="14061" width="6.625" style="89" customWidth="1"/>
    <col min="14062" max="14063" width="21.625" style="89" customWidth="1"/>
    <col min="14064" max="14064" width="16.125" style="89" customWidth="1"/>
    <col min="14065" max="14065" width="13.875" style="89" customWidth="1"/>
    <col min="14066" max="14066" width="17.25" style="89" customWidth="1"/>
    <col min="14067" max="14068" width="20.5" style="89" customWidth="1"/>
    <col min="14069" max="14069" width="9" style="89" hidden="1" customWidth="1"/>
    <col min="14070" max="14070" width="18.375" style="89" customWidth="1"/>
    <col min="14071" max="14072" width="9" style="89" hidden="1" customWidth="1"/>
    <col min="14073" max="14316" width="9" style="89"/>
    <col min="14317" max="14317" width="6.625" style="89" customWidth="1"/>
    <col min="14318" max="14319" width="21.625" style="89" customWidth="1"/>
    <col min="14320" max="14320" width="16.125" style="89" customWidth="1"/>
    <col min="14321" max="14321" width="13.875" style="89" customWidth="1"/>
    <col min="14322" max="14322" width="17.25" style="89" customWidth="1"/>
    <col min="14323" max="14324" width="20.5" style="89" customWidth="1"/>
    <col min="14325" max="14325" width="9" style="89" hidden="1" customWidth="1"/>
    <col min="14326" max="14326" width="18.375" style="89" customWidth="1"/>
    <col min="14327" max="14328" width="9" style="89" hidden="1" customWidth="1"/>
    <col min="14329" max="14572" width="9" style="89"/>
    <col min="14573" max="14573" width="6.625" style="89" customWidth="1"/>
    <col min="14574" max="14575" width="21.625" style="89" customWidth="1"/>
    <col min="14576" max="14576" width="16.125" style="89" customWidth="1"/>
    <col min="14577" max="14577" width="13.875" style="89" customWidth="1"/>
    <col min="14578" max="14578" width="17.25" style="89" customWidth="1"/>
    <col min="14579" max="14580" width="20.5" style="89" customWidth="1"/>
    <col min="14581" max="14581" width="9" style="89" hidden="1" customWidth="1"/>
    <col min="14582" max="14582" width="18.375" style="89" customWidth="1"/>
    <col min="14583" max="14584" width="9" style="89" hidden="1" customWidth="1"/>
    <col min="14585" max="14828" width="9" style="89"/>
    <col min="14829" max="14829" width="6.625" style="89" customWidth="1"/>
    <col min="14830" max="14831" width="21.625" style="89" customWidth="1"/>
    <col min="14832" max="14832" width="16.125" style="89" customWidth="1"/>
    <col min="14833" max="14833" width="13.875" style="89" customWidth="1"/>
    <col min="14834" max="14834" width="17.25" style="89" customWidth="1"/>
    <col min="14835" max="14836" width="20.5" style="89" customWidth="1"/>
    <col min="14837" max="14837" width="9" style="89" hidden="1" customWidth="1"/>
    <col min="14838" max="14838" width="18.375" style="89" customWidth="1"/>
    <col min="14839" max="14840" width="9" style="89" hidden="1" customWidth="1"/>
    <col min="14841" max="15084" width="9" style="89"/>
    <col min="15085" max="15085" width="6.625" style="89" customWidth="1"/>
    <col min="15086" max="15087" width="21.625" style="89" customWidth="1"/>
    <col min="15088" max="15088" width="16.125" style="89" customWidth="1"/>
    <col min="15089" max="15089" width="13.875" style="89" customWidth="1"/>
    <col min="15090" max="15090" width="17.25" style="89" customWidth="1"/>
    <col min="15091" max="15092" width="20.5" style="89" customWidth="1"/>
    <col min="15093" max="15093" width="9" style="89" hidden="1" customWidth="1"/>
    <col min="15094" max="15094" width="18.375" style="89" customWidth="1"/>
    <col min="15095" max="15096" width="9" style="89" hidden="1" customWidth="1"/>
    <col min="15097" max="15340" width="9" style="89"/>
    <col min="15341" max="15341" width="6.625" style="89" customWidth="1"/>
    <col min="15342" max="15343" width="21.625" style="89" customWidth="1"/>
    <col min="15344" max="15344" width="16.125" style="89" customWidth="1"/>
    <col min="15345" max="15345" width="13.875" style="89" customWidth="1"/>
    <col min="15346" max="15346" width="17.25" style="89" customWidth="1"/>
    <col min="15347" max="15348" width="20.5" style="89" customWidth="1"/>
    <col min="15349" max="15349" width="9" style="89" hidden="1" customWidth="1"/>
    <col min="15350" max="15350" width="18.375" style="89" customWidth="1"/>
    <col min="15351" max="15352" width="9" style="89" hidden="1" customWidth="1"/>
    <col min="15353" max="15596" width="9" style="89"/>
    <col min="15597" max="15597" width="6.625" style="89" customWidth="1"/>
    <col min="15598" max="15599" width="21.625" style="89" customWidth="1"/>
    <col min="15600" max="15600" width="16.125" style="89" customWidth="1"/>
    <col min="15601" max="15601" width="13.875" style="89" customWidth="1"/>
    <col min="15602" max="15602" width="17.25" style="89" customWidth="1"/>
    <col min="15603" max="15604" width="20.5" style="89" customWidth="1"/>
    <col min="15605" max="15605" width="9" style="89" hidden="1" customWidth="1"/>
    <col min="15606" max="15606" width="18.375" style="89" customWidth="1"/>
    <col min="15607" max="15608" width="9" style="89" hidden="1" customWidth="1"/>
    <col min="15609" max="15852" width="9" style="89"/>
    <col min="15853" max="15853" width="6.625" style="89" customWidth="1"/>
    <col min="15854" max="15855" width="21.625" style="89" customWidth="1"/>
    <col min="15856" max="15856" width="16.125" style="89" customWidth="1"/>
    <col min="15857" max="15857" width="13.875" style="89" customWidth="1"/>
    <col min="15858" max="15858" width="17.25" style="89" customWidth="1"/>
    <col min="15859" max="15860" width="20.5" style="89" customWidth="1"/>
    <col min="15861" max="15861" width="9" style="89" hidden="1" customWidth="1"/>
    <col min="15862" max="15862" width="18.375" style="89" customWidth="1"/>
    <col min="15863" max="15864" width="9" style="89" hidden="1" customWidth="1"/>
    <col min="15865" max="16108" width="9" style="89"/>
    <col min="16109" max="16109" width="6.625" style="89" customWidth="1"/>
    <col min="16110" max="16111" width="21.625" style="89" customWidth="1"/>
    <col min="16112" max="16112" width="16.125" style="89" customWidth="1"/>
    <col min="16113" max="16113" width="13.875" style="89" customWidth="1"/>
    <col min="16114" max="16114" width="17.25" style="89" customWidth="1"/>
    <col min="16115" max="16116" width="20.5" style="89" customWidth="1"/>
    <col min="16117" max="16117" width="9" style="89" hidden="1" customWidth="1"/>
    <col min="16118" max="16118" width="18.375" style="89" customWidth="1"/>
    <col min="16119" max="16120" width="9" style="89" hidden="1" customWidth="1"/>
    <col min="16121" max="16384" width="9" style="89"/>
  </cols>
  <sheetData>
    <row r="1" spans="1:3" ht="30" customHeight="1">
      <c r="A1" s="121" t="s">
        <v>290</v>
      </c>
      <c r="B1" s="122"/>
      <c r="C1" s="122"/>
    </row>
    <row r="2" spans="1:3" ht="35.1" customHeight="1">
      <c r="A2" s="123" t="s">
        <v>286</v>
      </c>
      <c r="B2" s="124"/>
      <c r="C2" s="90" t="s">
        <v>284</v>
      </c>
    </row>
    <row r="3" spans="1:3" s="92" customFormat="1" ht="30" customHeight="1">
      <c r="A3" s="91" t="s">
        <v>2</v>
      </c>
      <c r="B3" s="91" t="s">
        <v>285</v>
      </c>
      <c r="C3" s="91" t="s">
        <v>179</v>
      </c>
    </row>
    <row r="4" spans="1:3" ht="30" customHeight="1">
      <c r="A4" s="93">
        <v>1</v>
      </c>
      <c r="B4" s="93" t="s">
        <v>287</v>
      </c>
      <c r="C4" s="94">
        <f>基本支出!T5</f>
        <v>372904957.69999999</v>
      </c>
    </row>
    <row r="5" spans="1:3" ht="30" customHeight="1">
      <c r="A5" s="93">
        <v>2</v>
      </c>
      <c r="B5" s="93" t="s">
        <v>288</v>
      </c>
      <c r="C5" s="94">
        <f>基本支出!T39</f>
        <v>69497065.289999992</v>
      </c>
    </row>
    <row r="6" spans="1:3" ht="30" customHeight="1">
      <c r="A6" s="93">
        <v>3</v>
      </c>
      <c r="B6" s="93" t="s">
        <v>289</v>
      </c>
      <c r="C6" s="94">
        <f>基本支出!T32</f>
        <v>6698841</v>
      </c>
    </row>
    <row r="7" spans="1:3" ht="30" customHeight="1">
      <c r="A7" s="93">
        <v>4</v>
      </c>
      <c r="B7" s="91" t="s">
        <v>291</v>
      </c>
      <c r="C7" s="94">
        <f>残疾就业保障!E5</f>
        <v>16730.259999999998</v>
      </c>
    </row>
    <row r="8" spans="1:3" ht="30" customHeight="1">
      <c r="A8" s="93">
        <v>5</v>
      </c>
      <c r="B8" s="91" t="s">
        <v>292</v>
      </c>
      <c r="C8" s="94">
        <f>社区教育!C5</f>
        <v>593892</v>
      </c>
    </row>
    <row r="9" spans="1:3" ht="30" customHeight="1">
      <c r="A9" s="93">
        <v>6</v>
      </c>
      <c r="B9" s="91" t="s">
        <v>293</v>
      </c>
      <c r="C9" s="94">
        <v>40000</v>
      </c>
    </row>
    <row r="10" spans="1:3" ht="30" customHeight="1">
      <c r="A10" s="91"/>
      <c r="B10" s="91" t="s">
        <v>6</v>
      </c>
      <c r="C10" s="95">
        <f>SUM(C4:C9)</f>
        <v>449751486.25</v>
      </c>
    </row>
    <row r="11" spans="1:3" ht="30" customHeight="1"/>
    <row r="12" spans="1:3" ht="30" customHeight="1"/>
  </sheetData>
  <mergeCells count="2">
    <mergeCell ref="A1:C1"/>
    <mergeCell ref="A2:B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4"/>
  <sheetViews>
    <sheetView topLeftCell="A7" workbookViewId="0">
      <selection activeCell="C29" sqref="C29"/>
    </sheetView>
  </sheetViews>
  <sheetFormatPr defaultRowHeight="11.25"/>
  <cols>
    <col min="1" max="1" width="9" style="6"/>
    <col min="2" max="2" width="22.625" style="1" customWidth="1"/>
    <col min="3" max="3" width="9" style="1"/>
    <col min="4" max="4" width="9" style="97"/>
    <col min="5" max="5" width="12" style="1" customWidth="1"/>
    <col min="6" max="6" width="11.875" style="1" customWidth="1"/>
    <col min="7" max="7" width="13.375" style="1" customWidth="1"/>
    <col min="8" max="8" width="12.25" style="1" customWidth="1"/>
    <col min="9" max="9" width="10.5" style="1" customWidth="1"/>
    <col min="10" max="10" width="10.75" style="1" customWidth="1"/>
    <col min="11" max="11" width="11.125" style="1" customWidth="1"/>
    <col min="12" max="12" width="10.25" style="1" customWidth="1"/>
    <col min="13" max="14" width="9" style="1"/>
    <col min="15" max="15" width="10.75" style="1" customWidth="1"/>
    <col min="16" max="17" width="9" style="1"/>
    <col min="18" max="18" width="10.375" style="1" customWidth="1"/>
    <col min="19" max="19" width="9" style="1"/>
    <col min="20" max="20" width="11.125" style="1" customWidth="1"/>
    <col min="21" max="16384" width="9" style="1"/>
  </cols>
  <sheetData>
    <row r="1" spans="1:21" ht="25.5">
      <c r="A1" s="125" t="s">
        <v>294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>
      <c r="A2" s="126" t="s">
        <v>2</v>
      </c>
      <c r="B2" s="126" t="s">
        <v>3</v>
      </c>
      <c r="C2" s="126" t="s">
        <v>4</v>
      </c>
      <c r="D2" s="126" t="s">
        <v>5</v>
      </c>
      <c r="E2" s="99" t="s">
        <v>131</v>
      </c>
      <c r="F2" s="99" t="s">
        <v>132</v>
      </c>
      <c r="G2" s="99" t="s">
        <v>133</v>
      </c>
      <c r="H2" s="99" t="s">
        <v>134</v>
      </c>
      <c r="I2" s="99" t="s">
        <v>135</v>
      </c>
      <c r="J2" s="99" t="s">
        <v>136</v>
      </c>
      <c r="K2" s="99" t="s">
        <v>137</v>
      </c>
      <c r="L2" s="99" t="s">
        <v>138</v>
      </c>
      <c r="M2" s="99" t="s">
        <v>139</v>
      </c>
      <c r="N2" s="99" t="s">
        <v>140</v>
      </c>
      <c r="O2" s="99" t="s">
        <v>141</v>
      </c>
      <c r="P2" s="99" t="s">
        <v>142</v>
      </c>
      <c r="Q2" s="99" t="s">
        <v>170</v>
      </c>
      <c r="R2" s="99" t="s">
        <v>171</v>
      </c>
      <c r="S2" s="99" t="s">
        <v>172</v>
      </c>
      <c r="T2" s="128" t="s">
        <v>6</v>
      </c>
      <c r="U2" s="128" t="s">
        <v>7</v>
      </c>
    </row>
    <row r="3" spans="1:21">
      <c r="A3" s="127"/>
      <c r="B3" s="127"/>
      <c r="C3" s="127"/>
      <c r="D3" s="127"/>
      <c r="E3" s="99" t="s">
        <v>177</v>
      </c>
      <c r="F3" s="99" t="s">
        <v>177</v>
      </c>
      <c r="G3" s="99" t="s">
        <v>176</v>
      </c>
      <c r="H3" s="99" t="s">
        <v>176</v>
      </c>
      <c r="I3" s="99" t="s">
        <v>176</v>
      </c>
      <c r="J3" s="99" t="s">
        <v>176</v>
      </c>
      <c r="K3" s="99" t="s">
        <v>173</v>
      </c>
      <c r="L3" s="99" t="s">
        <v>173</v>
      </c>
      <c r="M3" s="99" t="s">
        <v>173</v>
      </c>
      <c r="N3" s="99" t="s">
        <v>173</v>
      </c>
      <c r="O3" s="99" t="s">
        <v>295</v>
      </c>
      <c r="P3" s="99" t="s">
        <v>296</v>
      </c>
      <c r="Q3" s="99" t="s">
        <v>173</v>
      </c>
      <c r="R3" s="99" t="s">
        <v>177</v>
      </c>
      <c r="S3" s="99" t="s">
        <v>173</v>
      </c>
      <c r="T3" s="129"/>
      <c r="U3" s="129"/>
    </row>
    <row r="4" spans="1:21">
      <c r="A4" s="100" t="s">
        <v>8</v>
      </c>
      <c r="B4" s="101" t="s">
        <v>9</v>
      </c>
      <c r="C4" s="101"/>
      <c r="D4" s="102" t="s">
        <v>10</v>
      </c>
      <c r="E4" s="103">
        <f>E5+E32+E39</f>
        <v>53522080.269999996</v>
      </c>
      <c r="F4" s="103">
        <f t="shared" ref="F4:S4" si="0">F5+F32+F39</f>
        <v>32914175.149999999</v>
      </c>
      <c r="G4" s="103">
        <f t="shared" si="0"/>
        <v>34871811</v>
      </c>
      <c r="H4" s="103">
        <f t="shared" si="0"/>
        <v>35668823.730000004</v>
      </c>
      <c r="I4" s="103">
        <f t="shared" si="0"/>
        <v>79378694.179999992</v>
      </c>
      <c r="J4" s="103">
        <f t="shared" si="0"/>
        <v>24789482.799999997</v>
      </c>
      <c r="K4" s="103">
        <f t="shared" si="0"/>
        <v>20471426.75</v>
      </c>
      <c r="L4" s="103">
        <f t="shared" si="0"/>
        <v>18682295.319999997</v>
      </c>
      <c r="M4" s="103">
        <f t="shared" si="0"/>
        <v>16455408.600000001</v>
      </c>
      <c r="N4" s="103">
        <f t="shared" si="0"/>
        <v>16660186.949999999</v>
      </c>
      <c r="O4" s="103">
        <f t="shared" si="0"/>
        <v>56118298.770000003</v>
      </c>
      <c r="P4" s="103">
        <f t="shared" si="0"/>
        <v>2220710.27</v>
      </c>
      <c r="Q4" s="103">
        <f t="shared" si="0"/>
        <v>6699571.5799999991</v>
      </c>
      <c r="R4" s="103">
        <f t="shared" si="0"/>
        <v>38636843.969999999</v>
      </c>
      <c r="S4" s="103">
        <f t="shared" si="0"/>
        <v>12011054.65</v>
      </c>
      <c r="T4" s="103">
        <f t="shared" ref="T4:T67" si="1">SUM(E4:S4)</f>
        <v>449100863.98999989</v>
      </c>
      <c r="U4" s="102"/>
    </row>
    <row r="5" spans="1:21">
      <c r="A5" s="100" t="s">
        <v>11</v>
      </c>
      <c r="B5" s="101" t="s">
        <v>0</v>
      </c>
      <c r="C5" s="101"/>
      <c r="D5" s="102" t="s">
        <v>10</v>
      </c>
      <c r="E5" s="103">
        <f>E6+E9+E13+E16+E21+E26+E28+E30+E31</f>
        <v>42619242.559999995</v>
      </c>
      <c r="F5" s="103">
        <f t="shared" ref="F5:S5" si="2">F6+F9+F13+F16+F21+F26+F28+F30+F31</f>
        <v>26653680.289999999</v>
      </c>
      <c r="G5" s="103">
        <f t="shared" si="2"/>
        <v>28199038</v>
      </c>
      <c r="H5" s="103">
        <f t="shared" si="2"/>
        <v>29957191.440000001</v>
      </c>
      <c r="I5" s="103">
        <f t="shared" si="2"/>
        <v>66609036.149999999</v>
      </c>
      <c r="J5" s="103">
        <f t="shared" si="2"/>
        <v>20911358.289999999</v>
      </c>
      <c r="K5" s="103">
        <f t="shared" si="2"/>
        <v>17663592.289999999</v>
      </c>
      <c r="L5" s="103">
        <f t="shared" si="2"/>
        <v>15405155.849999998</v>
      </c>
      <c r="M5" s="103">
        <f t="shared" si="2"/>
        <v>13961561.710000001</v>
      </c>
      <c r="N5" s="103">
        <f t="shared" si="2"/>
        <v>14341290.289999999</v>
      </c>
      <c r="O5" s="103">
        <f t="shared" si="2"/>
        <v>47329924.850000001</v>
      </c>
      <c r="P5" s="103">
        <f t="shared" si="2"/>
        <v>1927304.5599999998</v>
      </c>
      <c r="Q5" s="103">
        <f t="shared" si="2"/>
        <v>5575661.1499999994</v>
      </c>
      <c r="R5" s="103">
        <f t="shared" si="2"/>
        <v>31675273.559999999</v>
      </c>
      <c r="S5" s="103">
        <f t="shared" si="2"/>
        <v>10075646.710000001</v>
      </c>
      <c r="T5" s="103">
        <f t="shared" si="1"/>
        <v>372904957.69999999</v>
      </c>
      <c r="U5" s="102"/>
    </row>
    <row r="6" spans="1:21">
      <c r="A6" s="100" t="s">
        <v>12</v>
      </c>
      <c r="B6" s="101" t="s">
        <v>13</v>
      </c>
      <c r="C6" s="101"/>
      <c r="D6" s="102" t="s">
        <v>10</v>
      </c>
      <c r="E6" s="103">
        <f>E7+E8</f>
        <v>6458820</v>
      </c>
      <c r="F6" s="103">
        <f t="shared" ref="F6:S6" si="3">F7+F8</f>
        <v>4025112</v>
      </c>
      <c r="G6" s="103">
        <f t="shared" si="3"/>
        <v>4577136</v>
      </c>
      <c r="H6" s="103">
        <f t="shared" si="3"/>
        <v>4771092</v>
      </c>
      <c r="I6" s="103">
        <f t="shared" si="3"/>
        <v>9644604</v>
      </c>
      <c r="J6" s="103">
        <f t="shared" si="3"/>
        <v>2848848</v>
      </c>
      <c r="K6" s="103">
        <f t="shared" si="3"/>
        <v>2925132</v>
      </c>
      <c r="L6" s="103">
        <f t="shared" si="3"/>
        <v>2471724</v>
      </c>
      <c r="M6" s="103">
        <f t="shared" si="3"/>
        <v>2163240</v>
      </c>
      <c r="N6" s="103">
        <f t="shared" si="3"/>
        <v>2279856</v>
      </c>
      <c r="O6" s="103">
        <f t="shared" si="3"/>
        <v>6834948</v>
      </c>
      <c r="P6" s="103">
        <f t="shared" si="3"/>
        <v>288204</v>
      </c>
      <c r="Q6" s="103">
        <f t="shared" si="3"/>
        <v>809304</v>
      </c>
      <c r="R6" s="103">
        <f t="shared" si="3"/>
        <v>3595056</v>
      </c>
      <c r="S6" s="103">
        <f t="shared" si="3"/>
        <v>1523892</v>
      </c>
      <c r="T6" s="103">
        <f t="shared" si="1"/>
        <v>55216968</v>
      </c>
      <c r="U6" s="102"/>
    </row>
    <row r="7" spans="1:21" ht="22.5">
      <c r="A7" s="100" t="s">
        <v>14</v>
      </c>
      <c r="B7" s="101" t="s">
        <v>15</v>
      </c>
      <c r="C7" s="101" t="s">
        <v>16</v>
      </c>
      <c r="D7" s="102" t="s">
        <v>17</v>
      </c>
      <c r="E7" s="104">
        <f>289662*12</f>
        <v>3475944</v>
      </c>
      <c r="F7" s="104">
        <f>186687*12</f>
        <v>2240244</v>
      </c>
      <c r="G7" s="104">
        <f>189212*12</f>
        <v>2270544</v>
      </c>
      <c r="H7" s="104">
        <f>209161*12</f>
        <v>2509932</v>
      </c>
      <c r="I7" s="104">
        <f>473945*12</f>
        <v>5687340</v>
      </c>
      <c r="J7" s="104">
        <f>146474*12</f>
        <v>1757688</v>
      </c>
      <c r="K7" s="104">
        <f>131402*12</f>
        <v>1576824</v>
      </c>
      <c r="L7" s="104">
        <f>116572*12</f>
        <v>1398864</v>
      </c>
      <c r="M7" s="104">
        <f>107876*12</f>
        <v>1294512</v>
      </c>
      <c r="N7" s="104">
        <f>109520*12</f>
        <v>1314240</v>
      </c>
      <c r="O7" s="104">
        <f>331469*12</f>
        <v>3977628</v>
      </c>
      <c r="P7" s="104">
        <f>13030*12</f>
        <v>156360</v>
      </c>
      <c r="Q7" s="104">
        <f>42938*12</f>
        <v>515256</v>
      </c>
      <c r="R7" s="104">
        <f>187922*12</f>
        <v>2255064</v>
      </c>
      <c r="S7" s="104">
        <f>76214*12</f>
        <v>914568</v>
      </c>
      <c r="T7" s="103">
        <f t="shared" si="1"/>
        <v>31345008</v>
      </c>
      <c r="U7" s="105"/>
    </row>
    <row r="8" spans="1:21" ht="22.5">
      <c r="A8" s="100" t="s">
        <v>18</v>
      </c>
      <c r="B8" s="101" t="s">
        <v>19</v>
      </c>
      <c r="C8" s="101" t="s">
        <v>16</v>
      </c>
      <c r="D8" s="102" t="s">
        <v>17</v>
      </c>
      <c r="E8" s="104">
        <f>248573*12</f>
        <v>2982876</v>
      </c>
      <c r="F8" s="104">
        <f>148739*12</f>
        <v>1784868</v>
      </c>
      <c r="G8" s="104">
        <f>192216*12</f>
        <v>2306592</v>
      </c>
      <c r="H8" s="104">
        <f>188430*12</f>
        <v>2261160</v>
      </c>
      <c r="I8" s="104">
        <f>329772*12</f>
        <v>3957264</v>
      </c>
      <c r="J8" s="104">
        <f>90930*12</f>
        <v>1091160</v>
      </c>
      <c r="K8" s="104">
        <f>112359*12</f>
        <v>1348308</v>
      </c>
      <c r="L8" s="104">
        <f>89405*12</f>
        <v>1072860</v>
      </c>
      <c r="M8" s="104">
        <f>72394*12</f>
        <v>868728</v>
      </c>
      <c r="N8" s="104">
        <f>80468*12</f>
        <v>965616</v>
      </c>
      <c r="O8" s="104">
        <f>238110*12</f>
        <v>2857320</v>
      </c>
      <c r="P8" s="104">
        <f>10987*12</f>
        <v>131844</v>
      </c>
      <c r="Q8" s="104">
        <f>24504*12</f>
        <v>294048</v>
      </c>
      <c r="R8" s="104">
        <f>111666*12</f>
        <v>1339992</v>
      </c>
      <c r="S8" s="104">
        <f>50777*12</f>
        <v>609324</v>
      </c>
      <c r="T8" s="103">
        <f t="shared" si="1"/>
        <v>23871960</v>
      </c>
      <c r="U8" s="102"/>
    </row>
    <row r="9" spans="1:21">
      <c r="A9" s="100" t="s">
        <v>20</v>
      </c>
      <c r="B9" s="101" t="s">
        <v>21</v>
      </c>
      <c r="C9" s="101"/>
      <c r="D9" s="102" t="s">
        <v>10</v>
      </c>
      <c r="E9" s="103">
        <f>E10+E11</f>
        <v>589848</v>
      </c>
      <c r="F9" s="103">
        <f t="shared" ref="F9:S9" si="4">F10+F11</f>
        <v>369672</v>
      </c>
      <c r="G9" s="103">
        <f t="shared" si="4"/>
        <v>397872</v>
      </c>
      <c r="H9" s="103">
        <f t="shared" si="4"/>
        <v>444312</v>
      </c>
      <c r="I9" s="103">
        <f t="shared" si="4"/>
        <v>992832</v>
      </c>
      <c r="J9" s="103">
        <f t="shared" si="4"/>
        <v>314364</v>
      </c>
      <c r="K9" s="103">
        <f t="shared" si="4"/>
        <v>289632</v>
      </c>
      <c r="L9" s="103">
        <f t="shared" si="4"/>
        <v>251604</v>
      </c>
      <c r="M9" s="103">
        <f t="shared" si="4"/>
        <v>234972</v>
      </c>
      <c r="N9" s="103">
        <f t="shared" si="4"/>
        <v>235572</v>
      </c>
      <c r="O9" s="103">
        <f t="shared" si="4"/>
        <v>684504</v>
      </c>
      <c r="P9" s="103">
        <f t="shared" si="4"/>
        <v>26772</v>
      </c>
      <c r="Q9" s="103">
        <f t="shared" si="4"/>
        <v>95904</v>
      </c>
      <c r="R9" s="103">
        <f t="shared" si="4"/>
        <v>477828</v>
      </c>
      <c r="S9" s="103">
        <f t="shared" si="4"/>
        <v>170868</v>
      </c>
      <c r="T9" s="103">
        <f t="shared" si="1"/>
        <v>5576556</v>
      </c>
      <c r="U9" s="102"/>
    </row>
    <row r="10" spans="1:21" ht="22.5">
      <c r="A10" s="100" t="s">
        <v>22</v>
      </c>
      <c r="B10" s="101" t="s">
        <v>23</v>
      </c>
      <c r="C10" s="101" t="s">
        <v>16</v>
      </c>
      <c r="D10" s="102" t="s">
        <v>17</v>
      </c>
      <c r="E10" s="104">
        <f>754*12</f>
        <v>9048</v>
      </c>
      <c r="F10" s="104">
        <f>446*12</f>
        <v>5352</v>
      </c>
      <c r="G10" s="104">
        <f>596*12</f>
        <v>7152</v>
      </c>
      <c r="H10" s="104">
        <f>506*12</f>
        <v>6072</v>
      </c>
      <c r="I10" s="104">
        <f>896*12</f>
        <v>10752</v>
      </c>
      <c r="J10" s="104">
        <f>237*12</f>
        <v>2844</v>
      </c>
      <c r="K10" s="104">
        <f>376*12</f>
        <v>4512</v>
      </c>
      <c r="L10" s="104">
        <f>287*12</f>
        <v>3444</v>
      </c>
      <c r="M10" s="104">
        <f>221*12</f>
        <v>2652</v>
      </c>
      <c r="N10" s="104">
        <f>271*12</f>
        <v>3252</v>
      </c>
      <c r="O10" s="104">
        <f>722*12</f>
        <v>8664</v>
      </c>
      <c r="P10" s="104">
        <f>31*12</f>
        <v>372</v>
      </c>
      <c r="Q10" s="104">
        <f>72*12</f>
        <v>864</v>
      </c>
      <c r="R10" s="104">
        <f>219*12</f>
        <v>2628</v>
      </c>
      <c r="S10" s="104">
        <f>159*12</f>
        <v>1908</v>
      </c>
      <c r="T10" s="103">
        <f t="shared" si="1"/>
        <v>69516</v>
      </c>
      <c r="U10" s="102"/>
    </row>
    <row r="11" spans="1:21">
      <c r="A11" s="100" t="s">
        <v>24</v>
      </c>
      <c r="B11" s="101" t="s">
        <v>25</v>
      </c>
      <c r="C11" s="101"/>
      <c r="D11" s="102" t="s">
        <v>10</v>
      </c>
      <c r="E11" s="103">
        <f>E12</f>
        <v>580800</v>
      </c>
      <c r="F11" s="103">
        <f t="shared" ref="F11:S11" si="5">F12</f>
        <v>364320</v>
      </c>
      <c r="G11" s="103">
        <f t="shared" si="5"/>
        <v>390720</v>
      </c>
      <c r="H11" s="103">
        <f t="shared" si="5"/>
        <v>438240</v>
      </c>
      <c r="I11" s="103">
        <f t="shared" si="5"/>
        <v>982080</v>
      </c>
      <c r="J11" s="103">
        <f t="shared" si="5"/>
        <v>311520</v>
      </c>
      <c r="K11" s="103">
        <f t="shared" si="5"/>
        <v>285120</v>
      </c>
      <c r="L11" s="103">
        <f t="shared" si="5"/>
        <v>248160</v>
      </c>
      <c r="M11" s="103">
        <f t="shared" si="5"/>
        <v>232320</v>
      </c>
      <c r="N11" s="103">
        <f t="shared" si="5"/>
        <v>232320</v>
      </c>
      <c r="O11" s="103">
        <f t="shared" si="5"/>
        <v>675840</v>
      </c>
      <c r="P11" s="103">
        <f t="shared" si="5"/>
        <v>26400</v>
      </c>
      <c r="Q11" s="103">
        <f t="shared" si="5"/>
        <v>95040</v>
      </c>
      <c r="R11" s="103">
        <f t="shared" si="5"/>
        <v>475200</v>
      </c>
      <c r="S11" s="103">
        <f t="shared" si="5"/>
        <v>168960</v>
      </c>
      <c r="T11" s="103">
        <f t="shared" si="1"/>
        <v>5507040</v>
      </c>
      <c r="U11" s="102"/>
    </row>
    <row r="12" spans="1:21">
      <c r="A12" s="100" t="s">
        <v>26</v>
      </c>
      <c r="B12" s="101" t="s">
        <v>143</v>
      </c>
      <c r="C12" s="101" t="s">
        <v>16</v>
      </c>
      <c r="D12" s="102" t="s">
        <v>10</v>
      </c>
      <c r="E12" s="103">
        <f>440*12*E62</f>
        <v>580800</v>
      </c>
      <c r="F12" s="103">
        <f t="shared" ref="F12:S12" si="6">440*12*F62</f>
        <v>364320</v>
      </c>
      <c r="G12" s="103">
        <f t="shared" si="6"/>
        <v>390720</v>
      </c>
      <c r="H12" s="103">
        <f t="shared" si="6"/>
        <v>438240</v>
      </c>
      <c r="I12" s="103">
        <f t="shared" si="6"/>
        <v>982080</v>
      </c>
      <c r="J12" s="103">
        <f t="shared" si="6"/>
        <v>311520</v>
      </c>
      <c r="K12" s="103">
        <f t="shared" si="6"/>
        <v>285120</v>
      </c>
      <c r="L12" s="103">
        <f t="shared" si="6"/>
        <v>248160</v>
      </c>
      <c r="M12" s="103">
        <f t="shared" si="6"/>
        <v>232320</v>
      </c>
      <c r="N12" s="103">
        <f t="shared" si="6"/>
        <v>232320</v>
      </c>
      <c r="O12" s="103">
        <f t="shared" si="6"/>
        <v>675840</v>
      </c>
      <c r="P12" s="103">
        <f t="shared" si="6"/>
        <v>26400</v>
      </c>
      <c r="Q12" s="103">
        <f t="shared" si="6"/>
        <v>95040</v>
      </c>
      <c r="R12" s="103">
        <f t="shared" si="6"/>
        <v>475200</v>
      </c>
      <c r="S12" s="103">
        <f t="shared" si="6"/>
        <v>168960</v>
      </c>
      <c r="T12" s="103">
        <f t="shared" si="1"/>
        <v>5507040</v>
      </c>
      <c r="U12" s="102"/>
    </row>
    <row r="13" spans="1:21" ht="33.75">
      <c r="A13" s="100" t="s">
        <v>27</v>
      </c>
      <c r="B13" s="101" t="s">
        <v>28</v>
      </c>
      <c r="C13" s="101"/>
      <c r="D13" s="102" t="s">
        <v>29</v>
      </c>
      <c r="E13" s="103">
        <f>E14+E15</f>
        <v>297252.86</v>
      </c>
      <c r="F13" s="103">
        <f t="shared" ref="F13:S13" si="7">F14+F15</f>
        <v>185869.42</v>
      </c>
      <c r="G13" s="103">
        <f t="shared" si="7"/>
        <v>194834</v>
      </c>
      <c r="H13" s="103">
        <f t="shared" si="7"/>
        <v>195121.14</v>
      </c>
      <c r="I13" s="103">
        <f t="shared" si="7"/>
        <v>443144.72</v>
      </c>
      <c r="J13" s="103">
        <f t="shared" si="7"/>
        <v>141203.42000000001</v>
      </c>
      <c r="K13" s="103">
        <f t="shared" si="7"/>
        <v>122529.42</v>
      </c>
      <c r="L13" s="103">
        <f t="shared" si="7"/>
        <v>104915.28</v>
      </c>
      <c r="M13" s="103">
        <f t="shared" si="7"/>
        <v>92844.58</v>
      </c>
      <c r="N13" s="103">
        <f t="shared" si="7"/>
        <v>97651.42</v>
      </c>
      <c r="O13" s="103">
        <f t="shared" si="7"/>
        <v>317060.28000000003</v>
      </c>
      <c r="P13" s="103">
        <f t="shared" si="7"/>
        <v>12762.86</v>
      </c>
      <c r="Q13" s="103">
        <f t="shared" si="7"/>
        <v>35777.72</v>
      </c>
      <c r="R13" s="103">
        <f t="shared" si="7"/>
        <v>209199.86</v>
      </c>
      <c r="S13" s="103">
        <f t="shared" si="7"/>
        <v>67285.58</v>
      </c>
      <c r="T13" s="103">
        <f t="shared" si="1"/>
        <v>2517452.56</v>
      </c>
      <c r="U13" s="102"/>
    </row>
    <row r="14" spans="1:21" ht="22.5">
      <c r="A14" s="100" t="s">
        <v>30</v>
      </c>
      <c r="B14" s="101" t="s">
        <v>297</v>
      </c>
      <c r="C14" s="101" t="s">
        <v>16</v>
      </c>
      <c r="D14" s="102" t="s">
        <v>31</v>
      </c>
      <c r="E14" s="103">
        <f>ROUND(E30/0.07*0.005,2)</f>
        <v>148626.43</v>
      </c>
      <c r="F14" s="103">
        <f t="shared" ref="F14:S14" si="8">ROUND(F30/0.07*0.005,2)</f>
        <v>92934.71</v>
      </c>
      <c r="G14" s="103">
        <f t="shared" si="8"/>
        <v>97417</v>
      </c>
      <c r="H14" s="103">
        <f t="shared" si="8"/>
        <v>97560.57</v>
      </c>
      <c r="I14" s="103">
        <f t="shared" si="8"/>
        <v>221572.36</v>
      </c>
      <c r="J14" s="103">
        <f t="shared" si="8"/>
        <v>70601.710000000006</v>
      </c>
      <c r="K14" s="103">
        <f t="shared" si="8"/>
        <v>61264.71</v>
      </c>
      <c r="L14" s="103">
        <f t="shared" si="8"/>
        <v>52457.64</v>
      </c>
      <c r="M14" s="103">
        <f t="shared" si="8"/>
        <v>46422.29</v>
      </c>
      <c r="N14" s="103">
        <f t="shared" si="8"/>
        <v>48825.71</v>
      </c>
      <c r="O14" s="103">
        <f t="shared" si="8"/>
        <v>158530.14000000001</v>
      </c>
      <c r="P14" s="103">
        <f t="shared" si="8"/>
        <v>6381.43</v>
      </c>
      <c r="Q14" s="103">
        <f t="shared" si="8"/>
        <v>17888.86</v>
      </c>
      <c r="R14" s="103">
        <f t="shared" si="8"/>
        <v>104599.93</v>
      </c>
      <c r="S14" s="103">
        <f t="shared" si="8"/>
        <v>33642.79</v>
      </c>
      <c r="T14" s="103">
        <f t="shared" si="1"/>
        <v>1258726.28</v>
      </c>
      <c r="U14" s="102"/>
    </row>
    <row r="15" spans="1:21" ht="22.5">
      <c r="A15" s="100" t="s">
        <v>32</v>
      </c>
      <c r="B15" s="101" t="s">
        <v>144</v>
      </c>
      <c r="C15" s="101" t="s">
        <v>16</v>
      </c>
      <c r="D15" s="102" t="s">
        <v>31</v>
      </c>
      <c r="E15" s="103">
        <f>ROUND(E30/0.07*0.005,2)</f>
        <v>148626.43</v>
      </c>
      <c r="F15" s="103">
        <f t="shared" ref="F15:S15" si="9">ROUND(F30/0.07*0.005,2)</f>
        <v>92934.71</v>
      </c>
      <c r="G15" s="103">
        <f t="shared" si="9"/>
        <v>97417</v>
      </c>
      <c r="H15" s="103">
        <f t="shared" si="9"/>
        <v>97560.57</v>
      </c>
      <c r="I15" s="103">
        <f t="shared" si="9"/>
        <v>221572.36</v>
      </c>
      <c r="J15" s="103">
        <f t="shared" si="9"/>
        <v>70601.710000000006</v>
      </c>
      <c r="K15" s="103">
        <f t="shared" si="9"/>
        <v>61264.71</v>
      </c>
      <c r="L15" s="103">
        <f t="shared" si="9"/>
        <v>52457.64</v>
      </c>
      <c r="M15" s="103">
        <f t="shared" si="9"/>
        <v>46422.29</v>
      </c>
      <c r="N15" s="103">
        <f t="shared" si="9"/>
        <v>48825.71</v>
      </c>
      <c r="O15" s="103">
        <f t="shared" si="9"/>
        <v>158530.14000000001</v>
      </c>
      <c r="P15" s="103">
        <f t="shared" si="9"/>
        <v>6381.43</v>
      </c>
      <c r="Q15" s="103">
        <f t="shared" si="9"/>
        <v>17888.86</v>
      </c>
      <c r="R15" s="103">
        <f t="shared" si="9"/>
        <v>104599.93</v>
      </c>
      <c r="S15" s="103">
        <f t="shared" si="9"/>
        <v>33642.79</v>
      </c>
      <c r="T15" s="103">
        <f t="shared" si="1"/>
        <v>1258726.28</v>
      </c>
      <c r="U15" s="102"/>
    </row>
    <row r="16" spans="1:21">
      <c r="A16" s="100" t="s">
        <v>33</v>
      </c>
      <c r="B16" s="101" t="s">
        <v>34</v>
      </c>
      <c r="C16" s="101"/>
      <c r="D16" s="102" t="s">
        <v>10</v>
      </c>
      <c r="E16" s="103">
        <f>E17+E18+E19+E20</f>
        <v>22194196</v>
      </c>
      <c r="F16" s="103">
        <f t="shared" ref="F16:S16" si="10">F17+F18+F19+F20</f>
        <v>13894772</v>
      </c>
      <c r="G16" s="103">
        <f t="shared" si="10"/>
        <v>14456500</v>
      </c>
      <c r="H16" s="103">
        <f t="shared" si="10"/>
        <v>15961336</v>
      </c>
      <c r="I16" s="103">
        <f t="shared" si="10"/>
        <v>36030088</v>
      </c>
      <c r="J16" s="103">
        <f t="shared" si="10"/>
        <v>11393992</v>
      </c>
      <c r="K16" s="103">
        <f t="shared" si="10"/>
        <v>8935004</v>
      </c>
      <c r="L16" s="103">
        <f t="shared" si="10"/>
        <v>7960640</v>
      </c>
      <c r="M16" s="103">
        <f t="shared" si="10"/>
        <v>7385344</v>
      </c>
      <c r="N16" s="103">
        <f t="shared" si="10"/>
        <v>7431548</v>
      </c>
      <c r="O16" s="103">
        <f t="shared" si="10"/>
        <v>25542760</v>
      </c>
      <c r="P16" s="103">
        <f t="shared" si="10"/>
        <v>1038000</v>
      </c>
      <c r="Q16" s="103">
        <f t="shared" si="10"/>
        <v>3060456</v>
      </c>
      <c r="R16" s="103">
        <f t="shared" si="10"/>
        <v>18188396</v>
      </c>
      <c r="S16" s="103">
        <f t="shared" si="10"/>
        <v>5353036</v>
      </c>
      <c r="T16" s="103">
        <f t="shared" si="1"/>
        <v>198826068</v>
      </c>
      <c r="U16" s="102"/>
    </row>
    <row r="17" spans="1:21" ht="22.5">
      <c r="A17" s="100" t="s">
        <v>35</v>
      </c>
      <c r="B17" s="101" t="s">
        <v>36</v>
      </c>
      <c r="C17" s="101" t="s">
        <v>16</v>
      </c>
      <c r="D17" s="102" t="s">
        <v>145</v>
      </c>
      <c r="E17" s="104">
        <v>19795000</v>
      </c>
      <c r="F17" s="104">
        <v>12524500</v>
      </c>
      <c r="G17" s="104">
        <v>12672000</v>
      </c>
      <c r="H17" s="104">
        <v>14326400</v>
      </c>
      <c r="I17" s="104">
        <v>32384000</v>
      </c>
      <c r="J17" s="104">
        <v>10208000</v>
      </c>
      <c r="K17" s="104">
        <v>8372000</v>
      </c>
      <c r="L17" s="104">
        <v>7406000</v>
      </c>
      <c r="M17" s="104">
        <v>6923000</v>
      </c>
      <c r="N17" s="104">
        <v>6923000</v>
      </c>
      <c r="O17" s="104">
        <v>22932000</v>
      </c>
      <c r="P17" s="104">
        <v>1008000</v>
      </c>
      <c r="Q17" s="104">
        <v>2737000</v>
      </c>
      <c r="R17" s="104">
        <v>16465000</v>
      </c>
      <c r="S17" s="104">
        <v>4942700</v>
      </c>
      <c r="T17" s="103">
        <f t="shared" si="1"/>
        <v>179618600</v>
      </c>
      <c r="U17" s="102"/>
    </row>
    <row r="18" spans="1:21" ht="33.75">
      <c r="A18" s="100" t="s">
        <v>37</v>
      </c>
      <c r="B18" s="101" t="s">
        <v>38</v>
      </c>
      <c r="C18" s="101" t="s">
        <v>16</v>
      </c>
      <c r="D18" s="102" t="s">
        <v>39</v>
      </c>
      <c r="E18" s="104">
        <f>19818*12+10000+100000+15115*12+10000+100000</f>
        <v>639196</v>
      </c>
      <c r="F18" s="104">
        <f>13856*12+10000+90000</f>
        <v>266272</v>
      </c>
      <c r="G18" s="104">
        <f>18078*12+10000+90000+15297*12+10000+90000</f>
        <v>600500</v>
      </c>
      <c r="H18" s="104">
        <f>18078*12+10000+80000</f>
        <v>306936</v>
      </c>
      <c r="I18" s="104">
        <f>17284*12+10000+80000+21890*12+10000+100000</f>
        <v>670088</v>
      </c>
      <c r="J18" s="104">
        <f>12666*12+10000+80000</f>
        <v>241992</v>
      </c>
      <c r="K18" s="104">
        <f>12417*12+10000+80000</f>
        <v>239004</v>
      </c>
      <c r="L18" s="104">
        <f>15220*12+10000+80000</f>
        <v>272640</v>
      </c>
      <c r="M18" s="104">
        <f>12362*12+10000+40000</f>
        <v>198344</v>
      </c>
      <c r="N18" s="104">
        <f>12879*12+10000+80000</f>
        <v>244548</v>
      </c>
      <c r="O18" s="104">
        <f>(15115*12+10000+90000)*2</f>
        <v>562760</v>
      </c>
      <c r="P18" s="104"/>
      <c r="Q18" s="104">
        <f>11288*12+10000+70000</f>
        <v>215456</v>
      </c>
      <c r="R18" s="104">
        <f>15283*12+10000+90000</f>
        <v>283396</v>
      </c>
      <c r="S18" s="104">
        <f>11528*12+10000+70000</f>
        <v>218336</v>
      </c>
      <c r="T18" s="103">
        <f t="shared" si="1"/>
        <v>4959468</v>
      </c>
      <c r="U18" s="102"/>
    </row>
    <row r="19" spans="1:21">
      <c r="A19" s="100" t="s">
        <v>40</v>
      </c>
      <c r="B19" s="101" t="s">
        <v>146</v>
      </c>
      <c r="C19" s="101" t="s">
        <v>16</v>
      </c>
      <c r="D19" s="102" t="s">
        <v>10</v>
      </c>
      <c r="E19" s="103">
        <f>E62*500*12</f>
        <v>660000</v>
      </c>
      <c r="F19" s="103">
        <f t="shared" ref="F19:S19" si="11">F62*500*12</f>
        <v>414000</v>
      </c>
      <c r="G19" s="103">
        <f t="shared" si="11"/>
        <v>444000</v>
      </c>
      <c r="H19" s="103">
        <f t="shared" si="11"/>
        <v>498000</v>
      </c>
      <c r="I19" s="103">
        <f t="shared" si="11"/>
        <v>1116000</v>
      </c>
      <c r="J19" s="103">
        <f t="shared" si="11"/>
        <v>354000</v>
      </c>
      <c r="K19" s="103">
        <f t="shared" si="11"/>
        <v>324000</v>
      </c>
      <c r="L19" s="103">
        <f t="shared" si="11"/>
        <v>282000</v>
      </c>
      <c r="M19" s="103">
        <f t="shared" si="11"/>
        <v>264000</v>
      </c>
      <c r="N19" s="103">
        <f t="shared" si="11"/>
        <v>264000</v>
      </c>
      <c r="O19" s="103">
        <f t="shared" si="11"/>
        <v>768000</v>
      </c>
      <c r="P19" s="103">
        <f t="shared" si="11"/>
        <v>30000</v>
      </c>
      <c r="Q19" s="103">
        <f t="shared" si="11"/>
        <v>108000</v>
      </c>
      <c r="R19" s="103">
        <f t="shared" si="11"/>
        <v>540000</v>
      </c>
      <c r="S19" s="103">
        <f t="shared" si="11"/>
        <v>192000</v>
      </c>
      <c r="T19" s="103">
        <f t="shared" si="1"/>
        <v>6258000</v>
      </c>
      <c r="U19" s="102"/>
    </row>
    <row r="20" spans="1:21" ht="22.5">
      <c r="A20" s="100" t="s">
        <v>41</v>
      </c>
      <c r="B20" s="101" t="s">
        <v>147</v>
      </c>
      <c r="C20" s="101" t="s">
        <v>16</v>
      </c>
      <c r="D20" s="102" t="s">
        <v>17</v>
      </c>
      <c r="E20" s="104">
        <f>E62*10000</f>
        <v>1100000</v>
      </c>
      <c r="F20" s="104">
        <f t="shared" ref="F20:R20" si="12">F62*10000</f>
        <v>690000</v>
      </c>
      <c r="G20" s="104">
        <f t="shared" si="12"/>
        <v>740000</v>
      </c>
      <c r="H20" s="104">
        <f t="shared" si="12"/>
        <v>830000</v>
      </c>
      <c r="I20" s="104">
        <f t="shared" si="12"/>
        <v>1860000</v>
      </c>
      <c r="J20" s="104">
        <f t="shared" si="12"/>
        <v>590000</v>
      </c>
      <c r="K20" s="104"/>
      <c r="L20" s="104"/>
      <c r="M20" s="104"/>
      <c r="N20" s="104"/>
      <c r="O20" s="104">
        <f t="shared" si="12"/>
        <v>1280000</v>
      </c>
      <c r="P20" s="104"/>
      <c r="Q20" s="104"/>
      <c r="R20" s="104">
        <f t="shared" si="12"/>
        <v>900000</v>
      </c>
      <c r="S20" s="104"/>
      <c r="T20" s="103">
        <f t="shared" si="1"/>
        <v>7990000</v>
      </c>
      <c r="U20" s="102"/>
    </row>
    <row r="21" spans="1:21">
      <c r="A21" s="100" t="s">
        <v>42</v>
      </c>
      <c r="B21" s="101" t="s">
        <v>43</v>
      </c>
      <c r="C21" s="101"/>
      <c r="D21" s="102" t="s">
        <v>10</v>
      </c>
      <c r="E21" s="103">
        <f>E22+E23</f>
        <v>3864287.13</v>
      </c>
      <c r="F21" s="103">
        <f t="shared" ref="F21:S21" si="13">F22+F23</f>
        <v>2416302.58</v>
      </c>
      <c r="G21" s="103">
        <f t="shared" si="13"/>
        <v>2532842</v>
      </c>
      <c r="H21" s="103">
        <f t="shared" si="13"/>
        <v>2536574.87</v>
      </c>
      <c r="I21" s="103">
        <f t="shared" si="13"/>
        <v>5760881.29</v>
      </c>
      <c r="J21" s="103">
        <f t="shared" si="13"/>
        <v>1835644.58</v>
      </c>
      <c r="K21" s="103">
        <f t="shared" si="13"/>
        <v>1592882.58</v>
      </c>
      <c r="L21" s="103">
        <f t="shared" si="13"/>
        <v>1363898.71</v>
      </c>
      <c r="M21" s="103">
        <f t="shared" si="13"/>
        <v>1206979.42</v>
      </c>
      <c r="N21" s="103">
        <f t="shared" si="13"/>
        <v>1269468.58</v>
      </c>
      <c r="O21" s="103">
        <f t="shared" si="13"/>
        <v>4121783.71</v>
      </c>
      <c r="P21" s="103">
        <f t="shared" si="13"/>
        <v>165917.13</v>
      </c>
      <c r="Q21" s="103">
        <f t="shared" si="13"/>
        <v>465110.29</v>
      </c>
      <c r="R21" s="103">
        <f t="shared" si="13"/>
        <v>2719598.13</v>
      </c>
      <c r="S21" s="103">
        <f t="shared" si="13"/>
        <v>874712.42</v>
      </c>
      <c r="T21" s="103">
        <f t="shared" si="1"/>
        <v>32726883.420000002</v>
      </c>
      <c r="U21" s="102"/>
    </row>
    <row r="22" spans="1:21">
      <c r="A22" s="100" t="s">
        <v>44</v>
      </c>
      <c r="B22" s="101" t="s">
        <v>278</v>
      </c>
      <c r="C22" s="101" t="s">
        <v>45</v>
      </c>
      <c r="D22" s="102" t="s">
        <v>10</v>
      </c>
      <c r="E22" s="103">
        <f>ROUND(E30/0.07*0.09,2)</f>
        <v>2675275.71</v>
      </c>
      <c r="F22" s="103">
        <f t="shared" ref="F22:S22" si="14">ROUND(F30/0.07*0.09,2)</f>
        <v>1672824.86</v>
      </c>
      <c r="G22" s="103">
        <f t="shared" si="14"/>
        <v>1753506</v>
      </c>
      <c r="H22" s="103">
        <f t="shared" si="14"/>
        <v>1756090.29</v>
      </c>
      <c r="I22" s="103">
        <f t="shared" si="14"/>
        <v>3988302.43</v>
      </c>
      <c r="J22" s="103">
        <f t="shared" si="14"/>
        <v>1270830.8600000001</v>
      </c>
      <c r="K22" s="103">
        <f t="shared" si="14"/>
        <v>1102764.8600000001</v>
      </c>
      <c r="L22" s="103">
        <f t="shared" si="14"/>
        <v>944237.57</v>
      </c>
      <c r="M22" s="103">
        <f t="shared" si="14"/>
        <v>835601.14</v>
      </c>
      <c r="N22" s="103">
        <f t="shared" si="14"/>
        <v>878862.86</v>
      </c>
      <c r="O22" s="103">
        <f t="shared" si="14"/>
        <v>2853542.57</v>
      </c>
      <c r="P22" s="103">
        <f t="shared" si="14"/>
        <v>114865.71</v>
      </c>
      <c r="Q22" s="103">
        <f t="shared" si="14"/>
        <v>321999.43</v>
      </c>
      <c r="R22" s="103">
        <f t="shared" si="14"/>
        <v>1882798.71</v>
      </c>
      <c r="S22" s="103">
        <f t="shared" si="14"/>
        <v>605570.14</v>
      </c>
      <c r="T22" s="103">
        <f t="shared" si="1"/>
        <v>22657073.140000004</v>
      </c>
      <c r="U22" s="102"/>
    </row>
    <row r="23" spans="1:21" ht="22.5">
      <c r="A23" s="100" t="s">
        <v>46</v>
      </c>
      <c r="B23" s="101" t="s">
        <v>279</v>
      </c>
      <c r="C23" s="101" t="s">
        <v>45</v>
      </c>
      <c r="D23" s="102" t="s">
        <v>31</v>
      </c>
      <c r="E23" s="103">
        <f>E24+E25</f>
        <v>1189011.42</v>
      </c>
      <c r="F23" s="103">
        <f t="shared" ref="F23:S23" si="15">F24+F25</f>
        <v>743477.72</v>
      </c>
      <c r="G23" s="103">
        <f t="shared" si="15"/>
        <v>779336</v>
      </c>
      <c r="H23" s="103">
        <f t="shared" si="15"/>
        <v>780484.58</v>
      </c>
      <c r="I23" s="103">
        <f t="shared" si="15"/>
        <v>1772578.86</v>
      </c>
      <c r="J23" s="103">
        <f t="shared" si="15"/>
        <v>564813.72</v>
      </c>
      <c r="K23" s="103">
        <f t="shared" si="15"/>
        <v>490117.72</v>
      </c>
      <c r="L23" s="103">
        <f t="shared" si="15"/>
        <v>419661.14</v>
      </c>
      <c r="M23" s="103">
        <f t="shared" si="15"/>
        <v>371378.28</v>
      </c>
      <c r="N23" s="103">
        <f t="shared" si="15"/>
        <v>390605.72</v>
      </c>
      <c r="O23" s="103">
        <f t="shared" si="15"/>
        <v>1268241.1399999999</v>
      </c>
      <c r="P23" s="103">
        <f t="shared" si="15"/>
        <v>51051.42</v>
      </c>
      <c r="Q23" s="103">
        <f t="shared" si="15"/>
        <v>143110.85999999999</v>
      </c>
      <c r="R23" s="103">
        <f t="shared" si="15"/>
        <v>836799.42</v>
      </c>
      <c r="S23" s="103">
        <f t="shared" si="15"/>
        <v>269142.28000000003</v>
      </c>
      <c r="T23" s="103">
        <f t="shared" si="1"/>
        <v>10069810.279999997</v>
      </c>
      <c r="U23" s="102"/>
    </row>
    <row r="24" spans="1:21" ht="22.5">
      <c r="A24" s="100" t="s">
        <v>47</v>
      </c>
      <c r="B24" s="101" t="s">
        <v>298</v>
      </c>
      <c r="C24" s="101" t="s">
        <v>45</v>
      </c>
      <c r="D24" s="102" t="s">
        <v>31</v>
      </c>
      <c r="E24" s="103">
        <f>ROUND(E30/0.07*0.02,2)</f>
        <v>594505.71</v>
      </c>
      <c r="F24" s="103">
        <f t="shared" ref="F24:S24" si="16">ROUND(F30/0.07*0.02,2)</f>
        <v>371738.86</v>
      </c>
      <c r="G24" s="103">
        <f t="shared" si="16"/>
        <v>389668</v>
      </c>
      <c r="H24" s="103">
        <f t="shared" si="16"/>
        <v>390242.29</v>
      </c>
      <c r="I24" s="103">
        <f t="shared" si="16"/>
        <v>886289.43</v>
      </c>
      <c r="J24" s="103">
        <f t="shared" si="16"/>
        <v>282406.86</v>
      </c>
      <c r="K24" s="103">
        <f t="shared" si="16"/>
        <v>245058.86</v>
      </c>
      <c r="L24" s="103">
        <f t="shared" si="16"/>
        <v>209830.57</v>
      </c>
      <c r="M24" s="103">
        <f t="shared" si="16"/>
        <v>185689.14</v>
      </c>
      <c r="N24" s="103">
        <f t="shared" si="16"/>
        <v>195302.86</v>
      </c>
      <c r="O24" s="103">
        <f t="shared" si="16"/>
        <v>634120.56999999995</v>
      </c>
      <c r="P24" s="103">
        <f t="shared" si="16"/>
        <v>25525.71</v>
      </c>
      <c r="Q24" s="103">
        <f t="shared" si="16"/>
        <v>71555.429999999993</v>
      </c>
      <c r="R24" s="103">
        <f t="shared" si="16"/>
        <v>418399.71</v>
      </c>
      <c r="S24" s="103">
        <f t="shared" si="16"/>
        <v>134571.14000000001</v>
      </c>
      <c r="T24" s="103">
        <f t="shared" si="1"/>
        <v>5034905.1399999987</v>
      </c>
      <c r="U24" s="102"/>
    </row>
    <row r="25" spans="1:21" ht="22.5">
      <c r="A25" s="100" t="s">
        <v>48</v>
      </c>
      <c r="B25" s="101" t="s">
        <v>299</v>
      </c>
      <c r="C25" s="101" t="s">
        <v>45</v>
      </c>
      <c r="D25" s="102" t="s">
        <v>31</v>
      </c>
      <c r="E25" s="103">
        <f>ROUND(E30/0.07*0.02,2)</f>
        <v>594505.71</v>
      </c>
      <c r="F25" s="103">
        <f t="shared" ref="F25:S25" si="17">ROUND(F30/0.07*0.02,2)</f>
        <v>371738.86</v>
      </c>
      <c r="G25" s="103">
        <f t="shared" si="17"/>
        <v>389668</v>
      </c>
      <c r="H25" s="103">
        <f t="shared" si="17"/>
        <v>390242.29</v>
      </c>
      <c r="I25" s="103">
        <f t="shared" si="17"/>
        <v>886289.43</v>
      </c>
      <c r="J25" s="103">
        <f t="shared" si="17"/>
        <v>282406.86</v>
      </c>
      <c r="K25" s="103">
        <f t="shared" si="17"/>
        <v>245058.86</v>
      </c>
      <c r="L25" s="103">
        <f t="shared" si="17"/>
        <v>209830.57</v>
      </c>
      <c r="M25" s="103">
        <f t="shared" si="17"/>
        <v>185689.14</v>
      </c>
      <c r="N25" s="103">
        <f t="shared" si="17"/>
        <v>195302.86</v>
      </c>
      <c r="O25" s="103">
        <f t="shared" si="17"/>
        <v>634120.56999999995</v>
      </c>
      <c r="P25" s="103">
        <f t="shared" si="17"/>
        <v>25525.71</v>
      </c>
      <c r="Q25" s="103">
        <f t="shared" si="17"/>
        <v>71555.429999999993</v>
      </c>
      <c r="R25" s="103">
        <f t="shared" si="17"/>
        <v>418399.71</v>
      </c>
      <c r="S25" s="103">
        <f t="shared" si="17"/>
        <v>134571.14000000001</v>
      </c>
      <c r="T25" s="103">
        <f t="shared" si="1"/>
        <v>5034905.1399999987</v>
      </c>
      <c r="U25" s="102"/>
    </row>
    <row r="26" spans="1:21">
      <c r="A26" s="100" t="s">
        <v>49</v>
      </c>
      <c r="B26" s="101" t="s">
        <v>50</v>
      </c>
      <c r="C26" s="101"/>
      <c r="D26" s="102" t="s">
        <v>10</v>
      </c>
      <c r="E26" s="103">
        <f t="shared" ref="E26:S26" si="18">E27</f>
        <v>4756045.71</v>
      </c>
      <c r="F26" s="103">
        <f t="shared" si="18"/>
        <v>2973910.86</v>
      </c>
      <c r="G26" s="103">
        <f t="shared" si="18"/>
        <v>3117344</v>
      </c>
      <c r="H26" s="103">
        <f t="shared" si="18"/>
        <v>3121938.29</v>
      </c>
      <c r="I26" s="103">
        <f t="shared" si="18"/>
        <v>7090315.4299999997</v>
      </c>
      <c r="J26" s="103">
        <f t="shared" si="18"/>
        <v>2259254.86</v>
      </c>
      <c r="K26" s="103">
        <f t="shared" si="18"/>
        <v>1960470.86</v>
      </c>
      <c r="L26" s="103">
        <f t="shared" si="18"/>
        <v>1678644.57</v>
      </c>
      <c r="M26" s="103">
        <f t="shared" si="18"/>
        <v>1485513.14</v>
      </c>
      <c r="N26" s="103">
        <f t="shared" si="18"/>
        <v>1562422.86</v>
      </c>
      <c r="O26" s="103">
        <f t="shared" si="18"/>
        <v>5072964.57</v>
      </c>
      <c r="P26" s="103">
        <f t="shared" si="18"/>
        <v>204205.71</v>
      </c>
      <c r="Q26" s="103">
        <f t="shared" si="18"/>
        <v>572443.43000000005</v>
      </c>
      <c r="R26" s="103">
        <f t="shared" si="18"/>
        <v>3347197.71</v>
      </c>
      <c r="S26" s="103">
        <f t="shared" si="18"/>
        <v>1076569.1399999999</v>
      </c>
      <c r="T26" s="103">
        <f t="shared" si="1"/>
        <v>40279241.140000001</v>
      </c>
      <c r="U26" s="102"/>
    </row>
    <row r="27" spans="1:21" ht="22.5">
      <c r="A27" s="100" t="s">
        <v>51</v>
      </c>
      <c r="B27" s="101" t="s">
        <v>148</v>
      </c>
      <c r="C27" s="101" t="s">
        <v>52</v>
      </c>
      <c r="D27" s="102" t="s">
        <v>31</v>
      </c>
      <c r="E27" s="103">
        <f>ROUND(E30/0.07*0.16,2)</f>
        <v>4756045.71</v>
      </c>
      <c r="F27" s="103">
        <f t="shared" ref="F27:S27" si="19">ROUND(F30/0.07*0.16,2)</f>
        <v>2973910.86</v>
      </c>
      <c r="G27" s="103">
        <f t="shared" si="19"/>
        <v>3117344</v>
      </c>
      <c r="H27" s="103">
        <f t="shared" si="19"/>
        <v>3121938.29</v>
      </c>
      <c r="I27" s="103">
        <f t="shared" si="19"/>
        <v>7090315.4299999997</v>
      </c>
      <c r="J27" s="103">
        <f t="shared" si="19"/>
        <v>2259254.86</v>
      </c>
      <c r="K27" s="103">
        <f t="shared" si="19"/>
        <v>1960470.86</v>
      </c>
      <c r="L27" s="103">
        <f t="shared" si="19"/>
        <v>1678644.57</v>
      </c>
      <c r="M27" s="103">
        <f t="shared" si="19"/>
        <v>1485513.14</v>
      </c>
      <c r="N27" s="103">
        <f t="shared" si="19"/>
        <v>1562422.86</v>
      </c>
      <c r="O27" s="103">
        <f t="shared" si="19"/>
        <v>5072964.57</v>
      </c>
      <c r="P27" s="103">
        <f t="shared" si="19"/>
        <v>204205.71</v>
      </c>
      <c r="Q27" s="103">
        <f t="shared" si="19"/>
        <v>572443.43000000005</v>
      </c>
      <c r="R27" s="103">
        <f t="shared" si="19"/>
        <v>3347197.71</v>
      </c>
      <c r="S27" s="103">
        <f t="shared" si="19"/>
        <v>1076569.1399999999</v>
      </c>
      <c r="T27" s="103">
        <f t="shared" si="1"/>
        <v>40279241.140000001</v>
      </c>
      <c r="U27" s="102"/>
    </row>
    <row r="28" spans="1:21">
      <c r="A28" s="100" t="s">
        <v>53</v>
      </c>
      <c r="B28" s="101" t="s">
        <v>54</v>
      </c>
      <c r="C28" s="101"/>
      <c r="D28" s="102" t="s">
        <v>10</v>
      </c>
      <c r="E28" s="103">
        <f t="shared" ref="E28:S28" si="20">E29</f>
        <v>2378022.86</v>
      </c>
      <c r="F28" s="103">
        <f t="shared" si="20"/>
        <v>1486955.43</v>
      </c>
      <c r="G28" s="103">
        <f t="shared" si="20"/>
        <v>1558672</v>
      </c>
      <c r="H28" s="103">
        <f t="shared" si="20"/>
        <v>1560969.14</v>
      </c>
      <c r="I28" s="103">
        <f t="shared" si="20"/>
        <v>3545157.71</v>
      </c>
      <c r="J28" s="103">
        <f t="shared" si="20"/>
        <v>1129627.43</v>
      </c>
      <c r="K28" s="103">
        <f t="shared" si="20"/>
        <v>980235.43</v>
      </c>
      <c r="L28" s="103">
        <f t="shared" si="20"/>
        <v>839322.29</v>
      </c>
      <c r="M28" s="103">
        <f t="shared" si="20"/>
        <v>742756.57</v>
      </c>
      <c r="N28" s="103">
        <f t="shared" si="20"/>
        <v>781211.43</v>
      </c>
      <c r="O28" s="103">
        <f t="shared" si="20"/>
        <v>2536482.29</v>
      </c>
      <c r="P28" s="103">
        <f t="shared" si="20"/>
        <v>102102.86</v>
      </c>
      <c r="Q28" s="103">
        <f t="shared" si="20"/>
        <v>286221.71000000002</v>
      </c>
      <c r="R28" s="103">
        <f t="shared" si="20"/>
        <v>1673598.86</v>
      </c>
      <c r="S28" s="103">
        <f t="shared" si="20"/>
        <v>538284.56999999995</v>
      </c>
      <c r="T28" s="103">
        <f t="shared" si="1"/>
        <v>20139620.579999998</v>
      </c>
      <c r="U28" s="102"/>
    </row>
    <row r="29" spans="1:21" ht="22.5">
      <c r="A29" s="100" t="s">
        <v>55</v>
      </c>
      <c r="B29" s="101" t="s">
        <v>56</v>
      </c>
      <c r="C29" s="101" t="s">
        <v>57</v>
      </c>
      <c r="D29" s="102" t="s">
        <v>31</v>
      </c>
      <c r="E29" s="103">
        <f>ROUND(E30/0.07*0.08,2)</f>
        <v>2378022.86</v>
      </c>
      <c r="F29" s="103">
        <f t="shared" ref="F29:S29" si="21">ROUND(F30/0.07*0.08,2)</f>
        <v>1486955.43</v>
      </c>
      <c r="G29" s="103">
        <f t="shared" si="21"/>
        <v>1558672</v>
      </c>
      <c r="H29" s="103">
        <f t="shared" si="21"/>
        <v>1560969.14</v>
      </c>
      <c r="I29" s="103">
        <f t="shared" si="21"/>
        <v>3545157.71</v>
      </c>
      <c r="J29" s="103">
        <f t="shared" si="21"/>
        <v>1129627.43</v>
      </c>
      <c r="K29" s="103">
        <f t="shared" si="21"/>
        <v>980235.43</v>
      </c>
      <c r="L29" s="103">
        <f t="shared" si="21"/>
        <v>839322.29</v>
      </c>
      <c r="M29" s="103">
        <f t="shared" si="21"/>
        <v>742756.57</v>
      </c>
      <c r="N29" s="103">
        <f t="shared" si="21"/>
        <v>781211.43</v>
      </c>
      <c r="O29" s="103">
        <f t="shared" si="21"/>
        <v>2536482.29</v>
      </c>
      <c r="P29" s="103">
        <f t="shared" si="21"/>
        <v>102102.86</v>
      </c>
      <c r="Q29" s="103">
        <f t="shared" si="21"/>
        <v>286221.71000000002</v>
      </c>
      <c r="R29" s="103">
        <f t="shared" si="21"/>
        <v>1673598.86</v>
      </c>
      <c r="S29" s="103">
        <f t="shared" si="21"/>
        <v>538284.56999999995</v>
      </c>
      <c r="T29" s="103">
        <f t="shared" si="1"/>
        <v>20139620.579999998</v>
      </c>
      <c r="U29" s="102"/>
    </row>
    <row r="30" spans="1:21" ht="22.5">
      <c r="A30" s="100" t="s">
        <v>58</v>
      </c>
      <c r="B30" s="101" t="s">
        <v>280</v>
      </c>
      <c r="C30" s="101" t="s">
        <v>59</v>
      </c>
      <c r="D30" s="102" t="s">
        <v>17</v>
      </c>
      <c r="E30" s="104">
        <v>2080770</v>
      </c>
      <c r="F30" s="104">
        <v>1301086</v>
      </c>
      <c r="G30" s="104">
        <v>1363838</v>
      </c>
      <c r="H30" s="104">
        <v>1365848</v>
      </c>
      <c r="I30" s="104">
        <v>3102013</v>
      </c>
      <c r="J30" s="104">
        <v>988424</v>
      </c>
      <c r="K30" s="104">
        <v>857706</v>
      </c>
      <c r="L30" s="104">
        <v>734407</v>
      </c>
      <c r="M30" s="104">
        <v>649912</v>
      </c>
      <c r="N30" s="104">
        <v>683560</v>
      </c>
      <c r="O30" s="104">
        <v>2219422</v>
      </c>
      <c r="P30" s="104">
        <v>89340</v>
      </c>
      <c r="Q30" s="104">
        <v>250444</v>
      </c>
      <c r="R30" s="104">
        <f>1464399</f>
        <v>1464399</v>
      </c>
      <c r="S30" s="104">
        <v>470999</v>
      </c>
      <c r="T30" s="103">
        <f t="shared" si="1"/>
        <v>17622168</v>
      </c>
      <c r="U30" s="102"/>
    </row>
    <row r="31" spans="1:21">
      <c r="A31" s="100" t="s">
        <v>60</v>
      </c>
      <c r="B31" s="101" t="s">
        <v>149</v>
      </c>
      <c r="C31" s="101" t="s">
        <v>16</v>
      </c>
      <c r="D31" s="102" t="s">
        <v>150</v>
      </c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3">
        <f t="shared" si="1"/>
        <v>0</v>
      </c>
      <c r="U31" s="102"/>
    </row>
    <row r="32" spans="1:21">
      <c r="A32" s="100" t="s">
        <v>61</v>
      </c>
      <c r="B32" s="101" t="s">
        <v>62</v>
      </c>
      <c r="C32" s="101"/>
      <c r="D32" s="102" t="s">
        <v>10</v>
      </c>
      <c r="E32" s="103">
        <f>E33+E35+E37</f>
        <v>1778360</v>
      </c>
      <c r="F32" s="103">
        <f t="shared" ref="F32:S32" si="22">F33+F35+F37</f>
        <v>1099250</v>
      </c>
      <c r="G32" s="103">
        <f t="shared" si="22"/>
        <v>1360390</v>
      </c>
      <c r="H32" s="103">
        <f t="shared" si="22"/>
        <v>915940</v>
      </c>
      <c r="I32" s="103">
        <f t="shared" si="22"/>
        <v>424925</v>
      </c>
      <c r="J32" s="103">
        <f t="shared" si="22"/>
        <v>1800</v>
      </c>
      <c r="K32" s="103">
        <f t="shared" si="22"/>
        <v>216426</v>
      </c>
      <c r="L32" s="103">
        <f t="shared" si="22"/>
        <v>349900</v>
      </c>
      <c r="M32" s="103">
        <f t="shared" si="22"/>
        <v>99300</v>
      </c>
      <c r="N32" s="103">
        <f t="shared" si="22"/>
        <v>16260</v>
      </c>
      <c r="O32" s="103">
        <f t="shared" si="22"/>
        <v>87470</v>
      </c>
      <c r="P32" s="103">
        <f t="shared" si="22"/>
        <v>78900</v>
      </c>
      <c r="Q32" s="103">
        <f t="shared" si="22"/>
        <v>0</v>
      </c>
      <c r="R32" s="103">
        <f t="shared" si="22"/>
        <v>82540</v>
      </c>
      <c r="S32" s="103">
        <f t="shared" si="22"/>
        <v>187380</v>
      </c>
      <c r="T32" s="103">
        <f t="shared" si="1"/>
        <v>6698841</v>
      </c>
      <c r="U32" s="102"/>
    </row>
    <row r="33" spans="1:21" ht="33.75">
      <c r="A33" s="100" t="s">
        <v>63</v>
      </c>
      <c r="B33" s="101" t="s">
        <v>151</v>
      </c>
      <c r="C33" s="101" t="s">
        <v>64</v>
      </c>
      <c r="D33" s="102" t="s">
        <v>152</v>
      </c>
      <c r="E33" s="103">
        <f>E34</f>
        <v>1776200</v>
      </c>
      <c r="F33" s="103">
        <f t="shared" ref="F33:S33" si="23">F34</f>
        <v>1096730</v>
      </c>
      <c r="G33" s="103">
        <f t="shared" si="23"/>
        <v>1358230</v>
      </c>
      <c r="H33" s="103">
        <f t="shared" si="23"/>
        <v>913780</v>
      </c>
      <c r="I33" s="103">
        <f t="shared" si="23"/>
        <v>420245</v>
      </c>
      <c r="J33" s="103">
        <f t="shared" si="23"/>
        <v>0</v>
      </c>
      <c r="K33" s="103">
        <f t="shared" si="23"/>
        <v>213186</v>
      </c>
      <c r="L33" s="103">
        <f t="shared" si="23"/>
        <v>347020</v>
      </c>
      <c r="M33" s="103">
        <f t="shared" si="23"/>
        <v>95340</v>
      </c>
      <c r="N33" s="103">
        <f t="shared" si="23"/>
        <v>13020</v>
      </c>
      <c r="O33" s="103">
        <f t="shared" si="23"/>
        <v>84230</v>
      </c>
      <c r="P33" s="103">
        <f t="shared" si="23"/>
        <v>78900</v>
      </c>
      <c r="Q33" s="103">
        <f t="shared" si="23"/>
        <v>0</v>
      </c>
      <c r="R33" s="103">
        <f t="shared" si="23"/>
        <v>79300</v>
      </c>
      <c r="S33" s="103">
        <f t="shared" si="23"/>
        <v>186300</v>
      </c>
      <c r="T33" s="103">
        <f t="shared" si="1"/>
        <v>6662481</v>
      </c>
      <c r="U33" s="102"/>
    </row>
    <row r="34" spans="1:21" ht="33.75">
      <c r="A34" s="100" t="s">
        <v>65</v>
      </c>
      <c r="B34" s="101" t="s">
        <v>153</v>
      </c>
      <c r="C34" s="101" t="s">
        <v>64</v>
      </c>
      <c r="D34" s="102" t="s">
        <v>152</v>
      </c>
      <c r="E34" s="104">
        <v>1776200</v>
      </c>
      <c r="F34" s="104">
        <v>1096730</v>
      </c>
      <c r="G34" s="104">
        <v>1358230</v>
      </c>
      <c r="H34" s="104">
        <v>913780</v>
      </c>
      <c r="I34" s="104">
        <v>420245</v>
      </c>
      <c r="J34" s="104"/>
      <c r="K34" s="104">
        <v>213186</v>
      </c>
      <c r="L34" s="104">
        <v>347020</v>
      </c>
      <c r="M34" s="104">
        <v>95340</v>
      </c>
      <c r="N34" s="104">
        <v>13020</v>
      </c>
      <c r="O34" s="104">
        <v>84230</v>
      </c>
      <c r="P34" s="104">
        <v>78900</v>
      </c>
      <c r="Q34" s="104"/>
      <c r="R34" s="104">
        <f>79300</f>
        <v>79300</v>
      </c>
      <c r="S34" s="104">
        <v>186300</v>
      </c>
      <c r="T34" s="103">
        <f t="shared" si="1"/>
        <v>6662481</v>
      </c>
      <c r="U34" s="102"/>
    </row>
    <row r="35" spans="1:21">
      <c r="A35" s="100" t="s">
        <v>66</v>
      </c>
      <c r="B35" s="101" t="s">
        <v>67</v>
      </c>
      <c r="C35" s="101"/>
      <c r="D35" s="102" t="s">
        <v>10</v>
      </c>
      <c r="E35" s="103">
        <f>E36</f>
        <v>2160</v>
      </c>
      <c r="F35" s="103">
        <f t="shared" ref="F35:S35" si="24">F36</f>
        <v>2520</v>
      </c>
      <c r="G35" s="103">
        <f t="shared" si="24"/>
        <v>2160</v>
      </c>
      <c r="H35" s="103">
        <f t="shared" si="24"/>
        <v>2160</v>
      </c>
      <c r="I35" s="103">
        <f t="shared" si="24"/>
        <v>4680</v>
      </c>
      <c r="J35" s="103">
        <f t="shared" si="24"/>
        <v>1800</v>
      </c>
      <c r="K35" s="103">
        <f t="shared" si="24"/>
        <v>3240</v>
      </c>
      <c r="L35" s="103">
        <f t="shared" si="24"/>
        <v>2880</v>
      </c>
      <c r="M35" s="103">
        <f t="shared" si="24"/>
        <v>3960</v>
      </c>
      <c r="N35" s="103">
        <f t="shared" si="24"/>
        <v>3240</v>
      </c>
      <c r="O35" s="103">
        <f t="shared" si="24"/>
        <v>3240</v>
      </c>
      <c r="P35" s="103">
        <f t="shared" si="24"/>
        <v>0</v>
      </c>
      <c r="Q35" s="103">
        <f t="shared" si="24"/>
        <v>0</v>
      </c>
      <c r="R35" s="103">
        <f t="shared" si="24"/>
        <v>3240</v>
      </c>
      <c r="S35" s="103">
        <f t="shared" si="24"/>
        <v>1080</v>
      </c>
      <c r="T35" s="103">
        <f t="shared" si="1"/>
        <v>36360</v>
      </c>
      <c r="U35" s="102"/>
    </row>
    <row r="36" spans="1:21" ht="22.5">
      <c r="A36" s="100" t="s">
        <v>68</v>
      </c>
      <c r="B36" s="101" t="s">
        <v>69</v>
      </c>
      <c r="C36" s="101" t="s">
        <v>16</v>
      </c>
      <c r="D36" s="102" t="s">
        <v>17</v>
      </c>
      <c r="E36" s="104">
        <f>180*12</f>
        <v>2160</v>
      </c>
      <c r="F36" s="104">
        <f>210*12</f>
        <v>2520</v>
      </c>
      <c r="G36" s="104">
        <f>180*12</f>
        <v>2160</v>
      </c>
      <c r="H36" s="104">
        <f>180*12</f>
        <v>2160</v>
      </c>
      <c r="I36" s="104">
        <f>390*12</f>
        <v>4680</v>
      </c>
      <c r="J36" s="104">
        <f>150*12</f>
        <v>1800</v>
      </c>
      <c r="K36" s="104">
        <f>270*12</f>
        <v>3240</v>
      </c>
      <c r="L36" s="104">
        <f>240*12</f>
        <v>2880</v>
      </c>
      <c r="M36" s="104">
        <f>330*12</f>
        <v>3960</v>
      </c>
      <c r="N36" s="104">
        <f>270*12</f>
        <v>3240</v>
      </c>
      <c r="O36" s="104">
        <f>270*12</f>
        <v>3240</v>
      </c>
      <c r="P36" s="104"/>
      <c r="Q36" s="104"/>
      <c r="R36" s="104">
        <f>270*12</f>
        <v>3240</v>
      </c>
      <c r="S36" s="104">
        <f>90*12</f>
        <v>1080</v>
      </c>
      <c r="T36" s="103">
        <f t="shared" si="1"/>
        <v>36360</v>
      </c>
      <c r="U36" s="102"/>
    </row>
    <row r="37" spans="1:21">
      <c r="A37" s="100" t="s">
        <v>70</v>
      </c>
      <c r="B37" s="101" t="s">
        <v>266</v>
      </c>
      <c r="C37" s="101"/>
      <c r="D37" s="102" t="s">
        <v>10</v>
      </c>
      <c r="E37" s="103">
        <f>E38</f>
        <v>0</v>
      </c>
      <c r="F37" s="103">
        <f t="shared" ref="F37:S37" si="25">F38</f>
        <v>0</v>
      </c>
      <c r="G37" s="103">
        <f t="shared" si="25"/>
        <v>0</v>
      </c>
      <c r="H37" s="103">
        <f t="shared" si="25"/>
        <v>0</v>
      </c>
      <c r="I37" s="103">
        <f t="shared" si="25"/>
        <v>0</v>
      </c>
      <c r="J37" s="103">
        <f t="shared" si="25"/>
        <v>0</v>
      </c>
      <c r="K37" s="103">
        <f t="shared" si="25"/>
        <v>0</v>
      </c>
      <c r="L37" s="103">
        <f t="shared" si="25"/>
        <v>0</v>
      </c>
      <c r="M37" s="103">
        <f t="shared" si="25"/>
        <v>0</v>
      </c>
      <c r="N37" s="103">
        <f t="shared" si="25"/>
        <v>0</v>
      </c>
      <c r="O37" s="103">
        <f t="shared" si="25"/>
        <v>0</v>
      </c>
      <c r="P37" s="103">
        <f t="shared" si="25"/>
        <v>0</v>
      </c>
      <c r="Q37" s="103">
        <f t="shared" si="25"/>
        <v>0</v>
      </c>
      <c r="R37" s="103">
        <f t="shared" si="25"/>
        <v>0</v>
      </c>
      <c r="S37" s="103">
        <f t="shared" si="25"/>
        <v>0</v>
      </c>
      <c r="T37" s="103">
        <f t="shared" si="1"/>
        <v>0</v>
      </c>
      <c r="U37" s="102"/>
    </row>
    <row r="38" spans="1:21" ht="56.25">
      <c r="A38" s="100" t="s">
        <v>71</v>
      </c>
      <c r="B38" s="101" t="s">
        <v>267</v>
      </c>
      <c r="C38" s="101" t="s">
        <v>16</v>
      </c>
      <c r="D38" s="102" t="s">
        <v>268</v>
      </c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3">
        <f t="shared" si="1"/>
        <v>0</v>
      </c>
      <c r="U38" s="102"/>
    </row>
    <row r="39" spans="1:21">
      <c r="A39" s="100" t="s">
        <v>72</v>
      </c>
      <c r="B39" s="101" t="s">
        <v>73</v>
      </c>
      <c r="C39" s="101"/>
      <c r="D39" s="102" t="s">
        <v>10</v>
      </c>
      <c r="E39" s="103">
        <f>E40+E42+E44+E46+E48+E51+E53+E55+E59</f>
        <v>9124477.7100000009</v>
      </c>
      <c r="F39" s="103">
        <f t="shared" ref="F39:S39" si="26">F40+F42+F44+F46+F48+F51+F53+F55+F59</f>
        <v>5161244.8600000003</v>
      </c>
      <c r="G39" s="103">
        <f t="shared" si="26"/>
        <v>5312383</v>
      </c>
      <c r="H39" s="103">
        <f t="shared" si="26"/>
        <v>4795692.29</v>
      </c>
      <c r="I39" s="103">
        <f t="shared" si="26"/>
        <v>12344733.029999999</v>
      </c>
      <c r="J39" s="103">
        <f t="shared" si="26"/>
        <v>3876324.51</v>
      </c>
      <c r="K39" s="103">
        <f t="shared" si="26"/>
        <v>2591408.46</v>
      </c>
      <c r="L39" s="103">
        <f t="shared" si="26"/>
        <v>2927239.4699999997</v>
      </c>
      <c r="M39" s="103">
        <f t="shared" si="26"/>
        <v>2394546.89</v>
      </c>
      <c r="N39" s="103">
        <f t="shared" si="26"/>
        <v>2302636.66</v>
      </c>
      <c r="O39" s="103">
        <f t="shared" si="26"/>
        <v>8700903.9199999999</v>
      </c>
      <c r="P39" s="103">
        <f t="shared" si="26"/>
        <v>214505.71</v>
      </c>
      <c r="Q39" s="103">
        <f t="shared" si="26"/>
        <v>1123910.43</v>
      </c>
      <c r="R39" s="103">
        <f t="shared" si="26"/>
        <v>6879030.4100000001</v>
      </c>
      <c r="S39" s="103">
        <f t="shared" si="26"/>
        <v>1748027.94</v>
      </c>
      <c r="T39" s="103">
        <f t="shared" si="1"/>
        <v>69497065.289999992</v>
      </c>
      <c r="U39" s="102"/>
    </row>
    <row r="40" spans="1:21" ht="22.5">
      <c r="A40" s="100" t="s">
        <v>74</v>
      </c>
      <c r="B40" s="101" t="s">
        <v>75</v>
      </c>
      <c r="C40" s="101"/>
      <c r="D40" s="102" t="s">
        <v>76</v>
      </c>
      <c r="E40" s="104">
        <f>'[1]2026年中小学人数'!O9</f>
        <v>6826050</v>
      </c>
      <c r="F40" s="104">
        <f>'[1]2026年中小学人数'!O8</f>
        <v>3957800</v>
      </c>
      <c r="G40" s="104">
        <f>'[1]2026年中小学人数'!O5</f>
        <v>3900150</v>
      </c>
      <c r="H40" s="104">
        <f>'[1]2026年中小学人数'!O6</f>
        <v>3415440</v>
      </c>
      <c r="I40" s="104">
        <f>'[1]2026年中小学人数'!O3+'[1]2026年中小学人数'!O4</f>
        <v>9880380</v>
      </c>
      <c r="J40" s="104">
        <f>'[1]2026年中小学人数'!O7</f>
        <v>3049500</v>
      </c>
      <c r="K40" s="104">
        <f>'[1]2026年幼儿园人数'!I5+'[1]2026年幼儿园人数'!I6</f>
        <v>1736020</v>
      </c>
      <c r="L40" s="104">
        <f>'[1]2026年幼儿园人数'!I2+'[1]2026年幼儿园人数'!I3+'[1]2026年幼儿园人数'!I4</f>
        <v>2099240</v>
      </c>
      <c r="M40" s="104">
        <f>'[1]2026年幼儿园人数'!I7+'[1]2026年幼儿园人数'!I8</f>
        <v>1716000</v>
      </c>
      <c r="N40" s="104">
        <f>+'[1]2026年幼儿园人数'!I9+'[1]2026年幼儿园人数'!I10</f>
        <v>1701700</v>
      </c>
      <c r="O40" s="104">
        <f>'[1]2026年中小学人数'!M10</f>
        <v>7010750</v>
      </c>
      <c r="P40" s="104">
        <f>112000</f>
        <v>112000</v>
      </c>
      <c r="Q40" s="104">
        <f>'[1]2026年幼儿园人数'!I13</f>
        <v>858000</v>
      </c>
      <c r="R40" s="104">
        <f>'[1]2026年中小学人数'!M11+'[1]2026年中小学人数'!M12</f>
        <v>5717250</v>
      </c>
      <c r="S40" s="104">
        <f>'[1]2026年幼儿园人数'!I11+'[1]2026年幼儿园人数'!I12</f>
        <v>1287000</v>
      </c>
      <c r="T40" s="103">
        <f t="shared" si="1"/>
        <v>53267280</v>
      </c>
      <c r="U40" s="102"/>
    </row>
    <row r="41" spans="1:21">
      <c r="A41" s="100" t="s">
        <v>77</v>
      </c>
      <c r="B41" s="101" t="s">
        <v>154</v>
      </c>
      <c r="C41" s="101" t="s">
        <v>16</v>
      </c>
      <c r="D41" s="106" t="s">
        <v>155</v>
      </c>
      <c r="E41" s="104">
        <f>'[1]2026年中小学人数'!P9</f>
        <v>341302.5</v>
      </c>
      <c r="F41" s="104">
        <f>'[1]2026年中小学人数'!P8</f>
        <v>197890</v>
      </c>
      <c r="G41" s="104">
        <f>'[1]2026年中小学人数'!P5</f>
        <v>195007.5</v>
      </c>
      <c r="H41" s="104">
        <f>'[1]2026年中小学人数'!P6</f>
        <v>170772</v>
      </c>
      <c r="I41" s="104">
        <f>'[1]2026年中小学人数'!P3+'[1]2026年中小学人数'!P4</f>
        <v>494019</v>
      </c>
      <c r="J41" s="104">
        <f>'[1]2026年中小学人数'!P7</f>
        <v>152475</v>
      </c>
      <c r="K41" s="104">
        <f>'[1]2026年幼儿园人数'!J5+'[1]2026年幼儿园人数'!J6</f>
        <v>80080</v>
      </c>
      <c r="L41" s="104">
        <f>'[1]2026年幼儿园人数'!J2+'[1]2026年幼儿园人数'!J3+'[1]2026年幼儿园人数'!J4</f>
        <v>82654</v>
      </c>
      <c r="M41" s="104">
        <f>+'[1]2026年幼儿园人数'!J7+'[1]2026年幼儿园人数'!J8</f>
        <v>73359</v>
      </c>
      <c r="N41" s="104">
        <f>'[1]2026年幼儿园人数'!J9+'[1]2026年幼儿园人数'!J10</f>
        <v>75504</v>
      </c>
      <c r="O41" s="104">
        <f>'[1]2026年中小学人数'!P10</f>
        <v>350537.5</v>
      </c>
      <c r="P41" s="104">
        <f>P40*0.05</f>
        <v>5600</v>
      </c>
      <c r="Q41" s="104">
        <f>'[1]2026年幼儿园人数'!J13</f>
        <v>29315</v>
      </c>
      <c r="R41" s="104">
        <f>'[1]2026年中小学人数'!P11+'[1]2026年中小学人数'!P12</f>
        <v>285862.5</v>
      </c>
      <c r="S41" s="104">
        <f>'[1]2026年幼儿园人数'!J11+'[1]2026年幼儿园人数'!J12</f>
        <v>48763</v>
      </c>
      <c r="T41" s="103">
        <f t="shared" si="1"/>
        <v>2583141</v>
      </c>
      <c r="U41" s="102"/>
    </row>
    <row r="42" spans="1:21">
      <c r="A42" s="100" t="s">
        <v>78</v>
      </c>
      <c r="B42" s="101" t="s">
        <v>79</v>
      </c>
      <c r="C42" s="101"/>
      <c r="D42" s="102"/>
      <c r="E42" s="103">
        <f>E43</f>
        <v>44000</v>
      </c>
      <c r="F42" s="103">
        <f t="shared" ref="F42:N42" si="27">F43</f>
        <v>27600</v>
      </c>
      <c r="G42" s="103">
        <f t="shared" si="27"/>
        <v>29600</v>
      </c>
      <c r="H42" s="103">
        <f t="shared" si="27"/>
        <v>33200</v>
      </c>
      <c r="I42" s="103">
        <f t="shared" si="27"/>
        <v>74400</v>
      </c>
      <c r="J42" s="103">
        <f t="shared" si="27"/>
        <v>23600</v>
      </c>
      <c r="K42" s="103">
        <f t="shared" si="27"/>
        <v>21600</v>
      </c>
      <c r="L42" s="103">
        <f t="shared" si="27"/>
        <v>18800</v>
      </c>
      <c r="M42" s="103">
        <f t="shared" si="27"/>
        <v>17600</v>
      </c>
      <c r="N42" s="103">
        <f t="shared" si="27"/>
        <v>17600</v>
      </c>
      <c r="O42" s="103">
        <f>O43</f>
        <v>51200</v>
      </c>
      <c r="P42" s="103">
        <f>P43</f>
        <v>2000</v>
      </c>
      <c r="Q42" s="103">
        <f>Q43</f>
        <v>7200</v>
      </c>
      <c r="R42" s="103">
        <f>R43</f>
        <v>36000</v>
      </c>
      <c r="S42" s="103">
        <f>S43</f>
        <v>12800</v>
      </c>
      <c r="T42" s="103">
        <f t="shared" si="1"/>
        <v>417200</v>
      </c>
      <c r="U42" s="102"/>
    </row>
    <row r="43" spans="1:21" ht="33.75">
      <c r="A43" s="100" t="s">
        <v>80</v>
      </c>
      <c r="B43" s="101" t="s">
        <v>81</v>
      </c>
      <c r="C43" s="101" t="s">
        <v>16</v>
      </c>
      <c r="D43" s="106" t="s">
        <v>82</v>
      </c>
      <c r="E43" s="103">
        <f>E62*400</f>
        <v>44000</v>
      </c>
      <c r="F43" s="103">
        <f t="shared" ref="F43:S43" si="28">F62*400</f>
        <v>27600</v>
      </c>
      <c r="G43" s="103">
        <f t="shared" si="28"/>
        <v>29600</v>
      </c>
      <c r="H43" s="103">
        <f t="shared" si="28"/>
        <v>33200</v>
      </c>
      <c r="I43" s="103">
        <f t="shared" si="28"/>
        <v>74400</v>
      </c>
      <c r="J43" s="103">
        <f t="shared" si="28"/>
        <v>23600</v>
      </c>
      <c r="K43" s="103">
        <f t="shared" si="28"/>
        <v>21600</v>
      </c>
      <c r="L43" s="103">
        <f t="shared" si="28"/>
        <v>18800</v>
      </c>
      <c r="M43" s="103">
        <f t="shared" si="28"/>
        <v>17600</v>
      </c>
      <c r="N43" s="103">
        <f t="shared" si="28"/>
        <v>17600</v>
      </c>
      <c r="O43" s="103">
        <f t="shared" si="28"/>
        <v>51200</v>
      </c>
      <c r="P43" s="103">
        <f t="shared" si="28"/>
        <v>2000</v>
      </c>
      <c r="Q43" s="103">
        <f t="shared" si="28"/>
        <v>7200</v>
      </c>
      <c r="R43" s="103">
        <f t="shared" si="28"/>
        <v>36000</v>
      </c>
      <c r="S43" s="103">
        <f t="shared" si="28"/>
        <v>12800</v>
      </c>
      <c r="T43" s="103">
        <f t="shared" si="1"/>
        <v>417200</v>
      </c>
      <c r="U43" s="102"/>
    </row>
    <row r="44" spans="1:21">
      <c r="A44" s="100" t="s">
        <v>83</v>
      </c>
      <c r="B44" s="101" t="s">
        <v>84</v>
      </c>
      <c r="C44" s="101"/>
      <c r="D44" s="102" t="s">
        <v>10</v>
      </c>
      <c r="E44" s="103">
        <f>E45</f>
        <v>489330</v>
      </c>
      <c r="F44" s="103">
        <f t="shared" ref="F44:S44" si="29">F45</f>
        <v>135690</v>
      </c>
      <c r="G44" s="103">
        <f t="shared" si="29"/>
        <v>204405</v>
      </c>
      <c r="H44" s="103">
        <f t="shared" si="29"/>
        <v>268530</v>
      </c>
      <c r="I44" s="103">
        <f t="shared" si="29"/>
        <v>386583.60000000003</v>
      </c>
      <c r="J44" s="103">
        <f t="shared" si="29"/>
        <v>196585.65</v>
      </c>
      <c r="K44" s="103">
        <f t="shared" si="29"/>
        <v>205953.60000000003</v>
      </c>
      <c r="L44" s="103">
        <f t="shared" si="29"/>
        <v>212828.09999999998</v>
      </c>
      <c r="M44" s="103">
        <f t="shared" si="29"/>
        <v>172176.15</v>
      </c>
      <c r="N44" s="103">
        <f t="shared" si="29"/>
        <v>136753.79999999999</v>
      </c>
      <c r="O44" s="103">
        <f t="shared" si="29"/>
        <v>283873.34999999998</v>
      </c>
      <c r="P44" s="103">
        <f t="shared" si="29"/>
        <v>34500</v>
      </c>
      <c r="Q44" s="103">
        <f t="shared" si="29"/>
        <v>65355</v>
      </c>
      <c r="R44" s="103">
        <f t="shared" si="29"/>
        <v>199268.7</v>
      </c>
      <c r="S44" s="103">
        <f t="shared" si="29"/>
        <v>59392.800000000003</v>
      </c>
      <c r="T44" s="103">
        <f t="shared" si="1"/>
        <v>3051225.75</v>
      </c>
      <c r="U44" s="102"/>
    </row>
    <row r="45" spans="1:21" ht="33.75">
      <c r="A45" s="100" t="s">
        <v>85</v>
      </c>
      <c r="B45" s="101" t="s">
        <v>86</v>
      </c>
      <c r="C45" s="101" t="s">
        <v>16</v>
      </c>
      <c r="D45" s="106" t="s">
        <v>87</v>
      </c>
      <c r="E45" s="103">
        <f>E73*15</f>
        <v>489330</v>
      </c>
      <c r="F45" s="103">
        <f t="shared" ref="F45:S45" si="30">F73*15</f>
        <v>135690</v>
      </c>
      <c r="G45" s="103">
        <f t="shared" si="30"/>
        <v>204405</v>
      </c>
      <c r="H45" s="103">
        <f t="shared" si="30"/>
        <v>268530</v>
      </c>
      <c r="I45" s="103">
        <f t="shared" si="30"/>
        <v>386583.60000000003</v>
      </c>
      <c r="J45" s="103">
        <f t="shared" si="30"/>
        <v>196585.65</v>
      </c>
      <c r="K45" s="103">
        <f t="shared" si="30"/>
        <v>205953.60000000003</v>
      </c>
      <c r="L45" s="103">
        <f t="shared" si="30"/>
        <v>212828.09999999998</v>
      </c>
      <c r="M45" s="103">
        <f t="shared" si="30"/>
        <v>172176.15</v>
      </c>
      <c r="N45" s="103">
        <f t="shared" si="30"/>
        <v>136753.79999999999</v>
      </c>
      <c r="O45" s="103">
        <f t="shared" si="30"/>
        <v>283873.34999999998</v>
      </c>
      <c r="P45" s="103">
        <f t="shared" si="30"/>
        <v>34500</v>
      </c>
      <c r="Q45" s="103">
        <f t="shared" si="30"/>
        <v>65355</v>
      </c>
      <c r="R45" s="103">
        <f t="shared" si="30"/>
        <v>199268.7</v>
      </c>
      <c r="S45" s="103">
        <f t="shared" si="30"/>
        <v>59392.800000000003</v>
      </c>
      <c r="T45" s="103">
        <f t="shared" si="1"/>
        <v>3051225.75</v>
      </c>
      <c r="U45" s="102"/>
    </row>
    <row r="46" spans="1:21">
      <c r="A46" s="100" t="s">
        <v>88</v>
      </c>
      <c r="B46" s="101" t="s">
        <v>89</v>
      </c>
      <c r="C46" s="101"/>
      <c r="D46" s="102" t="s">
        <v>10</v>
      </c>
      <c r="E46" s="103">
        <f>E47</f>
        <v>238592</v>
      </c>
      <c r="F46" s="103">
        <f t="shared" ref="F46:S46" si="31">F47</f>
        <v>69296</v>
      </c>
      <c r="G46" s="103">
        <f t="shared" si="31"/>
        <v>64000</v>
      </c>
      <c r="H46" s="103">
        <f t="shared" si="31"/>
        <v>64000</v>
      </c>
      <c r="I46" s="103">
        <f t="shared" si="31"/>
        <v>126840</v>
      </c>
      <c r="J46" s="103">
        <f t="shared" si="31"/>
        <v>37352</v>
      </c>
      <c r="K46" s="103">
        <f t="shared" si="31"/>
        <v>51136</v>
      </c>
      <c r="L46" s="103">
        <f t="shared" si="31"/>
        <v>49380.800000000003</v>
      </c>
      <c r="M46" s="103">
        <f t="shared" si="31"/>
        <v>52681.599999999999</v>
      </c>
      <c r="N46" s="103">
        <f t="shared" si="31"/>
        <v>24480</v>
      </c>
      <c r="O46" s="103">
        <f t="shared" si="31"/>
        <v>107680</v>
      </c>
      <c r="P46" s="103">
        <f t="shared" si="31"/>
        <v>0</v>
      </c>
      <c r="Q46" s="103">
        <f t="shared" si="31"/>
        <v>12040</v>
      </c>
      <c r="R46" s="103">
        <f t="shared" si="31"/>
        <v>54272</v>
      </c>
      <c r="S46" s="103">
        <f t="shared" si="31"/>
        <v>32104</v>
      </c>
      <c r="T46" s="103">
        <f t="shared" si="1"/>
        <v>983854.4</v>
      </c>
      <c r="U46" s="102"/>
    </row>
    <row r="47" spans="1:21" ht="33.75">
      <c r="A47" s="100" t="s">
        <v>90</v>
      </c>
      <c r="B47" s="101" t="s">
        <v>91</v>
      </c>
      <c r="C47" s="101" t="s">
        <v>16</v>
      </c>
      <c r="D47" s="106" t="s">
        <v>92</v>
      </c>
      <c r="E47" s="103">
        <f>E74*8</f>
        <v>238592</v>
      </c>
      <c r="F47" s="103">
        <f t="shared" ref="F47:S47" si="32">F74*8</f>
        <v>69296</v>
      </c>
      <c r="G47" s="103">
        <f t="shared" si="32"/>
        <v>64000</v>
      </c>
      <c r="H47" s="103">
        <f t="shared" si="32"/>
        <v>64000</v>
      </c>
      <c r="I47" s="103">
        <f t="shared" si="32"/>
        <v>126840</v>
      </c>
      <c r="J47" s="103">
        <f t="shared" si="32"/>
        <v>37352</v>
      </c>
      <c r="K47" s="103">
        <f t="shared" si="32"/>
        <v>51136</v>
      </c>
      <c r="L47" s="103">
        <f t="shared" si="32"/>
        <v>49380.800000000003</v>
      </c>
      <c r="M47" s="103">
        <f t="shared" si="32"/>
        <v>52681.599999999999</v>
      </c>
      <c r="N47" s="103">
        <f t="shared" si="32"/>
        <v>24480</v>
      </c>
      <c r="O47" s="103">
        <f t="shared" si="32"/>
        <v>107680</v>
      </c>
      <c r="P47" s="103">
        <f t="shared" si="32"/>
        <v>0</v>
      </c>
      <c r="Q47" s="103">
        <f t="shared" si="32"/>
        <v>12040</v>
      </c>
      <c r="R47" s="103">
        <f t="shared" si="32"/>
        <v>54272</v>
      </c>
      <c r="S47" s="103">
        <f t="shared" si="32"/>
        <v>32104</v>
      </c>
      <c r="T47" s="103">
        <f t="shared" si="1"/>
        <v>983854.4</v>
      </c>
      <c r="U47" s="102"/>
    </row>
    <row r="48" spans="1:21">
      <c r="A48" s="100" t="s">
        <v>93</v>
      </c>
      <c r="B48" s="101" t="s">
        <v>156</v>
      </c>
      <c r="C48" s="101"/>
      <c r="D48" s="102" t="s">
        <v>10</v>
      </c>
      <c r="E48" s="103">
        <f>E49+E50</f>
        <v>864000</v>
      </c>
      <c r="F48" s="103">
        <f t="shared" ref="F48:S48" si="33">F49+F50</f>
        <v>544320</v>
      </c>
      <c r="G48" s="103">
        <f t="shared" si="33"/>
        <v>660960</v>
      </c>
      <c r="H48" s="103">
        <f t="shared" si="33"/>
        <v>578880</v>
      </c>
      <c r="I48" s="103">
        <f t="shared" si="33"/>
        <v>915840</v>
      </c>
      <c r="J48" s="103">
        <f t="shared" si="33"/>
        <v>254880</v>
      </c>
      <c r="K48" s="103">
        <f t="shared" si="33"/>
        <v>289440</v>
      </c>
      <c r="L48" s="103">
        <f t="shared" si="33"/>
        <v>293760</v>
      </c>
      <c r="M48" s="103">
        <f t="shared" si="33"/>
        <v>216000</v>
      </c>
      <c r="N48" s="103">
        <f t="shared" si="33"/>
        <v>194400</v>
      </c>
      <c r="O48" s="103">
        <f t="shared" si="33"/>
        <v>578880</v>
      </c>
      <c r="P48" s="103">
        <f t="shared" si="33"/>
        <v>38880</v>
      </c>
      <c r="Q48" s="103">
        <f t="shared" si="33"/>
        <v>77760</v>
      </c>
      <c r="R48" s="103">
        <f t="shared" si="33"/>
        <v>419040</v>
      </c>
      <c r="S48" s="103">
        <f t="shared" si="33"/>
        <v>185760</v>
      </c>
      <c r="T48" s="103">
        <f t="shared" si="1"/>
        <v>6112800</v>
      </c>
      <c r="U48" s="102"/>
    </row>
    <row r="49" spans="1:21" ht="33.75">
      <c r="A49" s="100" t="s">
        <v>94</v>
      </c>
      <c r="B49" s="101" t="s">
        <v>157</v>
      </c>
      <c r="C49" s="101" t="s">
        <v>16</v>
      </c>
      <c r="D49" s="106" t="s">
        <v>95</v>
      </c>
      <c r="E49" s="103">
        <f>E62*4320</f>
        <v>475200</v>
      </c>
      <c r="F49" s="103">
        <f t="shared" ref="F49:S49" si="34">F62*4320</f>
        <v>298080</v>
      </c>
      <c r="G49" s="103">
        <f t="shared" si="34"/>
        <v>319680</v>
      </c>
      <c r="H49" s="103">
        <f t="shared" si="34"/>
        <v>358560</v>
      </c>
      <c r="I49" s="103">
        <f t="shared" si="34"/>
        <v>803520</v>
      </c>
      <c r="J49" s="103">
        <f t="shared" si="34"/>
        <v>254880</v>
      </c>
      <c r="K49" s="103">
        <f t="shared" si="34"/>
        <v>233280</v>
      </c>
      <c r="L49" s="103">
        <f t="shared" si="34"/>
        <v>203040</v>
      </c>
      <c r="M49" s="103">
        <f t="shared" si="34"/>
        <v>190080</v>
      </c>
      <c r="N49" s="103">
        <f t="shared" si="34"/>
        <v>190080</v>
      </c>
      <c r="O49" s="103">
        <f t="shared" si="34"/>
        <v>552960</v>
      </c>
      <c r="P49" s="103">
        <f t="shared" si="34"/>
        <v>21600</v>
      </c>
      <c r="Q49" s="103">
        <f t="shared" si="34"/>
        <v>77760</v>
      </c>
      <c r="R49" s="103">
        <f t="shared" si="34"/>
        <v>388800</v>
      </c>
      <c r="S49" s="103">
        <f t="shared" si="34"/>
        <v>138240</v>
      </c>
      <c r="T49" s="103">
        <f t="shared" si="1"/>
        <v>4505760</v>
      </c>
      <c r="U49" s="102"/>
    </row>
    <row r="50" spans="1:21" ht="33.75">
      <c r="A50" s="100" t="s">
        <v>96</v>
      </c>
      <c r="B50" s="101" t="s">
        <v>158</v>
      </c>
      <c r="C50" s="101" t="s">
        <v>16</v>
      </c>
      <c r="D50" s="106" t="s">
        <v>159</v>
      </c>
      <c r="E50" s="103">
        <f>E72*4320</f>
        <v>388800</v>
      </c>
      <c r="F50" s="103">
        <f t="shared" ref="F50:S50" si="35">F72*4320</f>
        <v>246240</v>
      </c>
      <c r="G50" s="103">
        <f t="shared" si="35"/>
        <v>341280</v>
      </c>
      <c r="H50" s="103">
        <f t="shared" si="35"/>
        <v>220320</v>
      </c>
      <c r="I50" s="103">
        <f t="shared" si="35"/>
        <v>112320</v>
      </c>
      <c r="J50" s="103">
        <f t="shared" si="35"/>
        <v>0</v>
      </c>
      <c r="K50" s="103">
        <f t="shared" si="35"/>
        <v>56160</v>
      </c>
      <c r="L50" s="103">
        <f t="shared" si="35"/>
        <v>90720</v>
      </c>
      <c r="M50" s="103">
        <f t="shared" si="35"/>
        <v>25920</v>
      </c>
      <c r="N50" s="103">
        <f t="shared" si="35"/>
        <v>4320</v>
      </c>
      <c r="O50" s="103">
        <f t="shared" si="35"/>
        <v>25920</v>
      </c>
      <c r="P50" s="103">
        <f t="shared" si="35"/>
        <v>17280</v>
      </c>
      <c r="Q50" s="103">
        <f t="shared" si="35"/>
        <v>0</v>
      </c>
      <c r="R50" s="103">
        <f t="shared" si="35"/>
        <v>30240</v>
      </c>
      <c r="S50" s="103">
        <f t="shared" si="35"/>
        <v>47520</v>
      </c>
      <c r="T50" s="103">
        <f t="shared" si="1"/>
        <v>1607040</v>
      </c>
      <c r="U50" s="102"/>
    </row>
    <row r="51" spans="1:21">
      <c r="A51" s="100" t="s">
        <v>97</v>
      </c>
      <c r="B51" s="101" t="s">
        <v>160</v>
      </c>
      <c r="C51" s="101"/>
      <c r="D51" s="102" t="s">
        <v>10</v>
      </c>
      <c r="E51" s="103">
        <f>E52</f>
        <v>594505.71</v>
      </c>
      <c r="F51" s="103">
        <f t="shared" ref="F51:S51" si="36">F52</f>
        <v>371738.86</v>
      </c>
      <c r="G51" s="103">
        <f t="shared" si="36"/>
        <v>389668</v>
      </c>
      <c r="H51" s="103">
        <f t="shared" si="36"/>
        <v>390242.29</v>
      </c>
      <c r="I51" s="103">
        <f t="shared" si="36"/>
        <v>886289.43</v>
      </c>
      <c r="J51" s="103">
        <f t="shared" si="36"/>
        <v>282406.86</v>
      </c>
      <c r="K51" s="103">
        <f t="shared" si="36"/>
        <v>245058.86</v>
      </c>
      <c r="L51" s="103">
        <f t="shared" si="36"/>
        <v>209830.57</v>
      </c>
      <c r="M51" s="103">
        <f t="shared" si="36"/>
        <v>185689.14</v>
      </c>
      <c r="N51" s="103">
        <f t="shared" si="36"/>
        <v>195302.86</v>
      </c>
      <c r="O51" s="103">
        <f t="shared" si="36"/>
        <v>634120.56999999995</v>
      </c>
      <c r="P51" s="103">
        <f t="shared" si="36"/>
        <v>25525.71</v>
      </c>
      <c r="Q51" s="103">
        <f t="shared" si="36"/>
        <v>71555.429999999993</v>
      </c>
      <c r="R51" s="103">
        <f t="shared" si="36"/>
        <v>418399.71</v>
      </c>
      <c r="S51" s="103">
        <f t="shared" si="36"/>
        <v>134571.14000000001</v>
      </c>
      <c r="T51" s="103">
        <f t="shared" si="1"/>
        <v>5034905.1399999987</v>
      </c>
      <c r="U51" s="102"/>
    </row>
    <row r="52" spans="1:21" ht="22.5">
      <c r="A52" s="100" t="s">
        <v>98</v>
      </c>
      <c r="B52" s="101" t="s">
        <v>99</v>
      </c>
      <c r="C52" s="101" t="s">
        <v>16</v>
      </c>
      <c r="D52" s="102" t="s">
        <v>31</v>
      </c>
      <c r="E52" s="103">
        <f>ROUND(E30/0.07*0.02,2)</f>
        <v>594505.71</v>
      </c>
      <c r="F52" s="103">
        <f t="shared" ref="F52:S52" si="37">ROUND(F30/0.07*0.02,2)</f>
        <v>371738.86</v>
      </c>
      <c r="G52" s="103">
        <f t="shared" si="37"/>
        <v>389668</v>
      </c>
      <c r="H52" s="103">
        <f t="shared" si="37"/>
        <v>390242.29</v>
      </c>
      <c r="I52" s="103">
        <f t="shared" si="37"/>
        <v>886289.43</v>
      </c>
      <c r="J52" s="103">
        <f t="shared" si="37"/>
        <v>282406.86</v>
      </c>
      <c r="K52" s="103">
        <f t="shared" si="37"/>
        <v>245058.86</v>
      </c>
      <c r="L52" s="103">
        <f t="shared" si="37"/>
        <v>209830.57</v>
      </c>
      <c r="M52" s="103">
        <f t="shared" si="37"/>
        <v>185689.14</v>
      </c>
      <c r="N52" s="103">
        <f t="shared" si="37"/>
        <v>195302.86</v>
      </c>
      <c r="O52" s="103">
        <f t="shared" si="37"/>
        <v>634120.56999999995</v>
      </c>
      <c r="P52" s="103">
        <f t="shared" si="37"/>
        <v>25525.71</v>
      </c>
      <c r="Q52" s="103">
        <f t="shared" si="37"/>
        <v>71555.429999999993</v>
      </c>
      <c r="R52" s="103">
        <f t="shared" si="37"/>
        <v>418399.71</v>
      </c>
      <c r="S52" s="103">
        <f t="shared" si="37"/>
        <v>134571.14000000001</v>
      </c>
      <c r="T52" s="103">
        <f t="shared" si="1"/>
        <v>5034905.1399999987</v>
      </c>
      <c r="U52" s="102"/>
    </row>
    <row r="53" spans="1:21">
      <c r="A53" s="100" t="s">
        <v>100</v>
      </c>
      <c r="B53" s="101" t="s">
        <v>161</v>
      </c>
      <c r="C53" s="101"/>
      <c r="D53" s="102" t="s">
        <v>10</v>
      </c>
      <c r="E53" s="103">
        <f>E54</f>
        <v>32000</v>
      </c>
      <c r="F53" s="103">
        <f t="shared" ref="F53:S53" si="38">F54</f>
        <v>32000</v>
      </c>
      <c r="G53" s="103">
        <f t="shared" si="38"/>
        <v>32000</v>
      </c>
      <c r="H53" s="103">
        <f t="shared" si="38"/>
        <v>25000</v>
      </c>
      <c r="I53" s="103">
        <f t="shared" si="38"/>
        <v>64000</v>
      </c>
      <c r="J53" s="103">
        <f t="shared" si="38"/>
        <v>0</v>
      </c>
      <c r="K53" s="103">
        <f t="shared" si="38"/>
        <v>32000</v>
      </c>
      <c r="L53" s="103">
        <f t="shared" si="38"/>
        <v>25000</v>
      </c>
      <c r="M53" s="103">
        <f t="shared" si="38"/>
        <v>0</v>
      </c>
      <c r="N53" s="103">
        <f t="shared" si="38"/>
        <v>0</v>
      </c>
      <c r="O53" s="103">
        <f t="shared" si="38"/>
        <v>32000</v>
      </c>
      <c r="P53" s="103">
        <f t="shared" si="38"/>
        <v>0</v>
      </c>
      <c r="Q53" s="103">
        <f t="shared" si="38"/>
        <v>0</v>
      </c>
      <c r="R53" s="103">
        <f t="shared" si="38"/>
        <v>0</v>
      </c>
      <c r="S53" s="103">
        <f t="shared" si="38"/>
        <v>0</v>
      </c>
      <c r="T53" s="103">
        <f t="shared" si="1"/>
        <v>274000</v>
      </c>
      <c r="U53" s="102"/>
    </row>
    <row r="54" spans="1:21" ht="90">
      <c r="A54" s="100" t="s">
        <v>101</v>
      </c>
      <c r="B54" s="101" t="s">
        <v>102</v>
      </c>
      <c r="C54" s="101" t="s">
        <v>16</v>
      </c>
      <c r="D54" s="106" t="s">
        <v>300</v>
      </c>
      <c r="E54" s="104">
        <v>32000</v>
      </c>
      <c r="F54" s="104">
        <v>32000</v>
      </c>
      <c r="G54" s="104">
        <v>32000</v>
      </c>
      <c r="H54" s="104">
        <f>32000-7000</f>
        <v>25000</v>
      </c>
      <c r="I54" s="104">
        <v>64000</v>
      </c>
      <c r="J54" s="104"/>
      <c r="K54" s="104">
        <v>32000</v>
      </c>
      <c r="L54" s="104">
        <f>32000-7000</f>
        <v>25000</v>
      </c>
      <c r="M54" s="104"/>
      <c r="N54" s="104"/>
      <c r="O54" s="104">
        <v>32000</v>
      </c>
      <c r="P54" s="104"/>
      <c r="Q54" s="104"/>
      <c r="R54" s="104"/>
      <c r="S54" s="104"/>
      <c r="T54" s="103">
        <f t="shared" si="1"/>
        <v>274000</v>
      </c>
      <c r="U54" s="102"/>
    </row>
    <row r="55" spans="1:21">
      <c r="A55" s="100" t="s">
        <v>103</v>
      </c>
      <c r="B55" s="101" t="s">
        <v>269</v>
      </c>
      <c r="C55" s="101"/>
      <c r="D55" s="102" t="s">
        <v>10</v>
      </c>
      <c r="E55" s="103">
        <f>E56+E58</f>
        <v>36000</v>
      </c>
      <c r="F55" s="103">
        <f t="shared" ref="F55:S55" si="39">F56+F58</f>
        <v>22800</v>
      </c>
      <c r="G55" s="103">
        <f t="shared" si="39"/>
        <v>31600</v>
      </c>
      <c r="H55" s="103">
        <f t="shared" si="39"/>
        <v>20400</v>
      </c>
      <c r="I55" s="103">
        <f t="shared" si="39"/>
        <v>10400</v>
      </c>
      <c r="J55" s="103">
        <f t="shared" si="39"/>
        <v>0</v>
      </c>
      <c r="K55" s="103">
        <f t="shared" si="39"/>
        <v>5200</v>
      </c>
      <c r="L55" s="103">
        <f t="shared" si="39"/>
        <v>8400</v>
      </c>
      <c r="M55" s="103">
        <f t="shared" si="39"/>
        <v>2400</v>
      </c>
      <c r="N55" s="103">
        <f t="shared" si="39"/>
        <v>400</v>
      </c>
      <c r="O55" s="103">
        <f t="shared" si="39"/>
        <v>2400</v>
      </c>
      <c r="P55" s="103">
        <f t="shared" si="39"/>
        <v>1600</v>
      </c>
      <c r="Q55" s="103">
        <f t="shared" si="39"/>
        <v>0</v>
      </c>
      <c r="R55" s="103">
        <f t="shared" si="39"/>
        <v>2800</v>
      </c>
      <c r="S55" s="103">
        <f t="shared" si="39"/>
        <v>4400</v>
      </c>
      <c r="T55" s="103">
        <f t="shared" si="1"/>
        <v>148800</v>
      </c>
      <c r="U55" s="102"/>
    </row>
    <row r="56" spans="1:21">
      <c r="A56" s="100" t="s">
        <v>104</v>
      </c>
      <c r="B56" s="101" t="s">
        <v>270</v>
      </c>
      <c r="C56" s="101" t="s">
        <v>16</v>
      </c>
      <c r="D56" s="102" t="s">
        <v>10</v>
      </c>
      <c r="E56" s="103">
        <f>E57</f>
        <v>36000</v>
      </c>
      <c r="F56" s="103">
        <f t="shared" ref="F56:S56" si="40">F57</f>
        <v>22800</v>
      </c>
      <c r="G56" s="103">
        <f t="shared" si="40"/>
        <v>31600</v>
      </c>
      <c r="H56" s="103">
        <f t="shared" si="40"/>
        <v>20400</v>
      </c>
      <c r="I56" s="103">
        <f t="shared" si="40"/>
        <v>10400</v>
      </c>
      <c r="J56" s="103">
        <f t="shared" si="40"/>
        <v>0</v>
      </c>
      <c r="K56" s="103">
        <f t="shared" si="40"/>
        <v>5200</v>
      </c>
      <c r="L56" s="103">
        <f t="shared" si="40"/>
        <v>8400</v>
      </c>
      <c r="M56" s="103">
        <f t="shared" si="40"/>
        <v>2400</v>
      </c>
      <c r="N56" s="103">
        <f t="shared" si="40"/>
        <v>400</v>
      </c>
      <c r="O56" s="103">
        <f t="shared" si="40"/>
        <v>2400</v>
      </c>
      <c r="P56" s="103">
        <f t="shared" si="40"/>
        <v>1600</v>
      </c>
      <c r="Q56" s="103">
        <f t="shared" si="40"/>
        <v>0</v>
      </c>
      <c r="R56" s="103">
        <f t="shared" si="40"/>
        <v>2800</v>
      </c>
      <c r="S56" s="103">
        <f t="shared" si="40"/>
        <v>4400</v>
      </c>
      <c r="T56" s="103">
        <f t="shared" si="1"/>
        <v>148800</v>
      </c>
      <c r="U56" s="102"/>
    </row>
    <row r="57" spans="1:21" ht="45">
      <c r="A57" s="100" t="s">
        <v>105</v>
      </c>
      <c r="B57" s="101" t="s">
        <v>106</v>
      </c>
      <c r="C57" s="101" t="s">
        <v>16</v>
      </c>
      <c r="D57" s="106" t="s">
        <v>162</v>
      </c>
      <c r="E57" s="103">
        <f>E72*400</f>
        <v>36000</v>
      </c>
      <c r="F57" s="103">
        <f t="shared" ref="F57:S57" si="41">F72*400</f>
        <v>22800</v>
      </c>
      <c r="G57" s="103">
        <f t="shared" si="41"/>
        <v>31600</v>
      </c>
      <c r="H57" s="103">
        <f t="shared" si="41"/>
        <v>20400</v>
      </c>
      <c r="I57" s="103">
        <f t="shared" si="41"/>
        <v>10400</v>
      </c>
      <c r="J57" s="103">
        <f t="shared" si="41"/>
        <v>0</v>
      </c>
      <c r="K57" s="103">
        <f t="shared" si="41"/>
        <v>5200</v>
      </c>
      <c r="L57" s="103">
        <f t="shared" si="41"/>
        <v>8400</v>
      </c>
      <c r="M57" s="103">
        <f t="shared" si="41"/>
        <v>2400</v>
      </c>
      <c r="N57" s="103">
        <f t="shared" si="41"/>
        <v>400</v>
      </c>
      <c r="O57" s="103">
        <f t="shared" si="41"/>
        <v>2400</v>
      </c>
      <c r="P57" s="103">
        <f t="shared" si="41"/>
        <v>1600</v>
      </c>
      <c r="Q57" s="103">
        <f t="shared" si="41"/>
        <v>0</v>
      </c>
      <c r="R57" s="103">
        <f t="shared" si="41"/>
        <v>2800</v>
      </c>
      <c r="S57" s="103">
        <f t="shared" si="41"/>
        <v>4400</v>
      </c>
      <c r="T57" s="103">
        <f t="shared" si="1"/>
        <v>148800</v>
      </c>
      <c r="U57" s="102"/>
    </row>
    <row r="58" spans="1:21">
      <c r="A58" s="100" t="s">
        <v>107</v>
      </c>
      <c r="B58" s="101" t="s">
        <v>271</v>
      </c>
      <c r="C58" s="101" t="s">
        <v>16</v>
      </c>
      <c r="D58" s="106" t="s">
        <v>108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3">
        <f t="shared" si="1"/>
        <v>0</v>
      </c>
      <c r="U58" s="102"/>
    </row>
    <row r="59" spans="1:21">
      <c r="A59" s="100" t="s">
        <v>109</v>
      </c>
      <c r="B59" s="101" t="s">
        <v>272</v>
      </c>
      <c r="C59" s="101"/>
      <c r="D59" s="102" t="s">
        <v>10</v>
      </c>
      <c r="E59" s="103">
        <f>E60</f>
        <v>0</v>
      </c>
      <c r="F59" s="103">
        <f t="shared" ref="F59:S59" si="42">F60</f>
        <v>0</v>
      </c>
      <c r="G59" s="103">
        <f t="shared" si="42"/>
        <v>0</v>
      </c>
      <c r="H59" s="103">
        <f t="shared" si="42"/>
        <v>0</v>
      </c>
      <c r="I59" s="103">
        <f t="shared" si="42"/>
        <v>0</v>
      </c>
      <c r="J59" s="103">
        <f t="shared" si="42"/>
        <v>32000</v>
      </c>
      <c r="K59" s="103">
        <f t="shared" si="42"/>
        <v>5000</v>
      </c>
      <c r="L59" s="103">
        <f t="shared" si="42"/>
        <v>10000</v>
      </c>
      <c r="M59" s="103">
        <f t="shared" si="42"/>
        <v>32000</v>
      </c>
      <c r="N59" s="103">
        <f t="shared" si="42"/>
        <v>32000</v>
      </c>
      <c r="O59" s="103">
        <f t="shared" si="42"/>
        <v>0</v>
      </c>
      <c r="P59" s="103">
        <f t="shared" si="42"/>
        <v>0</v>
      </c>
      <c r="Q59" s="103">
        <f t="shared" si="42"/>
        <v>32000</v>
      </c>
      <c r="R59" s="103">
        <f t="shared" si="42"/>
        <v>32000</v>
      </c>
      <c r="S59" s="103">
        <f t="shared" si="42"/>
        <v>32000</v>
      </c>
      <c r="T59" s="103">
        <f t="shared" si="1"/>
        <v>207000</v>
      </c>
      <c r="U59" s="102"/>
    </row>
    <row r="60" spans="1:21" ht="135.75" thickBot="1">
      <c r="A60" s="100" t="s">
        <v>110</v>
      </c>
      <c r="B60" s="79" t="s">
        <v>111</v>
      </c>
      <c r="C60" s="101" t="s">
        <v>16</v>
      </c>
      <c r="D60" s="3" t="s">
        <v>163</v>
      </c>
      <c r="E60" s="2"/>
      <c r="F60" s="2"/>
      <c r="G60" s="2"/>
      <c r="H60" s="2"/>
      <c r="I60" s="2"/>
      <c r="J60" s="2">
        <v>32000</v>
      </c>
      <c r="K60" s="2">
        <v>5000</v>
      </c>
      <c r="L60" s="2">
        <v>10000</v>
      </c>
      <c r="M60" s="2">
        <v>32000</v>
      </c>
      <c r="N60" s="2">
        <v>32000</v>
      </c>
      <c r="O60" s="2"/>
      <c r="P60" s="2"/>
      <c r="Q60" s="2">
        <v>32000</v>
      </c>
      <c r="R60" s="2">
        <v>32000</v>
      </c>
      <c r="S60" s="2">
        <v>32000</v>
      </c>
      <c r="T60" s="103">
        <f t="shared" si="1"/>
        <v>207000</v>
      </c>
      <c r="U60" s="77"/>
    </row>
    <row r="61" spans="1:21" ht="12" thickTop="1">
      <c r="A61" s="100" t="s">
        <v>112</v>
      </c>
      <c r="B61" s="80" t="s">
        <v>113</v>
      </c>
      <c r="C61" s="80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103">
        <f t="shared" si="1"/>
        <v>0</v>
      </c>
      <c r="U61" s="78"/>
    </row>
    <row r="62" spans="1:21" ht="33.75">
      <c r="A62" s="100" t="s">
        <v>114</v>
      </c>
      <c r="B62" s="101" t="s">
        <v>115</v>
      </c>
      <c r="C62" s="101"/>
      <c r="D62" s="102" t="s">
        <v>273</v>
      </c>
      <c r="E62" s="103">
        <f>E63+E64+E65+E66</f>
        <v>110</v>
      </c>
      <c r="F62" s="103">
        <f t="shared" ref="F62:S62" si="43">F63+F64+F65+F66</f>
        <v>69</v>
      </c>
      <c r="G62" s="103">
        <f t="shared" si="43"/>
        <v>74</v>
      </c>
      <c r="H62" s="103">
        <f t="shared" si="43"/>
        <v>83</v>
      </c>
      <c r="I62" s="103">
        <f t="shared" si="43"/>
        <v>186</v>
      </c>
      <c r="J62" s="103">
        <f t="shared" si="43"/>
        <v>59</v>
      </c>
      <c r="K62" s="103">
        <f t="shared" si="43"/>
        <v>54</v>
      </c>
      <c r="L62" s="103">
        <f t="shared" si="43"/>
        <v>47</v>
      </c>
      <c r="M62" s="103">
        <f t="shared" si="43"/>
        <v>44</v>
      </c>
      <c r="N62" s="103">
        <f t="shared" si="43"/>
        <v>44</v>
      </c>
      <c r="O62" s="103">
        <f t="shared" si="43"/>
        <v>128</v>
      </c>
      <c r="P62" s="103">
        <f t="shared" si="43"/>
        <v>5</v>
      </c>
      <c r="Q62" s="103">
        <f t="shared" si="43"/>
        <v>18</v>
      </c>
      <c r="R62" s="103">
        <f t="shared" si="43"/>
        <v>90</v>
      </c>
      <c r="S62" s="103">
        <f t="shared" si="43"/>
        <v>32</v>
      </c>
      <c r="T62" s="103">
        <f t="shared" si="1"/>
        <v>1043</v>
      </c>
      <c r="U62" s="102"/>
    </row>
    <row r="63" spans="1:21">
      <c r="A63" s="100" t="s">
        <v>116</v>
      </c>
      <c r="B63" s="108" t="s">
        <v>117</v>
      </c>
      <c r="C63" s="108"/>
      <c r="D63" s="102"/>
      <c r="E63" s="104">
        <v>110</v>
      </c>
      <c r="F63" s="104">
        <v>69</v>
      </c>
      <c r="G63" s="104"/>
      <c r="H63" s="104"/>
      <c r="I63" s="104"/>
      <c r="J63" s="104"/>
      <c r="K63" s="104"/>
      <c r="L63" s="104"/>
      <c r="M63" s="104"/>
      <c r="N63" s="104"/>
      <c r="O63" s="104">
        <v>63</v>
      </c>
      <c r="P63" s="104"/>
      <c r="Q63" s="104"/>
      <c r="R63" s="104">
        <v>90</v>
      </c>
      <c r="S63" s="104"/>
      <c r="T63" s="103">
        <f t="shared" si="1"/>
        <v>332</v>
      </c>
      <c r="U63" s="102"/>
    </row>
    <row r="64" spans="1:21">
      <c r="A64" s="100" t="s">
        <v>118</v>
      </c>
      <c r="B64" s="108" t="s">
        <v>119</v>
      </c>
      <c r="C64" s="108"/>
      <c r="D64" s="102"/>
      <c r="E64" s="104"/>
      <c r="F64" s="104"/>
      <c r="G64" s="104">
        <v>74</v>
      </c>
      <c r="H64" s="104">
        <v>83</v>
      </c>
      <c r="I64" s="104">
        <v>186</v>
      </c>
      <c r="J64" s="104">
        <v>59</v>
      </c>
      <c r="K64" s="104"/>
      <c r="L64" s="104"/>
      <c r="M64" s="104"/>
      <c r="N64" s="104"/>
      <c r="O64" s="104">
        <v>65</v>
      </c>
      <c r="P64" s="104"/>
      <c r="Q64" s="104"/>
      <c r="R64" s="104"/>
      <c r="S64" s="104"/>
      <c r="T64" s="103">
        <f t="shared" si="1"/>
        <v>467</v>
      </c>
      <c r="U64" s="102"/>
    </row>
    <row r="65" spans="1:21">
      <c r="A65" s="100" t="s">
        <v>120</v>
      </c>
      <c r="B65" s="108" t="s">
        <v>121</v>
      </c>
      <c r="C65" s="108"/>
      <c r="D65" s="102"/>
      <c r="E65" s="104"/>
      <c r="F65" s="104"/>
      <c r="G65" s="104"/>
      <c r="H65" s="104"/>
      <c r="I65" s="104"/>
      <c r="J65" s="104"/>
      <c r="K65" s="104">
        <v>54</v>
      </c>
      <c r="L65" s="104">
        <v>47</v>
      </c>
      <c r="M65" s="104">
        <v>44</v>
      </c>
      <c r="N65" s="104">
        <v>44</v>
      </c>
      <c r="O65" s="104"/>
      <c r="P65" s="104"/>
      <c r="Q65" s="104">
        <v>18</v>
      </c>
      <c r="R65" s="104"/>
      <c r="S65" s="104">
        <v>32</v>
      </c>
      <c r="T65" s="103">
        <f t="shared" si="1"/>
        <v>239</v>
      </c>
      <c r="U65" s="102"/>
    </row>
    <row r="66" spans="1:21">
      <c r="A66" s="100" t="s">
        <v>122</v>
      </c>
      <c r="B66" s="108" t="s">
        <v>123</v>
      </c>
      <c r="C66" s="108"/>
      <c r="D66" s="102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>
        <v>5</v>
      </c>
      <c r="Q66" s="104"/>
      <c r="R66" s="104"/>
      <c r="S66" s="104"/>
      <c r="T66" s="103">
        <f t="shared" si="1"/>
        <v>5</v>
      </c>
      <c r="U66" s="102"/>
    </row>
    <row r="67" spans="1:21" ht="56.25">
      <c r="A67" s="100" t="s">
        <v>124</v>
      </c>
      <c r="B67" s="101" t="s">
        <v>125</v>
      </c>
      <c r="C67" s="101"/>
      <c r="D67" s="102" t="s">
        <v>276</v>
      </c>
      <c r="E67" s="103">
        <f>E68+E69+E70+E71</f>
        <v>1773</v>
      </c>
      <c r="F67" s="103">
        <f t="shared" ref="F67:S67" si="44">F68+F69+F70+F71</f>
        <v>1028</v>
      </c>
      <c r="G67" s="103">
        <f t="shared" si="44"/>
        <v>1215</v>
      </c>
      <c r="H67" s="103">
        <f t="shared" si="44"/>
        <v>1064</v>
      </c>
      <c r="I67" s="103">
        <f t="shared" si="44"/>
        <v>3078</v>
      </c>
      <c r="J67" s="103">
        <f t="shared" si="44"/>
        <v>950</v>
      </c>
      <c r="K67" s="103">
        <f t="shared" si="44"/>
        <v>560</v>
      </c>
      <c r="L67" s="103">
        <f t="shared" si="44"/>
        <v>578</v>
      </c>
      <c r="M67" s="103">
        <f t="shared" si="44"/>
        <v>513</v>
      </c>
      <c r="N67" s="103">
        <f t="shared" si="44"/>
        <v>528</v>
      </c>
      <c r="O67" s="103">
        <f t="shared" si="44"/>
        <v>2003</v>
      </c>
      <c r="P67" s="103">
        <f t="shared" si="44"/>
        <v>0</v>
      </c>
      <c r="Q67" s="103">
        <f t="shared" si="44"/>
        <v>205</v>
      </c>
      <c r="R67" s="103">
        <f t="shared" si="44"/>
        <v>1485</v>
      </c>
      <c r="S67" s="103">
        <f t="shared" si="44"/>
        <v>341</v>
      </c>
      <c r="T67" s="103">
        <f t="shared" si="1"/>
        <v>15321</v>
      </c>
      <c r="U67" s="102"/>
    </row>
    <row r="68" spans="1:21">
      <c r="A68" s="100" t="s">
        <v>126</v>
      </c>
      <c r="B68" s="108" t="s">
        <v>117</v>
      </c>
      <c r="C68" s="108"/>
      <c r="D68" s="102"/>
      <c r="E68" s="104">
        <v>1773</v>
      </c>
      <c r="F68" s="104">
        <v>1028</v>
      </c>
      <c r="G68" s="104"/>
      <c r="H68" s="104"/>
      <c r="I68" s="104"/>
      <c r="J68" s="104"/>
      <c r="K68" s="104"/>
      <c r="L68" s="104"/>
      <c r="M68" s="104"/>
      <c r="N68" s="104"/>
      <c r="O68" s="104">
        <v>908</v>
      </c>
      <c r="P68" s="104"/>
      <c r="Q68" s="104"/>
      <c r="R68" s="104">
        <v>1485</v>
      </c>
      <c r="S68" s="104"/>
      <c r="T68" s="103">
        <f t="shared" ref="T68:T74" si="45">SUM(E68:S68)</f>
        <v>5194</v>
      </c>
      <c r="U68" s="102"/>
    </row>
    <row r="69" spans="1:21">
      <c r="A69" s="100" t="s">
        <v>127</v>
      </c>
      <c r="B69" s="108" t="s">
        <v>119</v>
      </c>
      <c r="C69" s="108"/>
      <c r="D69" s="102"/>
      <c r="E69" s="104"/>
      <c r="F69" s="104"/>
      <c r="G69" s="104">
        <v>1215</v>
      </c>
      <c r="H69" s="104">
        <v>1064</v>
      </c>
      <c r="I69" s="104">
        <v>3078</v>
      </c>
      <c r="J69" s="104">
        <v>950</v>
      </c>
      <c r="K69" s="104"/>
      <c r="L69" s="104"/>
      <c r="M69" s="104"/>
      <c r="N69" s="104"/>
      <c r="O69" s="104">
        <v>1095</v>
      </c>
      <c r="P69" s="104"/>
      <c r="Q69" s="104"/>
      <c r="R69" s="104"/>
      <c r="S69" s="104"/>
      <c r="T69" s="103">
        <f t="shared" si="45"/>
        <v>7402</v>
      </c>
      <c r="U69" s="102"/>
    </row>
    <row r="70" spans="1:21">
      <c r="A70" s="100" t="s">
        <v>128</v>
      </c>
      <c r="B70" s="108" t="s">
        <v>121</v>
      </c>
      <c r="C70" s="108"/>
      <c r="D70" s="102"/>
      <c r="E70" s="104"/>
      <c r="F70" s="104"/>
      <c r="G70" s="104"/>
      <c r="H70" s="104"/>
      <c r="I70" s="104"/>
      <c r="J70" s="104"/>
      <c r="K70" s="104">
        <v>560</v>
      </c>
      <c r="L70" s="104">
        <v>578</v>
      </c>
      <c r="M70" s="104">
        <v>513</v>
      </c>
      <c r="N70" s="104">
        <v>528</v>
      </c>
      <c r="O70" s="104"/>
      <c r="P70" s="104"/>
      <c r="Q70" s="104">
        <v>205</v>
      </c>
      <c r="R70" s="104"/>
      <c r="S70" s="104">
        <v>341</v>
      </c>
      <c r="T70" s="103">
        <f t="shared" si="45"/>
        <v>2725</v>
      </c>
      <c r="U70" s="102"/>
    </row>
    <row r="71" spans="1:21">
      <c r="A71" s="100" t="s">
        <v>129</v>
      </c>
      <c r="B71" s="108" t="s">
        <v>123</v>
      </c>
      <c r="C71" s="108"/>
      <c r="D71" s="102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3">
        <f t="shared" si="45"/>
        <v>0</v>
      </c>
      <c r="U71" s="102"/>
    </row>
    <row r="72" spans="1:21">
      <c r="A72" s="100" t="s">
        <v>130</v>
      </c>
      <c r="B72" s="101" t="s">
        <v>164</v>
      </c>
      <c r="C72" s="101"/>
      <c r="D72" s="102"/>
      <c r="E72" s="104">
        <v>90</v>
      </c>
      <c r="F72" s="104">
        <v>57</v>
      </c>
      <c r="G72" s="104">
        <v>79</v>
      </c>
      <c r="H72" s="104">
        <v>51</v>
      </c>
      <c r="I72" s="104">
        <v>26</v>
      </c>
      <c r="J72" s="104"/>
      <c r="K72" s="104">
        <v>13</v>
      </c>
      <c r="L72" s="104">
        <v>21</v>
      </c>
      <c r="M72" s="104">
        <v>6</v>
      </c>
      <c r="N72" s="104">
        <v>1</v>
      </c>
      <c r="O72" s="104">
        <v>6</v>
      </c>
      <c r="P72" s="104">
        <v>4</v>
      </c>
      <c r="Q72" s="104"/>
      <c r="R72" s="104">
        <v>7</v>
      </c>
      <c r="S72" s="104">
        <v>11</v>
      </c>
      <c r="T72" s="103">
        <f t="shared" si="45"/>
        <v>372</v>
      </c>
      <c r="U72" s="102"/>
    </row>
    <row r="73" spans="1:21">
      <c r="A73" s="100" t="s">
        <v>274</v>
      </c>
      <c r="B73" s="108" t="s">
        <v>165</v>
      </c>
      <c r="C73" s="108"/>
      <c r="D73" s="106"/>
      <c r="E73" s="104">
        <v>32622</v>
      </c>
      <c r="F73" s="104">
        <v>9046</v>
      </c>
      <c r="G73" s="104">
        <v>13627</v>
      </c>
      <c r="H73" s="104">
        <v>17902</v>
      </c>
      <c r="I73" s="104">
        <v>25772.240000000002</v>
      </c>
      <c r="J73" s="104">
        <v>13105.71</v>
      </c>
      <c r="K73" s="104">
        <f>10602.95+3127.29</f>
        <v>13730.240000000002</v>
      </c>
      <c r="L73" s="104">
        <f>6627.96+9667-2106.42</f>
        <v>14188.539999999999</v>
      </c>
      <c r="M73" s="104">
        <v>11478.41</v>
      </c>
      <c r="N73" s="104">
        <v>9116.92</v>
      </c>
      <c r="O73" s="104">
        <v>18924.89</v>
      </c>
      <c r="P73" s="104">
        <v>2300</v>
      </c>
      <c r="Q73" s="104">
        <v>4357</v>
      </c>
      <c r="R73" s="104">
        <v>13284.58</v>
      </c>
      <c r="S73" s="104">
        <f>2564.98+1394.54</f>
        <v>3959.52</v>
      </c>
      <c r="T73" s="103">
        <f t="shared" si="45"/>
        <v>203415.05</v>
      </c>
      <c r="U73" s="102"/>
    </row>
    <row r="74" spans="1:21">
      <c r="A74" s="100" t="s">
        <v>275</v>
      </c>
      <c r="B74" s="108" t="s">
        <v>166</v>
      </c>
      <c r="C74" s="108"/>
      <c r="D74" s="106"/>
      <c r="E74" s="104">
        <v>29824</v>
      </c>
      <c r="F74" s="104">
        <v>8662</v>
      </c>
      <c r="G74" s="104">
        <v>8000</v>
      </c>
      <c r="H74" s="104">
        <v>8000</v>
      </c>
      <c r="I74" s="104">
        <v>15855</v>
      </c>
      <c r="J74" s="104">
        <v>4669</v>
      </c>
      <c r="K74" s="104">
        <f>4900+1492</f>
        <v>6392</v>
      </c>
      <c r="L74" s="104">
        <f>4663.8+2548.8-1040</f>
        <v>6172.6</v>
      </c>
      <c r="M74" s="104">
        <v>6585.2</v>
      </c>
      <c r="N74" s="104">
        <v>3060</v>
      </c>
      <c r="O74" s="104">
        <v>13460</v>
      </c>
      <c r="P74" s="104"/>
      <c r="Q74" s="104">
        <v>1505</v>
      </c>
      <c r="R74" s="104">
        <v>6784</v>
      </c>
      <c r="S74" s="104">
        <v>4013</v>
      </c>
      <c r="T74" s="103">
        <f t="shared" si="45"/>
        <v>122981.8</v>
      </c>
      <c r="U74" s="102"/>
    </row>
  </sheetData>
  <protectedRanges>
    <protectedRange password="E9C1" sqref="D30 C31 A5:D6 B7:D29 B32:D74 T5:U74 A7:A74 A2:U4" name="区域1_1"/>
    <protectedRange password="E9C1" sqref="B30:C30 B31" name="区域1_1_1"/>
    <protectedRange password="E9C1" sqref="D31" name="区域1_2"/>
  </protectedRanges>
  <mergeCells count="7">
    <mergeCell ref="A1:U1"/>
    <mergeCell ref="A2:A3"/>
    <mergeCell ref="B2:B3"/>
    <mergeCell ref="C2:C3"/>
    <mergeCell ref="D2:D3"/>
    <mergeCell ref="T2:T3"/>
    <mergeCell ref="U2:U3"/>
  </mergeCells>
  <phoneticPr fontId="1" type="noConversion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B36" sqref="B36"/>
    </sheetView>
  </sheetViews>
  <sheetFormatPr defaultRowHeight="13.5"/>
  <cols>
    <col min="1" max="1" width="26.5" style="12" customWidth="1"/>
    <col min="2" max="3" width="20.625" style="12" customWidth="1"/>
  </cols>
  <sheetData>
    <row r="1" spans="1:3" ht="24.95" customHeight="1">
      <c r="A1" s="130" t="s">
        <v>301</v>
      </c>
      <c r="B1" s="131"/>
      <c r="C1" s="131"/>
    </row>
    <row r="2" spans="1:3" ht="20.100000000000001" customHeight="1">
      <c r="A2" s="82"/>
      <c r="B2" s="98"/>
      <c r="C2" s="98"/>
    </row>
    <row r="3" spans="1:3" s="13" customFormat="1" ht="30" customHeight="1">
      <c r="A3" s="85" t="s">
        <v>167</v>
      </c>
      <c r="B3" s="87" t="s">
        <v>302</v>
      </c>
      <c r="C3" s="87" t="s">
        <v>169</v>
      </c>
    </row>
    <row r="4" spans="1:3" s="13" customFormat="1" ht="30" customHeight="1">
      <c r="A4" s="83" t="s">
        <v>1</v>
      </c>
      <c r="B4" s="85">
        <v>197964</v>
      </c>
      <c r="C4" s="84">
        <f t="shared" ref="C4" si="0">B4*3</f>
        <v>593892</v>
      </c>
    </row>
    <row r="5" spans="1:3" s="13" customFormat="1" ht="30" customHeight="1">
      <c r="A5" s="81" t="s">
        <v>168</v>
      </c>
      <c r="B5" s="86">
        <f>SUM(B4:B4)</f>
        <v>197964</v>
      </c>
      <c r="C5" s="84">
        <f>SUM(C4:C4)</f>
        <v>593892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A6" sqref="A6:XFD8"/>
    </sheetView>
  </sheetViews>
  <sheetFormatPr defaultColWidth="9" defaultRowHeight="13.5"/>
  <cols>
    <col min="1" max="1" width="20.875" style="9" customWidth="1"/>
    <col min="2" max="2" width="35" style="9" customWidth="1"/>
    <col min="3" max="3" width="12.75" style="9" customWidth="1"/>
    <col min="4" max="4" width="14.75" style="9" customWidth="1"/>
    <col min="5" max="5" width="16" style="9" customWidth="1"/>
    <col min="6" max="16384" width="9" style="9"/>
  </cols>
  <sheetData>
    <row r="1" spans="1:5" s="88" customFormat="1" ht="25.5">
      <c r="A1" s="132" t="s">
        <v>281</v>
      </c>
      <c r="B1" s="133"/>
      <c r="C1" s="133"/>
      <c r="D1" s="134"/>
      <c r="E1" s="134"/>
    </row>
    <row r="2" spans="1:5" s="8" customFormat="1" ht="20.25">
      <c r="A2" s="135" t="s">
        <v>283</v>
      </c>
      <c r="B2" s="136"/>
      <c r="C2" s="136"/>
      <c r="D2" s="136"/>
      <c r="E2" s="136"/>
    </row>
    <row r="3" spans="1:5" s="15" customFormat="1" ht="20.100000000000001" customHeight="1">
      <c r="A3" s="14" t="s">
        <v>167</v>
      </c>
      <c r="B3" s="14" t="s">
        <v>178</v>
      </c>
      <c r="C3" s="14" t="s">
        <v>282</v>
      </c>
      <c r="D3" s="14" t="s">
        <v>303</v>
      </c>
      <c r="E3" s="14" t="s">
        <v>304</v>
      </c>
    </row>
    <row r="4" spans="1:5" s="15" customFormat="1" ht="20.100000000000001" customHeight="1">
      <c r="A4" s="14" t="s">
        <v>180</v>
      </c>
      <c r="B4" s="110" t="s">
        <v>181</v>
      </c>
      <c r="C4" s="110" t="s">
        <v>277</v>
      </c>
      <c r="D4" s="14">
        <v>15209.33</v>
      </c>
      <c r="E4" s="109">
        <f t="shared" ref="E4:E5" si="0">ROUND(D4*1.1,2)</f>
        <v>16730.259999999998</v>
      </c>
    </row>
    <row r="5" spans="1:5" s="15" customFormat="1" ht="20.100000000000001" customHeight="1">
      <c r="A5" s="14" t="s">
        <v>305</v>
      </c>
      <c r="B5" s="111"/>
      <c r="C5" s="111"/>
      <c r="D5" s="14">
        <f>SUM(D4:D4)</f>
        <v>15209.33</v>
      </c>
      <c r="E5" s="109">
        <f t="shared" si="0"/>
        <v>16730.259999999998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龙柏一幼雨林分园维修</vt:lpstr>
      <vt:lpstr>颛桥镇</vt:lpstr>
      <vt:lpstr>基本支出</vt:lpstr>
      <vt:lpstr>社区教育</vt:lpstr>
      <vt:lpstr>残疾就业保障</vt:lpstr>
      <vt:lpstr>龙柏一幼雨林分园维修!Print_Area</vt:lpstr>
      <vt:lpstr>龙柏一幼雨林分园维修!Print_Titles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2025-11-19T08:08:23Z</cp:lastPrinted>
  <dcterms:created xsi:type="dcterms:W3CDTF">2022-11-10T02:18:00Z</dcterms:created>
  <dcterms:modified xsi:type="dcterms:W3CDTF">2026-02-10T02:14:46Z</dcterms:modified>
</cp:coreProperties>
</file>