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颛桥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79" i="62"/>
  <c r="J78"/>
  <c r="J77"/>
  <c r="J76"/>
  <c r="J75"/>
  <c r="J74"/>
  <c r="J73"/>
  <c r="J72"/>
  <c r="J71"/>
  <c r="J70"/>
  <c r="J69"/>
  <c r="J68"/>
  <c r="J67"/>
  <c r="J66"/>
  <c r="J65"/>
  <c r="J63"/>
  <c r="J62"/>
  <c r="J61"/>
  <c r="J60"/>
  <c r="J59"/>
  <c r="J58"/>
  <c r="J57"/>
  <c r="J56"/>
  <c r="J55"/>
  <c r="J54"/>
  <c r="J53"/>
  <c r="J52"/>
  <c r="J51"/>
  <c r="J50"/>
  <c r="J49"/>
  <c r="J48"/>
  <c r="J46"/>
  <c r="J45"/>
  <c r="J44"/>
  <c r="J43"/>
  <c r="J42"/>
  <c r="J41"/>
  <c r="J40"/>
  <c r="J39"/>
  <c r="J38"/>
  <c r="J37"/>
  <c r="J36"/>
  <c r="J35"/>
  <c r="J34"/>
  <c r="J33"/>
  <c r="J32"/>
  <c r="J30"/>
  <c r="J29"/>
  <c r="J27"/>
  <c r="J26"/>
  <c r="J28" s="1"/>
  <c r="J24"/>
  <c r="J23"/>
  <c r="J22"/>
  <c r="J21"/>
  <c r="J20"/>
  <c r="J19"/>
  <c r="J18"/>
  <c r="J17"/>
  <c r="J16"/>
  <c r="J14"/>
  <c r="J13"/>
  <c r="J12"/>
  <c r="J11"/>
  <c r="J10"/>
  <c r="J9"/>
  <c r="J8"/>
  <c r="J7"/>
  <c r="J6"/>
  <c r="J5"/>
  <c r="J4"/>
  <c r="J31" l="1"/>
  <c r="J15"/>
  <c r="J25"/>
  <c r="J64"/>
  <c r="J80"/>
  <c r="J47"/>
  <c r="C5" i="61"/>
  <c r="J81" i="62" l="1"/>
  <c r="C110" i="60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<sst xmlns="http://schemas.openxmlformats.org/spreadsheetml/2006/main" count="3387" uniqueCount="735">
  <si>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</si>
  <si>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</si>
  <si>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</si>
  <si>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</si>
  <si>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</si>
  <si>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</si>
  <si>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</si>
  <si>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</si>
  <si>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</si>
  <si>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</si>
  <si>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</si>
  <si>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</si>
  <si>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</si>
  <si>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</si>
  <si>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</si>
  <si>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</si>
  <si>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</si>
  <si>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</si>
  <si>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</si>
  <si>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</si>
  <si>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</si>
  <si>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</si>
  <si>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</si>
  <si>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</si>
  <si>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</si>
  <si>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</si>
  <si>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</si>
  <si>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</si>
  <si>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</si>
  <si>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</si>
  <si>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</si>
  <si>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</si>
  <si>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</si>
  <si>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</si>
  <si>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</si>
  <si>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</si>
  <si>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</si>
  <si>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</si>
  <si>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</si>
  <si>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</si>
  <si>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</si>
  <si>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</si>
  <si>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</si>
  <si>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</si>
  <si>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</si>
  <si>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</si>
  <si>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</si>
  <si>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</si>
  <si>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</si>
  <si>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</si>
  <si>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</si>
  <si>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</si>
  <si>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</si>
  <si>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</si>
  <si>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</si>
  <si>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</si>
  <si>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</si>
  <si>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</si>
  <si>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</si>
  <si>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</si>
  <si>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</si>
  <si>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</si>
  <si>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</si>
  <si>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</si>
  <si>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</si>
  <si>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</si>
  <si>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</si>
  <si>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</si>
  <si>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</si>
  <si>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</si>
  <si>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</si>
  <si>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</si>
  <si>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</si>
  <si>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</si>
  <si>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</si>
  <si>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</si>
  <si>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</si>
  <si>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</si>
  <si>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</si>
  <si>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</si>
  <si>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</si>
  <si>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</si>
  <si>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</si>
  <si>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</si>
  <si>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</si>
  <si>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</si>
  <si>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</si>
  <si>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</si>
  <si>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</si>
  <si>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</si>
  <si>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</si>
  <si>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</si>
  <si>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</si>
  <si>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</si>
  <si>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</si>
  <si>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</si>
  <si>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</si>
  <si>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</si>
  <si>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</si>
  <si>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</si>
  <si>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</si>
  <si>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</si>
  <si>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</si>
  <si>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</si>
  <si>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</si>
  <si>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</si>
  <si>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</si>
  <si>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</si>
  <si>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</si>
  <si>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</si>
  <si>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</si>
  <si>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</si>
  <si>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</si>
  <si>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</si>
  <si>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</si>
  <si>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</si>
  <si>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</si>
  <si>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</si>
  <si>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</si>
  <si>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</si>
  <si>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</si>
  <si>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</si>
  <si>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</si>
  <si>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</si>
  <si>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</si>
  <si>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</si>
  <si>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</si>
  <si>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</si>
  <si>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</si>
  <si>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</si>
  <si>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</si>
  <si>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</si>
  <si>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</si>
  <si>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</si>
  <si>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</si>
  <si>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</si>
  <si>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</si>
  <si>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</si>
  <si>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</si>
  <si>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</si>
  <si>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</si>
  <si>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</si>
  <si>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</si>
  <si>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</si>
  <si>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</si>
  <si>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</si>
  <si>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</si>
  <si>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</si>
  <si>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</si>
  <si>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</si>
  <si>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</si>
  <si>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</si>
  <si>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</si>
  <si>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</si>
  <si>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</si>
  <si>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</si>
  <si>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</si>
  <si>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</si>
  <si>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</si>
  <si>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</si>
  <si>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</si>
  <si>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</si>
  <si>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</si>
  <si>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</si>
  <si>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</si>
  <si>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</si>
  <si>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</si>
  <si>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</si>
  <si>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</si>
  <si>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</si>
  <si>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</si>
  <si>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</si>
  <si>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</si>
  <si>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</si>
  <si>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</si>
  <si>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</si>
  <si>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</si>
  <si>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</si>
  <si>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</si>
  <si>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</si>
  <si>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</si>
  <si>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</si>
  <si>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</si>
  <si>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</si>
  <si>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</si>
  <si>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</si>
  <si>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</si>
  <si>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</si>
  <si>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</si>
  <si>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</si>
  <si>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</si>
  <si>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</si>
  <si>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</si>
  <si>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</si>
  <si>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</si>
  <si>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</si>
  <si>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</si>
  <si>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</si>
  <si>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</si>
  <si>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</si>
  <si>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</si>
  <si>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</si>
  <si>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</si>
  <si>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</si>
  <si>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</si>
  <si>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</si>
  <si>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</si>
  <si>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</si>
  <si>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</si>
  <si>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</si>
  <si>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</si>
  <si>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</si>
  <si>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</si>
  <si>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</si>
  <si>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</si>
  <si>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</si>
  <si>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</si>
  <si>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</si>
  <si>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</si>
  <si>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</si>
  <si>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</si>
  <si>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</si>
  <si>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</si>
  <si>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</si>
  <si>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</si>
  <si>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</si>
  <si>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</si>
  <si>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</si>
  <si>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</si>
  <si>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</si>
  <si>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</si>
  <si>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</si>
  <si>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</si>
  <si>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</si>
  <si>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</si>
  <si>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</si>
  <si>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</si>
  <si>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</si>
  <si>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</si>
  <si>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</si>
  <si>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</si>
  <si>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</si>
  <si>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</si>
  <si>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</si>
  <si>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</si>
  <si>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</si>
  <si>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</si>
  <si>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</si>
  <si>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</si>
  <si>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</si>
  <si>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</si>
  <si>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</si>
  <si>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</si>
  <si>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</si>
  <si>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</si>
  <si>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</si>
  <si>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</si>
  <si>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</si>
  <si>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</si>
  <si>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</si>
  <si>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</si>
  <si>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</si>
  <si>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</si>
  <si>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</si>
  <si>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</si>
  <si>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</si>
  <si>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</si>
  <si>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</si>
  <si>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</si>
  <si>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</si>
  <si>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</si>
  <si>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</si>
  <si>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</si>
  <si>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</si>
  <si>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</si>
  <si>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</si>
  <si>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</si>
  <si>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</si>
  <si>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</si>
  <si>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</si>
  <si>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</si>
  <si>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</si>
  <si>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</si>
  <si>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</si>
  <si>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</si>
  <si>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</si>
  <si>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</si>
  <si>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</si>
  <si>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</si>
  <si>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</si>
  <si>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</si>
  <si>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</si>
  <si>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</si>
  <si>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</si>
  <si>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</si>
  <si>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</si>
  <si>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</si>
  <si>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</si>
  <si>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</si>
  <si>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</si>
  <si>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</si>
  <si>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</si>
  <si>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</si>
  <si>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</si>
  <si>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</si>
  <si>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</si>
  <si>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</si>
  <si>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</si>
  <si>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</si>
  <si>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</si>
  <si>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</si>
  <si>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</si>
  <si>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</si>
  <si>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</si>
  <si>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</si>
  <si>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</si>
  <si>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</si>
  <si>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</si>
  <si>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</si>
  <si>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</si>
  <si>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</si>
  <si>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</si>
  <si>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</si>
  <si>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</si>
  <si>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</si>
  <si>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</si>
  <si>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</si>
  <si>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</si>
  <si>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</si>
  <si>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</si>
  <si>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</si>
  <si>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</si>
  <si>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</si>
  <si>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</si>
  <si>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</si>
  <si>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</si>
  <si>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</si>
  <si>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</si>
  <si>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</si>
  <si>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</si>
  <si>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</si>
  <si>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</si>
  <si>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</si>
  <si>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</si>
  <si>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</si>
  <si>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</si>
  <si>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</si>
  <si>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</si>
  <si>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</si>
  <si>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</si>
  <si>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</si>
  <si>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</si>
  <si>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</si>
  <si>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</si>
  <si>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</si>
  <si>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</si>
  <si>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</si>
  <si>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</si>
  <si>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</si>
  <si>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</si>
  <si>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</si>
  <si>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</si>
  <si>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</si>
  <si>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</si>
  <si>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</si>
  <si>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</si>
  <si>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</si>
  <si>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</si>
  <si>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</si>
  <si>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</si>
  <si>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</si>
  <si>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</si>
  <si>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</si>
  <si>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</si>
  <si>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</si>
  <si>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</si>
  <si>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</si>
  <si>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</si>
  <si>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</si>
  <si>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</si>
  <si>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</si>
  <si>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</si>
  <si>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</si>
  <si>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</si>
  <si>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</si>
  <si>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</si>
  <si>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</si>
  <si>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</si>
  <si>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</si>
  <si>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</si>
  <si>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</si>
  <si>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</si>
  <si>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</si>
  <si>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</si>
  <si>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</si>
  <si>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</si>
  <si>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</si>
  <si>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</si>
  <si>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</si>
  <si>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</si>
  <si>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</si>
  <si>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</si>
  <si>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</si>
  <si>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</si>
  <si>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</si>
  <si>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</si>
  <si>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</si>
  <si>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</si>
  <si>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</si>
  <si>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</si>
  <si>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</si>
  <si>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</si>
  <si>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</si>
  <si>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</si>
  <si>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</si>
  <si>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</si>
  <si>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</si>
  <si>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</si>
  <si>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</si>
  <si>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</si>
  <si>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</si>
  <si>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</si>
  <si>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</si>
  <si>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</si>
  <si>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</si>
  <si>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</si>
  <si>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</si>
  <si>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</si>
  <si>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</si>
  <si>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</si>
  <si>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</si>
  <si>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</si>
  <si>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</si>
  <si>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</si>
  <si>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</si>
  <si>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</si>
  <si>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</si>
  <si>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</si>
  <si>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</si>
  <si>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</si>
  <si>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</si>
  <si>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</si>
  <si>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</si>
  <si>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</si>
  <si>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</si>
  <si>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</si>
  <si>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</si>
  <si>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</si>
  <si>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</si>
  <si>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</si>
  <si>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</si>
  <si>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</si>
  <si>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</si>
  <si>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</si>
  <si>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</si>
  <si>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</si>
  <si>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</si>
  <si>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</si>
  <si>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</si>
  <si>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</si>
  <si>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</si>
  <si>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</si>
  <si>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</si>
  <si>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</si>
  <si>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</si>
  <si>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</si>
  <si>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</si>
  <si>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</si>
  <si>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</si>
  <si>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</si>
  <si>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</si>
  <si>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</si>
  <si>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</si>
  <si>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</si>
  <si>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</si>
  <si>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</si>
  <si>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</si>
  <si>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</si>
  <si>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</si>
  <si>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</si>
  <si>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</si>
  <si>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</si>
  <si>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</si>
  <si>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</si>
  <si>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</si>
  <si>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</si>
  <si>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</si>
  <si>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</si>
  <si>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</si>
  <si>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</si>
  <si>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</si>
  <si>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</si>
  <si>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</si>
  <si>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</si>
  <si>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</si>
  <si>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</si>
  <si>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</si>
  <si>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</si>
  <si>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</si>
  <si>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</si>
  <si>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</si>
  <si>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</si>
  <si>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</si>
  <si>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</si>
  <si>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</si>
  <si>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</si>
  <si>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</si>
  <si>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</si>
  <si>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</si>
  <si>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</si>
  <si>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</si>
  <si>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</si>
  <si>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</si>
  <si>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</si>
  <si>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</si>
  <si>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</si>
  <si>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</si>
  <si>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</si>
  <si>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</si>
  <si>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</si>
  <si>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</si>
  <si>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</si>
  <si>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</si>
  <si>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</si>
  <si>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</si>
  <si>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</si>
  <si>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</si>
  <si>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</si>
  <si>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</si>
  <si>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</si>
  <si>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</si>
  <si>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</si>
  <si>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</si>
  <si>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</si>
  <si>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</si>
  <si>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</si>
  <si>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</si>
  <si>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</si>
  <si>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</si>
  <si>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</si>
  <si>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</si>
  <si>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</si>
  <si>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</si>
  <si>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</si>
  <si>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</si>
  <si>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</si>
  <si>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</si>
  <si>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</si>
  <si>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</si>
  <si>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</si>
  <si>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</si>
  <si>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</si>
  <si>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</si>
  <si>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</si>
  <si>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</si>
  <si>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</si>
  <si>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</si>
  <si>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</si>
  <si>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</si>
  <si>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</si>
  <si>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</si>
  <si>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</si>
  <si>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</si>
  <si>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</si>
  <si>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</si>
  <si>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</si>
  <si>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</si>
  <si>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</si>
  <si>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</si>
  <si>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</si>
  <si>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</si>
  <si>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</si>
  <si>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</si>
  <si>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</si>
  <si>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</si>
  <si>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</si>
  <si>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</si>
  <si>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</si>
  <si>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</si>
  <si>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</si>
  <si>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</si>
  <si>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</si>
  <si>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</si>
  <si>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</si>
  <si>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</si>
  <si>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</si>
  <si>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</si>
  <si>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</si>
  <si>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</si>
  <si>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</si>
  <si>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</si>
  <si>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</si>
  <si>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</si>
  <si>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</si>
  <si>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</si>
  <si>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</si>
  <si>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</si>
  <si>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</si>
  <si>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</si>
  <si>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</si>
  <si>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</si>
  <si>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</si>
  <si>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</si>
  <si>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</si>
  <si>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</si>
  <si>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</si>
  <si>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</si>
  <si>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</si>
  <si>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</si>
  <si>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</si>
  <si>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</si>
  <si>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</si>
  <si>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</si>
  <si>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</si>
  <si>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</si>
  <si>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</si>
  <si>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</si>
  <si>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</si>
  <si>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</si>
  <si>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</si>
  <si>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</si>
  <si>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</si>
  <si>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</si>
  <si>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</si>
  <si>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</si>
  <si>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</si>
  <si>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</si>
  <si>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</si>
  <si>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</si>
  <si>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</si>
  <si>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</si>
  <si>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</si>
  <si>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</si>
  <si>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</si>
  <si>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</si>
  <si>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</si>
  <si>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</si>
  <si>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</si>
  <si>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</si>
  <si>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</si>
  <si>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</si>
  <si>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</si>
  <si>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</si>
  <si>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</si>
  <si>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</si>
  <si>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</si>
  <si>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</si>
  <si>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</si>
  <si>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</si>
  <si>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</si>
  <si>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</si>
  <si>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</si>
  <si>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</si>
  <si>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</si>
  <si>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</si>
  <si>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</si>
  <si>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</si>
  <si>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</si>
  <si>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</si>
  <si>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</si>
  <si>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</si>
  <si>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</si>
  <si>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</si>
  <si>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</si>
  <si>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</si>
  <si>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</si>
  <si>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</si>
  <si>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</si>
  <si>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</si>
  <si>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</si>
  <si>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</si>
  <si>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</si>
  <si>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</si>
  <si>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</si>
  <si>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</si>
  <si>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</si>
  <si>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</si>
  <si>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</si>
  <si>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2026年镇属学校党建经费项目年初预算表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</si>
  <si>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</si>
  <si>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</si>
  <si>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</si>
  <si>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</si>
  <si>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颛桥镇：</t>
    <phoneticPr fontId="3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</si>
  <si>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</si>
  <si>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</si>
  <si>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</si>
  <si>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镇属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</si>
  <si>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</si>
  <si>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</si>
  <si>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</si>
  <si>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</si>
  <si>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</si>
  <si>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</si>
  <si>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</si>
  <si>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</si>
  <si>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</si>
  <si>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</si>
  <si>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</si>
  <si>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</si>
  <si>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</si>
  <si>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</si>
  <si>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</si>
  <si>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</si>
  <si>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普通教室3匹空调</t>
  </si>
  <si>
    <t>小计</t>
  </si>
  <si>
    <t>推拉式书写板</t>
  </si>
  <si>
    <t>86寸及以上交互式智能平板一体机</t>
  </si>
  <si>
    <t>幼儿桌椅</t>
  </si>
  <si>
    <t>幼儿餐桌椅</t>
  </si>
  <si>
    <t>幼儿床</t>
  </si>
  <si>
    <t>幼儿衣帽橱</t>
  </si>
  <si>
    <t>幼儿饮水设备</t>
  </si>
  <si>
    <t>玩具柜</t>
  </si>
  <si>
    <t>教具设备</t>
  </si>
  <si>
    <t>桌面玩具</t>
  </si>
  <si>
    <t>台式计算机</t>
  </si>
  <si>
    <t>柜式空调3P</t>
  </si>
  <si>
    <t>柜式空调5P</t>
  </si>
  <si>
    <t>65寸及以上交互式一体机</t>
  </si>
  <si>
    <t>电器设备</t>
  </si>
  <si>
    <t>热水器</t>
  </si>
  <si>
    <t>洗衣机</t>
  </si>
  <si>
    <t>2026年镇管续扩班设备</t>
  </si>
  <si>
    <t>办公橱</t>
  </si>
  <si>
    <t>便携计算机</t>
  </si>
  <si>
    <t>教室5匹空调吸顶机</t>
  </si>
  <si>
    <t>教学楼卷帘</t>
  </si>
  <si>
    <t>教学楼布帘</t>
  </si>
  <si>
    <t>教学楼纱帘</t>
  </si>
  <si>
    <t>钢琴</t>
  </si>
  <si>
    <t>吸顶空调3P</t>
  </si>
  <si>
    <t>吸顶空调5P</t>
  </si>
  <si>
    <t>便携式计算机</t>
  </si>
  <si>
    <t>颛桥镇合计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</si>
</sst>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  <font>
      <sz val="10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5" fillId="2" borderId="9" xfId="57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0" fontId="33" fillId="2" borderId="9" xfId="24" applyNumberFormat="1" applyFont="1" applyFill="1" applyBorder="1" applyAlignment="1">
      <alignment horizontal="left" vertical="center" wrapText="1"/>
    </xf>
    <xf numFmtId="0" fontId="33" fillId="2" borderId="9" xfId="57" applyFont="1" applyFill="1" applyBorder="1" applyAlignment="1">
      <alignment horizontal="left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0" fontId="69" fillId="2" borderId="9" xfId="0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center" vertical="center" wrapText="1"/>
    </xf>
    <xf numFmtId="0" fontId="69" fillId="2" borderId="9" xfId="13" applyNumberFormat="1" applyFont="1" applyFill="1" applyBorder="1" applyAlignment="1">
      <alignment horizontal="left" vertical="center" wrapText="1"/>
    </xf>
    <xf numFmtId="0" fontId="69" fillId="2" borderId="9" xfId="0" applyFont="1" applyFill="1" applyBorder="1" applyAlignment="1">
      <alignment horizontal="left" vertical="center" wrapText="1"/>
    </xf>
    <xf numFmtId="178" fontId="69" fillId="2" borderId="9" xfId="13" applyNumberFormat="1" applyFont="1" applyFill="1" applyBorder="1" applyAlignment="1">
      <alignment vertical="center" wrapText="1"/>
    </xf>
    <xf numFmtId="177" fontId="69" fillId="2" borderId="9" xfId="24" applyNumberFormat="1" applyFont="1" applyFill="1" applyBorder="1" applyAlignment="1">
      <alignment vertical="center" wrapText="1"/>
    </xf>
    <xf numFmtId="0" fontId="69" fillId="2" borderId="9" xfId="57" applyFont="1" applyFill="1" applyBorder="1" applyAlignment="1">
      <alignment horizontal="left" vertical="center" wrapText="1"/>
    </xf>
    <xf numFmtId="0" fontId="67" fillId="2" borderId="9" xfId="13" applyNumberFormat="1" applyFont="1" applyFill="1" applyBorder="1" applyAlignment="1">
      <alignment horizontal="center" vertical="center" wrapText="1"/>
    </xf>
    <xf numFmtId="176" fontId="67" fillId="2" borderId="9" xfId="24" applyNumberFormat="1" applyFont="1" applyFill="1" applyBorder="1" applyAlignment="1">
      <alignment horizontal="left" vertical="center" wrapText="1"/>
    </xf>
    <xf numFmtId="0" fontId="67" fillId="2" borderId="9" xfId="24" applyNumberFormat="1" applyFont="1" applyFill="1" applyBorder="1" applyAlignment="1">
      <alignment horizontal="left" vertical="center" wrapText="1"/>
    </xf>
    <xf numFmtId="0" fontId="67" fillId="2" borderId="9" xfId="57" applyFont="1" applyFill="1" applyBorder="1" applyAlignment="1">
      <alignment horizontal="left" vertical="center" wrapText="1"/>
    </xf>
    <xf numFmtId="178" fontId="67" fillId="2" borderId="9" xfId="13" applyNumberFormat="1" applyFont="1" applyFill="1" applyBorder="1" applyAlignment="1">
      <alignment vertical="center" wrapText="1"/>
    </xf>
    <xf numFmtId="177" fontId="67" fillId="2" borderId="9" xfId="24" applyNumberFormat="1" applyFont="1" applyFill="1" applyBorder="1" applyAlignment="1">
      <alignment vertical="center" wrapText="1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0" fontId="69" fillId="2" borderId="9" xfId="24" applyNumberFormat="1" applyFont="1" applyFill="1" applyBorder="1" applyAlignment="1">
      <alignment horizontal="left" vertical="center" wrapText="1"/>
    </xf>
    <xf numFmtId="0" fontId="69" fillId="2" borderId="9" xfId="57" applyFont="1" applyFill="1" applyBorder="1" applyAlignment="1">
      <alignment vertical="center" wrapText="1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5" customWidth="1"/>
    <col min="2" max="2" width="38.375" style="55" customWidth="1"/>
    <col min="3" max="3" width="17.375" style="55" customWidth="1"/>
    <col min="4" max="4" width="21.875" style="55" customWidth="1"/>
    <col min="5" max="5" width="20.875" style="55" customWidth="1"/>
    <col min="6" max="16384" width="9" style="55"/>
  </cols>
  <sheetData>
    <row r="1" spans="1:5" s="47" customFormat="1" ht="30" customHeight="1">
      <c r="A1" s="345" t="s">
        <v>663</v>
      </c>
      <c r="B1" s="346"/>
      <c r="C1" s="346"/>
      <c r="D1" s="347"/>
      <c r="E1" s="347"/>
    </row>
    <row r="2" spans="1:5" s="48" customFormat="1" ht="30" customHeight="1">
      <c r="A2" s="348" t="s">
        <v>659</v>
      </c>
      <c r="B2" s="349"/>
      <c r="C2" s="349"/>
      <c r="D2" s="349"/>
      <c r="E2" s="349"/>
    </row>
    <row r="3" spans="1:5" s="25" customFormat="1" ht="18.95" customHeight="1">
      <c r="A3" s="24" t="s">
        <v>224</v>
      </c>
      <c r="B3" s="24" t="s">
        <v>225</v>
      </c>
      <c r="C3" s="24" t="s">
        <v>226</v>
      </c>
      <c r="D3" s="24" t="s">
        <v>227</v>
      </c>
      <c r="E3" s="24" t="s">
        <v>228</v>
      </c>
    </row>
    <row r="4" spans="1:5" s="25" customFormat="1" ht="18.95" customHeight="1">
      <c r="A4" s="24" t="s">
        <v>194</v>
      </c>
      <c r="B4" s="49" t="s">
        <v>229</v>
      </c>
      <c r="C4" s="49" t="s">
        <v>230</v>
      </c>
      <c r="D4" s="24">
        <v>193683.31</v>
      </c>
      <c r="E4" s="50">
        <f>ROUND(D4*1.1,2)</f>
        <v>213051.64</v>
      </c>
    </row>
    <row r="5" spans="1:5" s="25" customFormat="1" ht="18.95" customHeight="1">
      <c r="A5" s="24" t="s">
        <v>194</v>
      </c>
      <c r="B5" s="49" t="s">
        <v>231</v>
      </c>
      <c r="C5" s="49" t="s">
        <v>230</v>
      </c>
      <c r="D5" s="24">
        <v>131951.76999999999</v>
      </c>
      <c r="E5" s="50">
        <f t="shared" ref="E5:E63" si="0">ROUND(D5*1.1,2)</f>
        <v>145146.95000000001</v>
      </c>
    </row>
    <row r="6" spans="1:5" s="25" customFormat="1" ht="18.95" customHeight="1">
      <c r="A6" s="24" t="s">
        <v>194</v>
      </c>
      <c r="B6" s="49" t="s">
        <v>232</v>
      </c>
      <c r="C6" s="49" t="s">
        <v>230</v>
      </c>
      <c r="D6" s="24">
        <v>74522.509999999995</v>
      </c>
      <c r="E6" s="50">
        <f t="shared" si="0"/>
        <v>81974.759999999995</v>
      </c>
    </row>
    <row r="7" spans="1:5" s="25" customFormat="1" ht="18.95" customHeight="1">
      <c r="A7" s="24" t="s">
        <v>233</v>
      </c>
      <c r="B7" s="49"/>
      <c r="C7" s="49"/>
      <c r="D7" s="24">
        <f>SUM(D4:D6)</f>
        <v>400157.58999999997</v>
      </c>
      <c r="E7" s="50">
        <f>SUM(E4:E6)</f>
        <v>440173.35000000003</v>
      </c>
    </row>
    <row r="8" spans="1:5" s="25" customFormat="1" ht="18.95" customHeight="1">
      <c r="A8" s="24" t="s">
        <v>234</v>
      </c>
      <c r="B8" s="51" t="s">
        <v>78</v>
      </c>
      <c r="C8" s="51" t="s">
        <v>235</v>
      </c>
      <c r="D8" s="24">
        <v>208304.27</v>
      </c>
      <c r="E8" s="50">
        <f t="shared" si="0"/>
        <v>229134.7</v>
      </c>
    </row>
    <row r="9" spans="1:5" s="25" customFormat="1" ht="18.95" customHeight="1">
      <c r="A9" s="24" t="s">
        <v>2</v>
      </c>
      <c r="B9" s="107" t="s">
        <v>424</v>
      </c>
      <c r="C9" s="51" t="s">
        <v>230</v>
      </c>
      <c r="D9" s="24">
        <v>147012.75</v>
      </c>
      <c r="E9" s="50">
        <v>0</v>
      </c>
    </row>
    <row r="10" spans="1:5" s="25" customFormat="1" ht="18.95" customHeight="1">
      <c r="A10" s="24" t="s">
        <v>234</v>
      </c>
      <c r="B10" s="49" t="s">
        <v>236</v>
      </c>
      <c r="C10" s="51" t="s">
        <v>230</v>
      </c>
      <c r="D10" s="24">
        <f>100267.45+43832.26</f>
        <v>144099.71</v>
      </c>
      <c r="E10" s="50">
        <f t="shared" si="0"/>
        <v>158509.68</v>
      </c>
    </row>
    <row r="11" spans="1:5" s="25" customFormat="1" ht="18.95" customHeight="1">
      <c r="A11" s="24" t="s">
        <v>237</v>
      </c>
      <c r="B11" s="51"/>
      <c r="C11" s="51"/>
      <c r="D11" s="24">
        <f>SUM(D8:D10)</f>
        <v>499416.73</v>
      </c>
      <c r="E11" s="50">
        <f>SUM(E8:E10)</f>
        <v>387644.38</v>
      </c>
    </row>
    <row r="12" spans="1:5" s="25" customFormat="1" ht="18.95" customHeight="1">
      <c r="A12" s="24" t="s">
        <v>238</v>
      </c>
      <c r="B12" s="52" t="s">
        <v>84</v>
      </c>
      <c r="C12" s="52" t="s">
        <v>239</v>
      </c>
      <c r="D12" s="24">
        <v>924669.67</v>
      </c>
      <c r="E12" s="50">
        <f t="shared" si="0"/>
        <v>1017136.64</v>
      </c>
    </row>
    <row r="13" spans="1:5" s="25" customFormat="1" ht="18.95" customHeight="1">
      <c r="A13" s="24" t="s">
        <v>238</v>
      </c>
      <c r="B13" s="52" t="s">
        <v>87</v>
      </c>
      <c r="C13" s="52" t="s">
        <v>239</v>
      </c>
      <c r="D13" s="24">
        <v>309908.96999999997</v>
      </c>
      <c r="E13" s="50">
        <f t="shared" si="0"/>
        <v>340899.87</v>
      </c>
    </row>
    <row r="14" spans="1:5" s="25" customFormat="1" ht="18.95" customHeight="1">
      <c r="A14" s="24" t="s">
        <v>238</v>
      </c>
      <c r="B14" s="52" t="s">
        <v>85</v>
      </c>
      <c r="C14" s="52" t="s">
        <v>239</v>
      </c>
      <c r="D14" s="24">
        <v>254270.78</v>
      </c>
      <c r="E14" s="50">
        <f t="shared" si="0"/>
        <v>279697.86</v>
      </c>
    </row>
    <row r="15" spans="1:5" s="25" customFormat="1" ht="18.95" customHeight="1">
      <c r="A15" s="24" t="s">
        <v>238</v>
      </c>
      <c r="B15" s="52" t="s">
        <v>86</v>
      </c>
      <c r="C15" s="52" t="s">
        <v>239</v>
      </c>
      <c r="D15" s="24">
        <v>339627.28</v>
      </c>
      <c r="E15" s="50">
        <f t="shared" si="0"/>
        <v>373590.01</v>
      </c>
    </row>
    <row r="16" spans="1:5" s="25" customFormat="1" ht="18.95" customHeight="1">
      <c r="A16" s="24" t="s">
        <v>238</v>
      </c>
      <c r="B16" s="52" t="s">
        <v>82</v>
      </c>
      <c r="C16" s="52" t="s">
        <v>235</v>
      </c>
      <c r="D16" s="24">
        <v>1135887</v>
      </c>
      <c r="E16" s="50">
        <f t="shared" si="0"/>
        <v>1249475.7</v>
      </c>
    </row>
    <row r="17" spans="1:5" s="25" customFormat="1" ht="18.95" customHeight="1">
      <c r="A17" s="24" t="s">
        <v>238</v>
      </c>
      <c r="B17" s="52" t="s">
        <v>80</v>
      </c>
      <c r="C17" s="52" t="s">
        <v>235</v>
      </c>
      <c r="D17" s="24">
        <v>191124.42</v>
      </c>
      <c r="E17" s="50">
        <f t="shared" si="0"/>
        <v>210236.86</v>
      </c>
    </row>
    <row r="18" spans="1:5" s="25" customFormat="1" ht="18.95" customHeight="1">
      <c r="A18" s="24" t="s">
        <v>238</v>
      </c>
      <c r="B18" s="52" t="s">
        <v>83</v>
      </c>
      <c r="C18" s="52" t="s">
        <v>235</v>
      </c>
      <c r="D18" s="24">
        <v>436583.54</v>
      </c>
      <c r="E18" s="50">
        <f t="shared" si="0"/>
        <v>480241.89</v>
      </c>
    </row>
    <row r="19" spans="1:5" s="25" customFormat="1" ht="18.95" customHeight="1">
      <c r="A19" s="24" t="s">
        <v>238</v>
      </c>
      <c r="B19" s="52" t="s">
        <v>79</v>
      </c>
      <c r="C19" s="52" t="s">
        <v>235</v>
      </c>
      <c r="D19" s="24">
        <v>183019.23</v>
      </c>
      <c r="E19" s="50">
        <f t="shared" si="0"/>
        <v>201321.15</v>
      </c>
    </row>
    <row r="20" spans="1:5" s="25" customFormat="1" ht="18.95" customHeight="1">
      <c r="A20" s="24" t="s">
        <v>238</v>
      </c>
      <c r="B20" s="52" t="s">
        <v>81</v>
      </c>
      <c r="C20" s="52" t="s">
        <v>235</v>
      </c>
      <c r="D20" s="24">
        <v>417040.48</v>
      </c>
      <c r="E20" s="50">
        <f t="shared" si="0"/>
        <v>458744.53</v>
      </c>
    </row>
    <row r="21" spans="1:5" s="25" customFormat="1" ht="18.95" customHeight="1">
      <c r="A21" s="24" t="s">
        <v>238</v>
      </c>
      <c r="B21" s="49" t="s">
        <v>240</v>
      </c>
      <c r="C21" s="49" t="s">
        <v>230</v>
      </c>
      <c r="D21" s="24">
        <v>123145.57</v>
      </c>
      <c r="E21" s="50">
        <f t="shared" si="0"/>
        <v>135460.13</v>
      </c>
    </row>
    <row r="22" spans="1:5" s="25" customFormat="1" ht="18.95" customHeight="1">
      <c r="A22" s="24" t="s">
        <v>238</v>
      </c>
      <c r="B22" s="49" t="s">
        <v>241</v>
      </c>
      <c r="C22" s="49" t="s">
        <v>230</v>
      </c>
      <c r="D22" s="24">
        <v>134361.5</v>
      </c>
      <c r="E22" s="50">
        <f t="shared" si="0"/>
        <v>147797.65</v>
      </c>
    </row>
    <row r="23" spans="1:5" s="25" customFormat="1" ht="18.95" customHeight="1">
      <c r="A23" s="24" t="s">
        <v>238</v>
      </c>
      <c r="B23" s="49" t="s">
        <v>242</v>
      </c>
      <c r="C23" s="49" t="s">
        <v>230</v>
      </c>
      <c r="D23" s="24">
        <v>85637.52</v>
      </c>
      <c r="E23" s="50">
        <f t="shared" si="0"/>
        <v>94201.27</v>
      </c>
    </row>
    <row r="24" spans="1:5" s="25" customFormat="1" ht="18.95" customHeight="1">
      <c r="A24" s="24" t="s">
        <v>238</v>
      </c>
      <c r="B24" s="49" t="s">
        <v>243</v>
      </c>
      <c r="C24" s="49" t="s">
        <v>230</v>
      </c>
      <c r="D24" s="24">
        <v>116543.74</v>
      </c>
      <c r="E24" s="50">
        <f t="shared" si="0"/>
        <v>128198.11</v>
      </c>
    </row>
    <row r="25" spans="1:5" s="25" customFormat="1" ht="18.95" customHeight="1">
      <c r="A25" s="24" t="s">
        <v>238</v>
      </c>
      <c r="B25" s="49" t="s">
        <v>244</v>
      </c>
      <c r="C25" s="49" t="s">
        <v>230</v>
      </c>
      <c r="D25" s="24">
        <v>83917.19</v>
      </c>
      <c r="E25" s="50">
        <f t="shared" si="0"/>
        <v>92308.91</v>
      </c>
    </row>
    <row r="26" spans="1:5" s="25" customFormat="1" ht="18.95" customHeight="1">
      <c r="A26" s="24" t="s">
        <v>238</v>
      </c>
      <c r="B26" s="49" t="s">
        <v>245</v>
      </c>
      <c r="C26" s="49" t="s">
        <v>230</v>
      </c>
      <c r="D26" s="24">
        <v>53683.56</v>
      </c>
      <c r="E26" s="50">
        <f t="shared" si="0"/>
        <v>59051.92</v>
      </c>
    </row>
    <row r="27" spans="1:5" s="25" customFormat="1" ht="18.95" customHeight="1">
      <c r="A27" s="24" t="s">
        <v>238</v>
      </c>
      <c r="B27" s="49" t="s">
        <v>246</v>
      </c>
      <c r="C27" s="49" t="s">
        <v>230</v>
      </c>
      <c r="D27" s="24">
        <f>14121.14+283036.45</f>
        <v>297157.59000000003</v>
      </c>
      <c r="E27" s="50">
        <f t="shared" si="0"/>
        <v>326873.34999999998</v>
      </c>
    </row>
    <row r="28" spans="1:5" s="25" customFormat="1" ht="18.95" customHeight="1">
      <c r="A28" s="24" t="s">
        <v>238</v>
      </c>
      <c r="B28" s="49" t="s">
        <v>247</v>
      </c>
      <c r="C28" s="49" t="s">
        <v>230</v>
      </c>
      <c r="D28" s="24">
        <v>30792.94</v>
      </c>
      <c r="E28" s="50">
        <f t="shared" si="0"/>
        <v>33872.230000000003</v>
      </c>
    </row>
    <row r="29" spans="1:5" s="25" customFormat="1" ht="18.95" customHeight="1">
      <c r="A29" s="24" t="s">
        <v>238</v>
      </c>
      <c r="B29" s="49" t="s">
        <v>88</v>
      </c>
      <c r="C29" s="49" t="s">
        <v>248</v>
      </c>
      <c r="D29" s="24">
        <v>275780.02</v>
      </c>
      <c r="E29" s="50">
        <f t="shared" si="0"/>
        <v>303358.02</v>
      </c>
    </row>
    <row r="30" spans="1:5" s="25" customFormat="1" ht="18.95" customHeight="1">
      <c r="A30" s="24" t="s">
        <v>249</v>
      </c>
      <c r="B30" s="49"/>
      <c r="C30" s="49"/>
      <c r="D30" s="24">
        <f>SUM(D12:D29)</f>
        <v>5393151</v>
      </c>
      <c r="E30" s="50">
        <f t="shared" si="0"/>
        <v>5932466.0999999996</v>
      </c>
    </row>
    <row r="31" spans="1:5" s="25" customFormat="1" ht="18.95" customHeight="1">
      <c r="A31" s="24" t="s">
        <v>250</v>
      </c>
      <c r="B31" s="52" t="s">
        <v>96</v>
      </c>
      <c r="C31" s="52" t="s">
        <v>239</v>
      </c>
      <c r="D31" s="24">
        <v>274838.28999999998</v>
      </c>
      <c r="E31" s="50">
        <f t="shared" si="0"/>
        <v>302322.12</v>
      </c>
    </row>
    <row r="32" spans="1:5" s="25" customFormat="1" ht="18.95" customHeight="1">
      <c r="A32" s="24" t="s">
        <v>250</v>
      </c>
      <c r="B32" s="52" t="s">
        <v>94</v>
      </c>
      <c r="C32" s="52" t="s">
        <v>239</v>
      </c>
      <c r="D32" s="24">
        <v>276102.53999999998</v>
      </c>
      <c r="E32" s="50">
        <f t="shared" si="0"/>
        <v>303712.78999999998</v>
      </c>
    </row>
    <row r="33" spans="1:5" s="25" customFormat="1" ht="18.95" customHeight="1">
      <c r="A33" s="24" t="s">
        <v>250</v>
      </c>
      <c r="B33" s="49" t="s">
        <v>97</v>
      </c>
      <c r="C33" s="49" t="s">
        <v>248</v>
      </c>
      <c r="D33" s="24">
        <v>276047.02</v>
      </c>
      <c r="E33" s="50">
        <f t="shared" si="0"/>
        <v>303651.71999999997</v>
      </c>
    </row>
    <row r="34" spans="1:5" s="25" customFormat="1" ht="18.95" customHeight="1">
      <c r="A34" s="24" t="s">
        <v>250</v>
      </c>
      <c r="B34" s="52" t="s">
        <v>95</v>
      </c>
      <c r="C34" s="52" t="s">
        <v>239</v>
      </c>
      <c r="D34" s="24">
        <v>268267.24</v>
      </c>
      <c r="E34" s="50">
        <f t="shared" si="0"/>
        <v>295093.96000000002</v>
      </c>
    </row>
    <row r="35" spans="1:5" s="25" customFormat="1" ht="18.95" customHeight="1">
      <c r="A35" s="24" t="s">
        <v>250</v>
      </c>
      <c r="B35" s="49" t="s">
        <v>98</v>
      </c>
      <c r="C35" s="49" t="s">
        <v>248</v>
      </c>
      <c r="D35" s="24">
        <v>76843.02</v>
      </c>
      <c r="E35" s="50">
        <f t="shared" si="0"/>
        <v>84527.32</v>
      </c>
    </row>
    <row r="36" spans="1:5" s="25" customFormat="1" ht="18.95" customHeight="1">
      <c r="A36" s="24" t="s">
        <v>250</v>
      </c>
      <c r="B36" s="52" t="s">
        <v>90</v>
      </c>
      <c r="C36" s="52" t="s">
        <v>235</v>
      </c>
      <c r="D36" s="24">
        <v>298994.18</v>
      </c>
      <c r="E36" s="50">
        <f t="shared" si="0"/>
        <v>328893.59999999998</v>
      </c>
    </row>
    <row r="37" spans="1:5" s="25" customFormat="1" ht="18.95" customHeight="1">
      <c r="A37" s="24" t="s">
        <v>250</v>
      </c>
      <c r="B37" s="52" t="s">
        <v>89</v>
      </c>
      <c r="C37" s="52" t="s">
        <v>235</v>
      </c>
      <c r="D37" s="24">
        <v>263795.69</v>
      </c>
      <c r="E37" s="50">
        <f t="shared" si="0"/>
        <v>290175.26</v>
      </c>
    </row>
    <row r="38" spans="1:5" s="25" customFormat="1" ht="18.95" customHeight="1">
      <c r="A38" s="24" t="s">
        <v>250</v>
      </c>
      <c r="B38" s="52" t="s">
        <v>91</v>
      </c>
      <c r="C38" s="52" t="s">
        <v>235</v>
      </c>
      <c r="D38" s="24">
        <v>177473.63</v>
      </c>
      <c r="E38" s="50">
        <f t="shared" si="0"/>
        <v>195220.99</v>
      </c>
    </row>
    <row r="39" spans="1:5" s="25" customFormat="1" ht="18.95" customHeight="1">
      <c r="A39" s="24" t="s">
        <v>250</v>
      </c>
      <c r="B39" s="52" t="s">
        <v>92</v>
      </c>
      <c r="C39" s="52" t="s">
        <v>235</v>
      </c>
      <c r="D39" s="24">
        <v>283463.56</v>
      </c>
      <c r="E39" s="50">
        <f t="shared" si="0"/>
        <v>311809.91999999998</v>
      </c>
    </row>
    <row r="40" spans="1:5" s="25" customFormat="1" ht="18.95" customHeight="1">
      <c r="A40" s="24" t="s">
        <v>250</v>
      </c>
      <c r="B40" s="51" t="s">
        <v>251</v>
      </c>
      <c r="C40" s="51" t="s">
        <v>235</v>
      </c>
      <c r="D40" s="24">
        <v>202925.92</v>
      </c>
      <c r="E40" s="50">
        <f t="shared" si="0"/>
        <v>223218.51</v>
      </c>
    </row>
    <row r="41" spans="1:5" s="25" customFormat="1" ht="18.95" customHeight="1">
      <c r="A41" s="24" t="s">
        <v>250</v>
      </c>
      <c r="B41" s="49" t="s">
        <v>252</v>
      </c>
      <c r="C41" s="49" t="s">
        <v>230</v>
      </c>
      <c r="D41" s="24">
        <v>170452.59</v>
      </c>
      <c r="E41" s="50">
        <f t="shared" si="0"/>
        <v>187497.85</v>
      </c>
    </row>
    <row r="42" spans="1:5" s="25" customFormat="1" ht="18.95" customHeight="1">
      <c r="A42" s="24" t="s">
        <v>250</v>
      </c>
      <c r="B42" s="49" t="s">
        <v>253</v>
      </c>
      <c r="C42" s="49" t="s">
        <v>230</v>
      </c>
      <c r="D42" s="24">
        <v>185442.83</v>
      </c>
      <c r="E42" s="50">
        <f t="shared" si="0"/>
        <v>203987.11</v>
      </c>
    </row>
    <row r="43" spans="1:5" s="25" customFormat="1" ht="18.95" customHeight="1">
      <c r="A43" s="24" t="s">
        <v>250</v>
      </c>
      <c r="B43" s="49" t="s">
        <v>254</v>
      </c>
      <c r="C43" s="49" t="s">
        <v>230</v>
      </c>
      <c r="D43" s="24">
        <v>161768.26</v>
      </c>
      <c r="E43" s="50">
        <f t="shared" si="0"/>
        <v>177945.09</v>
      </c>
    </row>
    <row r="44" spans="1:5" s="25" customFormat="1" ht="18.95" customHeight="1">
      <c r="A44" s="24" t="s">
        <v>250</v>
      </c>
      <c r="B44" s="49" t="s">
        <v>255</v>
      </c>
      <c r="C44" s="49" t="s">
        <v>230</v>
      </c>
      <c r="D44" s="24">
        <v>56119.48</v>
      </c>
      <c r="E44" s="50">
        <f t="shared" si="0"/>
        <v>61731.43</v>
      </c>
    </row>
    <row r="45" spans="1:5" s="25" customFormat="1" ht="18.95" customHeight="1">
      <c r="A45" s="24" t="s">
        <v>250</v>
      </c>
      <c r="B45" s="49" t="s">
        <v>256</v>
      </c>
      <c r="C45" s="49" t="s">
        <v>230</v>
      </c>
      <c r="D45" s="24">
        <v>69282.89</v>
      </c>
      <c r="E45" s="50">
        <f t="shared" si="0"/>
        <v>76211.179999999993</v>
      </c>
    </row>
    <row r="46" spans="1:5" s="25" customFormat="1" ht="18.95" customHeight="1">
      <c r="A46" s="24" t="s">
        <v>250</v>
      </c>
      <c r="B46" s="49" t="s">
        <v>257</v>
      </c>
      <c r="C46" s="49" t="s">
        <v>230</v>
      </c>
      <c r="D46" s="24">
        <v>71718.95</v>
      </c>
      <c r="E46" s="50">
        <f t="shared" si="0"/>
        <v>78890.850000000006</v>
      </c>
    </row>
    <row r="47" spans="1:5" s="25" customFormat="1" ht="18.95" customHeight="1">
      <c r="A47" s="24" t="s">
        <v>250</v>
      </c>
      <c r="B47" s="49" t="s">
        <v>258</v>
      </c>
      <c r="C47" s="49" t="s">
        <v>230</v>
      </c>
      <c r="D47" s="24">
        <v>114132.01</v>
      </c>
      <c r="E47" s="50">
        <f t="shared" si="0"/>
        <v>125545.21</v>
      </c>
    </row>
    <row r="48" spans="1:5" s="25" customFormat="1" ht="18.95" customHeight="1">
      <c r="A48" s="24" t="s">
        <v>250</v>
      </c>
      <c r="B48" s="49" t="s">
        <v>259</v>
      </c>
      <c r="C48" s="49" t="s">
        <v>230</v>
      </c>
      <c r="D48" s="24">
        <v>113054.15</v>
      </c>
      <c r="E48" s="50">
        <f t="shared" si="0"/>
        <v>124359.57</v>
      </c>
    </row>
    <row r="49" spans="1:7" s="25" customFormat="1" ht="18.95" customHeight="1">
      <c r="A49" s="24" t="s">
        <v>260</v>
      </c>
      <c r="B49" s="49"/>
      <c r="C49" s="49"/>
      <c r="D49" s="24">
        <f>SUM(D31:D48)</f>
        <v>3340722.2499999995</v>
      </c>
      <c r="E49" s="50">
        <f>SUM(E31:E48)</f>
        <v>3674794.4799999995</v>
      </c>
    </row>
    <row r="50" spans="1:7" s="25" customFormat="1" ht="18.95" customHeight="1">
      <c r="A50" s="24" t="s">
        <v>198</v>
      </c>
      <c r="B50" s="51" t="s">
        <v>261</v>
      </c>
      <c r="C50" s="51" t="s">
        <v>239</v>
      </c>
      <c r="D50" s="24">
        <v>237285.37</v>
      </c>
      <c r="E50" s="50">
        <f t="shared" si="0"/>
        <v>261013.91</v>
      </c>
    </row>
    <row r="51" spans="1:7" s="25" customFormat="1" ht="18.95" customHeight="1">
      <c r="A51" s="24" t="s">
        <v>198</v>
      </c>
      <c r="B51" s="51" t="s">
        <v>262</v>
      </c>
      <c r="C51" s="51" t="s">
        <v>239</v>
      </c>
      <c r="D51" s="24">
        <v>236628.94</v>
      </c>
      <c r="E51" s="50">
        <f t="shared" si="0"/>
        <v>260291.83</v>
      </c>
      <c r="F51" s="53"/>
      <c r="G51" s="53"/>
    </row>
    <row r="52" spans="1:7" s="25" customFormat="1" ht="18.95" customHeight="1">
      <c r="A52" s="24" t="s">
        <v>198</v>
      </c>
      <c r="B52" s="51" t="s">
        <v>263</v>
      </c>
      <c r="C52" s="51" t="s">
        <v>239</v>
      </c>
      <c r="D52" s="24">
        <v>280064.95</v>
      </c>
      <c r="E52" s="50">
        <f t="shared" si="0"/>
        <v>308071.45</v>
      </c>
      <c r="F52" s="53"/>
      <c r="G52" s="53"/>
    </row>
    <row r="53" spans="1:7" s="25" customFormat="1" ht="18.95" customHeight="1">
      <c r="A53" s="24" t="s">
        <v>198</v>
      </c>
      <c r="B53" s="51" t="s">
        <v>264</v>
      </c>
      <c r="C53" s="51" t="s">
        <v>235</v>
      </c>
      <c r="D53" s="24">
        <v>206131.9</v>
      </c>
      <c r="E53" s="50">
        <f t="shared" si="0"/>
        <v>226745.09</v>
      </c>
      <c r="F53" s="53"/>
      <c r="G53" s="53"/>
    </row>
    <row r="54" spans="1:7" s="25" customFormat="1" ht="18.95" customHeight="1">
      <c r="A54" s="24" t="s">
        <v>198</v>
      </c>
      <c r="B54" s="51" t="s">
        <v>265</v>
      </c>
      <c r="C54" s="51" t="s">
        <v>235</v>
      </c>
      <c r="D54" s="24">
        <v>365770.96</v>
      </c>
      <c r="E54" s="50">
        <f t="shared" si="0"/>
        <v>402348.06</v>
      </c>
      <c r="F54" s="53"/>
      <c r="G54" s="53"/>
    </row>
    <row r="55" spans="1:7" s="25" customFormat="1" ht="18.95" customHeight="1">
      <c r="A55" s="24" t="s">
        <v>198</v>
      </c>
      <c r="B55" s="51" t="s">
        <v>266</v>
      </c>
      <c r="C55" s="51" t="s">
        <v>230</v>
      </c>
      <c r="D55" s="24">
        <v>168421.63</v>
      </c>
      <c r="E55" s="50">
        <f t="shared" si="0"/>
        <v>185263.79</v>
      </c>
      <c r="F55" s="53"/>
      <c r="G55" s="53"/>
    </row>
    <row r="56" spans="1:7" s="25" customFormat="1" ht="18.95" customHeight="1">
      <c r="A56" s="24" t="s">
        <v>198</v>
      </c>
      <c r="B56" s="51" t="s">
        <v>267</v>
      </c>
      <c r="C56" s="51" t="s">
        <v>230</v>
      </c>
      <c r="D56" s="24">
        <f>196843.49+11109.02</f>
        <v>207952.50999999998</v>
      </c>
      <c r="E56" s="50">
        <f t="shared" si="0"/>
        <v>228747.76</v>
      </c>
      <c r="F56" s="53"/>
      <c r="G56" s="53"/>
    </row>
    <row r="57" spans="1:7" s="25" customFormat="1" ht="18.95" customHeight="1">
      <c r="A57" s="24" t="s">
        <v>198</v>
      </c>
      <c r="B57" s="51" t="s">
        <v>268</v>
      </c>
      <c r="C57" s="51" t="s">
        <v>230</v>
      </c>
      <c r="D57" s="24">
        <v>139052.29</v>
      </c>
      <c r="E57" s="50">
        <f t="shared" si="0"/>
        <v>152957.51999999999</v>
      </c>
      <c r="F57" s="53"/>
      <c r="G57" s="53"/>
    </row>
    <row r="58" spans="1:7" s="25" customFormat="1" ht="18.95" customHeight="1">
      <c r="A58" s="24" t="s">
        <v>198</v>
      </c>
      <c r="B58" s="51" t="s">
        <v>269</v>
      </c>
      <c r="C58" s="51" t="s">
        <v>230</v>
      </c>
      <c r="D58" s="24">
        <v>133816.59</v>
      </c>
      <c r="E58" s="50">
        <f t="shared" si="0"/>
        <v>147198.25</v>
      </c>
      <c r="F58" s="53"/>
      <c r="G58" s="53"/>
    </row>
    <row r="59" spans="1:7" s="25" customFormat="1" ht="18.95" customHeight="1">
      <c r="A59" s="24" t="s">
        <v>198</v>
      </c>
      <c r="B59" s="51" t="s">
        <v>270</v>
      </c>
      <c r="C59" s="51" t="s">
        <v>230</v>
      </c>
      <c r="D59" s="24">
        <v>115953.9</v>
      </c>
      <c r="E59" s="50">
        <f t="shared" si="0"/>
        <v>127549.29</v>
      </c>
      <c r="F59" s="53"/>
      <c r="G59" s="53"/>
    </row>
    <row r="60" spans="1:7" s="25" customFormat="1" ht="18.95" customHeight="1">
      <c r="A60" s="24" t="s">
        <v>198</v>
      </c>
      <c r="B60" s="51" t="s">
        <v>271</v>
      </c>
      <c r="C60" s="51" t="s">
        <v>230</v>
      </c>
      <c r="D60" s="24">
        <v>47815.6</v>
      </c>
      <c r="E60" s="50">
        <f t="shared" si="0"/>
        <v>52597.16</v>
      </c>
      <c r="F60" s="53"/>
      <c r="G60" s="53"/>
    </row>
    <row r="61" spans="1:7" s="25" customFormat="1" ht="18.95" customHeight="1">
      <c r="A61" s="24" t="s">
        <v>198</v>
      </c>
      <c r="B61" s="51" t="s">
        <v>272</v>
      </c>
      <c r="C61" s="51" t="s">
        <v>230</v>
      </c>
      <c r="D61" s="24">
        <v>24496.799999999999</v>
      </c>
      <c r="E61" s="50">
        <f t="shared" si="0"/>
        <v>26946.48</v>
      </c>
      <c r="F61" s="53"/>
      <c r="G61" s="53"/>
    </row>
    <row r="62" spans="1:7" s="25" customFormat="1" ht="18.95" customHeight="1">
      <c r="A62" s="24" t="s">
        <v>273</v>
      </c>
      <c r="B62" s="51"/>
      <c r="C62" s="51"/>
      <c r="D62" s="24">
        <f>SUM(D50:D61)</f>
        <v>2163391.44</v>
      </c>
      <c r="E62" s="50">
        <f>SUM(E50:E61)</f>
        <v>2379730.5900000003</v>
      </c>
      <c r="F62" s="53"/>
      <c r="G62" s="53"/>
    </row>
    <row r="63" spans="1:7" s="25" customFormat="1" ht="18.95" customHeight="1">
      <c r="A63" s="24" t="s">
        <v>197</v>
      </c>
      <c r="B63" s="51" t="s">
        <v>274</v>
      </c>
      <c r="C63" s="51" t="s">
        <v>248</v>
      </c>
      <c r="D63" s="24">
        <v>345990.76</v>
      </c>
      <c r="E63" s="50">
        <f t="shared" si="0"/>
        <v>380589.84</v>
      </c>
    </row>
    <row r="64" spans="1:7" s="25" customFormat="1" ht="18.95" customHeight="1">
      <c r="A64" s="24" t="s">
        <v>197</v>
      </c>
      <c r="B64" s="51" t="s">
        <v>275</v>
      </c>
      <c r="C64" s="51" t="s">
        <v>248</v>
      </c>
      <c r="D64" s="24">
        <v>535319.6</v>
      </c>
      <c r="E64" s="50">
        <f t="shared" ref="E64:E103" si="1">ROUND(D64*1.1,2)</f>
        <v>588851.56000000006</v>
      </c>
    </row>
    <row r="65" spans="1:5" s="25" customFormat="1" ht="18.95" customHeight="1">
      <c r="A65" s="24" t="s">
        <v>197</v>
      </c>
      <c r="B65" s="51" t="s">
        <v>276</v>
      </c>
      <c r="C65" s="51" t="s">
        <v>239</v>
      </c>
      <c r="D65" s="24">
        <v>264459.68</v>
      </c>
      <c r="E65" s="50">
        <f t="shared" si="1"/>
        <v>290905.65000000002</v>
      </c>
    </row>
    <row r="66" spans="1:5" s="25" customFormat="1" ht="18.95" customHeight="1">
      <c r="A66" s="24" t="s">
        <v>197</v>
      </c>
      <c r="B66" s="51" t="s">
        <v>277</v>
      </c>
      <c r="C66" s="51" t="s">
        <v>235</v>
      </c>
      <c r="D66" s="24">
        <v>68231.679999999993</v>
      </c>
      <c r="E66" s="50">
        <f t="shared" si="1"/>
        <v>75054.850000000006</v>
      </c>
    </row>
    <row r="67" spans="1:5" s="25" customFormat="1" ht="18.95" customHeight="1">
      <c r="A67" s="24" t="s">
        <v>197</v>
      </c>
      <c r="B67" s="51" t="s">
        <v>278</v>
      </c>
      <c r="C67" s="51" t="s">
        <v>230</v>
      </c>
      <c r="D67" s="24">
        <v>79021.600000000006</v>
      </c>
      <c r="E67" s="50">
        <f t="shared" si="1"/>
        <v>86923.76</v>
      </c>
    </row>
    <row r="68" spans="1:5" s="25" customFormat="1" ht="18.95" customHeight="1">
      <c r="A68" s="24" t="s">
        <v>197</v>
      </c>
      <c r="B68" s="51" t="s">
        <v>279</v>
      </c>
      <c r="C68" s="51" t="s">
        <v>230</v>
      </c>
      <c r="D68" s="24">
        <v>62807.13</v>
      </c>
      <c r="E68" s="50">
        <f t="shared" si="1"/>
        <v>69087.839999999997</v>
      </c>
    </row>
    <row r="69" spans="1:5" s="25" customFormat="1" ht="18.95" customHeight="1">
      <c r="A69" s="24" t="s">
        <v>197</v>
      </c>
      <c r="B69" s="51" t="s">
        <v>280</v>
      </c>
      <c r="C69" s="51" t="s">
        <v>230</v>
      </c>
      <c r="D69" s="24">
        <v>69973.06</v>
      </c>
      <c r="E69" s="50">
        <f t="shared" si="1"/>
        <v>76970.37</v>
      </c>
    </row>
    <row r="70" spans="1:5" s="25" customFormat="1" ht="18.95" customHeight="1">
      <c r="A70" s="24" t="s">
        <v>197</v>
      </c>
      <c r="B70" s="51" t="s">
        <v>281</v>
      </c>
      <c r="C70" s="51" t="s">
        <v>230</v>
      </c>
      <c r="D70" s="24">
        <v>131413.48000000001</v>
      </c>
      <c r="E70" s="50">
        <f t="shared" si="1"/>
        <v>144554.82999999999</v>
      </c>
    </row>
    <row r="71" spans="1:5" s="25" customFormat="1" ht="18.95" customHeight="1">
      <c r="A71" s="24" t="s">
        <v>197</v>
      </c>
      <c r="B71" s="51" t="s">
        <v>282</v>
      </c>
      <c r="C71" s="51" t="s">
        <v>230</v>
      </c>
      <c r="D71" s="24">
        <v>87074.19</v>
      </c>
      <c r="E71" s="50">
        <f t="shared" si="1"/>
        <v>95781.61</v>
      </c>
    </row>
    <row r="72" spans="1:5" s="25" customFormat="1" ht="18.95" customHeight="1">
      <c r="A72" s="24" t="s">
        <v>197</v>
      </c>
      <c r="B72" s="51" t="s">
        <v>283</v>
      </c>
      <c r="C72" s="51" t="s">
        <v>230</v>
      </c>
      <c r="D72" s="24">
        <v>71711.95</v>
      </c>
      <c r="E72" s="50">
        <f t="shared" si="1"/>
        <v>78883.149999999994</v>
      </c>
    </row>
    <row r="73" spans="1:5" s="25" customFormat="1" ht="18.95" customHeight="1">
      <c r="A73" s="24" t="s">
        <v>197</v>
      </c>
      <c r="B73" s="51" t="s">
        <v>284</v>
      </c>
      <c r="C73" s="51" t="s">
        <v>230</v>
      </c>
      <c r="D73" s="24">
        <v>64738.79</v>
      </c>
      <c r="E73" s="50">
        <f t="shared" si="1"/>
        <v>71212.67</v>
      </c>
    </row>
    <row r="74" spans="1:5" s="25" customFormat="1" ht="18.95" customHeight="1">
      <c r="A74" s="24" t="s">
        <v>285</v>
      </c>
      <c r="B74" s="51"/>
      <c r="C74" s="51"/>
      <c r="D74" s="24">
        <f>SUM(D63:D73)</f>
        <v>1780741.92</v>
      </c>
      <c r="E74" s="50">
        <f>SUM(E63:E73)</f>
        <v>1958816.1300000006</v>
      </c>
    </row>
    <row r="75" spans="1:5" s="25" customFormat="1" ht="18.95" customHeight="1">
      <c r="A75" s="24" t="s">
        <v>286</v>
      </c>
      <c r="B75" s="24" t="s">
        <v>287</v>
      </c>
      <c r="C75" s="24" t="s">
        <v>248</v>
      </c>
      <c r="D75" s="24">
        <v>484518.99</v>
      </c>
      <c r="E75" s="50">
        <f t="shared" si="1"/>
        <v>532970.89</v>
      </c>
    </row>
    <row r="76" spans="1:5" s="25" customFormat="1" ht="18.95" customHeight="1">
      <c r="A76" s="24" t="s">
        <v>286</v>
      </c>
      <c r="B76" s="24" t="s">
        <v>288</v>
      </c>
      <c r="C76" s="24" t="s">
        <v>248</v>
      </c>
      <c r="D76" s="24">
        <v>476506.56</v>
      </c>
      <c r="E76" s="50">
        <f t="shared" si="1"/>
        <v>524157.22</v>
      </c>
    </row>
    <row r="77" spans="1:5" s="25" customFormat="1" ht="18.95" customHeight="1">
      <c r="A77" s="24" t="s">
        <v>286</v>
      </c>
      <c r="B77" s="24" t="s">
        <v>289</v>
      </c>
      <c r="C77" s="24" t="s">
        <v>230</v>
      </c>
      <c r="D77" s="24">
        <v>103428.98</v>
      </c>
      <c r="E77" s="50">
        <f t="shared" si="1"/>
        <v>113771.88</v>
      </c>
    </row>
    <row r="78" spans="1:5" s="25" customFormat="1" ht="18.95" customHeight="1">
      <c r="A78" s="24" t="s">
        <v>286</v>
      </c>
      <c r="B78" s="24" t="s">
        <v>290</v>
      </c>
      <c r="C78" s="24" t="s">
        <v>230</v>
      </c>
      <c r="D78" s="24">
        <v>6878.03</v>
      </c>
      <c r="E78" s="50">
        <f t="shared" si="1"/>
        <v>7565.83</v>
      </c>
    </row>
    <row r="79" spans="1:5" s="25" customFormat="1" ht="18.95" customHeight="1">
      <c r="A79" s="24" t="s">
        <v>291</v>
      </c>
      <c r="B79" s="24"/>
      <c r="C79" s="24"/>
      <c r="D79" s="24">
        <f>SUM(D75:D78)</f>
        <v>1071332.56</v>
      </c>
      <c r="E79" s="50">
        <f t="shared" si="1"/>
        <v>1178465.82</v>
      </c>
    </row>
    <row r="80" spans="1:5" s="25" customFormat="1" ht="18.95" customHeight="1">
      <c r="A80" s="24" t="s">
        <v>195</v>
      </c>
      <c r="B80" s="52" t="s">
        <v>116</v>
      </c>
      <c r="C80" s="52" t="s">
        <v>239</v>
      </c>
      <c r="D80" s="24">
        <v>399423.66</v>
      </c>
      <c r="E80" s="50">
        <f t="shared" si="1"/>
        <v>439366.03</v>
      </c>
    </row>
    <row r="81" spans="1:5" s="25" customFormat="1" ht="18.95" customHeight="1">
      <c r="A81" s="24" t="s">
        <v>195</v>
      </c>
      <c r="B81" s="52" t="s">
        <v>117</v>
      </c>
      <c r="C81" s="52" t="s">
        <v>239</v>
      </c>
      <c r="D81" s="24">
        <v>252882.66</v>
      </c>
      <c r="E81" s="50">
        <f t="shared" si="1"/>
        <v>278170.93</v>
      </c>
    </row>
    <row r="82" spans="1:5" s="25" customFormat="1" ht="18.95" customHeight="1">
      <c r="A82" s="24" t="s">
        <v>195</v>
      </c>
      <c r="B82" s="52" t="s">
        <v>292</v>
      </c>
      <c r="C82" s="52" t="s">
        <v>235</v>
      </c>
      <c r="D82" s="24">
        <v>20660.71</v>
      </c>
      <c r="E82" s="50">
        <f t="shared" si="1"/>
        <v>22726.78</v>
      </c>
    </row>
    <row r="83" spans="1:5" s="25" customFormat="1" ht="18.95" customHeight="1">
      <c r="A83" s="24" t="s">
        <v>195</v>
      </c>
      <c r="B83" s="52" t="s">
        <v>114</v>
      </c>
      <c r="C83" s="52" t="s">
        <v>235</v>
      </c>
      <c r="D83" s="24">
        <v>434764.08</v>
      </c>
      <c r="E83" s="50">
        <f t="shared" si="1"/>
        <v>478240.49</v>
      </c>
    </row>
    <row r="84" spans="1:5" s="25" customFormat="1" ht="18.95" customHeight="1">
      <c r="A84" s="24" t="s">
        <v>195</v>
      </c>
      <c r="B84" s="52" t="s">
        <v>115</v>
      </c>
      <c r="C84" s="52" t="s">
        <v>235</v>
      </c>
      <c r="D84" s="24">
        <v>175702.46</v>
      </c>
      <c r="E84" s="50">
        <f t="shared" si="1"/>
        <v>193272.71</v>
      </c>
    </row>
    <row r="85" spans="1:5" s="25" customFormat="1" ht="18.95" customHeight="1">
      <c r="A85" s="24" t="s">
        <v>195</v>
      </c>
      <c r="B85" s="49" t="s">
        <v>196</v>
      </c>
      <c r="C85" s="49" t="s">
        <v>230</v>
      </c>
      <c r="D85" s="24">
        <v>169668.32</v>
      </c>
      <c r="E85" s="50">
        <f t="shared" si="1"/>
        <v>186635.15</v>
      </c>
    </row>
    <row r="86" spans="1:5" s="25" customFormat="1" ht="18.95" customHeight="1">
      <c r="A86" s="24" t="s">
        <v>195</v>
      </c>
      <c r="B86" s="49" t="s">
        <v>293</v>
      </c>
      <c r="C86" s="49" t="s">
        <v>230</v>
      </c>
      <c r="D86" s="24">
        <v>131406.51999999999</v>
      </c>
      <c r="E86" s="50">
        <f t="shared" si="1"/>
        <v>144547.17000000001</v>
      </c>
    </row>
    <row r="87" spans="1:5" s="25" customFormat="1" ht="18.95" customHeight="1">
      <c r="A87" s="24" t="s">
        <v>195</v>
      </c>
      <c r="B87" s="49" t="s">
        <v>294</v>
      </c>
      <c r="C87" s="49" t="s">
        <v>230</v>
      </c>
      <c r="D87" s="24">
        <v>120935.94</v>
      </c>
      <c r="E87" s="50">
        <f t="shared" si="1"/>
        <v>133029.53</v>
      </c>
    </row>
    <row r="88" spans="1:5" s="25" customFormat="1" ht="18.95" customHeight="1">
      <c r="A88" s="24" t="s">
        <v>195</v>
      </c>
      <c r="B88" s="49" t="s">
        <v>295</v>
      </c>
      <c r="C88" s="49" t="s">
        <v>230</v>
      </c>
      <c r="D88" s="24">
        <v>129106.47</v>
      </c>
      <c r="E88" s="50">
        <f t="shared" si="1"/>
        <v>142017.12</v>
      </c>
    </row>
    <row r="89" spans="1:5" s="25" customFormat="1" ht="18.95" customHeight="1">
      <c r="A89" s="24" t="s">
        <v>195</v>
      </c>
      <c r="B89" s="52" t="s">
        <v>111</v>
      </c>
      <c r="C89" s="52" t="s">
        <v>248</v>
      </c>
      <c r="D89" s="24">
        <v>418124.61</v>
      </c>
      <c r="E89" s="50">
        <f t="shared" si="1"/>
        <v>459937.07</v>
      </c>
    </row>
    <row r="90" spans="1:5" s="25" customFormat="1" ht="18.95" customHeight="1">
      <c r="A90" s="24" t="s">
        <v>195</v>
      </c>
      <c r="B90" s="49" t="s">
        <v>296</v>
      </c>
      <c r="C90" s="49" t="s">
        <v>230</v>
      </c>
      <c r="D90" s="24">
        <v>43610.02</v>
      </c>
      <c r="E90" s="50">
        <f t="shared" si="1"/>
        <v>47971.02</v>
      </c>
    </row>
    <row r="91" spans="1:5" s="25" customFormat="1" ht="18.95" customHeight="1">
      <c r="A91" s="24" t="s">
        <v>195</v>
      </c>
      <c r="B91" s="52" t="s">
        <v>118</v>
      </c>
      <c r="C91" s="52" t="s">
        <v>239</v>
      </c>
      <c r="D91" s="24">
        <v>259825.46</v>
      </c>
      <c r="E91" s="50">
        <f t="shared" si="1"/>
        <v>285808.01</v>
      </c>
    </row>
    <row r="92" spans="1:5" s="25" customFormat="1" ht="18.95" customHeight="1">
      <c r="A92" s="24" t="s">
        <v>195</v>
      </c>
      <c r="B92" s="52" t="s">
        <v>297</v>
      </c>
      <c r="C92" s="52" t="s">
        <v>230</v>
      </c>
      <c r="D92" s="24">
        <v>92591.27</v>
      </c>
      <c r="E92" s="50">
        <f t="shared" si="1"/>
        <v>101850.4</v>
      </c>
    </row>
    <row r="93" spans="1:5" s="25" customFormat="1" ht="18.95" customHeight="1">
      <c r="A93" s="24" t="s">
        <v>298</v>
      </c>
      <c r="B93" s="52"/>
      <c r="C93" s="52"/>
      <c r="D93" s="24">
        <f>SUM(D80:D92)</f>
        <v>2648702.1799999997</v>
      </c>
      <c r="E93" s="50">
        <f>SUM(E80:E92)</f>
        <v>2913572.4099999997</v>
      </c>
    </row>
    <row r="94" spans="1:5" s="25" customFormat="1" ht="18.95" customHeight="1">
      <c r="A94" s="24" t="s">
        <v>299</v>
      </c>
      <c r="B94" s="52" t="s">
        <v>123</v>
      </c>
      <c r="C94" s="52" t="s">
        <v>239</v>
      </c>
      <c r="D94" s="24">
        <v>241807.75</v>
      </c>
      <c r="E94" s="50">
        <f t="shared" si="1"/>
        <v>265988.53000000003</v>
      </c>
    </row>
    <row r="95" spans="1:5" s="25" customFormat="1" ht="18.95" customHeight="1">
      <c r="A95" s="24" t="s">
        <v>299</v>
      </c>
      <c r="B95" s="52" t="s">
        <v>122</v>
      </c>
      <c r="C95" s="52" t="s">
        <v>239</v>
      </c>
      <c r="D95" s="24">
        <v>198921.03</v>
      </c>
      <c r="E95" s="50">
        <f t="shared" si="1"/>
        <v>218813.13</v>
      </c>
    </row>
    <row r="96" spans="1:5" s="25" customFormat="1" ht="18.95" customHeight="1">
      <c r="A96" s="24" t="s">
        <v>299</v>
      </c>
      <c r="B96" s="52" t="s">
        <v>300</v>
      </c>
      <c r="C96" s="52" t="s">
        <v>248</v>
      </c>
      <c r="D96" s="24">
        <v>343509.76000000001</v>
      </c>
      <c r="E96" s="50">
        <f t="shared" si="1"/>
        <v>377860.74</v>
      </c>
    </row>
    <row r="97" spans="1:5" s="25" customFormat="1" ht="18.95" customHeight="1">
      <c r="A97" s="24" t="s">
        <v>299</v>
      </c>
      <c r="B97" s="52" t="s">
        <v>120</v>
      </c>
      <c r="C97" s="52" t="s">
        <v>235</v>
      </c>
      <c r="D97" s="24">
        <v>24156.9</v>
      </c>
      <c r="E97" s="50">
        <f t="shared" si="1"/>
        <v>26572.59</v>
      </c>
    </row>
    <row r="98" spans="1:5" s="25" customFormat="1" ht="18.95" customHeight="1">
      <c r="A98" s="24" t="s">
        <v>299</v>
      </c>
      <c r="B98" s="52" t="s">
        <v>119</v>
      </c>
      <c r="C98" s="52" t="s">
        <v>235</v>
      </c>
      <c r="D98" s="24">
        <v>227667.67</v>
      </c>
      <c r="E98" s="50">
        <f t="shared" si="1"/>
        <v>250434.44</v>
      </c>
    </row>
    <row r="99" spans="1:5" s="25" customFormat="1" ht="18.95" customHeight="1">
      <c r="A99" s="24" t="s">
        <v>299</v>
      </c>
      <c r="B99" s="49" t="s">
        <v>301</v>
      </c>
      <c r="C99" s="49" t="s">
        <v>230</v>
      </c>
      <c r="D99" s="24">
        <v>155861.07</v>
      </c>
      <c r="E99" s="50">
        <f t="shared" si="1"/>
        <v>171447.18</v>
      </c>
    </row>
    <row r="100" spans="1:5" s="25" customFormat="1" ht="18.95" customHeight="1">
      <c r="A100" s="24" t="s">
        <v>299</v>
      </c>
      <c r="B100" s="49" t="s">
        <v>302</v>
      </c>
      <c r="C100" s="49" t="s">
        <v>230</v>
      </c>
      <c r="D100" s="24">
        <v>133864.57</v>
      </c>
      <c r="E100" s="50">
        <f t="shared" si="1"/>
        <v>147251.03</v>
      </c>
    </row>
    <row r="101" spans="1:5" s="25" customFormat="1" ht="18.95" customHeight="1">
      <c r="A101" s="24" t="s">
        <v>299</v>
      </c>
      <c r="B101" s="49" t="s">
        <v>303</v>
      </c>
      <c r="C101" s="49" t="s">
        <v>230</v>
      </c>
      <c r="D101" s="24">
        <v>113628.91</v>
      </c>
      <c r="E101" s="50">
        <f t="shared" si="1"/>
        <v>124991.8</v>
      </c>
    </row>
    <row r="102" spans="1:5" s="25" customFormat="1" ht="18.95" customHeight="1">
      <c r="A102" s="24" t="s">
        <v>299</v>
      </c>
      <c r="B102" s="49" t="s">
        <v>304</v>
      </c>
      <c r="C102" s="49" t="s">
        <v>230</v>
      </c>
      <c r="D102" s="24">
        <v>135508.22</v>
      </c>
      <c r="E102" s="50">
        <f t="shared" si="1"/>
        <v>149059.04</v>
      </c>
    </row>
    <row r="103" spans="1:5" s="25" customFormat="1" ht="18.95" customHeight="1">
      <c r="A103" s="24" t="s">
        <v>299</v>
      </c>
      <c r="B103" s="49" t="s">
        <v>151</v>
      </c>
      <c r="C103" s="49" t="s">
        <v>230</v>
      </c>
      <c r="D103" s="24">
        <v>5081.6899999999996</v>
      </c>
      <c r="E103" s="50">
        <f t="shared" si="1"/>
        <v>5589.86</v>
      </c>
    </row>
    <row r="104" spans="1:5" ht="18.95" customHeight="1">
      <c r="A104" s="24" t="s">
        <v>305</v>
      </c>
      <c r="B104" s="54"/>
      <c r="C104" s="54"/>
      <c r="D104" s="54">
        <f>SUM(D94:D103)</f>
        <v>1580007.57</v>
      </c>
      <c r="E104" s="50">
        <f>SUM(E94:E103)</f>
        <v>1738008.34</v>
      </c>
    </row>
    <row r="105" spans="1:5" ht="18.95" customHeight="1">
      <c r="A105" s="24" t="s">
        <v>306</v>
      </c>
      <c r="B105" s="54"/>
      <c r="C105" s="54"/>
      <c r="D105" s="54">
        <f>D7+D11+D30+D49+D62+D74+D79+D93+D104</f>
        <v>18877623.240000002</v>
      </c>
      <c r="E105" s="50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86" customWidth="1"/>
    <col min="2" max="2" width="30.625" style="293" customWidth="1"/>
    <col min="3" max="3" width="20.625" style="286" customWidth="1"/>
    <col min="4" max="4" width="20.5" style="286" bestFit="1" customWidth="1"/>
    <col min="5" max="5" width="18.625" style="286" hidden="1" customWidth="1"/>
    <col min="6" max="6" width="18.375" style="286" bestFit="1" customWidth="1"/>
    <col min="7" max="7" width="14.375" style="286" hidden="1" customWidth="1"/>
    <col min="8" max="8" width="14.25" style="286" hidden="1" customWidth="1"/>
    <col min="9" max="252" width="9" style="286"/>
    <col min="253" max="253" width="6.625" style="286" customWidth="1"/>
    <col min="254" max="255" width="21.625" style="286" customWidth="1"/>
    <col min="256" max="256" width="16.125" style="286" bestFit="1" customWidth="1"/>
    <col min="257" max="257" width="13.875" style="286" bestFit="1" customWidth="1"/>
    <col min="258" max="258" width="17.25" style="286" bestFit="1" customWidth="1"/>
    <col min="259" max="260" width="20.5" style="286" bestFit="1" customWidth="1"/>
    <col min="261" max="261" width="0" style="286" hidden="1" customWidth="1"/>
    <col min="262" max="262" width="18.375" style="286" bestFit="1" customWidth="1"/>
    <col min="263" max="264" width="0" style="286" hidden="1" customWidth="1"/>
    <col min="265" max="508" width="9" style="286"/>
    <col min="509" max="509" width="6.625" style="286" customWidth="1"/>
    <col min="510" max="511" width="21.625" style="286" customWidth="1"/>
    <col min="512" max="512" width="16.125" style="286" bestFit="1" customWidth="1"/>
    <col min="513" max="513" width="13.875" style="286" bestFit="1" customWidth="1"/>
    <col min="514" max="514" width="17.25" style="286" bestFit="1" customWidth="1"/>
    <col min="515" max="516" width="20.5" style="286" bestFit="1" customWidth="1"/>
    <col min="517" max="517" width="0" style="286" hidden="1" customWidth="1"/>
    <col min="518" max="518" width="18.375" style="286" bestFit="1" customWidth="1"/>
    <col min="519" max="520" width="0" style="286" hidden="1" customWidth="1"/>
    <col min="521" max="764" width="9" style="286"/>
    <col min="765" max="765" width="6.625" style="286" customWidth="1"/>
    <col min="766" max="767" width="21.625" style="286" customWidth="1"/>
    <col min="768" max="768" width="16.125" style="286" bestFit="1" customWidth="1"/>
    <col min="769" max="769" width="13.875" style="286" bestFit="1" customWidth="1"/>
    <col min="770" max="770" width="17.25" style="286" bestFit="1" customWidth="1"/>
    <col min="771" max="772" width="20.5" style="286" bestFit="1" customWidth="1"/>
    <col min="773" max="773" width="0" style="286" hidden="1" customWidth="1"/>
    <col min="774" max="774" width="18.375" style="286" bestFit="1" customWidth="1"/>
    <col min="775" max="776" width="0" style="286" hidden="1" customWidth="1"/>
    <col min="777" max="1020" width="9" style="286"/>
    <col min="1021" max="1021" width="6.625" style="286" customWidth="1"/>
    <col min="1022" max="1023" width="21.625" style="286" customWidth="1"/>
    <col min="1024" max="1024" width="16.125" style="286" bestFit="1" customWidth="1"/>
    <col min="1025" max="1025" width="13.875" style="286" bestFit="1" customWidth="1"/>
    <col min="1026" max="1026" width="17.25" style="286" bestFit="1" customWidth="1"/>
    <col min="1027" max="1028" width="20.5" style="286" bestFit="1" customWidth="1"/>
    <col min="1029" max="1029" width="0" style="286" hidden="1" customWidth="1"/>
    <col min="1030" max="1030" width="18.375" style="286" bestFit="1" customWidth="1"/>
    <col min="1031" max="1032" width="0" style="286" hidden="1" customWidth="1"/>
    <col min="1033" max="1276" width="9" style="286"/>
    <col min="1277" max="1277" width="6.625" style="286" customWidth="1"/>
    <col min="1278" max="1279" width="21.625" style="286" customWidth="1"/>
    <col min="1280" max="1280" width="16.125" style="286" bestFit="1" customWidth="1"/>
    <col min="1281" max="1281" width="13.875" style="286" bestFit="1" customWidth="1"/>
    <col min="1282" max="1282" width="17.25" style="286" bestFit="1" customWidth="1"/>
    <col min="1283" max="1284" width="20.5" style="286" bestFit="1" customWidth="1"/>
    <col min="1285" max="1285" width="0" style="286" hidden="1" customWidth="1"/>
    <col min="1286" max="1286" width="18.375" style="286" bestFit="1" customWidth="1"/>
    <col min="1287" max="1288" width="0" style="286" hidden="1" customWidth="1"/>
    <col min="1289" max="1532" width="9" style="286"/>
    <col min="1533" max="1533" width="6.625" style="286" customWidth="1"/>
    <col min="1534" max="1535" width="21.625" style="286" customWidth="1"/>
    <col min="1536" max="1536" width="16.125" style="286" bestFit="1" customWidth="1"/>
    <col min="1537" max="1537" width="13.875" style="286" bestFit="1" customWidth="1"/>
    <col min="1538" max="1538" width="17.25" style="286" bestFit="1" customWidth="1"/>
    <col min="1539" max="1540" width="20.5" style="286" bestFit="1" customWidth="1"/>
    <col min="1541" max="1541" width="0" style="286" hidden="1" customWidth="1"/>
    <col min="1542" max="1542" width="18.375" style="286" bestFit="1" customWidth="1"/>
    <col min="1543" max="1544" width="0" style="286" hidden="1" customWidth="1"/>
    <col min="1545" max="1788" width="9" style="286"/>
    <col min="1789" max="1789" width="6.625" style="286" customWidth="1"/>
    <col min="1790" max="1791" width="21.625" style="286" customWidth="1"/>
    <col min="1792" max="1792" width="16.125" style="286" bestFit="1" customWidth="1"/>
    <col min="1793" max="1793" width="13.875" style="286" bestFit="1" customWidth="1"/>
    <col min="1794" max="1794" width="17.25" style="286" bestFit="1" customWidth="1"/>
    <col min="1795" max="1796" width="20.5" style="286" bestFit="1" customWidth="1"/>
    <col min="1797" max="1797" width="0" style="286" hidden="1" customWidth="1"/>
    <col min="1798" max="1798" width="18.375" style="286" bestFit="1" customWidth="1"/>
    <col min="1799" max="1800" width="0" style="286" hidden="1" customWidth="1"/>
    <col min="1801" max="2044" width="9" style="286"/>
    <col min="2045" max="2045" width="6.625" style="286" customWidth="1"/>
    <col min="2046" max="2047" width="21.625" style="286" customWidth="1"/>
    <col min="2048" max="2048" width="16.125" style="286" bestFit="1" customWidth="1"/>
    <col min="2049" max="2049" width="13.875" style="286" bestFit="1" customWidth="1"/>
    <col min="2050" max="2050" width="17.25" style="286" bestFit="1" customWidth="1"/>
    <col min="2051" max="2052" width="20.5" style="286" bestFit="1" customWidth="1"/>
    <col min="2053" max="2053" width="0" style="286" hidden="1" customWidth="1"/>
    <col min="2054" max="2054" width="18.375" style="286" bestFit="1" customWidth="1"/>
    <col min="2055" max="2056" width="0" style="286" hidden="1" customWidth="1"/>
    <col min="2057" max="2300" width="9" style="286"/>
    <col min="2301" max="2301" width="6.625" style="286" customWidth="1"/>
    <col min="2302" max="2303" width="21.625" style="286" customWidth="1"/>
    <col min="2304" max="2304" width="16.125" style="286" bestFit="1" customWidth="1"/>
    <col min="2305" max="2305" width="13.875" style="286" bestFit="1" customWidth="1"/>
    <col min="2306" max="2306" width="17.25" style="286" bestFit="1" customWidth="1"/>
    <col min="2307" max="2308" width="20.5" style="286" bestFit="1" customWidth="1"/>
    <col min="2309" max="2309" width="0" style="286" hidden="1" customWidth="1"/>
    <col min="2310" max="2310" width="18.375" style="286" bestFit="1" customWidth="1"/>
    <col min="2311" max="2312" width="0" style="286" hidden="1" customWidth="1"/>
    <col min="2313" max="2556" width="9" style="286"/>
    <col min="2557" max="2557" width="6.625" style="286" customWidth="1"/>
    <col min="2558" max="2559" width="21.625" style="286" customWidth="1"/>
    <col min="2560" max="2560" width="16.125" style="286" bestFit="1" customWidth="1"/>
    <col min="2561" max="2561" width="13.875" style="286" bestFit="1" customWidth="1"/>
    <col min="2562" max="2562" width="17.25" style="286" bestFit="1" customWidth="1"/>
    <col min="2563" max="2564" width="20.5" style="286" bestFit="1" customWidth="1"/>
    <col min="2565" max="2565" width="0" style="286" hidden="1" customWidth="1"/>
    <col min="2566" max="2566" width="18.375" style="286" bestFit="1" customWidth="1"/>
    <col min="2567" max="2568" width="0" style="286" hidden="1" customWidth="1"/>
    <col min="2569" max="2812" width="9" style="286"/>
    <col min="2813" max="2813" width="6.625" style="286" customWidth="1"/>
    <col min="2814" max="2815" width="21.625" style="286" customWidth="1"/>
    <col min="2816" max="2816" width="16.125" style="286" bestFit="1" customWidth="1"/>
    <col min="2817" max="2817" width="13.875" style="286" bestFit="1" customWidth="1"/>
    <col min="2818" max="2818" width="17.25" style="286" bestFit="1" customWidth="1"/>
    <col min="2819" max="2820" width="20.5" style="286" bestFit="1" customWidth="1"/>
    <col min="2821" max="2821" width="0" style="286" hidden="1" customWidth="1"/>
    <col min="2822" max="2822" width="18.375" style="286" bestFit="1" customWidth="1"/>
    <col min="2823" max="2824" width="0" style="286" hidden="1" customWidth="1"/>
    <col min="2825" max="3068" width="9" style="286"/>
    <col min="3069" max="3069" width="6.625" style="286" customWidth="1"/>
    <col min="3070" max="3071" width="21.625" style="286" customWidth="1"/>
    <col min="3072" max="3072" width="16.125" style="286" bestFit="1" customWidth="1"/>
    <col min="3073" max="3073" width="13.875" style="286" bestFit="1" customWidth="1"/>
    <col min="3074" max="3074" width="17.25" style="286" bestFit="1" customWidth="1"/>
    <col min="3075" max="3076" width="20.5" style="286" bestFit="1" customWidth="1"/>
    <col min="3077" max="3077" width="0" style="286" hidden="1" customWidth="1"/>
    <col min="3078" max="3078" width="18.375" style="286" bestFit="1" customWidth="1"/>
    <col min="3079" max="3080" width="0" style="286" hidden="1" customWidth="1"/>
    <col min="3081" max="3324" width="9" style="286"/>
    <col min="3325" max="3325" width="6.625" style="286" customWidth="1"/>
    <col min="3326" max="3327" width="21.625" style="286" customWidth="1"/>
    <col min="3328" max="3328" width="16.125" style="286" bestFit="1" customWidth="1"/>
    <col min="3329" max="3329" width="13.875" style="286" bestFit="1" customWidth="1"/>
    <col min="3330" max="3330" width="17.25" style="286" bestFit="1" customWidth="1"/>
    <col min="3331" max="3332" width="20.5" style="286" bestFit="1" customWidth="1"/>
    <col min="3333" max="3333" width="0" style="286" hidden="1" customWidth="1"/>
    <col min="3334" max="3334" width="18.375" style="286" bestFit="1" customWidth="1"/>
    <col min="3335" max="3336" width="0" style="286" hidden="1" customWidth="1"/>
    <col min="3337" max="3580" width="9" style="286"/>
    <col min="3581" max="3581" width="6.625" style="286" customWidth="1"/>
    <col min="3582" max="3583" width="21.625" style="286" customWidth="1"/>
    <col min="3584" max="3584" width="16.125" style="286" bestFit="1" customWidth="1"/>
    <col min="3585" max="3585" width="13.875" style="286" bestFit="1" customWidth="1"/>
    <col min="3586" max="3586" width="17.25" style="286" bestFit="1" customWidth="1"/>
    <col min="3587" max="3588" width="20.5" style="286" bestFit="1" customWidth="1"/>
    <col min="3589" max="3589" width="0" style="286" hidden="1" customWidth="1"/>
    <col min="3590" max="3590" width="18.375" style="286" bestFit="1" customWidth="1"/>
    <col min="3591" max="3592" width="0" style="286" hidden="1" customWidth="1"/>
    <col min="3593" max="3836" width="9" style="286"/>
    <col min="3837" max="3837" width="6.625" style="286" customWidth="1"/>
    <col min="3838" max="3839" width="21.625" style="286" customWidth="1"/>
    <col min="3840" max="3840" width="16.125" style="286" bestFit="1" customWidth="1"/>
    <col min="3841" max="3841" width="13.875" style="286" bestFit="1" customWidth="1"/>
    <col min="3842" max="3842" width="17.25" style="286" bestFit="1" customWidth="1"/>
    <col min="3843" max="3844" width="20.5" style="286" bestFit="1" customWidth="1"/>
    <col min="3845" max="3845" width="0" style="286" hidden="1" customWidth="1"/>
    <col min="3846" max="3846" width="18.375" style="286" bestFit="1" customWidth="1"/>
    <col min="3847" max="3848" width="0" style="286" hidden="1" customWidth="1"/>
    <col min="3849" max="4092" width="9" style="286"/>
    <col min="4093" max="4093" width="6.625" style="286" customWidth="1"/>
    <col min="4094" max="4095" width="21.625" style="286" customWidth="1"/>
    <col min="4096" max="4096" width="16.125" style="286" bestFit="1" customWidth="1"/>
    <col min="4097" max="4097" width="13.875" style="286" bestFit="1" customWidth="1"/>
    <col min="4098" max="4098" width="17.25" style="286" bestFit="1" customWidth="1"/>
    <col min="4099" max="4100" width="20.5" style="286" bestFit="1" customWidth="1"/>
    <col min="4101" max="4101" width="0" style="286" hidden="1" customWidth="1"/>
    <col min="4102" max="4102" width="18.375" style="286" bestFit="1" customWidth="1"/>
    <col min="4103" max="4104" width="0" style="286" hidden="1" customWidth="1"/>
    <col min="4105" max="4348" width="9" style="286"/>
    <col min="4349" max="4349" width="6.625" style="286" customWidth="1"/>
    <col min="4350" max="4351" width="21.625" style="286" customWidth="1"/>
    <col min="4352" max="4352" width="16.125" style="286" bestFit="1" customWidth="1"/>
    <col min="4353" max="4353" width="13.875" style="286" bestFit="1" customWidth="1"/>
    <col min="4354" max="4354" width="17.25" style="286" bestFit="1" customWidth="1"/>
    <col min="4355" max="4356" width="20.5" style="286" bestFit="1" customWidth="1"/>
    <col min="4357" max="4357" width="0" style="286" hidden="1" customWidth="1"/>
    <col min="4358" max="4358" width="18.375" style="286" bestFit="1" customWidth="1"/>
    <col min="4359" max="4360" width="0" style="286" hidden="1" customWidth="1"/>
    <col min="4361" max="4604" width="9" style="286"/>
    <col min="4605" max="4605" width="6.625" style="286" customWidth="1"/>
    <col min="4606" max="4607" width="21.625" style="286" customWidth="1"/>
    <col min="4608" max="4608" width="16.125" style="286" bestFit="1" customWidth="1"/>
    <col min="4609" max="4609" width="13.875" style="286" bestFit="1" customWidth="1"/>
    <col min="4610" max="4610" width="17.25" style="286" bestFit="1" customWidth="1"/>
    <col min="4611" max="4612" width="20.5" style="286" bestFit="1" customWidth="1"/>
    <col min="4613" max="4613" width="0" style="286" hidden="1" customWidth="1"/>
    <col min="4614" max="4614" width="18.375" style="286" bestFit="1" customWidth="1"/>
    <col min="4615" max="4616" width="0" style="286" hidden="1" customWidth="1"/>
    <col min="4617" max="4860" width="9" style="286"/>
    <col min="4861" max="4861" width="6.625" style="286" customWidth="1"/>
    <col min="4862" max="4863" width="21.625" style="286" customWidth="1"/>
    <col min="4864" max="4864" width="16.125" style="286" bestFit="1" customWidth="1"/>
    <col min="4865" max="4865" width="13.875" style="286" bestFit="1" customWidth="1"/>
    <col min="4866" max="4866" width="17.25" style="286" bestFit="1" customWidth="1"/>
    <col min="4867" max="4868" width="20.5" style="286" bestFit="1" customWidth="1"/>
    <col min="4869" max="4869" width="0" style="286" hidden="1" customWidth="1"/>
    <col min="4870" max="4870" width="18.375" style="286" bestFit="1" customWidth="1"/>
    <col min="4871" max="4872" width="0" style="286" hidden="1" customWidth="1"/>
    <col min="4873" max="5116" width="9" style="286"/>
    <col min="5117" max="5117" width="6.625" style="286" customWidth="1"/>
    <col min="5118" max="5119" width="21.625" style="286" customWidth="1"/>
    <col min="5120" max="5120" width="16.125" style="286" bestFit="1" customWidth="1"/>
    <col min="5121" max="5121" width="13.875" style="286" bestFit="1" customWidth="1"/>
    <col min="5122" max="5122" width="17.25" style="286" bestFit="1" customWidth="1"/>
    <col min="5123" max="5124" width="20.5" style="286" bestFit="1" customWidth="1"/>
    <col min="5125" max="5125" width="0" style="286" hidden="1" customWidth="1"/>
    <col min="5126" max="5126" width="18.375" style="286" bestFit="1" customWidth="1"/>
    <col min="5127" max="5128" width="0" style="286" hidden="1" customWidth="1"/>
    <col min="5129" max="5372" width="9" style="286"/>
    <col min="5373" max="5373" width="6.625" style="286" customWidth="1"/>
    <col min="5374" max="5375" width="21.625" style="286" customWidth="1"/>
    <col min="5376" max="5376" width="16.125" style="286" bestFit="1" customWidth="1"/>
    <col min="5377" max="5377" width="13.875" style="286" bestFit="1" customWidth="1"/>
    <col min="5378" max="5378" width="17.25" style="286" bestFit="1" customWidth="1"/>
    <col min="5379" max="5380" width="20.5" style="286" bestFit="1" customWidth="1"/>
    <col min="5381" max="5381" width="0" style="286" hidden="1" customWidth="1"/>
    <col min="5382" max="5382" width="18.375" style="286" bestFit="1" customWidth="1"/>
    <col min="5383" max="5384" width="0" style="286" hidden="1" customWidth="1"/>
    <col min="5385" max="5628" width="9" style="286"/>
    <col min="5629" max="5629" width="6.625" style="286" customWidth="1"/>
    <col min="5630" max="5631" width="21.625" style="286" customWidth="1"/>
    <col min="5632" max="5632" width="16.125" style="286" bestFit="1" customWidth="1"/>
    <col min="5633" max="5633" width="13.875" style="286" bestFit="1" customWidth="1"/>
    <col min="5634" max="5634" width="17.25" style="286" bestFit="1" customWidth="1"/>
    <col min="5635" max="5636" width="20.5" style="286" bestFit="1" customWidth="1"/>
    <col min="5637" max="5637" width="0" style="286" hidden="1" customWidth="1"/>
    <col min="5638" max="5638" width="18.375" style="286" bestFit="1" customWidth="1"/>
    <col min="5639" max="5640" width="0" style="286" hidden="1" customWidth="1"/>
    <col min="5641" max="5884" width="9" style="286"/>
    <col min="5885" max="5885" width="6.625" style="286" customWidth="1"/>
    <col min="5886" max="5887" width="21.625" style="286" customWidth="1"/>
    <col min="5888" max="5888" width="16.125" style="286" bestFit="1" customWidth="1"/>
    <col min="5889" max="5889" width="13.875" style="286" bestFit="1" customWidth="1"/>
    <col min="5890" max="5890" width="17.25" style="286" bestFit="1" customWidth="1"/>
    <col min="5891" max="5892" width="20.5" style="286" bestFit="1" customWidth="1"/>
    <col min="5893" max="5893" width="0" style="286" hidden="1" customWidth="1"/>
    <col min="5894" max="5894" width="18.375" style="286" bestFit="1" customWidth="1"/>
    <col min="5895" max="5896" width="0" style="286" hidden="1" customWidth="1"/>
    <col min="5897" max="6140" width="9" style="286"/>
    <col min="6141" max="6141" width="6.625" style="286" customWidth="1"/>
    <col min="6142" max="6143" width="21.625" style="286" customWidth="1"/>
    <col min="6144" max="6144" width="16.125" style="286" bestFit="1" customWidth="1"/>
    <col min="6145" max="6145" width="13.875" style="286" bestFit="1" customWidth="1"/>
    <col min="6146" max="6146" width="17.25" style="286" bestFit="1" customWidth="1"/>
    <col min="6147" max="6148" width="20.5" style="286" bestFit="1" customWidth="1"/>
    <col min="6149" max="6149" width="0" style="286" hidden="1" customWidth="1"/>
    <col min="6150" max="6150" width="18.375" style="286" bestFit="1" customWidth="1"/>
    <col min="6151" max="6152" width="0" style="286" hidden="1" customWidth="1"/>
    <col min="6153" max="6396" width="9" style="286"/>
    <col min="6397" max="6397" width="6.625" style="286" customWidth="1"/>
    <col min="6398" max="6399" width="21.625" style="286" customWidth="1"/>
    <col min="6400" max="6400" width="16.125" style="286" bestFit="1" customWidth="1"/>
    <col min="6401" max="6401" width="13.875" style="286" bestFit="1" customWidth="1"/>
    <col min="6402" max="6402" width="17.25" style="286" bestFit="1" customWidth="1"/>
    <col min="6403" max="6404" width="20.5" style="286" bestFit="1" customWidth="1"/>
    <col min="6405" max="6405" width="0" style="286" hidden="1" customWidth="1"/>
    <col min="6406" max="6406" width="18.375" style="286" bestFit="1" customWidth="1"/>
    <col min="6407" max="6408" width="0" style="286" hidden="1" customWidth="1"/>
    <col min="6409" max="6652" width="9" style="286"/>
    <col min="6653" max="6653" width="6.625" style="286" customWidth="1"/>
    <col min="6654" max="6655" width="21.625" style="286" customWidth="1"/>
    <col min="6656" max="6656" width="16.125" style="286" bestFit="1" customWidth="1"/>
    <col min="6657" max="6657" width="13.875" style="286" bestFit="1" customWidth="1"/>
    <col min="6658" max="6658" width="17.25" style="286" bestFit="1" customWidth="1"/>
    <col min="6659" max="6660" width="20.5" style="286" bestFit="1" customWidth="1"/>
    <col min="6661" max="6661" width="0" style="286" hidden="1" customWidth="1"/>
    <col min="6662" max="6662" width="18.375" style="286" bestFit="1" customWidth="1"/>
    <col min="6663" max="6664" width="0" style="286" hidden="1" customWidth="1"/>
    <col min="6665" max="6908" width="9" style="286"/>
    <col min="6909" max="6909" width="6.625" style="286" customWidth="1"/>
    <col min="6910" max="6911" width="21.625" style="286" customWidth="1"/>
    <col min="6912" max="6912" width="16.125" style="286" bestFit="1" customWidth="1"/>
    <col min="6913" max="6913" width="13.875" style="286" bestFit="1" customWidth="1"/>
    <col min="6914" max="6914" width="17.25" style="286" bestFit="1" customWidth="1"/>
    <col min="6915" max="6916" width="20.5" style="286" bestFit="1" customWidth="1"/>
    <col min="6917" max="6917" width="0" style="286" hidden="1" customWidth="1"/>
    <col min="6918" max="6918" width="18.375" style="286" bestFit="1" customWidth="1"/>
    <col min="6919" max="6920" width="0" style="286" hidden="1" customWidth="1"/>
    <col min="6921" max="7164" width="9" style="286"/>
    <col min="7165" max="7165" width="6.625" style="286" customWidth="1"/>
    <col min="7166" max="7167" width="21.625" style="286" customWidth="1"/>
    <col min="7168" max="7168" width="16.125" style="286" bestFit="1" customWidth="1"/>
    <col min="7169" max="7169" width="13.875" style="286" bestFit="1" customWidth="1"/>
    <col min="7170" max="7170" width="17.25" style="286" bestFit="1" customWidth="1"/>
    <col min="7171" max="7172" width="20.5" style="286" bestFit="1" customWidth="1"/>
    <col min="7173" max="7173" width="0" style="286" hidden="1" customWidth="1"/>
    <col min="7174" max="7174" width="18.375" style="286" bestFit="1" customWidth="1"/>
    <col min="7175" max="7176" width="0" style="286" hidden="1" customWidth="1"/>
    <col min="7177" max="7420" width="9" style="286"/>
    <col min="7421" max="7421" width="6.625" style="286" customWidth="1"/>
    <col min="7422" max="7423" width="21.625" style="286" customWidth="1"/>
    <col min="7424" max="7424" width="16.125" style="286" bestFit="1" customWidth="1"/>
    <col min="7425" max="7425" width="13.875" style="286" bestFit="1" customWidth="1"/>
    <col min="7426" max="7426" width="17.25" style="286" bestFit="1" customWidth="1"/>
    <col min="7427" max="7428" width="20.5" style="286" bestFit="1" customWidth="1"/>
    <col min="7429" max="7429" width="0" style="286" hidden="1" customWidth="1"/>
    <col min="7430" max="7430" width="18.375" style="286" bestFit="1" customWidth="1"/>
    <col min="7431" max="7432" width="0" style="286" hidden="1" customWidth="1"/>
    <col min="7433" max="7676" width="9" style="286"/>
    <col min="7677" max="7677" width="6.625" style="286" customWidth="1"/>
    <col min="7678" max="7679" width="21.625" style="286" customWidth="1"/>
    <col min="7680" max="7680" width="16.125" style="286" bestFit="1" customWidth="1"/>
    <col min="7681" max="7681" width="13.875" style="286" bestFit="1" customWidth="1"/>
    <col min="7682" max="7682" width="17.25" style="286" bestFit="1" customWidth="1"/>
    <col min="7683" max="7684" width="20.5" style="286" bestFit="1" customWidth="1"/>
    <col min="7685" max="7685" width="0" style="286" hidden="1" customWidth="1"/>
    <col min="7686" max="7686" width="18.375" style="286" bestFit="1" customWidth="1"/>
    <col min="7687" max="7688" width="0" style="286" hidden="1" customWidth="1"/>
    <col min="7689" max="7932" width="9" style="286"/>
    <col min="7933" max="7933" width="6.625" style="286" customWidth="1"/>
    <col min="7934" max="7935" width="21.625" style="286" customWidth="1"/>
    <col min="7936" max="7936" width="16.125" style="286" bestFit="1" customWidth="1"/>
    <col min="7937" max="7937" width="13.875" style="286" bestFit="1" customWidth="1"/>
    <col min="7938" max="7938" width="17.25" style="286" bestFit="1" customWidth="1"/>
    <col min="7939" max="7940" width="20.5" style="286" bestFit="1" customWidth="1"/>
    <col min="7941" max="7941" width="0" style="286" hidden="1" customWidth="1"/>
    <col min="7942" max="7942" width="18.375" style="286" bestFit="1" customWidth="1"/>
    <col min="7943" max="7944" width="0" style="286" hidden="1" customWidth="1"/>
    <col min="7945" max="8188" width="9" style="286"/>
    <col min="8189" max="8189" width="6.625" style="286" customWidth="1"/>
    <col min="8190" max="8191" width="21.625" style="286" customWidth="1"/>
    <col min="8192" max="8192" width="16.125" style="286" bestFit="1" customWidth="1"/>
    <col min="8193" max="8193" width="13.875" style="286" bestFit="1" customWidth="1"/>
    <col min="8194" max="8194" width="17.25" style="286" bestFit="1" customWidth="1"/>
    <col min="8195" max="8196" width="20.5" style="286" bestFit="1" customWidth="1"/>
    <col min="8197" max="8197" width="0" style="286" hidden="1" customWidth="1"/>
    <col min="8198" max="8198" width="18.375" style="286" bestFit="1" customWidth="1"/>
    <col min="8199" max="8200" width="0" style="286" hidden="1" customWidth="1"/>
    <col min="8201" max="8444" width="9" style="286"/>
    <col min="8445" max="8445" width="6.625" style="286" customWidth="1"/>
    <col min="8446" max="8447" width="21.625" style="286" customWidth="1"/>
    <col min="8448" max="8448" width="16.125" style="286" bestFit="1" customWidth="1"/>
    <col min="8449" max="8449" width="13.875" style="286" bestFit="1" customWidth="1"/>
    <col min="8450" max="8450" width="17.25" style="286" bestFit="1" customWidth="1"/>
    <col min="8451" max="8452" width="20.5" style="286" bestFit="1" customWidth="1"/>
    <col min="8453" max="8453" width="0" style="286" hidden="1" customWidth="1"/>
    <col min="8454" max="8454" width="18.375" style="286" bestFit="1" customWidth="1"/>
    <col min="8455" max="8456" width="0" style="286" hidden="1" customWidth="1"/>
    <col min="8457" max="8700" width="9" style="286"/>
    <col min="8701" max="8701" width="6.625" style="286" customWidth="1"/>
    <col min="8702" max="8703" width="21.625" style="286" customWidth="1"/>
    <col min="8704" max="8704" width="16.125" style="286" bestFit="1" customWidth="1"/>
    <col min="8705" max="8705" width="13.875" style="286" bestFit="1" customWidth="1"/>
    <col min="8706" max="8706" width="17.25" style="286" bestFit="1" customWidth="1"/>
    <col min="8707" max="8708" width="20.5" style="286" bestFit="1" customWidth="1"/>
    <col min="8709" max="8709" width="0" style="286" hidden="1" customWidth="1"/>
    <col min="8710" max="8710" width="18.375" style="286" bestFit="1" customWidth="1"/>
    <col min="8711" max="8712" width="0" style="286" hidden="1" customWidth="1"/>
    <col min="8713" max="8956" width="9" style="286"/>
    <col min="8957" max="8957" width="6.625" style="286" customWidth="1"/>
    <col min="8958" max="8959" width="21.625" style="286" customWidth="1"/>
    <col min="8960" max="8960" width="16.125" style="286" bestFit="1" customWidth="1"/>
    <col min="8961" max="8961" width="13.875" style="286" bestFit="1" customWidth="1"/>
    <col min="8962" max="8962" width="17.25" style="286" bestFit="1" customWidth="1"/>
    <col min="8963" max="8964" width="20.5" style="286" bestFit="1" customWidth="1"/>
    <col min="8965" max="8965" width="0" style="286" hidden="1" customWidth="1"/>
    <col min="8966" max="8966" width="18.375" style="286" bestFit="1" customWidth="1"/>
    <col min="8967" max="8968" width="0" style="286" hidden="1" customWidth="1"/>
    <col min="8969" max="9212" width="9" style="286"/>
    <col min="9213" max="9213" width="6.625" style="286" customWidth="1"/>
    <col min="9214" max="9215" width="21.625" style="286" customWidth="1"/>
    <col min="9216" max="9216" width="16.125" style="286" bestFit="1" customWidth="1"/>
    <col min="9217" max="9217" width="13.875" style="286" bestFit="1" customWidth="1"/>
    <col min="9218" max="9218" width="17.25" style="286" bestFit="1" customWidth="1"/>
    <col min="9219" max="9220" width="20.5" style="286" bestFit="1" customWidth="1"/>
    <col min="9221" max="9221" width="0" style="286" hidden="1" customWidth="1"/>
    <col min="9222" max="9222" width="18.375" style="286" bestFit="1" customWidth="1"/>
    <col min="9223" max="9224" width="0" style="286" hidden="1" customWidth="1"/>
    <col min="9225" max="9468" width="9" style="286"/>
    <col min="9469" max="9469" width="6.625" style="286" customWidth="1"/>
    <col min="9470" max="9471" width="21.625" style="286" customWidth="1"/>
    <col min="9472" max="9472" width="16.125" style="286" bestFit="1" customWidth="1"/>
    <col min="9473" max="9473" width="13.875" style="286" bestFit="1" customWidth="1"/>
    <col min="9474" max="9474" width="17.25" style="286" bestFit="1" customWidth="1"/>
    <col min="9475" max="9476" width="20.5" style="286" bestFit="1" customWidth="1"/>
    <col min="9477" max="9477" width="0" style="286" hidden="1" customWidth="1"/>
    <col min="9478" max="9478" width="18.375" style="286" bestFit="1" customWidth="1"/>
    <col min="9479" max="9480" width="0" style="286" hidden="1" customWidth="1"/>
    <col min="9481" max="9724" width="9" style="286"/>
    <col min="9725" max="9725" width="6.625" style="286" customWidth="1"/>
    <col min="9726" max="9727" width="21.625" style="286" customWidth="1"/>
    <col min="9728" max="9728" width="16.125" style="286" bestFit="1" customWidth="1"/>
    <col min="9729" max="9729" width="13.875" style="286" bestFit="1" customWidth="1"/>
    <col min="9730" max="9730" width="17.25" style="286" bestFit="1" customWidth="1"/>
    <col min="9731" max="9732" width="20.5" style="286" bestFit="1" customWidth="1"/>
    <col min="9733" max="9733" width="0" style="286" hidden="1" customWidth="1"/>
    <col min="9734" max="9734" width="18.375" style="286" bestFit="1" customWidth="1"/>
    <col min="9735" max="9736" width="0" style="286" hidden="1" customWidth="1"/>
    <col min="9737" max="9980" width="9" style="286"/>
    <col min="9981" max="9981" width="6.625" style="286" customWidth="1"/>
    <col min="9982" max="9983" width="21.625" style="286" customWidth="1"/>
    <col min="9984" max="9984" width="16.125" style="286" bestFit="1" customWidth="1"/>
    <col min="9985" max="9985" width="13.875" style="286" bestFit="1" customWidth="1"/>
    <col min="9986" max="9986" width="17.25" style="286" bestFit="1" customWidth="1"/>
    <col min="9987" max="9988" width="20.5" style="286" bestFit="1" customWidth="1"/>
    <col min="9989" max="9989" width="0" style="286" hidden="1" customWidth="1"/>
    <col min="9990" max="9990" width="18.375" style="286" bestFit="1" customWidth="1"/>
    <col min="9991" max="9992" width="0" style="286" hidden="1" customWidth="1"/>
    <col min="9993" max="10236" width="9" style="286"/>
    <col min="10237" max="10237" width="6.625" style="286" customWidth="1"/>
    <col min="10238" max="10239" width="21.625" style="286" customWidth="1"/>
    <col min="10240" max="10240" width="16.125" style="286" bestFit="1" customWidth="1"/>
    <col min="10241" max="10241" width="13.875" style="286" bestFit="1" customWidth="1"/>
    <col min="10242" max="10242" width="17.25" style="286" bestFit="1" customWidth="1"/>
    <col min="10243" max="10244" width="20.5" style="286" bestFit="1" customWidth="1"/>
    <col min="10245" max="10245" width="0" style="286" hidden="1" customWidth="1"/>
    <col min="10246" max="10246" width="18.375" style="286" bestFit="1" customWidth="1"/>
    <col min="10247" max="10248" width="0" style="286" hidden="1" customWidth="1"/>
    <col min="10249" max="10492" width="9" style="286"/>
    <col min="10493" max="10493" width="6.625" style="286" customWidth="1"/>
    <col min="10494" max="10495" width="21.625" style="286" customWidth="1"/>
    <col min="10496" max="10496" width="16.125" style="286" bestFit="1" customWidth="1"/>
    <col min="10497" max="10497" width="13.875" style="286" bestFit="1" customWidth="1"/>
    <col min="10498" max="10498" width="17.25" style="286" bestFit="1" customWidth="1"/>
    <col min="10499" max="10500" width="20.5" style="286" bestFit="1" customWidth="1"/>
    <col min="10501" max="10501" width="0" style="286" hidden="1" customWidth="1"/>
    <col min="10502" max="10502" width="18.375" style="286" bestFit="1" customWidth="1"/>
    <col min="10503" max="10504" width="0" style="286" hidden="1" customWidth="1"/>
    <col min="10505" max="10748" width="9" style="286"/>
    <col min="10749" max="10749" width="6.625" style="286" customWidth="1"/>
    <col min="10750" max="10751" width="21.625" style="286" customWidth="1"/>
    <col min="10752" max="10752" width="16.125" style="286" bestFit="1" customWidth="1"/>
    <col min="10753" max="10753" width="13.875" style="286" bestFit="1" customWidth="1"/>
    <col min="10754" max="10754" width="17.25" style="286" bestFit="1" customWidth="1"/>
    <col min="10755" max="10756" width="20.5" style="286" bestFit="1" customWidth="1"/>
    <col min="10757" max="10757" width="0" style="286" hidden="1" customWidth="1"/>
    <col min="10758" max="10758" width="18.375" style="286" bestFit="1" customWidth="1"/>
    <col min="10759" max="10760" width="0" style="286" hidden="1" customWidth="1"/>
    <col min="10761" max="11004" width="9" style="286"/>
    <col min="11005" max="11005" width="6.625" style="286" customWidth="1"/>
    <col min="11006" max="11007" width="21.625" style="286" customWidth="1"/>
    <col min="11008" max="11008" width="16.125" style="286" bestFit="1" customWidth="1"/>
    <col min="11009" max="11009" width="13.875" style="286" bestFit="1" customWidth="1"/>
    <col min="11010" max="11010" width="17.25" style="286" bestFit="1" customWidth="1"/>
    <col min="11011" max="11012" width="20.5" style="286" bestFit="1" customWidth="1"/>
    <col min="11013" max="11013" width="0" style="286" hidden="1" customWidth="1"/>
    <col min="11014" max="11014" width="18.375" style="286" bestFit="1" customWidth="1"/>
    <col min="11015" max="11016" width="0" style="286" hidden="1" customWidth="1"/>
    <col min="11017" max="11260" width="9" style="286"/>
    <col min="11261" max="11261" width="6.625" style="286" customWidth="1"/>
    <col min="11262" max="11263" width="21.625" style="286" customWidth="1"/>
    <col min="11264" max="11264" width="16.125" style="286" bestFit="1" customWidth="1"/>
    <col min="11265" max="11265" width="13.875" style="286" bestFit="1" customWidth="1"/>
    <col min="11266" max="11266" width="17.25" style="286" bestFit="1" customWidth="1"/>
    <col min="11267" max="11268" width="20.5" style="286" bestFit="1" customWidth="1"/>
    <col min="11269" max="11269" width="0" style="286" hidden="1" customWidth="1"/>
    <col min="11270" max="11270" width="18.375" style="286" bestFit="1" customWidth="1"/>
    <col min="11271" max="11272" width="0" style="286" hidden="1" customWidth="1"/>
    <col min="11273" max="11516" width="9" style="286"/>
    <col min="11517" max="11517" width="6.625" style="286" customWidth="1"/>
    <col min="11518" max="11519" width="21.625" style="286" customWidth="1"/>
    <col min="11520" max="11520" width="16.125" style="286" bestFit="1" customWidth="1"/>
    <col min="11521" max="11521" width="13.875" style="286" bestFit="1" customWidth="1"/>
    <col min="11522" max="11522" width="17.25" style="286" bestFit="1" customWidth="1"/>
    <col min="11523" max="11524" width="20.5" style="286" bestFit="1" customWidth="1"/>
    <col min="11525" max="11525" width="0" style="286" hidden="1" customWidth="1"/>
    <col min="11526" max="11526" width="18.375" style="286" bestFit="1" customWidth="1"/>
    <col min="11527" max="11528" width="0" style="286" hidden="1" customWidth="1"/>
    <col min="11529" max="11772" width="9" style="286"/>
    <col min="11773" max="11773" width="6.625" style="286" customWidth="1"/>
    <col min="11774" max="11775" width="21.625" style="286" customWidth="1"/>
    <col min="11776" max="11776" width="16.125" style="286" bestFit="1" customWidth="1"/>
    <col min="11777" max="11777" width="13.875" style="286" bestFit="1" customWidth="1"/>
    <col min="11778" max="11778" width="17.25" style="286" bestFit="1" customWidth="1"/>
    <col min="11779" max="11780" width="20.5" style="286" bestFit="1" customWidth="1"/>
    <col min="11781" max="11781" width="0" style="286" hidden="1" customWidth="1"/>
    <col min="11782" max="11782" width="18.375" style="286" bestFit="1" customWidth="1"/>
    <col min="11783" max="11784" width="0" style="286" hidden="1" customWidth="1"/>
    <col min="11785" max="12028" width="9" style="286"/>
    <col min="12029" max="12029" width="6.625" style="286" customWidth="1"/>
    <col min="12030" max="12031" width="21.625" style="286" customWidth="1"/>
    <col min="12032" max="12032" width="16.125" style="286" bestFit="1" customWidth="1"/>
    <col min="12033" max="12033" width="13.875" style="286" bestFit="1" customWidth="1"/>
    <col min="12034" max="12034" width="17.25" style="286" bestFit="1" customWidth="1"/>
    <col min="12035" max="12036" width="20.5" style="286" bestFit="1" customWidth="1"/>
    <col min="12037" max="12037" width="0" style="286" hidden="1" customWidth="1"/>
    <col min="12038" max="12038" width="18.375" style="286" bestFit="1" customWidth="1"/>
    <col min="12039" max="12040" width="0" style="286" hidden="1" customWidth="1"/>
    <col min="12041" max="12284" width="9" style="286"/>
    <col min="12285" max="12285" width="6.625" style="286" customWidth="1"/>
    <col min="12286" max="12287" width="21.625" style="286" customWidth="1"/>
    <col min="12288" max="12288" width="16.125" style="286" bestFit="1" customWidth="1"/>
    <col min="12289" max="12289" width="13.875" style="286" bestFit="1" customWidth="1"/>
    <col min="12290" max="12290" width="17.25" style="286" bestFit="1" customWidth="1"/>
    <col min="12291" max="12292" width="20.5" style="286" bestFit="1" customWidth="1"/>
    <col min="12293" max="12293" width="0" style="286" hidden="1" customWidth="1"/>
    <col min="12294" max="12294" width="18.375" style="286" bestFit="1" customWidth="1"/>
    <col min="12295" max="12296" width="0" style="286" hidden="1" customWidth="1"/>
    <col min="12297" max="12540" width="9" style="286"/>
    <col min="12541" max="12541" width="6.625" style="286" customWidth="1"/>
    <col min="12542" max="12543" width="21.625" style="286" customWidth="1"/>
    <col min="12544" max="12544" width="16.125" style="286" bestFit="1" customWidth="1"/>
    <col min="12545" max="12545" width="13.875" style="286" bestFit="1" customWidth="1"/>
    <col min="12546" max="12546" width="17.25" style="286" bestFit="1" customWidth="1"/>
    <col min="12547" max="12548" width="20.5" style="286" bestFit="1" customWidth="1"/>
    <col min="12549" max="12549" width="0" style="286" hidden="1" customWidth="1"/>
    <col min="12550" max="12550" width="18.375" style="286" bestFit="1" customWidth="1"/>
    <col min="12551" max="12552" width="0" style="286" hidden="1" customWidth="1"/>
    <col min="12553" max="12796" width="9" style="286"/>
    <col min="12797" max="12797" width="6.625" style="286" customWidth="1"/>
    <col min="12798" max="12799" width="21.625" style="286" customWidth="1"/>
    <col min="12800" max="12800" width="16.125" style="286" bestFit="1" customWidth="1"/>
    <col min="12801" max="12801" width="13.875" style="286" bestFit="1" customWidth="1"/>
    <col min="12802" max="12802" width="17.25" style="286" bestFit="1" customWidth="1"/>
    <col min="12803" max="12804" width="20.5" style="286" bestFit="1" customWidth="1"/>
    <col min="12805" max="12805" width="0" style="286" hidden="1" customWidth="1"/>
    <col min="12806" max="12806" width="18.375" style="286" bestFit="1" customWidth="1"/>
    <col min="12807" max="12808" width="0" style="286" hidden="1" customWidth="1"/>
    <col min="12809" max="13052" width="9" style="286"/>
    <col min="13053" max="13053" width="6.625" style="286" customWidth="1"/>
    <col min="13054" max="13055" width="21.625" style="286" customWidth="1"/>
    <col min="13056" max="13056" width="16.125" style="286" bestFit="1" customWidth="1"/>
    <col min="13057" max="13057" width="13.875" style="286" bestFit="1" customWidth="1"/>
    <col min="13058" max="13058" width="17.25" style="286" bestFit="1" customWidth="1"/>
    <col min="13059" max="13060" width="20.5" style="286" bestFit="1" customWidth="1"/>
    <col min="13061" max="13061" width="0" style="286" hidden="1" customWidth="1"/>
    <col min="13062" max="13062" width="18.375" style="286" bestFit="1" customWidth="1"/>
    <col min="13063" max="13064" width="0" style="286" hidden="1" customWidth="1"/>
    <col min="13065" max="13308" width="9" style="286"/>
    <col min="13309" max="13309" width="6.625" style="286" customWidth="1"/>
    <col min="13310" max="13311" width="21.625" style="286" customWidth="1"/>
    <col min="13312" max="13312" width="16.125" style="286" bestFit="1" customWidth="1"/>
    <col min="13313" max="13313" width="13.875" style="286" bestFit="1" customWidth="1"/>
    <col min="13314" max="13314" width="17.25" style="286" bestFit="1" customWidth="1"/>
    <col min="13315" max="13316" width="20.5" style="286" bestFit="1" customWidth="1"/>
    <col min="13317" max="13317" width="0" style="286" hidden="1" customWidth="1"/>
    <col min="13318" max="13318" width="18.375" style="286" bestFit="1" customWidth="1"/>
    <col min="13319" max="13320" width="0" style="286" hidden="1" customWidth="1"/>
    <col min="13321" max="13564" width="9" style="286"/>
    <col min="13565" max="13565" width="6.625" style="286" customWidth="1"/>
    <col min="13566" max="13567" width="21.625" style="286" customWidth="1"/>
    <col min="13568" max="13568" width="16.125" style="286" bestFit="1" customWidth="1"/>
    <col min="13569" max="13569" width="13.875" style="286" bestFit="1" customWidth="1"/>
    <col min="13570" max="13570" width="17.25" style="286" bestFit="1" customWidth="1"/>
    <col min="13571" max="13572" width="20.5" style="286" bestFit="1" customWidth="1"/>
    <col min="13573" max="13573" width="0" style="286" hidden="1" customWidth="1"/>
    <col min="13574" max="13574" width="18.375" style="286" bestFit="1" customWidth="1"/>
    <col min="13575" max="13576" width="0" style="286" hidden="1" customWidth="1"/>
    <col min="13577" max="13820" width="9" style="286"/>
    <col min="13821" max="13821" width="6.625" style="286" customWidth="1"/>
    <col min="13822" max="13823" width="21.625" style="286" customWidth="1"/>
    <col min="13824" max="13824" width="16.125" style="286" bestFit="1" customWidth="1"/>
    <col min="13825" max="13825" width="13.875" style="286" bestFit="1" customWidth="1"/>
    <col min="13826" max="13826" width="17.25" style="286" bestFit="1" customWidth="1"/>
    <col min="13827" max="13828" width="20.5" style="286" bestFit="1" customWidth="1"/>
    <col min="13829" max="13829" width="0" style="286" hidden="1" customWidth="1"/>
    <col min="13830" max="13830" width="18.375" style="286" bestFit="1" customWidth="1"/>
    <col min="13831" max="13832" width="0" style="286" hidden="1" customWidth="1"/>
    <col min="13833" max="14076" width="9" style="286"/>
    <col min="14077" max="14077" width="6.625" style="286" customWidth="1"/>
    <col min="14078" max="14079" width="21.625" style="286" customWidth="1"/>
    <col min="14080" max="14080" width="16.125" style="286" bestFit="1" customWidth="1"/>
    <col min="14081" max="14081" width="13.875" style="286" bestFit="1" customWidth="1"/>
    <col min="14082" max="14082" width="17.25" style="286" bestFit="1" customWidth="1"/>
    <col min="14083" max="14084" width="20.5" style="286" bestFit="1" customWidth="1"/>
    <col min="14085" max="14085" width="0" style="286" hidden="1" customWidth="1"/>
    <col min="14086" max="14086" width="18.375" style="286" bestFit="1" customWidth="1"/>
    <col min="14087" max="14088" width="0" style="286" hidden="1" customWidth="1"/>
    <col min="14089" max="14332" width="9" style="286"/>
    <col min="14333" max="14333" width="6.625" style="286" customWidth="1"/>
    <col min="14334" max="14335" width="21.625" style="286" customWidth="1"/>
    <col min="14336" max="14336" width="16.125" style="286" bestFit="1" customWidth="1"/>
    <col min="14337" max="14337" width="13.875" style="286" bestFit="1" customWidth="1"/>
    <col min="14338" max="14338" width="17.25" style="286" bestFit="1" customWidth="1"/>
    <col min="14339" max="14340" width="20.5" style="286" bestFit="1" customWidth="1"/>
    <col min="14341" max="14341" width="0" style="286" hidden="1" customWidth="1"/>
    <col min="14342" max="14342" width="18.375" style="286" bestFit="1" customWidth="1"/>
    <col min="14343" max="14344" width="0" style="286" hidden="1" customWidth="1"/>
    <col min="14345" max="14588" width="9" style="286"/>
    <col min="14589" max="14589" width="6.625" style="286" customWidth="1"/>
    <col min="14590" max="14591" width="21.625" style="286" customWidth="1"/>
    <col min="14592" max="14592" width="16.125" style="286" bestFit="1" customWidth="1"/>
    <col min="14593" max="14593" width="13.875" style="286" bestFit="1" customWidth="1"/>
    <col min="14594" max="14594" width="17.25" style="286" bestFit="1" customWidth="1"/>
    <col min="14595" max="14596" width="20.5" style="286" bestFit="1" customWidth="1"/>
    <col min="14597" max="14597" width="0" style="286" hidden="1" customWidth="1"/>
    <col min="14598" max="14598" width="18.375" style="286" bestFit="1" customWidth="1"/>
    <col min="14599" max="14600" width="0" style="286" hidden="1" customWidth="1"/>
    <col min="14601" max="14844" width="9" style="286"/>
    <col min="14845" max="14845" width="6.625" style="286" customWidth="1"/>
    <col min="14846" max="14847" width="21.625" style="286" customWidth="1"/>
    <col min="14848" max="14848" width="16.125" style="286" bestFit="1" customWidth="1"/>
    <col min="14849" max="14849" width="13.875" style="286" bestFit="1" customWidth="1"/>
    <col min="14850" max="14850" width="17.25" style="286" bestFit="1" customWidth="1"/>
    <col min="14851" max="14852" width="20.5" style="286" bestFit="1" customWidth="1"/>
    <col min="14853" max="14853" width="0" style="286" hidden="1" customWidth="1"/>
    <col min="14854" max="14854" width="18.375" style="286" bestFit="1" customWidth="1"/>
    <col min="14855" max="14856" width="0" style="286" hidden="1" customWidth="1"/>
    <col min="14857" max="15100" width="9" style="286"/>
    <col min="15101" max="15101" width="6.625" style="286" customWidth="1"/>
    <col min="15102" max="15103" width="21.625" style="286" customWidth="1"/>
    <col min="15104" max="15104" width="16.125" style="286" bestFit="1" customWidth="1"/>
    <col min="15105" max="15105" width="13.875" style="286" bestFit="1" customWidth="1"/>
    <col min="15106" max="15106" width="17.25" style="286" bestFit="1" customWidth="1"/>
    <col min="15107" max="15108" width="20.5" style="286" bestFit="1" customWidth="1"/>
    <col min="15109" max="15109" width="0" style="286" hidden="1" customWidth="1"/>
    <col min="15110" max="15110" width="18.375" style="286" bestFit="1" customWidth="1"/>
    <col min="15111" max="15112" width="0" style="286" hidden="1" customWidth="1"/>
    <col min="15113" max="15356" width="9" style="286"/>
    <col min="15357" max="15357" width="6.625" style="286" customWidth="1"/>
    <col min="15358" max="15359" width="21.625" style="286" customWidth="1"/>
    <col min="15360" max="15360" width="16.125" style="286" bestFit="1" customWidth="1"/>
    <col min="15361" max="15361" width="13.875" style="286" bestFit="1" customWidth="1"/>
    <col min="15362" max="15362" width="17.25" style="286" bestFit="1" customWidth="1"/>
    <col min="15363" max="15364" width="20.5" style="286" bestFit="1" customWidth="1"/>
    <col min="15365" max="15365" width="0" style="286" hidden="1" customWidth="1"/>
    <col min="15366" max="15366" width="18.375" style="286" bestFit="1" customWidth="1"/>
    <col min="15367" max="15368" width="0" style="286" hidden="1" customWidth="1"/>
    <col min="15369" max="15612" width="9" style="286"/>
    <col min="15613" max="15613" width="6.625" style="286" customWidth="1"/>
    <col min="15614" max="15615" width="21.625" style="286" customWidth="1"/>
    <col min="15616" max="15616" width="16.125" style="286" bestFit="1" customWidth="1"/>
    <col min="15617" max="15617" width="13.875" style="286" bestFit="1" customWidth="1"/>
    <col min="15618" max="15618" width="17.25" style="286" bestFit="1" customWidth="1"/>
    <col min="15619" max="15620" width="20.5" style="286" bestFit="1" customWidth="1"/>
    <col min="15621" max="15621" width="0" style="286" hidden="1" customWidth="1"/>
    <col min="15622" max="15622" width="18.375" style="286" bestFit="1" customWidth="1"/>
    <col min="15623" max="15624" width="0" style="286" hidden="1" customWidth="1"/>
    <col min="15625" max="15868" width="9" style="286"/>
    <col min="15869" max="15869" width="6.625" style="286" customWidth="1"/>
    <col min="15870" max="15871" width="21.625" style="286" customWidth="1"/>
    <col min="15872" max="15872" width="16.125" style="286" bestFit="1" customWidth="1"/>
    <col min="15873" max="15873" width="13.875" style="286" bestFit="1" customWidth="1"/>
    <col min="15874" max="15874" width="17.25" style="286" bestFit="1" customWidth="1"/>
    <col min="15875" max="15876" width="20.5" style="286" bestFit="1" customWidth="1"/>
    <col min="15877" max="15877" width="0" style="286" hidden="1" customWidth="1"/>
    <col min="15878" max="15878" width="18.375" style="286" bestFit="1" customWidth="1"/>
    <col min="15879" max="15880" width="0" style="286" hidden="1" customWidth="1"/>
    <col min="15881" max="16124" width="9" style="286"/>
    <col min="16125" max="16125" width="6.625" style="286" customWidth="1"/>
    <col min="16126" max="16127" width="21.625" style="286" customWidth="1"/>
    <col min="16128" max="16128" width="16.125" style="286" bestFit="1" customWidth="1"/>
    <col min="16129" max="16129" width="13.875" style="286" bestFit="1" customWidth="1"/>
    <col min="16130" max="16130" width="17.25" style="286" bestFit="1" customWidth="1"/>
    <col min="16131" max="16132" width="20.5" style="286" bestFit="1" customWidth="1"/>
    <col min="16133" max="16133" width="0" style="286" hidden="1" customWidth="1"/>
    <col min="16134" max="16134" width="18.375" style="286" bestFit="1" customWidth="1"/>
    <col min="16135" max="16136" width="0" style="286" hidden="1" customWidth="1"/>
    <col min="16137" max="16384" width="9" style="286"/>
  </cols>
  <sheetData>
    <row r="1" spans="1:3" ht="39.950000000000003" customHeight="1">
      <c r="A1" s="371" t="s">
        <v>684</v>
      </c>
      <c r="B1" s="372"/>
      <c r="C1" s="372"/>
    </row>
    <row r="2" spans="1:3" s="288" customFormat="1" ht="39.950000000000003" customHeight="1">
      <c r="A2" s="373" t="s">
        <v>683</v>
      </c>
      <c r="B2" s="374"/>
      <c r="C2" s="287" t="s">
        <v>605</v>
      </c>
    </row>
    <row r="3" spans="1:3" ht="39.950000000000003" customHeight="1">
      <c r="A3" s="289" t="s">
        <v>679</v>
      </c>
      <c r="B3" s="289" t="s">
        <v>680</v>
      </c>
      <c r="C3" s="290" t="s">
        <v>685</v>
      </c>
    </row>
    <row r="4" spans="1:3" ht="39.950000000000003" customHeight="1">
      <c r="A4" s="289">
        <v>1</v>
      </c>
      <c r="B4" s="289" t="s">
        <v>681</v>
      </c>
      <c r="C4" s="291">
        <f>扩班设备!J81</f>
        <v>983000</v>
      </c>
    </row>
    <row r="5" spans="1:3" ht="39.950000000000003" customHeight="1">
      <c r="A5" s="289"/>
      <c r="B5" s="289" t="s">
        <v>682</v>
      </c>
      <c r="C5" s="292">
        <f>SUM(C4:C4)</f>
        <v>983000</v>
      </c>
    </row>
    <row r="6" spans="1:3" ht="30" customHeight="1">
      <c r="B6" s="286"/>
    </row>
    <row r="7" spans="1:3" ht="30" customHeight="1">
      <c r="B7" s="286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1" hidden="1" customWidth="1"/>
    <col min="2" max="2" width="14.875" style="161" customWidth="1"/>
    <col min="3" max="3" width="15.125" style="161" customWidth="1"/>
    <col min="4" max="4" width="32" style="161" customWidth="1"/>
    <col min="5" max="5" width="17.25" style="167" customWidth="1"/>
    <col min="6" max="6" width="17.25" style="168" customWidth="1"/>
    <col min="7" max="7" width="12.875" style="168" customWidth="1"/>
    <col min="8" max="16384" width="9" style="161"/>
  </cols>
  <sheetData>
    <row r="1" spans="1:7" s="155" customFormat="1" ht="30" customHeight="1">
      <c r="A1" s="375" t="s">
        <v>676</v>
      </c>
      <c r="B1" s="375"/>
      <c r="C1" s="375"/>
      <c r="D1" s="375"/>
      <c r="E1" s="376"/>
      <c r="F1" s="376"/>
      <c r="G1" s="376"/>
    </row>
    <row r="2" spans="1:7" s="158" customFormat="1" ht="30" customHeight="1">
      <c r="A2" s="156"/>
      <c r="B2" s="156"/>
      <c r="C2" s="156"/>
      <c r="D2" s="156"/>
      <c r="E2" s="157"/>
      <c r="F2" s="157"/>
      <c r="G2" s="265" t="s">
        <v>223</v>
      </c>
    </row>
    <row r="3" spans="1:7" ht="33.75" customHeight="1">
      <c r="A3" s="159" t="s">
        <v>448</v>
      </c>
      <c r="B3" s="160" t="s">
        <v>22</v>
      </c>
      <c r="C3" s="160" t="s">
        <v>449</v>
      </c>
      <c r="D3" s="160" t="s">
        <v>12</v>
      </c>
      <c r="E3" s="160" t="s">
        <v>450</v>
      </c>
      <c r="F3" s="160" t="s">
        <v>451</v>
      </c>
      <c r="G3" s="160" t="s">
        <v>10</v>
      </c>
    </row>
    <row r="4" spans="1:7" s="168" customFormat="1" ht="18.95" customHeight="1" outlineLevel="2">
      <c r="A4" s="271" t="s">
        <v>452</v>
      </c>
      <c r="B4" s="272" t="s">
        <v>25</v>
      </c>
      <c r="C4" s="272" t="s">
        <v>453</v>
      </c>
      <c r="D4" s="272" t="s">
        <v>454</v>
      </c>
      <c r="E4" s="162">
        <v>216695.2</v>
      </c>
      <c r="F4" s="164">
        <v>273483.65000000002</v>
      </c>
      <c r="G4" s="163">
        <f>ROUND((E4+F4)*1.2,2)</f>
        <v>588214.62</v>
      </c>
    </row>
    <row r="5" spans="1:7" s="168" customFormat="1" ht="18.95" customHeight="1" outlineLevel="1">
      <c r="A5" s="271"/>
      <c r="B5" s="273" t="s">
        <v>68</v>
      </c>
      <c r="C5" s="274"/>
      <c r="D5" s="274"/>
      <c r="E5" s="165">
        <f>SUBTOTAL(9,E4:E4)</f>
        <v>216695.2</v>
      </c>
      <c r="F5" s="165">
        <f t="shared" ref="F5:G5" si="0">SUBTOTAL(9,F4:F4)</f>
        <v>273483.65000000002</v>
      </c>
      <c r="G5" s="165">
        <f t="shared" si="0"/>
        <v>588214.62</v>
      </c>
    </row>
    <row r="6" spans="1:7" s="168" customFormat="1" ht="18.95" customHeight="1" outlineLevel="2">
      <c r="A6" s="271" t="s">
        <v>452</v>
      </c>
      <c r="B6" s="272" t="s">
        <v>26</v>
      </c>
      <c r="C6" s="272" t="s">
        <v>13</v>
      </c>
      <c r="D6" s="272" t="s">
        <v>455</v>
      </c>
      <c r="E6" s="162">
        <v>108805.45</v>
      </c>
      <c r="F6" s="163">
        <v>135485.1</v>
      </c>
      <c r="G6" s="163">
        <f t="shared" ref="G6:G61" si="1">ROUND((E6+F6)*1.2,2)</f>
        <v>293148.65999999997</v>
      </c>
    </row>
    <row r="7" spans="1:7" s="168" customFormat="1" ht="18.95" customHeight="1" outlineLevel="1">
      <c r="A7" s="271"/>
      <c r="B7" s="273" t="s">
        <v>456</v>
      </c>
      <c r="C7" s="274"/>
      <c r="D7" s="274"/>
      <c r="E7" s="165">
        <f t="shared" ref="E7:G7" si="2">SUBTOTAL(9,E6:E6)</f>
        <v>108805.45</v>
      </c>
      <c r="F7" s="165">
        <f t="shared" si="2"/>
        <v>135485.1</v>
      </c>
      <c r="G7" s="165">
        <f t="shared" si="2"/>
        <v>293148.65999999997</v>
      </c>
    </row>
    <row r="8" spans="1:7" s="168" customFormat="1" ht="18.95" customHeight="1" outlineLevel="2">
      <c r="A8" s="271" t="s">
        <v>452</v>
      </c>
      <c r="B8" s="272" t="s">
        <v>27</v>
      </c>
      <c r="C8" s="272" t="s">
        <v>13</v>
      </c>
      <c r="D8" s="272" t="s">
        <v>457</v>
      </c>
      <c r="E8" s="162">
        <v>84145.5</v>
      </c>
      <c r="F8" s="163">
        <v>93718.45</v>
      </c>
      <c r="G8" s="163">
        <f t="shared" si="1"/>
        <v>213436.74</v>
      </c>
    </row>
    <row r="9" spans="1:7" s="168" customFormat="1" ht="18.95" customHeight="1" outlineLevel="2">
      <c r="A9" s="271" t="s">
        <v>452</v>
      </c>
      <c r="B9" s="272" t="s">
        <v>27</v>
      </c>
      <c r="C9" s="272" t="s">
        <v>13</v>
      </c>
      <c r="D9" s="272" t="s">
        <v>458</v>
      </c>
      <c r="E9" s="162">
        <v>587093.69999999995</v>
      </c>
      <c r="F9" s="163">
        <v>636524.9</v>
      </c>
      <c r="G9" s="163">
        <f t="shared" si="1"/>
        <v>1468342.32</v>
      </c>
    </row>
    <row r="10" spans="1:7" s="168" customFormat="1" ht="18.95" customHeight="1" outlineLevel="2">
      <c r="A10" s="271" t="s">
        <v>452</v>
      </c>
      <c r="B10" s="272" t="s">
        <v>27</v>
      </c>
      <c r="C10" s="272" t="s">
        <v>13</v>
      </c>
      <c r="D10" s="272" t="s">
        <v>459</v>
      </c>
      <c r="E10" s="162">
        <v>228007.9</v>
      </c>
      <c r="F10" s="163">
        <v>245936.45</v>
      </c>
      <c r="G10" s="163">
        <f t="shared" si="1"/>
        <v>568733.22</v>
      </c>
    </row>
    <row r="11" spans="1:7" s="168" customFormat="1" ht="18.95" customHeight="1" outlineLevel="2">
      <c r="A11" s="271" t="s">
        <v>452</v>
      </c>
      <c r="B11" s="272" t="s">
        <v>27</v>
      </c>
      <c r="C11" s="272" t="s">
        <v>13</v>
      </c>
      <c r="D11" s="272" t="s">
        <v>460</v>
      </c>
      <c r="E11" s="162">
        <v>80305.5</v>
      </c>
      <c r="F11" s="163">
        <v>91480.25</v>
      </c>
      <c r="G11" s="163">
        <f t="shared" si="1"/>
        <v>206142.9</v>
      </c>
    </row>
    <row r="12" spans="1:7" s="168" customFormat="1" ht="18.95" customHeight="1" outlineLevel="2">
      <c r="A12" s="271" t="s">
        <v>452</v>
      </c>
      <c r="B12" s="272" t="s">
        <v>27</v>
      </c>
      <c r="C12" s="272" t="s">
        <v>13</v>
      </c>
      <c r="D12" s="272" t="s">
        <v>461</v>
      </c>
      <c r="E12" s="162">
        <v>211850.75</v>
      </c>
      <c r="F12" s="163">
        <v>225162.85</v>
      </c>
      <c r="G12" s="163">
        <f t="shared" si="1"/>
        <v>524416.31999999995</v>
      </c>
    </row>
    <row r="13" spans="1:7" s="168" customFormat="1" ht="18.95" customHeight="1" outlineLevel="2">
      <c r="A13" s="271" t="s">
        <v>452</v>
      </c>
      <c r="B13" s="272" t="s">
        <v>27</v>
      </c>
      <c r="C13" s="272" t="s">
        <v>23</v>
      </c>
      <c r="D13" s="272" t="s">
        <v>462</v>
      </c>
      <c r="E13" s="162">
        <v>172644.65</v>
      </c>
      <c r="F13" s="163">
        <v>229112.75</v>
      </c>
      <c r="G13" s="163">
        <f t="shared" si="1"/>
        <v>482108.88</v>
      </c>
    </row>
    <row r="14" spans="1:7" s="168" customFormat="1" ht="18.95" customHeight="1" outlineLevel="2">
      <c r="A14" s="271" t="s">
        <v>452</v>
      </c>
      <c r="B14" s="272" t="s">
        <v>27</v>
      </c>
      <c r="C14" s="272" t="s">
        <v>23</v>
      </c>
      <c r="D14" s="272" t="s">
        <v>463</v>
      </c>
      <c r="E14" s="162">
        <v>522340.25</v>
      </c>
      <c r="F14" s="163">
        <v>696035.6</v>
      </c>
      <c r="G14" s="163">
        <f t="shared" si="1"/>
        <v>1462051.02</v>
      </c>
    </row>
    <row r="15" spans="1:7" s="168" customFormat="1" ht="18.95" customHeight="1" outlineLevel="2">
      <c r="A15" s="271" t="s">
        <v>452</v>
      </c>
      <c r="B15" s="272" t="s">
        <v>27</v>
      </c>
      <c r="C15" s="272" t="s">
        <v>23</v>
      </c>
      <c r="D15" s="272" t="s">
        <v>464</v>
      </c>
      <c r="E15" s="162">
        <v>204609.7</v>
      </c>
      <c r="F15" s="163">
        <v>270028.84999999998</v>
      </c>
      <c r="G15" s="163">
        <f t="shared" si="1"/>
        <v>569566.26</v>
      </c>
    </row>
    <row r="16" spans="1:7" s="168" customFormat="1" ht="18.95" customHeight="1" outlineLevel="2">
      <c r="A16" s="271"/>
      <c r="B16" s="272" t="s">
        <v>27</v>
      </c>
      <c r="C16" s="272" t="s">
        <v>465</v>
      </c>
      <c r="D16" s="272" t="s">
        <v>466</v>
      </c>
      <c r="E16" s="162">
        <v>253461.5</v>
      </c>
      <c r="F16" s="164">
        <v>347448.05</v>
      </c>
      <c r="G16" s="163">
        <f t="shared" si="1"/>
        <v>721091.46</v>
      </c>
    </row>
    <row r="17" spans="1:7" s="168" customFormat="1" ht="18.95" customHeight="1" outlineLevel="2">
      <c r="A17" s="271" t="s">
        <v>452</v>
      </c>
      <c r="B17" s="272" t="s">
        <v>27</v>
      </c>
      <c r="C17" s="272" t="s">
        <v>23</v>
      </c>
      <c r="D17" s="272" t="s">
        <v>467</v>
      </c>
      <c r="E17" s="162">
        <v>231053.55</v>
      </c>
      <c r="F17" s="163">
        <v>321634.5</v>
      </c>
      <c r="G17" s="163">
        <f t="shared" si="1"/>
        <v>663225.66</v>
      </c>
    </row>
    <row r="18" spans="1:7" s="168" customFormat="1" ht="18.95" customHeight="1" outlineLevel="1">
      <c r="A18" s="271"/>
      <c r="B18" s="273" t="s">
        <v>468</v>
      </c>
      <c r="C18" s="274"/>
      <c r="D18" s="274"/>
      <c r="E18" s="165">
        <f>SUBTOTAL(9,E8:E17)</f>
        <v>2575513</v>
      </c>
      <c r="F18" s="165">
        <f t="shared" ref="F18:G18" si="3">SUBTOTAL(9,F8:F17)</f>
        <v>3157082.65</v>
      </c>
      <c r="G18" s="165">
        <f t="shared" si="3"/>
        <v>6879114.7800000003</v>
      </c>
    </row>
    <row r="19" spans="1:7" s="168" customFormat="1" ht="18.95" customHeight="1" outlineLevel="2">
      <c r="A19" s="271" t="s">
        <v>452</v>
      </c>
      <c r="B19" s="272" t="s">
        <v>28</v>
      </c>
      <c r="C19" s="272" t="s">
        <v>13</v>
      </c>
      <c r="D19" s="272" t="s">
        <v>469</v>
      </c>
      <c r="E19" s="162">
        <v>193036</v>
      </c>
      <c r="F19" s="163">
        <v>211807.05</v>
      </c>
      <c r="G19" s="163">
        <f t="shared" si="1"/>
        <v>485811.66</v>
      </c>
    </row>
    <row r="20" spans="1:7" s="168" customFormat="1" ht="18.95" customHeight="1" outlineLevel="2">
      <c r="A20" s="271" t="s">
        <v>452</v>
      </c>
      <c r="B20" s="272" t="s">
        <v>28</v>
      </c>
      <c r="C20" s="272" t="s">
        <v>13</v>
      </c>
      <c r="D20" s="272" t="s">
        <v>470</v>
      </c>
      <c r="E20" s="162">
        <v>125203.65</v>
      </c>
      <c r="F20" s="163">
        <v>145474.65</v>
      </c>
      <c r="G20" s="163">
        <f t="shared" si="1"/>
        <v>324813.96000000002</v>
      </c>
    </row>
    <row r="21" spans="1:7" s="168" customFormat="1" ht="18.95" customHeight="1" outlineLevel="2">
      <c r="A21" s="271" t="s">
        <v>452</v>
      </c>
      <c r="B21" s="272" t="s">
        <v>28</v>
      </c>
      <c r="C21" s="272" t="s">
        <v>13</v>
      </c>
      <c r="D21" s="272" t="s">
        <v>471</v>
      </c>
      <c r="E21" s="162">
        <v>136042</v>
      </c>
      <c r="F21" s="163">
        <v>160181.15</v>
      </c>
      <c r="G21" s="163">
        <f t="shared" si="1"/>
        <v>355467.78</v>
      </c>
    </row>
    <row r="22" spans="1:7" s="168" customFormat="1" ht="18.95" customHeight="1" outlineLevel="2">
      <c r="A22" s="271" t="s">
        <v>452</v>
      </c>
      <c r="B22" s="272" t="s">
        <v>28</v>
      </c>
      <c r="C22" s="272" t="s">
        <v>13</v>
      </c>
      <c r="D22" s="272" t="s">
        <v>472</v>
      </c>
      <c r="E22" s="162">
        <v>119446.85</v>
      </c>
      <c r="F22" s="163">
        <v>229477</v>
      </c>
      <c r="G22" s="163">
        <f t="shared" si="1"/>
        <v>418708.62</v>
      </c>
    </row>
    <row r="23" spans="1:7" s="168" customFormat="1" ht="18.95" customHeight="1" outlineLevel="2">
      <c r="A23" s="271" t="s">
        <v>452</v>
      </c>
      <c r="B23" s="272" t="s">
        <v>28</v>
      </c>
      <c r="C23" s="272" t="s">
        <v>13</v>
      </c>
      <c r="D23" s="275" t="s">
        <v>69</v>
      </c>
      <c r="E23" s="162">
        <v>115338.95</v>
      </c>
      <c r="F23" s="163">
        <v>139525.5</v>
      </c>
      <c r="G23" s="163">
        <f t="shared" si="1"/>
        <v>305837.34000000003</v>
      </c>
    </row>
    <row r="24" spans="1:7" s="168" customFormat="1" ht="18.95" customHeight="1" outlineLevel="2">
      <c r="A24" s="271" t="s">
        <v>452</v>
      </c>
      <c r="B24" s="272" t="s">
        <v>28</v>
      </c>
      <c r="C24" s="272" t="s">
        <v>23</v>
      </c>
      <c r="D24" s="272" t="s">
        <v>473</v>
      </c>
      <c r="E24" s="162">
        <v>164946.9</v>
      </c>
      <c r="F24" s="163">
        <v>229856.95</v>
      </c>
      <c r="G24" s="163">
        <f t="shared" si="1"/>
        <v>473764.62</v>
      </c>
    </row>
    <row r="25" spans="1:7" s="168" customFormat="1" ht="18.95" customHeight="1" outlineLevel="2">
      <c r="A25" s="271" t="s">
        <v>452</v>
      </c>
      <c r="B25" s="272" t="s">
        <v>28</v>
      </c>
      <c r="C25" s="272" t="s">
        <v>23</v>
      </c>
      <c r="D25" s="272" t="s">
        <v>474</v>
      </c>
      <c r="E25" s="162">
        <v>151591.4</v>
      </c>
      <c r="F25" s="163">
        <v>197610.3</v>
      </c>
      <c r="G25" s="163">
        <f t="shared" si="1"/>
        <v>419042.04</v>
      </c>
    </row>
    <row r="26" spans="1:7" s="168" customFormat="1" ht="18.95" customHeight="1" outlineLevel="2">
      <c r="A26" s="271" t="s">
        <v>452</v>
      </c>
      <c r="B26" s="272" t="s">
        <v>28</v>
      </c>
      <c r="C26" s="272" t="s">
        <v>23</v>
      </c>
      <c r="D26" s="275" t="s">
        <v>475</v>
      </c>
      <c r="E26" s="162">
        <v>211001.9</v>
      </c>
      <c r="F26" s="163">
        <v>306792.84999999998</v>
      </c>
      <c r="G26" s="163">
        <f t="shared" si="1"/>
        <v>621353.69999999995</v>
      </c>
    </row>
    <row r="27" spans="1:7" s="168" customFormat="1" ht="18.95" customHeight="1" outlineLevel="2">
      <c r="A27" s="271"/>
      <c r="B27" s="272" t="s">
        <v>28</v>
      </c>
      <c r="C27" s="272" t="s">
        <v>465</v>
      </c>
      <c r="D27" s="272" t="s">
        <v>476</v>
      </c>
      <c r="E27" s="162">
        <v>162398.54999999999</v>
      </c>
      <c r="F27" s="164">
        <v>195956.55</v>
      </c>
      <c r="G27" s="163">
        <f t="shared" si="1"/>
        <v>430026.12</v>
      </c>
    </row>
    <row r="28" spans="1:7" s="168" customFormat="1" ht="18.95" customHeight="1" outlineLevel="2">
      <c r="A28" s="271"/>
      <c r="B28" s="272" t="s">
        <v>28</v>
      </c>
      <c r="C28" s="272" t="s">
        <v>465</v>
      </c>
      <c r="D28" s="272" t="s">
        <v>477</v>
      </c>
      <c r="E28" s="162">
        <v>107574.25</v>
      </c>
      <c r="F28" s="164">
        <v>183116.25</v>
      </c>
      <c r="G28" s="163">
        <f t="shared" si="1"/>
        <v>348828.6</v>
      </c>
    </row>
    <row r="29" spans="1:7" s="168" customFormat="1" ht="18.95" customHeight="1" outlineLevel="1">
      <c r="A29" s="271"/>
      <c r="B29" s="273" t="s">
        <v>29</v>
      </c>
      <c r="C29" s="274"/>
      <c r="D29" s="274"/>
      <c r="E29" s="165">
        <f>SUBTOTAL(9,E19:E28)</f>
        <v>1486580.45</v>
      </c>
      <c r="F29" s="165">
        <f t="shared" ref="F29:G29" si="4">SUBTOTAL(9,F19:F28)</f>
        <v>1999798.2500000002</v>
      </c>
      <c r="G29" s="165">
        <f t="shared" si="4"/>
        <v>4183654.44</v>
      </c>
    </row>
    <row r="30" spans="1:7" s="168" customFormat="1" ht="18.95" customHeight="1" outlineLevel="2">
      <c r="A30" s="271" t="s">
        <v>452</v>
      </c>
      <c r="B30" s="272" t="s">
        <v>30</v>
      </c>
      <c r="C30" s="272" t="s">
        <v>13</v>
      </c>
      <c r="D30" s="272" t="s">
        <v>478</v>
      </c>
      <c r="E30" s="162">
        <v>68235.350000000006</v>
      </c>
      <c r="F30" s="163">
        <v>84259.1</v>
      </c>
      <c r="G30" s="163">
        <f t="shared" si="1"/>
        <v>182993.34</v>
      </c>
    </row>
    <row r="31" spans="1:7" s="168" customFormat="1" ht="18.95" customHeight="1" outlineLevel="2">
      <c r="A31" s="271" t="s">
        <v>452</v>
      </c>
      <c r="B31" s="272" t="s">
        <v>30</v>
      </c>
      <c r="C31" s="272" t="s">
        <v>13</v>
      </c>
      <c r="D31" s="272" t="s">
        <v>479</v>
      </c>
      <c r="E31" s="162">
        <v>178377.85</v>
      </c>
      <c r="F31" s="163">
        <v>205182.05</v>
      </c>
      <c r="G31" s="163">
        <f t="shared" si="1"/>
        <v>460271.88</v>
      </c>
    </row>
    <row r="32" spans="1:7" s="168" customFormat="1" ht="18.95" customHeight="1" outlineLevel="2">
      <c r="A32" s="271" t="s">
        <v>452</v>
      </c>
      <c r="B32" s="272" t="s">
        <v>30</v>
      </c>
      <c r="C32" s="272" t="s">
        <v>13</v>
      </c>
      <c r="D32" s="166" t="s">
        <v>444</v>
      </c>
      <c r="E32" s="162">
        <v>104224</v>
      </c>
      <c r="F32" s="163">
        <v>126266.55</v>
      </c>
      <c r="G32" s="163">
        <f t="shared" si="1"/>
        <v>276588.65999999997</v>
      </c>
    </row>
    <row r="33" spans="1:7" s="168" customFormat="1" ht="18.95" customHeight="1" outlineLevel="2">
      <c r="A33" s="271" t="s">
        <v>452</v>
      </c>
      <c r="B33" s="272" t="s">
        <v>30</v>
      </c>
      <c r="C33" s="272" t="s">
        <v>465</v>
      </c>
      <c r="D33" s="276" t="s">
        <v>480</v>
      </c>
      <c r="E33" s="162">
        <v>163087.9</v>
      </c>
      <c r="F33" s="164">
        <v>205961.95</v>
      </c>
      <c r="G33" s="163">
        <f t="shared" si="1"/>
        <v>442859.82</v>
      </c>
    </row>
    <row r="34" spans="1:7" s="168" customFormat="1" ht="18.95" customHeight="1" outlineLevel="2">
      <c r="A34" s="271" t="s">
        <v>452</v>
      </c>
      <c r="B34" s="272" t="s">
        <v>30</v>
      </c>
      <c r="C34" s="272" t="s">
        <v>23</v>
      </c>
      <c r="D34" s="272" t="s">
        <v>481</v>
      </c>
      <c r="E34" s="162">
        <v>154448.70000000001</v>
      </c>
      <c r="F34" s="163">
        <v>208459.1</v>
      </c>
      <c r="G34" s="163">
        <f t="shared" si="1"/>
        <v>435489.36</v>
      </c>
    </row>
    <row r="35" spans="1:7" s="168" customFormat="1" ht="18.95" customHeight="1" outlineLevel="2">
      <c r="A35" s="271" t="s">
        <v>452</v>
      </c>
      <c r="B35" s="272" t="s">
        <v>30</v>
      </c>
      <c r="C35" s="272" t="s">
        <v>23</v>
      </c>
      <c r="D35" s="275" t="s">
        <v>482</v>
      </c>
      <c r="E35" s="162">
        <v>131463.65</v>
      </c>
      <c r="F35" s="163">
        <v>196200.75</v>
      </c>
      <c r="G35" s="163">
        <f t="shared" si="1"/>
        <v>393197.28</v>
      </c>
    </row>
    <row r="36" spans="1:7" s="168" customFormat="1" ht="18.95" customHeight="1" outlineLevel="2">
      <c r="A36" s="271" t="s">
        <v>452</v>
      </c>
      <c r="B36" s="272" t="s">
        <v>30</v>
      </c>
      <c r="C36" s="272" t="s">
        <v>23</v>
      </c>
      <c r="D36" s="272" t="s">
        <v>483</v>
      </c>
      <c r="E36" s="162">
        <v>185507.3</v>
      </c>
      <c r="F36" s="163">
        <v>281088.45</v>
      </c>
      <c r="G36" s="163">
        <f t="shared" si="1"/>
        <v>559914.9</v>
      </c>
    </row>
    <row r="37" spans="1:7" s="168" customFormat="1" ht="18.95" customHeight="1" outlineLevel="1">
      <c r="A37" s="271"/>
      <c r="B37" s="273" t="s">
        <v>31</v>
      </c>
      <c r="C37" s="274"/>
      <c r="D37" s="274"/>
      <c r="E37" s="165">
        <f>SUBTOTAL(9,E30:E36)</f>
        <v>985344.75</v>
      </c>
      <c r="F37" s="165">
        <f t="shared" ref="F37:G37" si="5">SUBTOTAL(9,F30:F36)</f>
        <v>1307417.95</v>
      </c>
      <c r="G37" s="165">
        <f t="shared" si="5"/>
        <v>2751315.2399999998</v>
      </c>
    </row>
    <row r="38" spans="1:7" s="168" customFormat="1" ht="18.95" customHeight="1" outlineLevel="2">
      <c r="A38" s="271"/>
      <c r="B38" s="272" t="s">
        <v>32</v>
      </c>
      <c r="C38" s="272" t="s">
        <v>465</v>
      </c>
      <c r="D38" s="166" t="s">
        <v>67</v>
      </c>
      <c r="E38" s="162">
        <v>238136.75</v>
      </c>
      <c r="F38" s="164">
        <v>298977.05</v>
      </c>
      <c r="G38" s="163">
        <f t="shared" si="1"/>
        <v>644536.56000000006</v>
      </c>
    </row>
    <row r="39" spans="1:7" s="168" customFormat="1" ht="18.95" customHeight="1" outlineLevel="2">
      <c r="A39" s="271" t="s">
        <v>452</v>
      </c>
      <c r="B39" s="272" t="s">
        <v>32</v>
      </c>
      <c r="C39" s="272" t="s">
        <v>13</v>
      </c>
      <c r="D39" s="272" t="s">
        <v>484</v>
      </c>
      <c r="E39" s="162">
        <v>254261.3</v>
      </c>
      <c r="F39" s="163">
        <v>312218.95</v>
      </c>
      <c r="G39" s="163">
        <f t="shared" si="1"/>
        <v>679776.3</v>
      </c>
    </row>
    <row r="40" spans="1:7" s="168" customFormat="1" ht="18.95" customHeight="1" outlineLevel="2">
      <c r="A40" s="271" t="s">
        <v>452</v>
      </c>
      <c r="B40" s="272" t="s">
        <v>32</v>
      </c>
      <c r="C40" s="272" t="s">
        <v>453</v>
      </c>
      <c r="D40" s="275" t="s">
        <v>485</v>
      </c>
      <c r="E40" s="162">
        <v>218145</v>
      </c>
      <c r="F40" s="164">
        <v>266550.84999999998</v>
      </c>
      <c r="G40" s="163">
        <f t="shared" si="1"/>
        <v>581635.02</v>
      </c>
    </row>
    <row r="41" spans="1:7" s="168" customFormat="1" ht="18.95" customHeight="1" outlineLevel="2">
      <c r="A41" s="271" t="s">
        <v>452</v>
      </c>
      <c r="B41" s="272" t="s">
        <v>32</v>
      </c>
      <c r="C41" s="272" t="s">
        <v>23</v>
      </c>
      <c r="D41" s="272" t="s">
        <v>486</v>
      </c>
      <c r="E41" s="162">
        <v>205737.2</v>
      </c>
      <c r="F41" s="163">
        <v>284145.09999999998</v>
      </c>
      <c r="G41" s="163">
        <f t="shared" si="1"/>
        <v>587858.76</v>
      </c>
    </row>
    <row r="42" spans="1:7" s="168" customFormat="1" ht="18.95" customHeight="1" outlineLevel="1">
      <c r="A42" s="271"/>
      <c r="B42" s="273" t="s">
        <v>487</v>
      </c>
      <c r="C42" s="274"/>
      <c r="D42" s="274"/>
      <c r="E42" s="165">
        <f>SUBTOTAL(9,E38:E41)</f>
        <v>916280.25</v>
      </c>
      <c r="F42" s="165">
        <f t="shared" ref="F42:G42" si="6">SUBTOTAL(9,F38:F41)</f>
        <v>1161891.95</v>
      </c>
      <c r="G42" s="165">
        <f t="shared" si="6"/>
        <v>2493806.64</v>
      </c>
    </row>
    <row r="43" spans="1:7" s="168" customFormat="1" ht="18.95" customHeight="1" outlineLevel="2">
      <c r="A43" s="271" t="s">
        <v>452</v>
      </c>
      <c r="B43" s="272" t="s">
        <v>33</v>
      </c>
      <c r="C43" s="272" t="s">
        <v>453</v>
      </c>
      <c r="D43" s="275" t="s">
        <v>488</v>
      </c>
      <c r="E43" s="162">
        <v>272882.65000000002</v>
      </c>
      <c r="F43" s="164">
        <v>342380.75</v>
      </c>
      <c r="G43" s="163">
        <f t="shared" si="1"/>
        <v>738316.08</v>
      </c>
    </row>
    <row r="44" spans="1:7" s="168" customFormat="1" ht="18.95" customHeight="1" outlineLevel="2">
      <c r="A44" s="271" t="s">
        <v>452</v>
      </c>
      <c r="B44" s="272" t="s">
        <v>33</v>
      </c>
      <c r="C44" s="272" t="s">
        <v>453</v>
      </c>
      <c r="D44" s="275" t="s">
        <v>489</v>
      </c>
      <c r="E44" s="162">
        <v>169387.7</v>
      </c>
      <c r="F44" s="164">
        <v>220535.25</v>
      </c>
      <c r="G44" s="163">
        <f t="shared" si="1"/>
        <v>467907.54</v>
      </c>
    </row>
    <row r="45" spans="1:7" s="168" customFormat="1" ht="18.95" customHeight="1" outlineLevel="2">
      <c r="A45" s="271"/>
      <c r="B45" s="272" t="s">
        <v>33</v>
      </c>
      <c r="C45" s="272" t="s">
        <v>453</v>
      </c>
      <c r="D45" s="275" t="s">
        <v>585</v>
      </c>
      <c r="E45" s="162">
        <v>0</v>
      </c>
      <c r="F45" s="164">
        <v>282823.2</v>
      </c>
      <c r="G45" s="163">
        <f t="shared" si="1"/>
        <v>339387.84</v>
      </c>
    </row>
    <row r="46" spans="1:7" s="168" customFormat="1" ht="18.95" customHeight="1" outlineLevel="2">
      <c r="A46" s="271" t="s">
        <v>452</v>
      </c>
      <c r="B46" s="272" t="s">
        <v>33</v>
      </c>
      <c r="C46" s="272" t="s">
        <v>453</v>
      </c>
      <c r="D46" s="275" t="s">
        <v>287</v>
      </c>
      <c r="E46" s="162">
        <v>302543.34999999998</v>
      </c>
      <c r="F46" s="164">
        <v>413944.45</v>
      </c>
      <c r="G46" s="163">
        <f t="shared" si="1"/>
        <v>859785.36</v>
      </c>
    </row>
    <row r="47" spans="1:7" s="168" customFormat="1" ht="18.95" customHeight="1" outlineLevel="1">
      <c r="A47" s="271"/>
      <c r="B47" s="273" t="s">
        <v>34</v>
      </c>
      <c r="C47" s="274"/>
      <c r="D47" s="160"/>
      <c r="E47" s="165">
        <f>SUBTOTAL(9,E43:E46)</f>
        <v>744813.7</v>
      </c>
      <c r="F47" s="165">
        <f>SUBTOTAL(9,F43:F46)</f>
        <v>1259683.6499999999</v>
      </c>
      <c r="G47" s="165">
        <f>SUBTOTAL(9,G43:G46)</f>
        <v>2405396.8199999998</v>
      </c>
    </row>
    <row r="48" spans="1:7" s="168" customFormat="1" ht="18.95" customHeight="1" outlineLevel="2">
      <c r="A48" s="271" t="s">
        <v>452</v>
      </c>
      <c r="B48" s="272" t="s">
        <v>35</v>
      </c>
      <c r="C48" s="272" t="s">
        <v>13</v>
      </c>
      <c r="D48" s="272" t="s">
        <v>490</v>
      </c>
      <c r="E48" s="162">
        <v>347063.75</v>
      </c>
      <c r="F48" s="164">
        <v>371287.75</v>
      </c>
      <c r="G48" s="163">
        <f t="shared" si="1"/>
        <v>862021.8</v>
      </c>
    </row>
    <row r="49" spans="1:7" s="168" customFormat="1" ht="18.95" customHeight="1" outlineLevel="2">
      <c r="A49" s="271" t="s">
        <v>452</v>
      </c>
      <c r="B49" s="272" t="s">
        <v>35</v>
      </c>
      <c r="C49" s="272" t="s">
        <v>13</v>
      </c>
      <c r="D49" s="272" t="s">
        <v>491</v>
      </c>
      <c r="E49" s="162">
        <v>92760.45</v>
      </c>
      <c r="F49" s="164">
        <v>113793.8</v>
      </c>
      <c r="G49" s="163">
        <f t="shared" si="1"/>
        <v>247865.1</v>
      </c>
    </row>
    <row r="50" spans="1:7" s="168" customFormat="1" ht="18.95" customHeight="1" outlineLevel="2">
      <c r="A50" s="271" t="s">
        <v>452</v>
      </c>
      <c r="B50" s="272" t="s">
        <v>35</v>
      </c>
      <c r="C50" s="272" t="s">
        <v>13</v>
      </c>
      <c r="D50" s="272" t="s">
        <v>492</v>
      </c>
      <c r="E50" s="162">
        <v>108256.85</v>
      </c>
      <c r="F50" s="164">
        <v>137323.5</v>
      </c>
      <c r="G50" s="163">
        <f t="shared" si="1"/>
        <v>294696.42</v>
      </c>
    </row>
    <row r="51" spans="1:7" s="168" customFormat="1" ht="18.95" customHeight="1" outlineLevel="2">
      <c r="A51" s="271" t="s">
        <v>452</v>
      </c>
      <c r="B51" s="272" t="s">
        <v>35</v>
      </c>
      <c r="C51" s="272" t="s">
        <v>13</v>
      </c>
      <c r="D51" s="272" t="s">
        <v>493</v>
      </c>
      <c r="E51" s="162">
        <v>106134.65</v>
      </c>
      <c r="F51" s="164">
        <v>121197.4</v>
      </c>
      <c r="G51" s="163">
        <f t="shared" si="1"/>
        <v>272798.46000000002</v>
      </c>
    </row>
    <row r="52" spans="1:7" s="168" customFormat="1" ht="18.95" customHeight="1" outlineLevel="2">
      <c r="A52" s="271"/>
      <c r="B52" s="272" t="s">
        <v>35</v>
      </c>
      <c r="C52" s="272" t="s">
        <v>453</v>
      </c>
      <c r="D52" s="275" t="s">
        <v>494</v>
      </c>
      <c r="E52" s="162">
        <v>221994.95</v>
      </c>
      <c r="F52" s="164">
        <v>293861.2</v>
      </c>
      <c r="G52" s="163">
        <f t="shared" si="1"/>
        <v>619027.38</v>
      </c>
    </row>
    <row r="53" spans="1:7" s="168" customFormat="1" ht="18.95" customHeight="1" outlineLevel="2">
      <c r="A53" s="271"/>
      <c r="B53" s="272" t="s">
        <v>35</v>
      </c>
      <c r="C53" s="272" t="s">
        <v>23</v>
      </c>
      <c r="D53" s="275" t="s">
        <v>495</v>
      </c>
      <c r="E53" s="162">
        <v>145270.85</v>
      </c>
      <c r="F53" s="164">
        <v>182274.75</v>
      </c>
      <c r="G53" s="163">
        <f t="shared" si="1"/>
        <v>393054.71999999997</v>
      </c>
    </row>
    <row r="54" spans="1:7" s="168" customFormat="1" ht="18.95" customHeight="1" outlineLevel="2">
      <c r="A54" s="271" t="s">
        <v>452</v>
      </c>
      <c r="B54" s="272" t="s">
        <v>35</v>
      </c>
      <c r="C54" s="272" t="s">
        <v>23</v>
      </c>
      <c r="D54" s="272" t="s">
        <v>496</v>
      </c>
      <c r="E54" s="162">
        <v>201623.8</v>
      </c>
      <c r="F54" s="164">
        <v>280717.95</v>
      </c>
      <c r="G54" s="163">
        <f t="shared" si="1"/>
        <v>578810.1</v>
      </c>
    </row>
    <row r="55" spans="1:7" s="168" customFormat="1" ht="18.95" customHeight="1" outlineLevel="2">
      <c r="A55" s="271" t="s">
        <v>452</v>
      </c>
      <c r="B55" s="272" t="s">
        <v>35</v>
      </c>
      <c r="C55" s="272" t="s">
        <v>23</v>
      </c>
      <c r="D55" s="272" t="s">
        <v>497</v>
      </c>
      <c r="E55" s="162">
        <v>219279.55</v>
      </c>
      <c r="F55" s="164">
        <v>317655.34999999998</v>
      </c>
      <c r="G55" s="163">
        <f t="shared" si="1"/>
        <v>644321.88</v>
      </c>
    </row>
    <row r="56" spans="1:7" s="168" customFormat="1" ht="18.95" customHeight="1" outlineLevel="1">
      <c r="A56" s="271"/>
      <c r="B56" s="273" t="s">
        <v>498</v>
      </c>
      <c r="C56" s="274"/>
      <c r="D56" s="274"/>
      <c r="E56" s="165">
        <f>SUBTOTAL(9,E48:E55)</f>
        <v>1442384.85</v>
      </c>
      <c r="F56" s="165">
        <f t="shared" ref="F56:G56" si="7">SUBTOTAL(9,F48:F55)</f>
        <v>1818111.7000000002</v>
      </c>
      <c r="G56" s="165">
        <f t="shared" si="7"/>
        <v>3912595.86</v>
      </c>
    </row>
    <row r="57" spans="1:7" s="168" customFormat="1" ht="18.95" customHeight="1" outlineLevel="2">
      <c r="A57" s="271" t="s">
        <v>452</v>
      </c>
      <c r="B57" s="272" t="s">
        <v>36</v>
      </c>
      <c r="C57" s="272" t="s">
        <v>13</v>
      </c>
      <c r="D57" s="272" t="s">
        <v>499</v>
      </c>
      <c r="E57" s="162">
        <v>111198.6</v>
      </c>
      <c r="F57" s="163">
        <v>165937.25</v>
      </c>
      <c r="G57" s="163">
        <f t="shared" si="1"/>
        <v>332563.02</v>
      </c>
    </row>
    <row r="58" spans="1:7" s="168" customFormat="1" ht="18.95" customHeight="1" outlineLevel="2">
      <c r="A58" s="271" t="s">
        <v>452</v>
      </c>
      <c r="B58" s="272" t="s">
        <v>36</v>
      </c>
      <c r="C58" s="272" t="s">
        <v>13</v>
      </c>
      <c r="D58" s="272" t="s">
        <v>500</v>
      </c>
      <c r="E58" s="162">
        <v>105639.15</v>
      </c>
      <c r="F58" s="163">
        <v>116621.9</v>
      </c>
      <c r="G58" s="163">
        <f t="shared" si="1"/>
        <v>266713.26</v>
      </c>
    </row>
    <row r="59" spans="1:7" s="168" customFormat="1" ht="18.95" customHeight="1" outlineLevel="2">
      <c r="A59" s="271" t="s">
        <v>452</v>
      </c>
      <c r="B59" s="272" t="s">
        <v>36</v>
      </c>
      <c r="C59" s="272" t="s">
        <v>453</v>
      </c>
      <c r="D59" s="166" t="s">
        <v>501</v>
      </c>
      <c r="E59" s="162">
        <v>158816.85</v>
      </c>
      <c r="F59" s="164">
        <v>182821.84999999998</v>
      </c>
      <c r="G59" s="163">
        <f t="shared" si="1"/>
        <v>409966.44</v>
      </c>
    </row>
    <row r="60" spans="1:7" s="168" customFormat="1" ht="18.95" customHeight="1" outlineLevel="2">
      <c r="A60" s="271" t="s">
        <v>452</v>
      </c>
      <c r="B60" s="272" t="s">
        <v>36</v>
      </c>
      <c r="C60" s="272" t="s">
        <v>23</v>
      </c>
      <c r="D60" s="272" t="s">
        <v>502</v>
      </c>
      <c r="E60" s="162">
        <v>120564.15</v>
      </c>
      <c r="F60" s="163">
        <v>156159.29999999999</v>
      </c>
      <c r="G60" s="163">
        <f t="shared" si="1"/>
        <v>332068.14</v>
      </c>
    </row>
    <row r="61" spans="1:7" s="168" customFormat="1" ht="18.95" customHeight="1" outlineLevel="2">
      <c r="A61" s="271" t="s">
        <v>452</v>
      </c>
      <c r="B61" s="272" t="s">
        <v>36</v>
      </c>
      <c r="C61" s="272" t="s">
        <v>23</v>
      </c>
      <c r="D61" s="272" t="s">
        <v>503</v>
      </c>
      <c r="E61" s="162">
        <v>108607.25</v>
      </c>
      <c r="F61" s="163">
        <v>149539.6</v>
      </c>
      <c r="G61" s="163">
        <f t="shared" si="1"/>
        <v>309776.21999999997</v>
      </c>
    </row>
    <row r="62" spans="1:7" s="168" customFormat="1" ht="18.95" customHeight="1" outlineLevel="1">
      <c r="B62" s="273" t="s">
        <v>504</v>
      </c>
      <c r="C62" s="274"/>
      <c r="D62" s="274"/>
      <c r="E62" s="165">
        <f>SUBTOTAL(9,E57:E61)</f>
        <v>604826</v>
      </c>
      <c r="F62" s="165">
        <f t="shared" ref="F62:G62" si="8">SUBTOTAL(9,F57:F61)</f>
        <v>771079.9</v>
      </c>
      <c r="G62" s="165">
        <f t="shared" si="8"/>
        <v>1651087.0799999998</v>
      </c>
    </row>
    <row r="63" spans="1:7" s="168" customFormat="1" ht="18.95" customHeight="1">
      <c r="B63" s="273" t="s">
        <v>21</v>
      </c>
      <c r="C63" s="274"/>
      <c r="D63" s="274"/>
      <c r="E63" s="165">
        <f>SUBTOTAL(9,E4:E61)</f>
        <v>9081243.6500000004</v>
      </c>
      <c r="F63" s="165">
        <f>SUBTOTAL(9,F4:F61)</f>
        <v>11884034.799999995</v>
      </c>
      <c r="G63" s="165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8" customWidth="1"/>
    <col min="2" max="2" width="29.375" style="118" bestFit="1" customWidth="1"/>
    <col min="3" max="3" width="8.75" style="118" customWidth="1"/>
    <col min="4" max="4" width="15.625" style="118" customWidth="1"/>
    <col min="5" max="5" width="18.875" style="118" bestFit="1" customWidth="1"/>
    <col min="6" max="6" width="15.625" style="118" customWidth="1"/>
    <col min="7" max="7" width="18.875" style="118" bestFit="1" customWidth="1"/>
    <col min="8" max="8" width="13.125" style="118" bestFit="1" customWidth="1"/>
    <col min="9" max="16384" width="9" style="118"/>
  </cols>
  <sheetData>
    <row r="1" spans="1:8" s="227" customFormat="1" ht="30" customHeight="1">
      <c r="A1" s="377" t="s">
        <v>677</v>
      </c>
      <c r="B1" s="377"/>
      <c r="C1" s="377"/>
      <c r="D1" s="377"/>
      <c r="E1" s="377"/>
      <c r="F1" s="378"/>
      <c r="G1" s="354"/>
      <c r="H1" s="354"/>
    </row>
    <row r="2" spans="1:8" s="227" customFormat="1" ht="30" customHeight="1">
      <c r="A2" s="379" t="s">
        <v>660</v>
      </c>
      <c r="B2" s="349"/>
      <c r="C2" s="349"/>
      <c r="D2" s="349"/>
      <c r="E2" s="349"/>
      <c r="F2" s="349"/>
      <c r="G2" s="349"/>
      <c r="H2" s="349"/>
    </row>
    <row r="3" spans="1:8" ht="20.100000000000001" customHeight="1">
      <c r="A3" s="130" t="s">
        <v>11</v>
      </c>
      <c r="B3" s="130" t="s">
        <v>38</v>
      </c>
      <c r="C3" s="130" t="s">
        <v>39</v>
      </c>
      <c r="D3" s="119" t="s">
        <v>438</v>
      </c>
      <c r="E3" s="119" t="s">
        <v>440</v>
      </c>
      <c r="F3" s="130" t="s">
        <v>441</v>
      </c>
      <c r="G3" s="119" t="s">
        <v>442</v>
      </c>
      <c r="H3" s="257" t="s">
        <v>443</v>
      </c>
    </row>
    <row r="4" spans="1:8" s="122" customFormat="1" ht="20.100000000000001" customHeight="1">
      <c r="A4" s="131">
        <v>1</v>
      </c>
      <c r="B4" s="120" t="s">
        <v>77</v>
      </c>
      <c r="C4" s="132" t="s">
        <v>439</v>
      </c>
      <c r="D4" s="121">
        <v>150990</v>
      </c>
      <c r="E4" s="72">
        <v>101565</v>
      </c>
      <c r="F4" s="126">
        <v>252555</v>
      </c>
      <c r="G4" s="72">
        <v>73920</v>
      </c>
      <c r="H4" s="127">
        <v>313241</v>
      </c>
    </row>
    <row r="5" spans="1:8" ht="20.100000000000001" customHeight="1">
      <c r="A5" s="133"/>
      <c r="B5" s="134" t="s">
        <v>74</v>
      </c>
      <c r="C5" s="135"/>
      <c r="D5" s="119">
        <f>SUM(D4)</f>
        <v>150990</v>
      </c>
      <c r="E5" s="119">
        <f t="shared" ref="E5:H5" si="0">SUM(E4)</f>
        <v>101565</v>
      </c>
      <c r="F5" s="119">
        <f t="shared" si="0"/>
        <v>252555</v>
      </c>
      <c r="G5" s="119">
        <f t="shared" si="0"/>
        <v>73920</v>
      </c>
      <c r="H5" s="119">
        <f t="shared" si="0"/>
        <v>313241</v>
      </c>
    </row>
    <row r="6" spans="1:8" s="122" customFormat="1" ht="20.100000000000001" customHeight="1">
      <c r="A6" s="131">
        <v>1</v>
      </c>
      <c r="B6" s="123" t="s">
        <v>78</v>
      </c>
      <c r="C6" s="132" t="s">
        <v>13</v>
      </c>
      <c r="D6" s="121">
        <v>200340</v>
      </c>
      <c r="E6" s="72">
        <v>125892</v>
      </c>
      <c r="F6" s="126">
        <v>326232</v>
      </c>
      <c r="G6" s="72">
        <v>91872</v>
      </c>
      <c r="H6" s="127">
        <v>388709</v>
      </c>
    </row>
    <row r="7" spans="1:8" ht="20.100000000000001" customHeight="1">
      <c r="A7" s="133"/>
      <c r="B7" s="134" t="s">
        <v>40</v>
      </c>
      <c r="C7" s="135"/>
      <c r="D7" s="119">
        <f>SUM(D6)</f>
        <v>200340</v>
      </c>
      <c r="E7" s="119">
        <f t="shared" ref="E7:H7" si="1">SUM(E6)</f>
        <v>125892</v>
      </c>
      <c r="F7" s="119">
        <f t="shared" si="1"/>
        <v>326232</v>
      </c>
      <c r="G7" s="119">
        <f t="shared" si="1"/>
        <v>91872</v>
      </c>
      <c r="H7" s="119">
        <f t="shared" si="1"/>
        <v>388709</v>
      </c>
    </row>
    <row r="8" spans="1:8" s="122" customFormat="1" ht="20.100000000000001" customHeight="1">
      <c r="A8" s="131">
        <v>1</v>
      </c>
      <c r="B8" s="123" t="s">
        <v>79</v>
      </c>
      <c r="C8" s="132" t="s">
        <v>13</v>
      </c>
      <c r="D8" s="121">
        <v>66150</v>
      </c>
      <c r="E8" s="72">
        <v>49065</v>
      </c>
      <c r="F8" s="126">
        <v>115215</v>
      </c>
      <c r="G8" s="72">
        <v>35640</v>
      </c>
      <c r="H8" s="127">
        <v>151198</v>
      </c>
    </row>
    <row r="9" spans="1:8" s="122" customFormat="1" ht="20.100000000000001" customHeight="1">
      <c r="A9" s="131">
        <v>2</v>
      </c>
      <c r="B9" s="123" t="s">
        <v>80</v>
      </c>
      <c r="C9" s="132" t="s">
        <v>13</v>
      </c>
      <c r="D9" s="121">
        <v>68475</v>
      </c>
      <c r="E9" s="72">
        <v>51240</v>
      </c>
      <c r="F9" s="126">
        <v>119715</v>
      </c>
      <c r="G9" s="72">
        <v>36960</v>
      </c>
      <c r="H9" s="127">
        <v>157437</v>
      </c>
    </row>
    <row r="10" spans="1:8" s="122" customFormat="1" ht="20.100000000000001" customHeight="1">
      <c r="A10" s="131">
        <v>3</v>
      </c>
      <c r="B10" s="123" t="s">
        <v>81</v>
      </c>
      <c r="C10" s="132" t="s">
        <v>13</v>
      </c>
      <c r="D10" s="121">
        <v>203055</v>
      </c>
      <c r="E10" s="72">
        <v>129315</v>
      </c>
      <c r="F10" s="126">
        <v>332370</v>
      </c>
      <c r="G10" s="72">
        <v>93720</v>
      </c>
      <c r="H10" s="127">
        <v>398117</v>
      </c>
    </row>
    <row r="11" spans="1:8" s="122" customFormat="1" ht="20.100000000000001" customHeight="1">
      <c r="A11" s="131">
        <v>4</v>
      </c>
      <c r="B11" s="123" t="s">
        <v>82</v>
      </c>
      <c r="C11" s="132" t="s">
        <v>13</v>
      </c>
      <c r="D11" s="121">
        <v>357705</v>
      </c>
      <c r="E11" s="72">
        <v>247050</v>
      </c>
      <c r="F11" s="126">
        <v>604755</v>
      </c>
      <c r="G11" s="72">
        <v>178200</v>
      </c>
      <c r="H11" s="127">
        <v>759071</v>
      </c>
    </row>
    <row r="12" spans="1:8" s="122" customFormat="1" ht="20.100000000000001" customHeight="1">
      <c r="A12" s="131">
        <v>5</v>
      </c>
      <c r="B12" s="123" t="s">
        <v>83</v>
      </c>
      <c r="C12" s="132" t="s">
        <v>13</v>
      </c>
      <c r="D12" s="121">
        <v>156258</v>
      </c>
      <c r="E12" s="72">
        <v>128466</v>
      </c>
      <c r="F12" s="126">
        <v>284724</v>
      </c>
      <c r="G12" s="72">
        <v>92664</v>
      </c>
      <c r="H12" s="127">
        <v>394717</v>
      </c>
    </row>
    <row r="13" spans="1:8" s="122" customFormat="1" ht="20.100000000000001" customHeight="1">
      <c r="A13" s="131">
        <v>6</v>
      </c>
      <c r="B13" s="120" t="s">
        <v>84</v>
      </c>
      <c r="C13" s="136" t="s">
        <v>23</v>
      </c>
      <c r="D13" s="121">
        <v>230460</v>
      </c>
      <c r="E13" s="72">
        <v>185055</v>
      </c>
      <c r="F13" s="126">
        <v>415515</v>
      </c>
      <c r="G13" s="72">
        <v>133980</v>
      </c>
      <c r="H13" s="127">
        <v>569477</v>
      </c>
    </row>
    <row r="14" spans="1:8" s="122" customFormat="1" ht="20.100000000000001" customHeight="1">
      <c r="A14" s="131">
        <v>7</v>
      </c>
      <c r="B14" s="120" t="s">
        <v>85</v>
      </c>
      <c r="C14" s="136" t="s">
        <v>23</v>
      </c>
      <c r="D14" s="121">
        <v>54990</v>
      </c>
      <c r="E14" s="72">
        <v>52455</v>
      </c>
      <c r="F14" s="126">
        <v>107445</v>
      </c>
      <c r="G14" s="72">
        <v>38280</v>
      </c>
      <c r="H14" s="127">
        <v>161962</v>
      </c>
    </row>
    <row r="15" spans="1:8" s="122" customFormat="1" ht="20.100000000000001" customHeight="1">
      <c r="A15" s="131">
        <v>8</v>
      </c>
      <c r="B15" s="120" t="s">
        <v>86</v>
      </c>
      <c r="C15" s="136" t="s">
        <v>23</v>
      </c>
      <c r="D15" s="121">
        <v>84375</v>
      </c>
      <c r="E15" s="72">
        <v>55470</v>
      </c>
      <c r="F15" s="126">
        <v>139845</v>
      </c>
      <c r="G15" s="72">
        <v>40260</v>
      </c>
      <c r="H15" s="127">
        <v>170878</v>
      </c>
    </row>
    <row r="16" spans="1:8" s="122" customFormat="1" ht="20.100000000000001" customHeight="1">
      <c r="A16" s="131">
        <v>9</v>
      </c>
      <c r="B16" s="120" t="s">
        <v>87</v>
      </c>
      <c r="C16" s="136" t="s">
        <v>23</v>
      </c>
      <c r="D16" s="121">
        <v>62085</v>
      </c>
      <c r="E16" s="72">
        <v>79300</v>
      </c>
      <c r="F16" s="126">
        <v>141385</v>
      </c>
      <c r="G16" s="72">
        <v>57200</v>
      </c>
      <c r="H16" s="127">
        <v>243653</v>
      </c>
    </row>
    <row r="17" spans="1:8" s="122" customFormat="1" ht="20.100000000000001" customHeight="1">
      <c r="A17" s="131">
        <v>10</v>
      </c>
      <c r="B17" s="123" t="s">
        <v>88</v>
      </c>
      <c r="C17" s="132" t="s">
        <v>439</v>
      </c>
      <c r="D17" s="121">
        <v>261074</v>
      </c>
      <c r="E17" s="72">
        <v>213732</v>
      </c>
      <c r="F17" s="126">
        <v>474806</v>
      </c>
      <c r="G17" s="72">
        <v>155232</v>
      </c>
      <c r="H17" s="127">
        <v>658601</v>
      </c>
    </row>
    <row r="18" spans="1:8" ht="20.100000000000001" customHeight="1">
      <c r="A18" s="133"/>
      <c r="B18" s="134" t="s">
        <v>41</v>
      </c>
      <c r="C18" s="135"/>
      <c r="D18" s="119">
        <f>SUM(D8:D17)</f>
        <v>1544627</v>
      </c>
      <c r="E18" s="119">
        <f t="shared" ref="E18:H18" si="2">SUM(E8:E17)</f>
        <v>1191148</v>
      </c>
      <c r="F18" s="119">
        <f t="shared" si="2"/>
        <v>2735775</v>
      </c>
      <c r="G18" s="119">
        <f t="shared" si="2"/>
        <v>862136</v>
      </c>
      <c r="H18" s="119">
        <f t="shared" si="2"/>
        <v>3665111</v>
      </c>
    </row>
    <row r="19" spans="1:8" s="122" customFormat="1" ht="20.100000000000001" customHeight="1">
      <c r="A19" s="131">
        <v>1</v>
      </c>
      <c r="B19" s="123" t="s">
        <v>89</v>
      </c>
      <c r="C19" s="132" t="s">
        <v>13</v>
      </c>
      <c r="D19" s="121">
        <v>487395</v>
      </c>
      <c r="E19" s="72">
        <v>295545</v>
      </c>
      <c r="F19" s="126">
        <v>782940</v>
      </c>
      <c r="G19" s="72">
        <v>215160</v>
      </c>
      <c r="H19" s="127">
        <v>911608</v>
      </c>
    </row>
    <row r="20" spans="1:8" s="122" customFormat="1" ht="20.100000000000001" customHeight="1">
      <c r="A20" s="131">
        <v>2</v>
      </c>
      <c r="B20" s="123" t="s">
        <v>90</v>
      </c>
      <c r="C20" s="132" t="s">
        <v>13</v>
      </c>
      <c r="D20" s="121">
        <v>580832</v>
      </c>
      <c r="E20" s="72">
        <v>364368</v>
      </c>
      <c r="F20" s="126">
        <v>945200</v>
      </c>
      <c r="G20" s="72">
        <v>264000</v>
      </c>
      <c r="H20" s="127">
        <v>1121637</v>
      </c>
    </row>
    <row r="21" spans="1:8" s="122" customFormat="1" ht="20.100000000000001" customHeight="1">
      <c r="A21" s="131">
        <v>3</v>
      </c>
      <c r="B21" s="123" t="s">
        <v>91</v>
      </c>
      <c r="C21" s="132" t="s">
        <v>13</v>
      </c>
      <c r="D21" s="121">
        <v>198330</v>
      </c>
      <c r="E21" s="72">
        <v>149445</v>
      </c>
      <c r="F21" s="126">
        <v>347775</v>
      </c>
      <c r="G21" s="72">
        <v>108240</v>
      </c>
      <c r="H21" s="127">
        <v>459968</v>
      </c>
    </row>
    <row r="22" spans="1:8" s="122" customFormat="1" ht="20.100000000000001" customHeight="1">
      <c r="A22" s="131">
        <v>4</v>
      </c>
      <c r="B22" s="123" t="s">
        <v>92</v>
      </c>
      <c r="C22" s="132" t="s">
        <v>13</v>
      </c>
      <c r="D22" s="121">
        <v>255850</v>
      </c>
      <c r="E22" s="72">
        <v>199424</v>
      </c>
      <c r="F22" s="126">
        <v>455274</v>
      </c>
      <c r="G22" s="72">
        <v>145728</v>
      </c>
      <c r="H22" s="127">
        <v>616096</v>
      </c>
    </row>
    <row r="23" spans="1:8" s="122" customFormat="1" ht="20.100000000000001" customHeight="1">
      <c r="A23" s="131">
        <v>5</v>
      </c>
      <c r="B23" s="123" t="s">
        <v>93</v>
      </c>
      <c r="C23" s="132" t="s">
        <v>13</v>
      </c>
      <c r="D23" s="121">
        <v>199410</v>
      </c>
      <c r="E23" s="72">
        <v>142680</v>
      </c>
      <c r="F23" s="126">
        <v>342090</v>
      </c>
      <c r="G23" s="72">
        <v>105600</v>
      </c>
      <c r="H23" s="127">
        <v>443180</v>
      </c>
    </row>
    <row r="24" spans="1:8" s="122" customFormat="1" ht="20.100000000000001" customHeight="1">
      <c r="A24" s="131">
        <v>6</v>
      </c>
      <c r="B24" s="120" t="s">
        <v>94</v>
      </c>
      <c r="C24" s="136" t="s">
        <v>23</v>
      </c>
      <c r="D24" s="121">
        <v>288990</v>
      </c>
      <c r="E24" s="72">
        <v>177510</v>
      </c>
      <c r="F24" s="126">
        <v>466500</v>
      </c>
      <c r="G24" s="72">
        <v>128700</v>
      </c>
      <c r="H24" s="127">
        <v>546585</v>
      </c>
    </row>
    <row r="25" spans="1:8" s="122" customFormat="1" ht="20.100000000000001" customHeight="1">
      <c r="A25" s="131">
        <v>7</v>
      </c>
      <c r="B25" s="120" t="s">
        <v>95</v>
      </c>
      <c r="C25" s="136" t="s">
        <v>23</v>
      </c>
      <c r="D25" s="121">
        <v>192990</v>
      </c>
      <c r="E25" s="72">
        <v>157380</v>
      </c>
      <c r="F25" s="126">
        <v>350370</v>
      </c>
      <c r="G25" s="72">
        <v>113520</v>
      </c>
      <c r="H25" s="127">
        <v>483557</v>
      </c>
    </row>
    <row r="26" spans="1:8" s="122" customFormat="1" ht="20.100000000000001" customHeight="1">
      <c r="A26" s="131">
        <v>8</v>
      </c>
      <c r="B26" s="120" t="s">
        <v>96</v>
      </c>
      <c r="C26" s="136" t="s">
        <v>23</v>
      </c>
      <c r="D26" s="121">
        <v>288390</v>
      </c>
      <c r="E26" s="72">
        <v>207675</v>
      </c>
      <c r="F26" s="126">
        <v>496065</v>
      </c>
      <c r="G26" s="72">
        <v>154440</v>
      </c>
      <c r="H26" s="127">
        <v>646375</v>
      </c>
    </row>
    <row r="27" spans="1:8" s="122" customFormat="1" ht="20.100000000000001" customHeight="1">
      <c r="A27" s="131">
        <v>9</v>
      </c>
      <c r="B27" s="120" t="s">
        <v>97</v>
      </c>
      <c r="C27" s="132" t="s">
        <v>439</v>
      </c>
      <c r="D27" s="121">
        <v>601189</v>
      </c>
      <c r="E27" s="72">
        <v>478423</v>
      </c>
      <c r="F27" s="126">
        <v>1079612</v>
      </c>
      <c r="G27" s="72">
        <v>345840</v>
      </c>
      <c r="H27" s="127">
        <v>1471309</v>
      </c>
    </row>
    <row r="28" spans="1:8" s="122" customFormat="1" ht="20.100000000000001" customHeight="1">
      <c r="A28" s="131">
        <v>10</v>
      </c>
      <c r="B28" s="123" t="s">
        <v>98</v>
      </c>
      <c r="C28" s="132" t="s">
        <v>439</v>
      </c>
      <c r="D28" s="121">
        <v>170912</v>
      </c>
      <c r="E28" s="72">
        <v>170800</v>
      </c>
      <c r="F28" s="126">
        <v>341712</v>
      </c>
      <c r="G28" s="72">
        <v>123200</v>
      </c>
      <c r="H28" s="127">
        <v>524790</v>
      </c>
    </row>
    <row r="29" spans="1:8" ht="20.100000000000001" customHeight="1">
      <c r="A29" s="133"/>
      <c r="B29" s="134" t="s">
        <v>42</v>
      </c>
      <c r="C29" s="135"/>
      <c r="D29" s="119">
        <f>SUM(D19:D28)</f>
        <v>3264288</v>
      </c>
      <c r="E29" s="119">
        <f t="shared" ref="E29:H29" si="3">SUM(E19:E28)</f>
        <v>2343250</v>
      </c>
      <c r="F29" s="119">
        <f t="shared" si="3"/>
        <v>5607538</v>
      </c>
      <c r="G29" s="119">
        <f t="shared" si="3"/>
        <v>1704428</v>
      </c>
      <c r="H29" s="119">
        <f t="shared" si="3"/>
        <v>7225105</v>
      </c>
    </row>
    <row r="30" spans="1:8" s="122" customFormat="1" ht="20.100000000000001" customHeight="1">
      <c r="A30" s="131">
        <v>1</v>
      </c>
      <c r="B30" s="123" t="s">
        <v>99</v>
      </c>
      <c r="C30" s="132" t="s">
        <v>13</v>
      </c>
      <c r="D30" s="121">
        <v>48735</v>
      </c>
      <c r="E30" s="72">
        <v>38430</v>
      </c>
      <c r="F30" s="126">
        <v>87165</v>
      </c>
      <c r="G30" s="72">
        <v>27720</v>
      </c>
      <c r="H30" s="127">
        <v>118078</v>
      </c>
    </row>
    <row r="31" spans="1:8" s="122" customFormat="1" ht="20.100000000000001" customHeight="1">
      <c r="A31" s="131">
        <v>2</v>
      </c>
      <c r="B31" s="123" t="s">
        <v>444</v>
      </c>
      <c r="C31" s="132" t="s">
        <v>13</v>
      </c>
      <c r="D31" s="121">
        <v>164820</v>
      </c>
      <c r="E31" s="72">
        <v>107055</v>
      </c>
      <c r="F31" s="126">
        <v>271875</v>
      </c>
      <c r="G31" s="72">
        <v>77220</v>
      </c>
      <c r="H31" s="127">
        <v>328931</v>
      </c>
    </row>
    <row r="32" spans="1:8" s="122" customFormat="1" ht="20.100000000000001" customHeight="1">
      <c r="A32" s="131">
        <v>3</v>
      </c>
      <c r="B32" s="123" t="s">
        <v>445</v>
      </c>
      <c r="C32" s="132" t="s">
        <v>13</v>
      </c>
      <c r="D32" s="121">
        <v>325188</v>
      </c>
      <c r="E32" s="72">
        <v>223992</v>
      </c>
      <c r="F32" s="126">
        <v>549180</v>
      </c>
      <c r="G32" s="72">
        <v>162360</v>
      </c>
      <c r="H32" s="127">
        <v>689638</v>
      </c>
    </row>
    <row r="33" spans="1:8" s="122" customFormat="1" ht="20.100000000000001" customHeight="1">
      <c r="A33" s="131">
        <v>4</v>
      </c>
      <c r="B33" s="120" t="s">
        <v>101</v>
      </c>
      <c r="C33" s="132" t="s">
        <v>439</v>
      </c>
      <c r="D33" s="121">
        <v>97812</v>
      </c>
      <c r="E33" s="72">
        <v>73566</v>
      </c>
      <c r="F33" s="126">
        <v>171378</v>
      </c>
      <c r="G33" s="72">
        <v>53856</v>
      </c>
      <c r="H33" s="127">
        <v>227448</v>
      </c>
    </row>
    <row r="34" spans="1:8" s="122" customFormat="1" ht="20.100000000000001" customHeight="1">
      <c r="A34" s="131">
        <v>5</v>
      </c>
      <c r="B34" s="120" t="s">
        <v>102</v>
      </c>
      <c r="C34" s="136" t="s">
        <v>23</v>
      </c>
      <c r="D34" s="121">
        <v>60408</v>
      </c>
      <c r="E34" s="72">
        <v>50508</v>
      </c>
      <c r="F34" s="126">
        <v>110916</v>
      </c>
      <c r="G34" s="72">
        <v>36432</v>
      </c>
      <c r="H34" s="127">
        <v>155188</v>
      </c>
    </row>
    <row r="35" spans="1:8" s="122" customFormat="1" ht="20.100000000000001" customHeight="1">
      <c r="A35" s="131">
        <v>6</v>
      </c>
      <c r="B35" s="124" t="s">
        <v>103</v>
      </c>
      <c r="C35" s="136" t="s">
        <v>23</v>
      </c>
      <c r="D35" s="121">
        <v>162738</v>
      </c>
      <c r="E35" s="72">
        <v>120780</v>
      </c>
      <c r="F35" s="126">
        <v>283518</v>
      </c>
      <c r="G35" s="72">
        <v>87120</v>
      </c>
      <c r="H35" s="127">
        <v>371102</v>
      </c>
    </row>
    <row r="36" spans="1:8" s="122" customFormat="1" ht="20.100000000000001" customHeight="1">
      <c r="A36" s="131">
        <v>7</v>
      </c>
      <c r="B36" s="120" t="s">
        <v>104</v>
      </c>
      <c r="C36" s="136" t="s">
        <v>23</v>
      </c>
      <c r="D36" s="121">
        <v>175980</v>
      </c>
      <c r="E36" s="72">
        <v>137040</v>
      </c>
      <c r="F36" s="126">
        <v>313020</v>
      </c>
      <c r="G36" s="72">
        <v>99440</v>
      </c>
      <c r="H36" s="127">
        <v>422117</v>
      </c>
    </row>
    <row r="37" spans="1:8" ht="20.100000000000001" customHeight="1">
      <c r="A37" s="133"/>
      <c r="B37" s="134" t="s">
        <v>43</v>
      </c>
      <c r="C37" s="135"/>
      <c r="D37" s="119">
        <f>SUM(D30:D36)</f>
        <v>1035681</v>
      </c>
      <c r="E37" s="119">
        <f t="shared" ref="E37:H37" si="4">SUM(E30:E36)</f>
        <v>751371</v>
      </c>
      <c r="F37" s="119">
        <f t="shared" si="4"/>
        <v>1787052</v>
      </c>
      <c r="G37" s="119">
        <f t="shared" si="4"/>
        <v>544148</v>
      </c>
      <c r="H37" s="119">
        <f t="shared" si="4"/>
        <v>2312502</v>
      </c>
    </row>
    <row r="38" spans="1:8" s="122" customFormat="1" ht="20.100000000000001" customHeight="1">
      <c r="A38" s="131">
        <v>1</v>
      </c>
      <c r="B38" s="123" t="s">
        <v>105</v>
      </c>
      <c r="C38" s="132" t="s">
        <v>13</v>
      </c>
      <c r="D38" s="121">
        <v>279645</v>
      </c>
      <c r="E38" s="72">
        <v>267858</v>
      </c>
      <c r="F38" s="126">
        <v>547503</v>
      </c>
      <c r="G38" s="72">
        <v>194832</v>
      </c>
      <c r="H38" s="127">
        <v>825902</v>
      </c>
    </row>
    <row r="39" spans="1:8" s="122" customFormat="1" ht="20.100000000000001" customHeight="1">
      <c r="A39" s="131">
        <v>2</v>
      </c>
      <c r="B39" s="123" t="s">
        <v>67</v>
      </c>
      <c r="C39" s="132" t="s">
        <v>439</v>
      </c>
      <c r="D39" s="121">
        <v>339660</v>
      </c>
      <c r="E39" s="72">
        <v>217590</v>
      </c>
      <c r="F39" s="126">
        <v>557250</v>
      </c>
      <c r="G39" s="72">
        <v>160380</v>
      </c>
      <c r="H39" s="127">
        <v>674676</v>
      </c>
    </row>
    <row r="40" spans="1:8" s="122" customFormat="1" ht="20.100000000000001" customHeight="1">
      <c r="A40" s="131">
        <v>3</v>
      </c>
      <c r="B40" s="120" t="s">
        <v>106</v>
      </c>
      <c r="C40" s="132" t="s">
        <v>439</v>
      </c>
      <c r="D40" s="121">
        <v>239220</v>
      </c>
      <c r="E40" s="72">
        <v>139215</v>
      </c>
      <c r="F40" s="126">
        <v>378435</v>
      </c>
      <c r="G40" s="72">
        <v>102300</v>
      </c>
      <c r="H40" s="127">
        <v>431104</v>
      </c>
    </row>
    <row r="41" spans="1:8" s="122" customFormat="1" ht="20.100000000000001" customHeight="1">
      <c r="A41" s="131">
        <v>4</v>
      </c>
      <c r="B41" s="120" t="s">
        <v>107</v>
      </c>
      <c r="C41" s="136" t="s">
        <v>23</v>
      </c>
      <c r="D41" s="121">
        <v>115830</v>
      </c>
      <c r="E41" s="72">
        <v>131760</v>
      </c>
      <c r="F41" s="126">
        <v>247590</v>
      </c>
      <c r="G41" s="72">
        <v>97416</v>
      </c>
      <c r="H41" s="127">
        <v>409079</v>
      </c>
    </row>
    <row r="42" spans="1:8" ht="20.100000000000001" customHeight="1">
      <c r="A42" s="133"/>
      <c r="B42" s="134" t="s">
        <v>44</v>
      </c>
      <c r="C42" s="135"/>
      <c r="D42" s="119">
        <f>SUM(D38:D41)</f>
        <v>974355</v>
      </c>
      <c r="E42" s="119">
        <f t="shared" ref="E42:H42" si="5">SUM(E38:E41)</f>
        <v>756423</v>
      </c>
      <c r="F42" s="119">
        <f t="shared" si="5"/>
        <v>1730778</v>
      </c>
      <c r="G42" s="119">
        <f t="shared" si="5"/>
        <v>554928</v>
      </c>
      <c r="H42" s="119">
        <f t="shared" si="5"/>
        <v>2340761</v>
      </c>
    </row>
    <row r="43" spans="1:8" s="122" customFormat="1" ht="20.100000000000001" customHeight="1">
      <c r="A43" s="131">
        <v>1</v>
      </c>
      <c r="B43" s="120" t="s">
        <v>108</v>
      </c>
      <c r="C43" s="132" t="s">
        <v>439</v>
      </c>
      <c r="D43" s="121">
        <v>298928</v>
      </c>
      <c r="E43" s="72">
        <v>247112</v>
      </c>
      <c r="F43" s="126">
        <v>546040</v>
      </c>
      <c r="G43" s="72">
        <v>181764</v>
      </c>
      <c r="H43" s="127">
        <v>765544</v>
      </c>
    </row>
    <row r="44" spans="1:8" s="122" customFormat="1" ht="20.100000000000001" customHeight="1">
      <c r="A44" s="131">
        <v>2</v>
      </c>
      <c r="B44" s="123" t="s">
        <v>109</v>
      </c>
      <c r="C44" s="132" t="s">
        <v>439</v>
      </c>
      <c r="D44" s="121">
        <v>523674</v>
      </c>
      <c r="E44" s="72">
        <v>352458</v>
      </c>
      <c r="F44" s="126">
        <v>876132</v>
      </c>
      <c r="G44" s="72">
        <v>254232</v>
      </c>
      <c r="H44" s="127">
        <v>1082942</v>
      </c>
    </row>
    <row r="45" spans="1:8" s="122" customFormat="1" ht="20.100000000000001" customHeight="1">
      <c r="A45" s="131">
        <v>3</v>
      </c>
      <c r="B45" s="120" t="s">
        <v>110</v>
      </c>
      <c r="C45" s="132" t="s">
        <v>439</v>
      </c>
      <c r="D45" s="121">
        <v>584130</v>
      </c>
      <c r="E45" s="72">
        <v>364395</v>
      </c>
      <c r="F45" s="126">
        <v>948525</v>
      </c>
      <c r="G45" s="72">
        <v>264000</v>
      </c>
      <c r="H45" s="127">
        <v>1121685</v>
      </c>
    </row>
    <row r="46" spans="1:8" ht="20.100000000000001" customHeight="1">
      <c r="A46" s="133"/>
      <c r="B46" s="134" t="s">
        <v>45</v>
      </c>
      <c r="C46" s="135"/>
      <c r="D46" s="119">
        <f>SUM(D43:D45)</f>
        <v>1406732</v>
      </c>
      <c r="E46" s="119">
        <f t="shared" ref="E46:H46" si="6">SUM(E43:E45)</f>
        <v>963965</v>
      </c>
      <c r="F46" s="119">
        <f t="shared" si="6"/>
        <v>2370697</v>
      </c>
      <c r="G46" s="119">
        <f t="shared" si="6"/>
        <v>699996</v>
      </c>
      <c r="H46" s="119">
        <f t="shared" si="6"/>
        <v>2970171</v>
      </c>
    </row>
    <row r="47" spans="1:8" s="125" customFormat="1" ht="20.100000000000001" customHeight="1">
      <c r="A47" s="137">
        <v>1</v>
      </c>
      <c r="B47" s="120" t="s">
        <v>111</v>
      </c>
      <c r="C47" s="138" t="s">
        <v>439</v>
      </c>
      <c r="D47" s="121">
        <v>198252</v>
      </c>
      <c r="E47" s="72">
        <v>134316</v>
      </c>
      <c r="F47" s="128">
        <v>332568</v>
      </c>
      <c r="G47" s="72">
        <v>97416</v>
      </c>
      <c r="H47" s="127">
        <v>413642</v>
      </c>
    </row>
    <row r="48" spans="1:8" s="122" customFormat="1" ht="20.100000000000001" customHeight="1">
      <c r="A48" s="131">
        <v>2</v>
      </c>
      <c r="B48" s="123" t="s">
        <v>112</v>
      </c>
      <c r="C48" s="132" t="s">
        <v>13</v>
      </c>
      <c r="D48" s="121">
        <v>179008</v>
      </c>
      <c r="E48" s="72">
        <v>125904</v>
      </c>
      <c r="F48" s="126">
        <v>304912</v>
      </c>
      <c r="G48" s="72">
        <v>90816</v>
      </c>
      <c r="H48" s="127">
        <v>386845</v>
      </c>
    </row>
    <row r="49" spans="1:8" s="122" customFormat="1" ht="20.100000000000001" customHeight="1">
      <c r="A49" s="131">
        <v>3</v>
      </c>
      <c r="B49" s="123" t="s">
        <v>113</v>
      </c>
      <c r="C49" s="132" t="s">
        <v>13</v>
      </c>
      <c r="D49" s="121">
        <v>169290</v>
      </c>
      <c r="E49" s="72">
        <v>135420</v>
      </c>
      <c r="F49" s="126">
        <v>304710</v>
      </c>
      <c r="G49" s="72">
        <v>97680</v>
      </c>
      <c r="H49" s="127">
        <v>416084</v>
      </c>
    </row>
    <row r="50" spans="1:8" s="122" customFormat="1" ht="20.100000000000001" customHeight="1">
      <c r="A50" s="131">
        <v>4</v>
      </c>
      <c r="B50" s="123" t="s">
        <v>114</v>
      </c>
      <c r="C50" s="132" t="s">
        <v>13</v>
      </c>
      <c r="D50" s="121">
        <v>524808</v>
      </c>
      <c r="E50" s="72">
        <v>326052</v>
      </c>
      <c r="F50" s="126">
        <v>850860</v>
      </c>
      <c r="G50" s="72">
        <v>236016</v>
      </c>
      <c r="H50" s="127">
        <v>1003291</v>
      </c>
    </row>
    <row r="51" spans="1:8" s="122" customFormat="1" ht="20.100000000000001" customHeight="1">
      <c r="A51" s="131">
        <v>5</v>
      </c>
      <c r="B51" s="123" t="s">
        <v>115</v>
      </c>
      <c r="C51" s="132" t="s">
        <v>13</v>
      </c>
      <c r="D51" s="121">
        <v>130014</v>
      </c>
      <c r="E51" s="72">
        <v>107136</v>
      </c>
      <c r="F51" s="126">
        <v>237150</v>
      </c>
      <c r="G51" s="72">
        <v>78408</v>
      </c>
      <c r="H51" s="127">
        <v>331196</v>
      </c>
    </row>
    <row r="52" spans="1:8" s="122" customFormat="1" ht="20.100000000000001" customHeight="1">
      <c r="A52" s="131">
        <v>6</v>
      </c>
      <c r="B52" s="120" t="s">
        <v>116</v>
      </c>
      <c r="C52" s="136" t="s">
        <v>23</v>
      </c>
      <c r="D52" s="121">
        <v>174585</v>
      </c>
      <c r="E52" s="72">
        <v>142740</v>
      </c>
      <c r="F52" s="126">
        <v>317325</v>
      </c>
      <c r="G52" s="72">
        <v>102960</v>
      </c>
      <c r="H52" s="127">
        <v>438575</v>
      </c>
    </row>
    <row r="53" spans="1:8" s="122" customFormat="1" ht="20.100000000000001" customHeight="1">
      <c r="A53" s="131">
        <v>7</v>
      </c>
      <c r="B53" s="120" t="s">
        <v>117</v>
      </c>
      <c r="C53" s="136" t="s">
        <v>23</v>
      </c>
      <c r="D53" s="121">
        <v>122325</v>
      </c>
      <c r="E53" s="72">
        <v>87840</v>
      </c>
      <c r="F53" s="126">
        <v>210165</v>
      </c>
      <c r="G53" s="72">
        <v>63360</v>
      </c>
      <c r="H53" s="127">
        <v>269892</v>
      </c>
    </row>
    <row r="54" spans="1:8" s="122" customFormat="1" ht="20.100000000000001" customHeight="1">
      <c r="A54" s="131">
        <v>8</v>
      </c>
      <c r="B54" s="123" t="s">
        <v>118</v>
      </c>
      <c r="C54" s="136" t="s">
        <v>23</v>
      </c>
      <c r="D54" s="121">
        <v>143532</v>
      </c>
      <c r="E54" s="72">
        <v>124074</v>
      </c>
      <c r="F54" s="126">
        <v>267606</v>
      </c>
      <c r="G54" s="72">
        <v>89496</v>
      </c>
      <c r="H54" s="127">
        <v>381222</v>
      </c>
    </row>
    <row r="55" spans="1:8" ht="20.100000000000001" customHeight="1">
      <c r="A55" s="133"/>
      <c r="B55" s="134" t="s">
        <v>46</v>
      </c>
      <c r="C55" s="135"/>
      <c r="D55" s="119">
        <f>SUM(D47:D54)</f>
        <v>1641814</v>
      </c>
      <c r="E55" s="119">
        <f t="shared" ref="E55:H55" si="7">SUM(E47:E54)</f>
        <v>1183482</v>
      </c>
      <c r="F55" s="119">
        <f t="shared" si="7"/>
        <v>2825296</v>
      </c>
      <c r="G55" s="119">
        <f t="shared" si="7"/>
        <v>856152</v>
      </c>
      <c r="H55" s="119">
        <f t="shared" si="7"/>
        <v>3640747</v>
      </c>
    </row>
    <row r="56" spans="1:8" s="122" customFormat="1" ht="20.100000000000001" customHeight="1">
      <c r="A56" s="131">
        <v>1</v>
      </c>
      <c r="B56" s="123" t="s">
        <v>119</v>
      </c>
      <c r="C56" s="132" t="s">
        <v>13</v>
      </c>
      <c r="D56" s="121">
        <v>55245</v>
      </c>
      <c r="E56" s="72">
        <v>37815</v>
      </c>
      <c r="F56" s="126">
        <v>93060</v>
      </c>
      <c r="G56" s="72">
        <v>27720</v>
      </c>
      <c r="H56" s="127">
        <v>116980</v>
      </c>
    </row>
    <row r="57" spans="1:8" s="122" customFormat="1" ht="20.100000000000001" customHeight="1">
      <c r="A57" s="131">
        <v>2</v>
      </c>
      <c r="B57" s="123" t="s">
        <v>120</v>
      </c>
      <c r="C57" s="132" t="s">
        <v>13</v>
      </c>
      <c r="D57" s="121">
        <v>69015</v>
      </c>
      <c r="E57" s="72">
        <v>55998</v>
      </c>
      <c r="F57" s="126">
        <v>125013</v>
      </c>
      <c r="G57" s="72">
        <v>40392</v>
      </c>
      <c r="H57" s="127">
        <v>172056</v>
      </c>
    </row>
    <row r="58" spans="1:8" s="122" customFormat="1" ht="20.100000000000001" customHeight="1">
      <c r="A58" s="131">
        <v>3</v>
      </c>
      <c r="B58" s="123" t="s">
        <v>446</v>
      </c>
      <c r="C58" s="132" t="s">
        <v>439</v>
      </c>
      <c r="D58" s="121">
        <v>33255</v>
      </c>
      <c r="E58" s="72">
        <v>32025</v>
      </c>
      <c r="F58" s="126">
        <v>65280</v>
      </c>
      <c r="G58" s="72">
        <v>23100</v>
      </c>
      <c r="H58" s="127">
        <v>98398</v>
      </c>
    </row>
    <row r="59" spans="1:8" s="122" customFormat="1" ht="20.100000000000001" customHeight="1">
      <c r="A59" s="131">
        <v>4</v>
      </c>
      <c r="B59" s="123" t="s">
        <v>122</v>
      </c>
      <c r="C59" s="136" t="s">
        <v>23</v>
      </c>
      <c r="D59" s="121">
        <v>27420</v>
      </c>
      <c r="E59" s="72">
        <v>21960</v>
      </c>
      <c r="F59" s="126">
        <v>49380</v>
      </c>
      <c r="G59" s="72">
        <v>15840</v>
      </c>
      <c r="H59" s="127">
        <v>67473</v>
      </c>
    </row>
    <row r="60" spans="1:8" s="122" customFormat="1" ht="20.100000000000001" customHeight="1">
      <c r="A60" s="131">
        <v>5</v>
      </c>
      <c r="B60" s="139" t="s">
        <v>447</v>
      </c>
      <c r="C60" s="136" t="s">
        <v>23</v>
      </c>
      <c r="D60" s="121">
        <v>36870</v>
      </c>
      <c r="E60" s="72">
        <v>27450</v>
      </c>
      <c r="F60" s="126">
        <v>64320</v>
      </c>
      <c r="G60" s="72">
        <v>19800</v>
      </c>
      <c r="H60" s="127">
        <v>84341</v>
      </c>
    </row>
    <row r="61" spans="1:8" ht="20.100000000000001" customHeight="1">
      <c r="A61" s="133"/>
      <c r="B61" s="134" t="s">
        <v>47</v>
      </c>
      <c r="C61" s="135"/>
      <c r="D61" s="119">
        <f>SUM(D56:D60)</f>
        <v>221805</v>
      </c>
      <c r="E61" s="119">
        <f t="shared" ref="E61:H61" si="8">SUM(E56:E60)</f>
        <v>175248</v>
      </c>
      <c r="F61" s="119">
        <f t="shared" si="8"/>
        <v>397053</v>
      </c>
      <c r="G61" s="119">
        <f t="shared" si="8"/>
        <v>126852</v>
      </c>
      <c r="H61" s="119">
        <f t="shared" si="8"/>
        <v>539248</v>
      </c>
    </row>
    <row r="62" spans="1:8" ht="20.100000000000001" customHeight="1">
      <c r="A62" s="133"/>
      <c r="B62" s="135" t="s">
        <v>21</v>
      </c>
      <c r="C62" s="135"/>
      <c r="D62" s="119">
        <f>D5+D7+D18+D29+D37+D42+D46+D55+D61</f>
        <v>10440632</v>
      </c>
      <c r="E62" s="119">
        <f t="shared" ref="E62:H62" si="9">E5+E7+E18+E29+E37+E42+E46+E55+E61</f>
        <v>7592344</v>
      </c>
      <c r="F62" s="119">
        <f t="shared" si="9"/>
        <v>18032976</v>
      </c>
      <c r="G62" s="119">
        <f t="shared" si="9"/>
        <v>5514432</v>
      </c>
      <c r="H62" s="129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2" customWidth="1"/>
    <col min="2" max="2" width="27.25" style="83" customWidth="1"/>
    <col min="3" max="3" width="9.625" style="83" customWidth="1"/>
    <col min="4" max="4" width="10.625" style="81" customWidth="1"/>
    <col min="5" max="5" width="10.625" style="81" hidden="1" customWidth="1"/>
    <col min="6" max="12" width="10.625" style="81" customWidth="1"/>
    <col min="13" max="14" width="10.625" style="81" hidden="1" customWidth="1"/>
    <col min="15" max="16" width="10.625" style="81" customWidth="1"/>
    <col min="17" max="17" width="15" style="67" customWidth="1"/>
    <col min="18" max="18" width="9" style="67"/>
    <col min="19" max="19" width="10.875" style="37" customWidth="1"/>
    <col min="20" max="16384" width="9" style="37"/>
  </cols>
  <sheetData>
    <row r="1" spans="1:19" s="228" customFormat="1" ht="30" customHeight="1">
      <c r="A1" s="383" t="s">
        <v>674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54"/>
      <c r="R1" s="354"/>
      <c r="S1" s="354"/>
    </row>
    <row r="2" spans="1:19" s="228" customFormat="1" ht="30" customHeight="1">
      <c r="A2" s="388" t="s">
        <v>662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1:19">
      <c r="A3" s="384" t="s">
        <v>11</v>
      </c>
      <c r="B3" s="384" t="s">
        <v>38</v>
      </c>
      <c r="C3" s="384" t="s">
        <v>190</v>
      </c>
      <c r="D3" s="385" t="s">
        <v>404</v>
      </c>
      <c r="E3" s="385"/>
      <c r="F3" s="385"/>
      <c r="G3" s="385"/>
      <c r="H3" s="385"/>
      <c r="I3" s="385"/>
      <c r="J3" s="385" t="s">
        <v>405</v>
      </c>
      <c r="K3" s="385"/>
      <c r="L3" s="385"/>
      <c r="M3" s="385"/>
      <c r="N3" s="385"/>
      <c r="O3" s="385"/>
      <c r="P3" s="386" t="s">
        <v>406</v>
      </c>
      <c r="Q3" s="380" t="s">
        <v>409</v>
      </c>
      <c r="R3" s="380" t="s">
        <v>410</v>
      </c>
      <c r="S3" s="380" t="s">
        <v>411</v>
      </c>
    </row>
    <row r="4" spans="1:19" ht="38.25">
      <c r="A4" s="384"/>
      <c r="B4" s="384"/>
      <c r="C4" s="384"/>
      <c r="D4" s="84" t="s">
        <v>50</v>
      </c>
      <c r="E4" s="84" t="s">
        <v>54</v>
      </c>
      <c r="F4" s="84" t="s">
        <v>72</v>
      </c>
      <c r="G4" s="84" t="s">
        <v>58</v>
      </c>
      <c r="H4" s="84" t="s">
        <v>73</v>
      </c>
      <c r="I4" s="68" t="s">
        <v>10</v>
      </c>
      <c r="J4" s="84" t="s">
        <v>50</v>
      </c>
      <c r="K4" s="84" t="s">
        <v>407</v>
      </c>
      <c r="L4" s="84" t="s">
        <v>72</v>
      </c>
      <c r="M4" s="84" t="s">
        <v>58</v>
      </c>
      <c r="N4" s="84" t="s">
        <v>408</v>
      </c>
      <c r="O4" s="68" t="s">
        <v>10</v>
      </c>
      <c r="P4" s="387"/>
      <c r="Q4" s="381"/>
      <c r="R4" s="381"/>
      <c r="S4" s="382"/>
    </row>
    <row r="5" spans="1:19" ht="30" customHeight="1">
      <c r="A5" s="69">
        <v>1</v>
      </c>
      <c r="B5" s="70" t="s">
        <v>412</v>
      </c>
      <c r="C5" s="70" t="s">
        <v>656</v>
      </c>
      <c r="D5" s="259">
        <v>21600</v>
      </c>
      <c r="E5" s="259">
        <v>0</v>
      </c>
      <c r="F5" s="259">
        <v>4200</v>
      </c>
      <c r="G5" s="259">
        <v>2485</v>
      </c>
      <c r="H5" s="259">
        <v>5752.5</v>
      </c>
      <c r="I5" s="260">
        <f>SUM(D5:H5)</f>
        <v>34037.5</v>
      </c>
      <c r="J5" s="261">
        <v>25200</v>
      </c>
      <c r="K5" s="261">
        <v>3700</v>
      </c>
      <c r="L5" s="261">
        <v>2880</v>
      </c>
      <c r="M5" s="261"/>
      <c r="N5" s="261">
        <v>0</v>
      </c>
      <c r="O5" s="262">
        <v>31780</v>
      </c>
      <c r="P5" s="260">
        <v>65817.5</v>
      </c>
      <c r="Q5" s="94">
        <v>56727</v>
      </c>
      <c r="R5" s="94"/>
      <c r="S5" s="94">
        <v>56727</v>
      </c>
    </row>
    <row r="6" spans="1:19" ht="30" customHeight="1">
      <c r="A6" s="69"/>
      <c r="B6" s="70" t="s">
        <v>77</v>
      </c>
      <c r="C6" s="70" t="s">
        <v>657</v>
      </c>
      <c r="D6" s="259">
        <v>13500</v>
      </c>
      <c r="E6" s="259">
        <v>0</v>
      </c>
      <c r="F6" s="259">
        <v>2400</v>
      </c>
      <c r="G6" s="259">
        <v>1775</v>
      </c>
      <c r="H6" s="259">
        <v>4890</v>
      </c>
      <c r="I6" s="260">
        <f>SUM(D6:H6)</f>
        <v>22565</v>
      </c>
      <c r="J6" s="261">
        <v>12600</v>
      </c>
      <c r="K6" s="261">
        <v>1978</v>
      </c>
      <c r="L6" s="261">
        <v>1440</v>
      </c>
      <c r="M6" s="261"/>
      <c r="N6" s="261">
        <v>0</v>
      </c>
      <c r="O6" s="262">
        <v>16018</v>
      </c>
      <c r="P6" s="260">
        <v>38583</v>
      </c>
      <c r="Q6" s="94">
        <v>28592</v>
      </c>
      <c r="R6" s="94"/>
      <c r="S6" s="94">
        <v>28592</v>
      </c>
    </row>
    <row r="7" spans="1:19" ht="30" customHeight="1">
      <c r="A7" s="73"/>
      <c r="B7" s="74" t="s">
        <v>74</v>
      </c>
      <c r="C7" s="75"/>
      <c r="D7" s="253">
        <f>SUM(D5:D6)</f>
        <v>35100</v>
      </c>
      <c r="E7" s="253">
        <f t="shared" ref="E7:I7" si="0">SUM(E5:E6)</f>
        <v>0</v>
      </c>
      <c r="F7" s="253">
        <f t="shared" si="0"/>
        <v>6600</v>
      </c>
      <c r="G7" s="253">
        <f t="shared" si="0"/>
        <v>4260</v>
      </c>
      <c r="H7" s="253">
        <f t="shared" si="0"/>
        <v>10642.5</v>
      </c>
      <c r="I7" s="253">
        <f t="shared" si="0"/>
        <v>56602.5</v>
      </c>
      <c r="J7" s="253">
        <f>SUM(J5:J6)</f>
        <v>37800</v>
      </c>
      <c r="K7" s="253">
        <f t="shared" ref="K7:S7" si="1">SUM(K5:K6)</f>
        <v>5678</v>
      </c>
      <c r="L7" s="253">
        <f t="shared" si="1"/>
        <v>4320</v>
      </c>
      <c r="M7" s="253">
        <f t="shared" si="1"/>
        <v>0</v>
      </c>
      <c r="N7" s="253">
        <f t="shared" si="1"/>
        <v>0</v>
      </c>
      <c r="O7" s="253">
        <f t="shared" si="1"/>
        <v>47798</v>
      </c>
      <c r="P7" s="253">
        <f t="shared" si="1"/>
        <v>104400.5</v>
      </c>
      <c r="Q7" s="253">
        <f t="shared" si="1"/>
        <v>85319</v>
      </c>
      <c r="R7" s="253">
        <f t="shared" si="1"/>
        <v>0</v>
      </c>
      <c r="S7" s="253">
        <f t="shared" si="1"/>
        <v>85319</v>
      </c>
    </row>
    <row r="8" spans="1:19" ht="30" customHeight="1">
      <c r="A8" s="69">
        <v>1</v>
      </c>
      <c r="B8" s="70" t="s">
        <v>78</v>
      </c>
      <c r="C8" s="70" t="s">
        <v>13</v>
      </c>
      <c r="D8" s="259">
        <v>21528</v>
      </c>
      <c r="E8" s="259">
        <v>0</v>
      </c>
      <c r="F8" s="259">
        <v>2340</v>
      </c>
      <c r="G8" s="259">
        <v>0</v>
      </c>
      <c r="H8" s="259">
        <v>0</v>
      </c>
      <c r="I8" s="260">
        <f t="shared" ref="I8" si="2">SUM(D8:H8)</f>
        <v>23868</v>
      </c>
      <c r="J8" s="261">
        <v>27405</v>
      </c>
      <c r="K8" s="261">
        <v>2610</v>
      </c>
      <c r="L8" s="261">
        <v>2700</v>
      </c>
      <c r="M8" s="261"/>
      <c r="N8" s="261">
        <v>0</v>
      </c>
      <c r="O8" s="262">
        <v>32715</v>
      </c>
      <c r="P8" s="260">
        <v>56583</v>
      </c>
      <c r="Q8" s="94">
        <v>58396</v>
      </c>
      <c r="R8" s="94"/>
      <c r="S8" s="94">
        <v>58396</v>
      </c>
    </row>
    <row r="9" spans="1:19" ht="30" customHeight="1">
      <c r="A9" s="73"/>
      <c r="B9" s="74" t="s">
        <v>40</v>
      </c>
      <c r="C9" s="75"/>
      <c r="D9" s="253">
        <f t="shared" ref="D9:I9" si="3">SUM(D8:D8)</f>
        <v>21528</v>
      </c>
      <c r="E9" s="253">
        <f t="shared" si="3"/>
        <v>0</v>
      </c>
      <c r="F9" s="253">
        <f t="shared" si="3"/>
        <v>2340</v>
      </c>
      <c r="G9" s="253">
        <f t="shared" si="3"/>
        <v>0</v>
      </c>
      <c r="H9" s="253">
        <f t="shared" si="3"/>
        <v>0</v>
      </c>
      <c r="I9" s="253">
        <f t="shared" si="3"/>
        <v>23868</v>
      </c>
      <c r="J9" s="253">
        <f>SUM(J8)</f>
        <v>27405</v>
      </c>
      <c r="K9" s="253">
        <f t="shared" ref="K9:R9" si="4">SUM(K8)</f>
        <v>2610</v>
      </c>
      <c r="L9" s="253">
        <f t="shared" si="4"/>
        <v>2700</v>
      </c>
      <c r="M9" s="253">
        <f t="shared" si="4"/>
        <v>0</v>
      </c>
      <c r="N9" s="253">
        <f t="shared" si="4"/>
        <v>0</v>
      </c>
      <c r="O9" s="253">
        <f t="shared" si="4"/>
        <v>32715</v>
      </c>
      <c r="P9" s="253">
        <f t="shared" si="4"/>
        <v>56583</v>
      </c>
      <c r="Q9" s="253">
        <f t="shared" si="4"/>
        <v>58396</v>
      </c>
      <c r="R9" s="253">
        <f t="shared" si="4"/>
        <v>0</v>
      </c>
      <c r="S9" s="253">
        <f>SUM(S8)</f>
        <v>58396</v>
      </c>
    </row>
    <row r="10" spans="1:19" ht="30" customHeight="1">
      <c r="A10" s="69">
        <v>1</v>
      </c>
      <c r="B10" s="70" t="s">
        <v>79</v>
      </c>
      <c r="C10" s="70" t="s">
        <v>13</v>
      </c>
      <c r="D10" s="259">
        <v>6900</v>
      </c>
      <c r="E10" s="259">
        <v>0</v>
      </c>
      <c r="F10" s="259">
        <v>800</v>
      </c>
      <c r="G10" s="259">
        <v>0</v>
      </c>
      <c r="H10" s="259">
        <v>0</v>
      </c>
      <c r="I10" s="260">
        <f t="shared" ref="I10:I19" si="5">SUM(D10:H10)</f>
        <v>7700</v>
      </c>
      <c r="J10" s="261">
        <v>12600</v>
      </c>
      <c r="K10" s="261">
        <v>3240</v>
      </c>
      <c r="L10" s="261">
        <v>1280</v>
      </c>
      <c r="M10" s="261"/>
      <c r="N10" s="261">
        <v>0</v>
      </c>
      <c r="O10" s="262">
        <v>17120</v>
      </c>
      <c r="P10" s="260">
        <v>24820</v>
      </c>
      <c r="Q10" s="94">
        <v>30559</v>
      </c>
      <c r="R10" s="94"/>
      <c r="S10" s="94">
        <v>30559</v>
      </c>
    </row>
    <row r="11" spans="1:19" ht="30" customHeight="1">
      <c r="A11" s="69">
        <v>2</v>
      </c>
      <c r="B11" s="70" t="s">
        <v>80</v>
      </c>
      <c r="C11" s="70" t="s">
        <v>13</v>
      </c>
      <c r="D11" s="259">
        <v>6900</v>
      </c>
      <c r="E11" s="259">
        <v>0</v>
      </c>
      <c r="F11" s="259">
        <v>600</v>
      </c>
      <c r="G11" s="259">
        <v>0</v>
      </c>
      <c r="H11" s="259">
        <v>0</v>
      </c>
      <c r="I11" s="260">
        <f t="shared" si="5"/>
        <v>7500</v>
      </c>
      <c r="J11" s="261">
        <v>4725</v>
      </c>
      <c r="K11" s="261">
        <v>3160</v>
      </c>
      <c r="L11" s="261">
        <v>360</v>
      </c>
      <c r="M11" s="261"/>
      <c r="N11" s="261">
        <v>0</v>
      </c>
      <c r="O11" s="262">
        <v>8245</v>
      </c>
      <c r="P11" s="260">
        <v>15745</v>
      </c>
      <c r="Q11" s="94">
        <v>14717</v>
      </c>
      <c r="R11" s="94"/>
      <c r="S11" s="94">
        <v>14717</v>
      </c>
    </row>
    <row r="12" spans="1:19" ht="30" customHeight="1">
      <c r="A12" s="69">
        <v>3</v>
      </c>
      <c r="B12" s="70" t="s">
        <v>81</v>
      </c>
      <c r="C12" s="70" t="s">
        <v>13</v>
      </c>
      <c r="D12" s="259">
        <v>9660</v>
      </c>
      <c r="E12" s="259">
        <v>0</v>
      </c>
      <c r="F12" s="259">
        <v>1050</v>
      </c>
      <c r="G12" s="259">
        <v>1420</v>
      </c>
      <c r="H12" s="259">
        <v>0</v>
      </c>
      <c r="I12" s="260">
        <f t="shared" si="5"/>
        <v>12130</v>
      </c>
      <c r="J12" s="261">
        <v>11025</v>
      </c>
      <c r="K12" s="261">
        <v>0</v>
      </c>
      <c r="L12" s="261">
        <v>1050</v>
      </c>
      <c r="M12" s="261"/>
      <c r="N12" s="261">
        <v>0</v>
      </c>
      <c r="O12" s="262">
        <v>12075</v>
      </c>
      <c r="P12" s="260">
        <v>24205</v>
      </c>
      <c r="Q12" s="94">
        <v>21554</v>
      </c>
      <c r="R12" s="94"/>
      <c r="S12" s="94">
        <v>21554</v>
      </c>
    </row>
    <row r="13" spans="1:19" ht="30" customHeight="1">
      <c r="A13" s="69">
        <v>4</v>
      </c>
      <c r="B13" s="70" t="s">
        <v>82</v>
      </c>
      <c r="C13" s="70" t="s">
        <v>13</v>
      </c>
      <c r="D13" s="259">
        <v>12420</v>
      </c>
      <c r="E13" s="259">
        <v>0</v>
      </c>
      <c r="F13" s="259">
        <v>1800</v>
      </c>
      <c r="G13" s="259">
        <v>1420</v>
      </c>
      <c r="H13" s="259">
        <v>0</v>
      </c>
      <c r="I13" s="260">
        <f t="shared" si="5"/>
        <v>15640</v>
      </c>
      <c r="J13" s="261">
        <v>17325</v>
      </c>
      <c r="K13" s="261">
        <v>2679</v>
      </c>
      <c r="L13" s="261">
        <v>2200</v>
      </c>
      <c r="M13" s="261"/>
      <c r="N13" s="261">
        <v>0</v>
      </c>
      <c r="O13" s="262">
        <v>22204</v>
      </c>
      <c r="P13" s="260">
        <v>37844</v>
      </c>
      <c r="Q13" s="94">
        <v>39634</v>
      </c>
      <c r="R13" s="94"/>
      <c r="S13" s="94">
        <v>39634</v>
      </c>
    </row>
    <row r="14" spans="1:19" ht="30" customHeight="1">
      <c r="A14" s="69">
        <v>5</v>
      </c>
      <c r="B14" s="70" t="s">
        <v>83</v>
      </c>
      <c r="C14" s="70" t="s">
        <v>13</v>
      </c>
      <c r="D14" s="259">
        <v>9936</v>
      </c>
      <c r="E14" s="259">
        <v>0</v>
      </c>
      <c r="F14" s="259">
        <v>900</v>
      </c>
      <c r="G14" s="259">
        <v>710</v>
      </c>
      <c r="H14" s="259">
        <v>0</v>
      </c>
      <c r="I14" s="260">
        <f t="shared" si="5"/>
        <v>11546</v>
      </c>
      <c r="J14" s="261">
        <v>7560</v>
      </c>
      <c r="K14" s="261">
        <v>0</v>
      </c>
      <c r="L14" s="261">
        <v>600</v>
      </c>
      <c r="M14" s="261"/>
      <c r="N14" s="261">
        <v>0</v>
      </c>
      <c r="O14" s="262">
        <v>8160</v>
      </c>
      <c r="P14" s="260">
        <v>19706</v>
      </c>
      <c r="Q14" s="94">
        <v>14566</v>
      </c>
      <c r="R14" s="94"/>
      <c r="S14" s="94">
        <v>14566</v>
      </c>
    </row>
    <row r="15" spans="1:19" ht="30" customHeight="1">
      <c r="A15" s="69">
        <v>6</v>
      </c>
      <c r="B15" s="70" t="s">
        <v>84</v>
      </c>
      <c r="C15" s="76" t="s">
        <v>413</v>
      </c>
      <c r="D15" s="259">
        <v>23460</v>
      </c>
      <c r="E15" s="259">
        <v>0</v>
      </c>
      <c r="F15" s="259">
        <v>3400</v>
      </c>
      <c r="G15" s="259">
        <v>1065</v>
      </c>
      <c r="H15" s="259">
        <v>0</v>
      </c>
      <c r="I15" s="260">
        <f t="shared" si="5"/>
        <v>27925</v>
      </c>
      <c r="J15" s="261">
        <v>20475</v>
      </c>
      <c r="K15" s="261">
        <v>10416</v>
      </c>
      <c r="L15" s="261">
        <v>2600</v>
      </c>
      <c r="M15" s="261"/>
      <c r="N15" s="261">
        <v>0</v>
      </c>
      <c r="O15" s="262">
        <v>33491</v>
      </c>
      <c r="P15" s="260">
        <v>61416</v>
      </c>
      <c r="Q15" s="94">
        <v>59781</v>
      </c>
      <c r="R15" s="94"/>
      <c r="S15" s="94">
        <v>59781</v>
      </c>
    </row>
    <row r="16" spans="1:19" ht="30" customHeight="1">
      <c r="A16" s="69">
        <v>7</v>
      </c>
      <c r="B16" s="70" t="s">
        <v>85</v>
      </c>
      <c r="C16" s="76" t="s">
        <v>413</v>
      </c>
      <c r="D16" s="259">
        <v>31740</v>
      </c>
      <c r="E16" s="259">
        <v>0</v>
      </c>
      <c r="F16" s="259">
        <v>2760</v>
      </c>
      <c r="G16" s="259">
        <v>0</v>
      </c>
      <c r="H16" s="259">
        <v>0</v>
      </c>
      <c r="I16" s="260">
        <f t="shared" si="5"/>
        <v>34500</v>
      </c>
      <c r="J16" s="261">
        <v>34650</v>
      </c>
      <c r="K16" s="261">
        <v>18070</v>
      </c>
      <c r="L16" s="261">
        <v>4400</v>
      </c>
      <c r="M16" s="261"/>
      <c r="N16" s="261">
        <v>0</v>
      </c>
      <c r="O16" s="262">
        <v>57120</v>
      </c>
      <c r="P16" s="260">
        <v>91620</v>
      </c>
      <c r="Q16" s="94">
        <v>101959</v>
      </c>
      <c r="R16" s="94"/>
      <c r="S16" s="94">
        <v>101959</v>
      </c>
    </row>
    <row r="17" spans="1:19" ht="30" customHeight="1">
      <c r="A17" s="69">
        <v>8</v>
      </c>
      <c r="B17" s="70" t="s">
        <v>414</v>
      </c>
      <c r="C17" s="76" t="s">
        <v>413</v>
      </c>
      <c r="D17" s="259">
        <v>8280</v>
      </c>
      <c r="E17" s="259">
        <v>0</v>
      </c>
      <c r="F17" s="259">
        <v>600</v>
      </c>
      <c r="G17" s="259">
        <v>355</v>
      </c>
      <c r="H17" s="259">
        <v>0</v>
      </c>
      <c r="I17" s="260">
        <f t="shared" si="5"/>
        <v>9235</v>
      </c>
      <c r="J17" s="261">
        <v>6300</v>
      </c>
      <c r="K17" s="261">
        <v>2060</v>
      </c>
      <c r="L17" s="261">
        <v>400</v>
      </c>
      <c r="M17" s="261"/>
      <c r="N17" s="261">
        <v>0</v>
      </c>
      <c r="O17" s="262">
        <v>8760</v>
      </c>
      <c r="P17" s="260">
        <v>17995</v>
      </c>
      <c r="Q17" s="94">
        <v>15637</v>
      </c>
      <c r="R17" s="94"/>
      <c r="S17" s="94">
        <v>15637</v>
      </c>
    </row>
    <row r="18" spans="1:19" ht="30" customHeight="1">
      <c r="A18" s="69">
        <v>9</v>
      </c>
      <c r="B18" s="70" t="s">
        <v>87</v>
      </c>
      <c r="C18" s="76" t="s">
        <v>413</v>
      </c>
      <c r="D18" s="259">
        <v>13800</v>
      </c>
      <c r="E18" s="259">
        <v>0</v>
      </c>
      <c r="F18" s="259">
        <v>1600</v>
      </c>
      <c r="G18" s="259">
        <v>710</v>
      </c>
      <c r="H18" s="259">
        <v>280</v>
      </c>
      <c r="I18" s="260">
        <f t="shared" si="5"/>
        <v>16390</v>
      </c>
      <c r="J18" s="261">
        <v>16800</v>
      </c>
      <c r="K18" s="261">
        <v>4825</v>
      </c>
      <c r="L18" s="261">
        <v>1280</v>
      </c>
      <c r="M18" s="261"/>
      <c r="N18" s="261">
        <v>0</v>
      </c>
      <c r="O18" s="262">
        <v>22905</v>
      </c>
      <c r="P18" s="260">
        <v>39295</v>
      </c>
      <c r="Q18" s="94">
        <v>40885</v>
      </c>
      <c r="R18" s="94"/>
      <c r="S18" s="94">
        <v>40885</v>
      </c>
    </row>
    <row r="19" spans="1:19" ht="30" customHeight="1">
      <c r="A19" s="69">
        <v>10</v>
      </c>
      <c r="B19" s="70" t="s">
        <v>88</v>
      </c>
      <c r="C19" s="70" t="s">
        <v>658</v>
      </c>
      <c r="D19" s="259">
        <v>1656</v>
      </c>
      <c r="E19" s="259">
        <v>0</v>
      </c>
      <c r="F19" s="259">
        <v>150</v>
      </c>
      <c r="G19" s="259">
        <v>0</v>
      </c>
      <c r="H19" s="259">
        <v>0</v>
      </c>
      <c r="I19" s="260">
        <f t="shared" si="5"/>
        <v>1806</v>
      </c>
      <c r="J19" s="261">
        <v>1890</v>
      </c>
      <c r="K19" s="261">
        <v>1800</v>
      </c>
      <c r="L19" s="261">
        <v>150</v>
      </c>
      <c r="M19" s="261"/>
      <c r="N19" s="261">
        <v>0</v>
      </c>
      <c r="O19" s="262">
        <v>3840</v>
      </c>
      <c r="P19" s="260">
        <v>5646</v>
      </c>
      <c r="Q19" s="94">
        <v>6854</v>
      </c>
      <c r="R19" s="94"/>
      <c r="S19" s="94">
        <v>6854</v>
      </c>
    </row>
    <row r="20" spans="1:19" ht="30" customHeight="1">
      <c r="A20" s="73"/>
      <c r="B20" s="74" t="s">
        <v>41</v>
      </c>
      <c r="C20" s="75"/>
      <c r="D20" s="253">
        <f t="shared" ref="D20:I20" si="6">SUM(D10:D19)</f>
        <v>124752</v>
      </c>
      <c r="E20" s="253">
        <f t="shared" si="6"/>
        <v>0</v>
      </c>
      <c r="F20" s="253">
        <f t="shared" si="6"/>
        <v>13660</v>
      </c>
      <c r="G20" s="253">
        <f t="shared" si="6"/>
        <v>5680</v>
      </c>
      <c r="H20" s="253">
        <f t="shared" si="6"/>
        <v>280</v>
      </c>
      <c r="I20" s="253">
        <f t="shared" si="6"/>
        <v>144372</v>
      </c>
      <c r="J20" s="253">
        <f>SUM(J10:J19)</f>
        <v>133350</v>
      </c>
      <c r="K20" s="253">
        <f t="shared" ref="K20:S20" si="7">SUM(K10:K19)</f>
        <v>46250</v>
      </c>
      <c r="L20" s="253">
        <f t="shared" si="7"/>
        <v>14320</v>
      </c>
      <c r="M20" s="253">
        <f t="shared" si="7"/>
        <v>0</v>
      </c>
      <c r="N20" s="253">
        <f t="shared" si="7"/>
        <v>0</v>
      </c>
      <c r="O20" s="253">
        <f t="shared" si="7"/>
        <v>193920</v>
      </c>
      <c r="P20" s="253">
        <f t="shared" si="7"/>
        <v>338292</v>
      </c>
      <c r="Q20" s="253">
        <f t="shared" si="7"/>
        <v>346146</v>
      </c>
      <c r="R20" s="253">
        <f t="shared" si="7"/>
        <v>0</v>
      </c>
      <c r="S20" s="253">
        <f t="shared" si="7"/>
        <v>346146</v>
      </c>
    </row>
    <row r="21" spans="1:19" ht="30" customHeight="1">
      <c r="A21" s="69">
        <v>1</v>
      </c>
      <c r="B21" s="70" t="s">
        <v>89</v>
      </c>
      <c r="C21" s="70" t="s">
        <v>13</v>
      </c>
      <c r="D21" s="259">
        <v>70380</v>
      </c>
      <c r="E21" s="259">
        <v>0</v>
      </c>
      <c r="F21" s="259">
        <v>10200</v>
      </c>
      <c r="G21" s="259">
        <v>1420</v>
      </c>
      <c r="H21" s="259">
        <v>0</v>
      </c>
      <c r="I21" s="260">
        <f t="shared" ref="I21:I30" si="8">SUM(D21:H21)</f>
        <v>82000</v>
      </c>
      <c r="J21" s="261">
        <v>69300</v>
      </c>
      <c r="K21" s="261">
        <v>13725</v>
      </c>
      <c r="L21" s="261">
        <v>8800</v>
      </c>
      <c r="M21" s="261"/>
      <c r="N21" s="261">
        <v>0</v>
      </c>
      <c r="O21" s="262">
        <v>91825</v>
      </c>
      <c r="P21" s="260">
        <v>173825</v>
      </c>
      <c r="Q21" s="94">
        <v>163908</v>
      </c>
      <c r="R21" s="94">
        <v>100000</v>
      </c>
      <c r="S21" s="94">
        <v>63908</v>
      </c>
    </row>
    <row r="22" spans="1:19" ht="30" customHeight="1">
      <c r="A22" s="69">
        <v>2</v>
      </c>
      <c r="B22" s="70" t="s">
        <v>415</v>
      </c>
      <c r="C22" s="70" t="s">
        <v>13</v>
      </c>
      <c r="D22" s="259">
        <v>47104</v>
      </c>
      <c r="E22" s="259">
        <v>0</v>
      </c>
      <c r="F22" s="259">
        <v>4800</v>
      </c>
      <c r="G22" s="259">
        <v>1065</v>
      </c>
      <c r="H22" s="259">
        <v>0</v>
      </c>
      <c r="I22" s="260">
        <f t="shared" si="8"/>
        <v>52969</v>
      </c>
      <c r="J22" s="261">
        <v>57120</v>
      </c>
      <c r="K22" s="261">
        <v>21975</v>
      </c>
      <c r="L22" s="261">
        <v>5100</v>
      </c>
      <c r="M22" s="261"/>
      <c r="N22" s="261">
        <v>0</v>
      </c>
      <c r="O22" s="262">
        <v>84195</v>
      </c>
      <c r="P22" s="260">
        <v>137164</v>
      </c>
      <c r="Q22" s="94">
        <v>150288</v>
      </c>
      <c r="R22" s="94">
        <v>100000</v>
      </c>
      <c r="S22" s="94">
        <v>50288</v>
      </c>
    </row>
    <row r="23" spans="1:19" ht="30" customHeight="1">
      <c r="A23" s="69">
        <v>3</v>
      </c>
      <c r="B23" s="70" t="s">
        <v>91</v>
      </c>
      <c r="C23" s="70" t="s">
        <v>13</v>
      </c>
      <c r="D23" s="259">
        <v>56430</v>
      </c>
      <c r="E23" s="259">
        <v>0</v>
      </c>
      <c r="F23" s="259">
        <v>7900</v>
      </c>
      <c r="G23" s="259">
        <v>2840</v>
      </c>
      <c r="H23" s="259">
        <v>0</v>
      </c>
      <c r="I23" s="260">
        <f t="shared" si="8"/>
        <v>67170</v>
      </c>
      <c r="J23" s="261">
        <v>60270</v>
      </c>
      <c r="K23" s="261">
        <v>1590</v>
      </c>
      <c r="L23" s="261">
        <v>8000</v>
      </c>
      <c r="M23" s="261"/>
      <c r="N23" s="261">
        <v>0</v>
      </c>
      <c r="O23" s="262">
        <v>69860</v>
      </c>
      <c r="P23" s="260">
        <v>137030</v>
      </c>
      <c r="Q23" s="94">
        <v>124700</v>
      </c>
      <c r="R23" s="94">
        <v>40000</v>
      </c>
      <c r="S23" s="94">
        <v>84700</v>
      </c>
    </row>
    <row r="24" spans="1:19" ht="30" customHeight="1">
      <c r="A24" s="69">
        <v>4</v>
      </c>
      <c r="B24" s="70" t="s">
        <v>92</v>
      </c>
      <c r="C24" s="70" t="s">
        <v>13</v>
      </c>
      <c r="D24" s="259">
        <v>11592</v>
      </c>
      <c r="E24" s="259">
        <v>0</v>
      </c>
      <c r="F24" s="259">
        <v>1800</v>
      </c>
      <c r="G24" s="259">
        <v>710</v>
      </c>
      <c r="H24" s="259">
        <v>0</v>
      </c>
      <c r="I24" s="260">
        <f t="shared" si="8"/>
        <v>14102</v>
      </c>
      <c r="J24" s="261">
        <v>21840</v>
      </c>
      <c r="K24" s="261">
        <v>8100</v>
      </c>
      <c r="L24" s="261">
        <v>2600</v>
      </c>
      <c r="M24" s="261"/>
      <c r="N24" s="261">
        <v>0</v>
      </c>
      <c r="O24" s="262">
        <v>32540</v>
      </c>
      <c r="P24" s="260">
        <v>46642</v>
      </c>
      <c r="Q24" s="94">
        <v>58084</v>
      </c>
      <c r="R24" s="94"/>
      <c r="S24" s="94">
        <v>58084</v>
      </c>
    </row>
    <row r="25" spans="1:19" ht="30" customHeight="1">
      <c r="A25" s="69">
        <v>5</v>
      </c>
      <c r="B25" s="70" t="s">
        <v>93</v>
      </c>
      <c r="C25" s="70" t="s">
        <v>13</v>
      </c>
      <c r="D25" s="259">
        <v>38640</v>
      </c>
      <c r="E25" s="259">
        <v>0</v>
      </c>
      <c r="F25" s="259">
        <v>4060</v>
      </c>
      <c r="G25" s="259">
        <v>1420</v>
      </c>
      <c r="H25" s="259">
        <v>0</v>
      </c>
      <c r="I25" s="260">
        <f t="shared" si="8"/>
        <v>44120</v>
      </c>
      <c r="J25" s="261">
        <v>47250</v>
      </c>
      <c r="K25" s="261">
        <v>17308</v>
      </c>
      <c r="L25" s="261">
        <v>4350</v>
      </c>
      <c r="M25" s="261"/>
      <c r="N25" s="261">
        <v>0</v>
      </c>
      <c r="O25" s="262">
        <v>68908</v>
      </c>
      <c r="P25" s="260">
        <v>113028</v>
      </c>
      <c r="Q25" s="94">
        <v>123001</v>
      </c>
      <c r="R25" s="94"/>
      <c r="S25" s="94">
        <v>123001</v>
      </c>
    </row>
    <row r="26" spans="1:19" ht="30" customHeight="1">
      <c r="A26" s="69">
        <v>6</v>
      </c>
      <c r="B26" s="70" t="s">
        <v>94</v>
      </c>
      <c r="C26" s="76" t="s">
        <v>413</v>
      </c>
      <c r="D26" s="259">
        <v>70380</v>
      </c>
      <c r="E26" s="259">
        <v>0</v>
      </c>
      <c r="F26" s="259">
        <v>10200</v>
      </c>
      <c r="G26" s="259">
        <v>1420</v>
      </c>
      <c r="H26" s="259">
        <v>0</v>
      </c>
      <c r="I26" s="260">
        <f t="shared" si="8"/>
        <v>82000</v>
      </c>
      <c r="J26" s="261">
        <v>80325</v>
      </c>
      <c r="K26" s="261">
        <v>42240</v>
      </c>
      <c r="L26" s="261">
        <v>10200</v>
      </c>
      <c r="M26" s="261"/>
      <c r="N26" s="261">
        <v>0</v>
      </c>
      <c r="O26" s="262">
        <v>132765</v>
      </c>
      <c r="P26" s="260">
        <v>214765</v>
      </c>
      <c r="Q26" s="94">
        <v>236986</v>
      </c>
      <c r="R26" s="94">
        <v>150000</v>
      </c>
      <c r="S26" s="94">
        <v>86986</v>
      </c>
    </row>
    <row r="27" spans="1:19" ht="30" customHeight="1">
      <c r="A27" s="69">
        <v>7</v>
      </c>
      <c r="B27" s="70" t="s">
        <v>95</v>
      </c>
      <c r="C27" s="76" t="s">
        <v>413</v>
      </c>
      <c r="D27" s="259">
        <v>67620</v>
      </c>
      <c r="E27" s="259">
        <v>0</v>
      </c>
      <c r="F27" s="259">
        <v>4900</v>
      </c>
      <c r="G27" s="259">
        <v>1420</v>
      </c>
      <c r="H27" s="259">
        <v>1610</v>
      </c>
      <c r="I27" s="260">
        <f t="shared" si="8"/>
        <v>75550</v>
      </c>
      <c r="J27" s="261">
        <v>69300</v>
      </c>
      <c r="K27" s="261">
        <v>10115</v>
      </c>
      <c r="L27" s="261">
        <v>4400</v>
      </c>
      <c r="M27" s="261"/>
      <c r="N27" s="261">
        <v>0</v>
      </c>
      <c r="O27" s="262">
        <v>83815</v>
      </c>
      <c r="P27" s="260">
        <v>159365</v>
      </c>
      <c r="Q27" s="94">
        <v>149610</v>
      </c>
      <c r="R27" s="94"/>
      <c r="S27" s="94">
        <v>149610</v>
      </c>
    </row>
    <row r="28" spans="1:19" ht="30" customHeight="1">
      <c r="A28" s="69">
        <v>8</v>
      </c>
      <c r="B28" s="70" t="s">
        <v>96</v>
      </c>
      <c r="C28" s="76" t="s">
        <v>413</v>
      </c>
      <c r="D28" s="259">
        <v>32775</v>
      </c>
      <c r="E28" s="259">
        <v>0</v>
      </c>
      <c r="F28" s="259">
        <v>2300</v>
      </c>
      <c r="G28" s="259">
        <v>710</v>
      </c>
      <c r="H28" s="259">
        <v>0</v>
      </c>
      <c r="I28" s="260">
        <f t="shared" si="8"/>
        <v>35785</v>
      </c>
      <c r="J28" s="261">
        <v>34650</v>
      </c>
      <c r="K28" s="261">
        <v>12210</v>
      </c>
      <c r="L28" s="261">
        <v>2200</v>
      </c>
      <c r="M28" s="261"/>
      <c r="N28" s="261">
        <v>0</v>
      </c>
      <c r="O28" s="262">
        <v>49060</v>
      </c>
      <c r="P28" s="260">
        <v>84845</v>
      </c>
      <c r="Q28" s="94">
        <v>87572</v>
      </c>
      <c r="R28" s="94"/>
      <c r="S28" s="94">
        <v>87572</v>
      </c>
    </row>
    <row r="29" spans="1:19" ht="30" customHeight="1">
      <c r="A29" s="69">
        <v>9</v>
      </c>
      <c r="B29" s="77" t="s">
        <v>97</v>
      </c>
      <c r="C29" s="70" t="s">
        <v>657</v>
      </c>
      <c r="D29" s="259">
        <v>3956</v>
      </c>
      <c r="E29" s="259">
        <v>0</v>
      </c>
      <c r="F29" s="259">
        <v>450</v>
      </c>
      <c r="G29" s="259">
        <v>0</v>
      </c>
      <c r="H29" s="259">
        <v>0</v>
      </c>
      <c r="I29" s="260">
        <f t="shared" si="8"/>
        <v>4406</v>
      </c>
      <c r="J29" s="261">
        <v>3675</v>
      </c>
      <c r="K29" s="261">
        <v>0</v>
      </c>
      <c r="L29" s="261">
        <v>300</v>
      </c>
      <c r="M29" s="261"/>
      <c r="N29" s="261">
        <v>0</v>
      </c>
      <c r="O29" s="262">
        <v>3975</v>
      </c>
      <c r="P29" s="260">
        <v>8381</v>
      </c>
      <c r="Q29" s="94">
        <v>7095</v>
      </c>
      <c r="R29" s="94"/>
      <c r="S29" s="94">
        <v>7095</v>
      </c>
    </row>
    <row r="30" spans="1:19" ht="30" customHeight="1">
      <c r="A30" s="69">
        <v>10</v>
      </c>
      <c r="B30" s="77" t="s">
        <v>98</v>
      </c>
      <c r="C30" s="70" t="s">
        <v>656</v>
      </c>
      <c r="D30" s="259">
        <v>32384</v>
      </c>
      <c r="E30" s="259">
        <v>0</v>
      </c>
      <c r="F30" s="259">
        <v>4400</v>
      </c>
      <c r="G30" s="259">
        <v>1065</v>
      </c>
      <c r="H30" s="259">
        <v>0</v>
      </c>
      <c r="I30" s="260">
        <f t="shared" si="8"/>
        <v>37849</v>
      </c>
      <c r="J30" s="261">
        <v>50400</v>
      </c>
      <c r="K30" s="261">
        <v>27173</v>
      </c>
      <c r="L30" s="261">
        <v>6000</v>
      </c>
      <c r="M30" s="261"/>
      <c r="N30" s="261">
        <v>0</v>
      </c>
      <c r="O30" s="262">
        <v>83573</v>
      </c>
      <c r="P30" s="260">
        <v>121422</v>
      </c>
      <c r="Q30" s="94">
        <v>149178</v>
      </c>
      <c r="R30" s="94"/>
      <c r="S30" s="94">
        <v>149178</v>
      </c>
    </row>
    <row r="31" spans="1:19" ht="30" customHeight="1">
      <c r="A31" s="73"/>
      <c r="B31" s="74" t="s">
        <v>42</v>
      </c>
      <c r="C31" s="75"/>
      <c r="D31" s="253">
        <f t="shared" ref="D31:I31" si="9">SUM(D21:D30)</f>
        <v>431261</v>
      </c>
      <c r="E31" s="253">
        <f t="shared" si="9"/>
        <v>0</v>
      </c>
      <c r="F31" s="253">
        <f t="shared" si="9"/>
        <v>51010</v>
      </c>
      <c r="G31" s="253">
        <f t="shared" si="9"/>
        <v>12070</v>
      </c>
      <c r="H31" s="253">
        <f t="shared" si="9"/>
        <v>1610</v>
      </c>
      <c r="I31" s="253">
        <f t="shared" si="9"/>
        <v>495951</v>
      </c>
      <c r="J31" s="253">
        <f>SUM(J21:J30)</f>
        <v>494130</v>
      </c>
      <c r="K31" s="253">
        <f t="shared" ref="K31:S31" si="10">SUM(K21:K30)</f>
        <v>154436</v>
      </c>
      <c r="L31" s="253">
        <f t="shared" si="10"/>
        <v>51950</v>
      </c>
      <c r="M31" s="253">
        <f t="shared" si="10"/>
        <v>0</v>
      </c>
      <c r="N31" s="253">
        <f t="shared" si="10"/>
        <v>0</v>
      </c>
      <c r="O31" s="253">
        <f t="shared" si="10"/>
        <v>700516</v>
      </c>
      <c r="P31" s="253">
        <f t="shared" si="10"/>
        <v>1196467</v>
      </c>
      <c r="Q31" s="253">
        <f t="shared" si="10"/>
        <v>1250422</v>
      </c>
      <c r="R31" s="253">
        <f t="shared" si="10"/>
        <v>390000</v>
      </c>
      <c r="S31" s="253">
        <f t="shared" si="10"/>
        <v>860422</v>
      </c>
    </row>
    <row r="32" spans="1:19" ht="30" customHeight="1">
      <c r="A32" s="69">
        <v>1</v>
      </c>
      <c r="B32" s="70" t="s">
        <v>99</v>
      </c>
      <c r="C32" s="70" t="s">
        <v>13</v>
      </c>
      <c r="D32" s="259">
        <v>12300</v>
      </c>
      <c r="E32" s="259">
        <v>0</v>
      </c>
      <c r="F32" s="259">
        <v>1500</v>
      </c>
      <c r="G32" s="259">
        <v>0</v>
      </c>
      <c r="H32" s="259">
        <v>0</v>
      </c>
      <c r="I32" s="260">
        <f t="shared" ref="I32:I39" si="11">SUM(D32:H32)</f>
        <v>13800</v>
      </c>
      <c r="J32" s="261">
        <v>17325</v>
      </c>
      <c r="K32" s="261">
        <v>3440</v>
      </c>
      <c r="L32" s="261">
        <v>1650</v>
      </c>
      <c r="M32" s="261"/>
      <c r="N32" s="261">
        <v>0</v>
      </c>
      <c r="O32" s="262">
        <v>22415</v>
      </c>
      <c r="P32" s="260">
        <v>36215</v>
      </c>
      <c r="Q32" s="94">
        <v>40011</v>
      </c>
      <c r="R32" s="94"/>
      <c r="S32" s="94">
        <v>40011</v>
      </c>
    </row>
    <row r="33" spans="1:19" ht="30" customHeight="1">
      <c r="A33" s="69">
        <v>2</v>
      </c>
      <c r="B33" s="70" t="s">
        <v>100</v>
      </c>
      <c r="C33" s="70" t="s">
        <v>13</v>
      </c>
      <c r="D33" s="259">
        <v>12420</v>
      </c>
      <c r="E33" s="259">
        <v>0</v>
      </c>
      <c r="F33" s="259">
        <v>1800</v>
      </c>
      <c r="G33" s="259">
        <v>0</v>
      </c>
      <c r="H33" s="259">
        <v>0</v>
      </c>
      <c r="I33" s="260">
        <f t="shared" si="11"/>
        <v>14220</v>
      </c>
      <c r="J33" s="261">
        <v>22050</v>
      </c>
      <c r="K33" s="261">
        <v>7710</v>
      </c>
      <c r="L33" s="261">
        <v>2800</v>
      </c>
      <c r="M33" s="261"/>
      <c r="N33" s="261">
        <v>0</v>
      </c>
      <c r="O33" s="262">
        <v>32560</v>
      </c>
      <c r="P33" s="260">
        <v>46780</v>
      </c>
      <c r="Q33" s="94">
        <v>58120</v>
      </c>
      <c r="R33" s="94"/>
      <c r="S33" s="94">
        <v>58120</v>
      </c>
    </row>
    <row r="34" spans="1:19" ht="30" customHeight="1">
      <c r="A34" s="69">
        <v>3</v>
      </c>
      <c r="B34" s="70" t="s">
        <v>153</v>
      </c>
      <c r="C34" s="70" t="s">
        <v>13</v>
      </c>
      <c r="D34" s="259">
        <v>41400</v>
      </c>
      <c r="E34" s="259">
        <v>0</v>
      </c>
      <c r="F34" s="259">
        <v>3750</v>
      </c>
      <c r="G34" s="259">
        <v>0</v>
      </c>
      <c r="H34" s="259">
        <v>0</v>
      </c>
      <c r="I34" s="260">
        <f t="shared" si="11"/>
        <v>45150</v>
      </c>
      <c r="J34" s="261">
        <v>45360</v>
      </c>
      <c r="K34" s="261">
        <v>7110</v>
      </c>
      <c r="L34" s="261">
        <v>3600</v>
      </c>
      <c r="M34" s="261"/>
      <c r="N34" s="261">
        <v>0</v>
      </c>
      <c r="O34" s="262">
        <v>56070</v>
      </c>
      <c r="P34" s="260">
        <v>101220</v>
      </c>
      <c r="Q34" s="94">
        <v>100085</v>
      </c>
      <c r="R34" s="94"/>
      <c r="S34" s="94">
        <v>100085</v>
      </c>
    </row>
    <row r="35" spans="1:19" ht="30" customHeight="1">
      <c r="A35" s="69">
        <v>4</v>
      </c>
      <c r="B35" s="70" t="s">
        <v>101</v>
      </c>
      <c r="C35" s="70" t="s">
        <v>657</v>
      </c>
      <c r="D35" s="259">
        <v>34776</v>
      </c>
      <c r="E35" s="259">
        <v>0</v>
      </c>
      <c r="F35" s="259">
        <v>3150</v>
      </c>
      <c r="G35" s="259">
        <v>0</v>
      </c>
      <c r="H35" s="259">
        <v>1580</v>
      </c>
      <c r="I35" s="260">
        <f t="shared" si="11"/>
        <v>39506</v>
      </c>
      <c r="J35" s="261">
        <v>26460</v>
      </c>
      <c r="K35" s="261">
        <v>8840</v>
      </c>
      <c r="L35" s="261">
        <v>2100</v>
      </c>
      <c r="M35" s="261"/>
      <c r="N35" s="261">
        <v>0</v>
      </c>
      <c r="O35" s="262">
        <v>37400</v>
      </c>
      <c r="P35" s="260">
        <v>76906</v>
      </c>
      <c r="Q35" s="94">
        <v>66759</v>
      </c>
      <c r="R35" s="94"/>
      <c r="S35" s="94">
        <v>66759</v>
      </c>
    </row>
    <row r="36" spans="1:19" ht="30" customHeight="1">
      <c r="A36" s="69"/>
      <c r="B36" s="70" t="s">
        <v>101</v>
      </c>
      <c r="C36" s="70" t="s">
        <v>656</v>
      </c>
      <c r="D36" s="259"/>
      <c r="E36" s="259"/>
      <c r="F36" s="259"/>
      <c r="G36" s="259"/>
      <c r="H36" s="259"/>
      <c r="I36" s="260"/>
      <c r="J36" s="261">
        <v>18900</v>
      </c>
      <c r="K36" s="261">
        <v>6320</v>
      </c>
      <c r="L36" s="261">
        <v>1500</v>
      </c>
      <c r="M36" s="261"/>
      <c r="N36" s="261">
        <v>0</v>
      </c>
      <c r="O36" s="262">
        <v>26720</v>
      </c>
      <c r="P36" s="260">
        <v>26720</v>
      </c>
      <c r="Q36" s="94">
        <v>47695</v>
      </c>
      <c r="R36" s="94"/>
      <c r="S36" s="94">
        <v>47695</v>
      </c>
    </row>
    <row r="37" spans="1:19" ht="30" customHeight="1">
      <c r="A37" s="69">
        <v>5</v>
      </c>
      <c r="B37" s="70" t="s">
        <v>102</v>
      </c>
      <c r="C37" s="76" t="s">
        <v>413</v>
      </c>
      <c r="D37" s="259">
        <v>36432</v>
      </c>
      <c r="E37" s="259">
        <v>0</v>
      </c>
      <c r="F37" s="259">
        <v>3300</v>
      </c>
      <c r="G37" s="259">
        <v>1065</v>
      </c>
      <c r="H37" s="259">
        <v>0</v>
      </c>
      <c r="I37" s="260">
        <f t="shared" si="11"/>
        <v>40797</v>
      </c>
      <c r="J37" s="261">
        <v>45360</v>
      </c>
      <c r="K37" s="261">
        <v>6240</v>
      </c>
      <c r="L37" s="261">
        <v>3600</v>
      </c>
      <c r="M37" s="261"/>
      <c r="N37" s="261">
        <v>0</v>
      </c>
      <c r="O37" s="262">
        <v>55200</v>
      </c>
      <c r="P37" s="260">
        <v>95997</v>
      </c>
      <c r="Q37" s="94">
        <v>98532</v>
      </c>
      <c r="R37" s="94"/>
      <c r="S37" s="94">
        <v>98532</v>
      </c>
    </row>
    <row r="38" spans="1:19" ht="30" customHeight="1">
      <c r="A38" s="69">
        <v>6</v>
      </c>
      <c r="B38" s="70" t="s">
        <v>103</v>
      </c>
      <c r="C38" s="76" t="s">
        <v>413</v>
      </c>
      <c r="D38" s="259">
        <v>16928</v>
      </c>
      <c r="E38" s="259">
        <v>0</v>
      </c>
      <c r="F38" s="259">
        <v>1280</v>
      </c>
      <c r="G38" s="259">
        <v>355</v>
      </c>
      <c r="H38" s="259">
        <v>0</v>
      </c>
      <c r="I38" s="260">
        <f t="shared" si="11"/>
        <v>18563</v>
      </c>
      <c r="J38" s="261">
        <v>47355</v>
      </c>
      <c r="K38" s="261">
        <v>7650</v>
      </c>
      <c r="L38" s="261">
        <v>1760</v>
      </c>
      <c r="M38" s="261"/>
      <c r="N38" s="261">
        <v>0</v>
      </c>
      <c r="O38" s="262">
        <v>56765</v>
      </c>
      <c r="P38" s="260">
        <v>75328</v>
      </c>
      <c r="Q38" s="94">
        <v>101326</v>
      </c>
      <c r="R38" s="94"/>
      <c r="S38" s="94">
        <v>101326</v>
      </c>
    </row>
    <row r="39" spans="1:19" ht="30" customHeight="1">
      <c r="A39" s="69">
        <v>7</v>
      </c>
      <c r="B39" s="70" t="s">
        <v>104</v>
      </c>
      <c r="C39" s="76" t="s">
        <v>413</v>
      </c>
      <c r="D39" s="259">
        <v>57072</v>
      </c>
      <c r="E39" s="259">
        <v>0</v>
      </c>
      <c r="F39" s="259">
        <v>3400</v>
      </c>
      <c r="G39" s="259">
        <v>1420</v>
      </c>
      <c r="H39" s="259">
        <v>0</v>
      </c>
      <c r="I39" s="260">
        <f t="shared" si="11"/>
        <v>61892</v>
      </c>
      <c r="J39" s="261">
        <v>67830</v>
      </c>
      <c r="K39" s="261">
        <v>9480</v>
      </c>
      <c r="L39" s="261">
        <v>3200</v>
      </c>
      <c r="M39" s="261"/>
      <c r="N39" s="261">
        <v>0</v>
      </c>
      <c r="O39" s="262">
        <v>80510</v>
      </c>
      <c r="P39" s="260">
        <v>142402</v>
      </c>
      <c r="Q39" s="94">
        <v>143710</v>
      </c>
      <c r="R39" s="94"/>
      <c r="S39" s="94">
        <v>143710</v>
      </c>
    </row>
    <row r="40" spans="1:19" ht="30" customHeight="1">
      <c r="A40" s="73"/>
      <c r="B40" s="74" t="s">
        <v>43</v>
      </c>
      <c r="C40" s="75"/>
      <c r="D40" s="253">
        <f t="shared" ref="D40:I40" si="12">SUM(D32:D39)</f>
        <v>211328</v>
      </c>
      <c r="E40" s="253">
        <f t="shared" si="12"/>
        <v>0</v>
      </c>
      <c r="F40" s="253">
        <f t="shared" si="12"/>
        <v>18180</v>
      </c>
      <c r="G40" s="253">
        <f t="shared" si="12"/>
        <v>2840</v>
      </c>
      <c r="H40" s="253">
        <f t="shared" si="12"/>
        <v>1580</v>
      </c>
      <c r="I40" s="253">
        <f t="shared" si="12"/>
        <v>233928</v>
      </c>
      <c r="J40" s="253">
        <f>SUM(J32:J39)</f>
        <v>290640</v>
      </c>
      <c r="K40" s="253">
        <f t="shared" ref="K40:S40" si="13">SUM(K32:K39)</f>
        <v>56790</v>
      </c>
      <c r="L40" s="253">
        <f t="shared" si="13"/>
        <v>20210</v>
      </c>
      <c r="M40" s="253">
        <f t="shared" si="13"/>
        <v>0</v>
      </c>
      <c r="N40" s="253">
        <f t="shared" si="13"/>
        <v>0</v>
      </c>
      <c r="O40" s="253">
        <f t="shared" si="13"/>
        <v>367640</v>
      </c>
      <c r="P40" s="253">
        <f t="shared" si="13"/>
        <v>601568</v>
      </c>
      <c r="Q40" s="253">
        <f t="shared" si="13"/>
        <v>656238</v>
      </c>
      <c r="R40" s="253">
        <f t="shared" si="13"/>
        <v>0</v>
      </c>
      <c r="S40" s="253">
        <f t="shared" si="13"/>
        <v>656238</v>
      </c>
    </row>
    <row r="41" spans="1:19" ht="30" customHeight="1">
      <c r="A41" s="69">
        <v>1</v>
      </c>
      <c r="B41" s="70" t="s">
        <v>105</v>
      </c>
      <c r="C41" s="70" t="s">
        <v>13</v>
      </c>
      <c r="D41" s="259">
        <v>40480</v>
      </c>
      <c r="E41" s="259">
        <v>0</v>
      </c>
      <c r="F41" s="259">
        <v>3300</v>
      </c>
      <c r="G41" s="259">
        <v>710</v>
      </c>
      <c r="H41" s="259">
        <v>0</v>
      </c>
      <c r="I41" s="260">
        <f t="shared" ref="I41:I46" si="14">SUM(D41:H41)</f>
        <v>44490</v>
      </c>
      <c r="J41" s="261">
        <v>70035</v>
      </c>
      <c r="K41" s="261">
        <v>11925</v>
      </c>
      <c r="L41" s="261">
        <v>4350</v>
      </c>
      <c r="M41" s="261"/>
      <c r="N41" s="261">
        <v>0</v>
      </c>
      <c r="O41" s="262">
        <v>86310</v>
      </c>
      <c r="P41" s="260">
        <v>130800</v>
      </c>
      <c r="Q41" s="94">
        <v>154063</v>
      </c>
      <c r="R41" s="94"/>
      <c r="S41" s="94">
        <v>154063</v>
      </c>
    </row>
    <row r="42" spans="1:19" ht="30" customHeight="1">
      <c r="A42" s="69">
        <v>2</v>
      </c>
      <c r="B42" s="78" t="s">
        <v>67</v>
      </c>
      <c r="C42" s="70" t="s">
        <v>657</v>
      </c>
      <c r="D42" s="259">
        <v>49680</v>
      </c>
      <c r="E42" s="259">
        <v>0</v>
      </c>
      <c r="F42" s="259">
        <v>4860</v>
      </c>
      <c r="G42" s="259">
        <v>0</v>
      </c>
      <c r="H42" s="259">
        <v>1045</v>
      </c>
      <c r="I42" s="260">
        <f t="shared" si="14"/>
        <v>55585</v>
      </c>
      <c r="J42" s="261">
        <v>23100</v>
      </c>
      <c r="K42" s="261">
        <v>6270</v>
      </c>
      <c r="L42" s="261">
        <v>1980</v>
      </c>
      <c r="M42" s="261"/>
      <c r="N42" s="261">
        <v>0</v>
      </c>
      <c r="O42" s="262">
        <v>31350</v>
      </c>
      <c r="P42" s="260">
        <v>86935</v>
      </c>
      <c r="Q42" s="94">
        <v>55960</v>
      </c>
      <c r="R42" s="94"/>
      <c r="S42" s="94">
        <v>55960</v>
      </c>
    </row>
    <row r="43" spans="1:19" ht="30" customHeight="1">
      <c r="A43" s="69"/>
      <c r="B43" s="78" t="s">
        <v>67</v>
      </c>
      <c r="C43" s="70" t="s">
        <v>656</v>
      </c>
      <c r="D43" s="259"/>
      <c r="E43" s="259"/>
      <c r="F43" s="259"/>
      <c r="G43" s="259"/>
      <c r="H43" s="259"/>
      <c r="I43" s="260"/>
      <c r="J43" s="261">
        <v>29400</v>
      </c>
      <c r="K43" s="261">
        <v>9405</v>
      </c>
      <c r="L43" s="261">
        <v>2520</v>
      </c>
      <c r="M43" s="261"/>
      <c r="N43" s="261">
        <v>0</v>
      </c>
      <c r="O43" s="262">
        <v>41325</v>
      </c>
      <c r="P43" s="260">
        <v>41325</v>
      </c>
      <c r="Q43" s="94">
        <v>73765</v>
      </c>
      <c r="R43" s="94"/>
      <c r="S43" s="94">
        <v>73765</v>
      </c>
    </row>
    <row r="44" spans="1:19" ht="30" customHeight="1">
      <c r="A44" s="69">
        <v>3</v>
      </c>
      <c r="B44" s="70" t="s">
        <v>106</v>
      </c>
      <c r="C44" s="70" t="s">
        <v>657</v>
      </c>
      <c r="D44" s="259">
        <v>55200</v>
      </c>
      <c r="E44" s="259">
        <v>0</v>
      </c>
      <c r="F44" s="259">
        <v>6400</v>
      </c>
      <c r="G44" s="259">
        <v>1065</v>
      </c>
      <c r="H44" s="259">
        <v>0</v>
      </c>
      <c r="I44" s="260">
        <f t="shared" si="14"/>
        <v>62665</v>
      </c>
      <c r="J44" s="261">
        <v>37515</v>
      </c>
      <c r="K44" s="261">
        <v>4800</v>
      </c>
      <c r="L44" s="261">
        <v>1440</v>
      </c>
      <c r="M44" s="261"/>
      <c r="N44" s="261">
        <v>0</v>
      </c>
      <c r="O44" s="262">
        <v>43755</v>
      </c>
      <c r="P44" s="260">
        <v>106420</v>
      </c>
      <c r="Q44" s="94">
        <v>78103</v>
      </c>
      <c r="R44" s="94"/>
      <c r="S44" s="94">
        <v>78103</v>
      </c>
    </row>
    <row r="45" spans="1:19" ht="30" customHeight="1">
      <c r="A45" s="69"/>
      <c r="B45" s="70" t="s">
        <v>106</v>
      </c>
      <c r="C45" s="70" t="s">
        <v>656</v>
      </c>
      <c r="D45" s="259"/>
      <c r="E45" s="259"/>
      <c r="F45" s="259"/>
      <c r="G45" s="259"/>
      <c r="H45" s="259"/>
      <c r="I45" s="260"/>
      <c r="J45" s="261">
        <v>27060</v>
      </c>
      <c r="K45" s="261">
        <v>10800</v>
      </c>
      <c r="L45" s="261">
        <v>5120</v>
      </c>
      <c r="M45" s="261"/>
      <c r="N45" s="261">
        <v>0</v>
      </c>
      <c r="O45" s="262">
        <v>42980</v>
      </c>
      <c r="P45" s="260">
        <v>42980</v>
      </c>
      <c r="Q45" s="94">
        <v>76719</v>
      </c>
      <c r="R45" s="94"/>
      <c r="S45" s="94">
        <v>76719</v>
      </c>
    </row>
    <row r="46" spans="1:19" ht="30" customHeight="1">
      <c r="A46" s="69">
        <v>4</v>
      </c>
      <c r="B46" s="70" t="s">
        <v>107</v>
      </c>
      <c r="C46" s="76" t="s">
        <v>413</v>
      </c>
      <c r="D46" s="259">
        <v>43240</v>
      </c>
      <c r="E46" s="259">
        <v>0</v>
      </c>
      <c r="F46" s="259">
        <v>1800</v>
      </c>
      <c r="G46" s="259">
        <v>0</v>
      </c>
      <c r="H46" s="259">
        <v>1653</v>
      </c>
      <c r="I46" s="260">
        <f t="shared" si="14"/>
        <v>46693</v>
      </c>
      <c r="J46" s="261">
        <v>43470</v>
      </c>
      <c r="K46" s="261">
        <v>10328</v>
      </c>
      <c r="L46" s="261">
        <v>3240</v>
      </c>
      <c r="M46" s="261"/>
      <c r="N46" s="261">
        <v>0</v>
      </c>
      <c r="O46" s="262">
        <v>57038</v>
      </c>
      <c r="P46" s="260">
        <v>103731</v>
      </c>
      <c r="Q46" s="94">
        <v>101813</v>
      </c>
      <c r="R46" s="94"/>
      <c r="S46" s="94">
        <v>101813</v>
      </c>
    </row>
    <row r="47" spans="1:19" ht="30" customHeight="1">
      <c r="A47" s="73"/>
      <c r="B47" s="74" t="s">
        <v>44</v>
      </c>
      <c r="C47" s="75"/>
      <c r="D47" s="253">
        <f t="shared" ref="D47:I47" si="15">SUM(D41:D46)</f>
        <v>188600</v>
      </c>
      <c r="E47" s="253">
        <f t="shared" si="15"/>
        <v>0</v>
      </c>
      <c r="F47" s="253">
        <f t="shared" si="15"/>
        <v>16360</v>
      </c>
      <c r="G47" s="253">
        <f t="shared" si="15"/>
        <v>1775</v>
      </c>
      <c r="H47" s="253">
        <f t="shared" si="15"/>
        <v>2698</v>
      </c>
      <c r="I47" s="253">
        <f t="shared" si="15"/>
        <v>209433</v>
      </c>
      <c r="J47" s="253">
        <f>SUM(J41:J46)</f>
        <v>230580</v>
      </c>
      <c r="K47" s="253">
        <f t="shared" ref="K47:S47" si="16">SUM(K41:K46)</f>
        <v>53528</v>
      </c>
      <c r="L47" s="253">
        <f t="shared" si="16"/>
        <v>18650</v>
      </c>
      <c r="M47" s="253">
        <f t="shared" si="16"/>
        <v>0</v>
      </c>
      <c r="N47" s="253">
        <f t="shared" si="16"/>
        <v>0</v>
      </c>
      <c r="O47" s="253">
        <f t="shared" si="16"/>
        <v>302758</v>
      </c>
      <c r="P47" s="253">
        <f t="shared" si="16"/>
        <v>512191</v>
      </c>
      <c r="Q47" s="253">
        <f t="shared" si="16"/>
        <v>540423</v>
      </c>
      <c r="R47" s="253">
        <f t="shared" si="16"/>
        <v>0</v>
      </c>
      <c r="S47" s="253">
        <f t="shared" si="16"/>
        <v>540423</v>
      </c>
    </row>
    <row r="48" spans="1:19" ht="30" customHeight="1">
      <c r="A48" s="69">
        <v>1</v>
      </c>
      <c r="B48" s="70" t="s">
        <v>108</v>
      </c>
      <c r="C48" s="70" t="s">
        <v>656</v>
      </c>
      <c r="D48" s="259">
        <v>20608</v>
      </c>
      <c r="E48" s="259">
        <v>0</v>
      </c>
      <c r="F48" s="259">
        <v>2400</v>
      </c>
      <c r="G48" s="259">
        <v>0</v>
      </c>
      <c r="H48" s="259">
        <v>0</v>
      </c>
      <c r="I48" s="260">
        <f t="shared" ref="I48:I53" si="17">SUM(D48:H48)</f>
        <v>23008</v>
      </c>
      <c r="J48" s="261">
        <v>28560</v>
      </c>
      <c r="K48" s="261">
        <v>4450</v>
      </c>
      <c r="L48" s="261">
        <v>2400</v>
      </c>
      <c r="M48" s="261"/>
      <c r="N48" s="261">
        <v>0</v>
      </c>
      <c r="O48" s="262">
        <v>35410</v>
      </c>
      <c r="P48" s="260">
        <v>58418</v>
      </c>
      <c r="Q48" s="94">
        <v>63207</v>
      </c>
      <c r="R48" s="94"/>
      <c r="S48" s="94">
        <v>63207</v>
      </c>
    </row>
    <row r="49" spans="1:19" ht="30" customHeight="1">
      <c r="A49" s="69"/>
      <c r="B49" s="70" t="s">
        <v>108</v>
      </c>
      <c r="C49" s="70" t="s">
        <v>657</v>
      </c>
      <c r="D49" s="259">
        <v>16744</v>
      </c>
      <c r="E49" s="259">
        <v>0</v>
      </c>
      <c r="F49" s="259">
        <v>1950</v>
      </c>
      <c r="G49" s="259">
        <v>0</v>
      </c>
      <c r="H49" s="259">
        <v>0</v>
      </c>
      <c r="I49" s="260">
        <f t="shared" si="17"/>
        <v>18694</v>
      </c>
      <c r="J49" s="261">
        <v>26775</v>
      </c>
      <c r="K49" s="261">
        <v>6230</v>
      </c>
      <c r="L49" s="261">
        <v>2250</v>
      </c>
      <c r="M49" s="261"/>
      <c r="N49" s="261">
        <v>0</v>
      </c>
      <c r="O49" s="262">
        <v>35255</v>
      </c>
      <c r="P49" s="260">
        <v>53949</v>
      </c>
      <c r="Q49" s="94">
        <v>62930</v>
      </c>
      <c r="R49" s="94"/>
      <c r="S49" s="94">
        <v>62930</v>
      </c>
    </row>
    <row r="50" spans="1:19" ht="30" customHeight="1">
      <c r="A50" s="69">
        <v>2</v>
      </c>
      <c r="B50" s="70" t="s">
        <v>109</v>
      </c>
      <c r="C50" s="70" t="s">
        <v>656</v>
      </c>
      <c r="D50" s="259">
        <v>21528</v>
      </c>
      <c r="E50" s="259">
        <v>0</v>
      </c>
      <c r="F50" s="259">
        <v>2600</v>
      </c>
      <c r="G50" s="259">
        <v>0</v>
      </c>
      <c r="H50" s="259">
        <v>0</v>
      </c>
      <c r="I50" s="260">
        <f t="shared" si="17"/>
        <v>24128</v>
      </c>
      <c r="J50" s="261">
        <v>13230</v>
      </c>
      <c r="K50" s="261">
        <v>0</v>
      </c>
      <c r="L50" s="261">
        <v>1350</v>
      </c>
      <c r="M50" s="261"/>
      <c r="N50" s="261">
        <v>0</v>
      </c>
      <c r="O50" s="262">
        <v>14580</v>
      </c>
      <c r="P50" s="260">
        <v>38708</v>
      </c>
      <c r="Q50" s="94">
        <v>26025</v>
      </c>
      <c r="R50" s="94"/>
      <c r="S50" s="94">
        <v>26025</v>
      </c>
    </row>
    <row r="51" spans="1:19" ht="30" customHeight="1">
      <c r="A51" s="69"/>
      <c r="B51" s="70" t="s">
        <v>109</v>
      </c>
      <c r="C51" s="70" t="s">
        <v>657</v>
      </c>
      <c r="D51" s="259">
        <v>26607</v>
      </c>
      <c r="E51" s="259">
        <v>0</v>
      </c>
      <c r="F51" s="259">
        <v>3050</v>
      </c>
      <c r="G51" s="259">
        <v>0</v>
      </c>
      <c r="H51" s="259">
        <v>0</v>
      </c>
      <c r="I51" s="260">
        <f t="shared" si="17"/>
        <v>29657</v>
      </c>
      <c r="J51" s="261">
        <v>34335</v>
      </c>
      <c r="K51" s="261">
        <v>5895</v>
      </c>
      <c r="L51" s="261">
        <v>3450</v>
      </c>
      <c r="M51" s="261"/>
      <c r="N51" s="261">
        <v>0</v>
      </c>
      <c r="O51" s="262">
        <v>43680</v>
      </c>
      <c r="P51" s="260">
        <v>73337</v>
      </c>
      <c r="Q51" s="94">
        <v>77969</v>
      </c>
      <c r="R51" s="94"/>
      <c r="S51" s="94">
        <v>77969</v>
      </c>
    </row>
    <row r="52" spans="1:19" ht="30" customHeight="1">
      <c r="A52" s="69">
        <v>3</v>
      </c>
      <c r="B52" s="70" t="s">
        <v>110</v>
      </c>
      <c r="C52" s="70" t="s">
        <v>656</v>
      </c>
      <c r="D52" s="259">
        <v>23460</v>
      </c>
      <c r="E52" s="259">
        <v>0</v>
      </c>
      <c r="F52" s="259">
        <v>3400</v>
      </c>
      <c r="G52" s="259">
        <v>710</v>
      </c>
      <c r="H52" s="259">
        <v>0</v>
      </c>
      <c r="I52" s="260">
        <f t="shared" si="17"/>
        <v>27570</v>
      </c>
      <c r="J52" s="261">
        <v>26775</v>
      </c>
      <c r="K52" s="261">
        <v>8920</v>
      </c>
      <c r="L52" s="261">
        <v>3400</v>
      </c>
      <c r="M52" s="261"/>
      <c r="N52" s="261">
        <v>0</v>
      </c>
      <c r="O52" s="262">
        <v>39095</v>
      </c>
      <c r="P52" s="260">
        <v>66665</v>
      </c>
      <c r="Q52" s="94">
        <v>69785</v>
      </c>
      <c r="R52" s="94"/>
      <c r="S52" s="94">
        <v>69785</v>
      </c>
    </row>
    <row r="53" spans="1:19" ht="30" customHeight="1">
      <c r="A53" s="69"/>
      <c r="B53" s="70" t="s">
        <v>110</v>
      </c>
      <c r="C53" s="70" t="s">
        <v>657</v>
      </c>
      <c r="D53" s="259">
        <v>17940</v>
      </c>
      <c r="E53" s="259">
        <v>0</v>
      </c>
      <c r="F53" s="259">
        <v>2600</v>
      </c>
      <c r="G53" s="259">
        <v>710</v>
      </c>
      <c r="H53" s="259">
        <v>0</v>
      </c>
      <c r="I53" s="260">
        <f t="shared" si="17"/>
        <v>21250</v>
      </c>
      <c r="J53" s="261">
        <v>23625</v>
      </c>
      <c r="K53" s="261">
        <v>9400</v>
      </c>
      <c r="L53" s="261">
        <v>3000</v>
      </c>
      <c r="M53" s="261"/>
      <c r="N53" s="261">
        <v>0</v>
      </c>
      <c r="O53" s="262">
        <v>36025</v>
      </c>
      <c r="P53" s="260">
        <v>57275</v>
      </c>
      <c r="Q53" s="94">
        <v>64305</v>
      </c>
      <c r="R53" s="94"/>
      <c r="S53" s="94">
        <v>64305</v>
      </c>
    </row>
    <row r="54" spans="1:19" ht="30" customHeight="1">
      <c r="A54" s="73"/>
      <c r="B54" s="74" t="s">
        <v>45</v>
      </c>
      <c r="C54" s="75"/>
      <c r="D54" s="253">
        <f>SUM(D48:D53)</f>
        <v>126887</v>
      </c>
      <c r="E54" s="253">
        <f t="shared" ref="E54:I54" si="18">SUM(E48:E53)</f>
        <v>0</v>
      </c>
      <c r="F54" s="253">
        <f t="shared" si="18"/>
        <v>16000</v>
      </c>
      <c r="G54" s="253">
        <f t="shared" si="18"/>
        <v>1420</v>
      </c>
      <c r="H54" s="253">
        <f t="shared" si="18"/>
        <v>0</v>
      </c>
      <c r="I54" s="253">
        <f t="shared" si="18"/>
        <v>144307</v>
      </c>
      <c r="J54" s="253">
        <f>SUM(J48:J53)</f>
        <v>153300</v>
      </c>
      <c r="K54" s="253">
        <f t="shared" ref="K54:S54" si="19">SUM(K48:K53)</f>
        <v>34895</v>
      </c>
      <c r="L54" s="253">
        <f t="shared" si="19"/>
        <v>15850</v>
      </c>
      <c r="M54" s="253">
        <f t="shared" si="19"/>
        <v>0</v>
      </c>
      <c r="N54" s="253">
        <f t="shared" si="19"/>
        <v>0</v>
      </c>
      <c r="O54" s="253">
        <f t="shared" si="19"/>
        <v>204045</v>
      </c>
      <c r="P54" s="253">
        <f t="shared" si="19"/>
        <v>348352</v>
      </c>
      <c r="Q54" s="253">
        <f t="shared" si="19"/>
        <v>364221</v>
      </c>
      <c r="R54" s="253">
        <f t="shared" si="19"/>
        <v>0</v>
      </c>
      <c r="S54" s="253">
        <f t="shared" si="19"/>
        <v>364221</v>
      </c>
    </row>
    <row r="55" spans="1:19" ht="30" customHeight="1">
      <c r="A55" s="69">
        <v>1</v>
      </c>
      <c r="B55" s="70" t="s">
        <v>111</v>
      </c>
      <c r="C55" s="70" t="s">
        <v>656</v>
      </c>
      <c r="D55" s="259">
        <v>16560</v>
      </c>
      <c r="E55" s="259">
        <v>0</v>
      </c>
      <c r="F55" s="259">
        <v>1000</v>
      </c>
      <c r="G55" s="259">
        <v>0</v>
      </c>
      <c r="H55" s="259">
        <v>0</v>
      </c>
      <c r="I55" s="260">
        <f t="shared" ref="I55:I63" si="20">SUM(D55:H55)</f>
        <v>17560</v>
      </c>
      <c r="J55" s="261">
        <v>24570</v>
      </c>
      <c r="K55" s="261">
        <v>3060</v>
      </c>
      <c r="L55" s="261">
        <v>2340</v>
      </c>
      <c r="M55" s="261"/>
      <c r="N55" s="261">
        <v>0</v>
      </c>
      <c r="O55" s="262">
        <v>29970</v>
      </c>
      <c r="P55" s="260">
        <v>47530</v>
      </c>
      <c r="Q55" s="94">
        <v>53496</v>
      </c>
      <c r="R55" s="94"/>
      <c r="S55" s="94">
        <v>53496</v>
      </c>
    </row>
    <row r="56" spans="1:19" ht="30" customHeight="1">
      <c r="A56" s="69"/>
      <c r="B56" s="70" t="s">
        <v>111</v>
      </c>
      <c r="C56" s="70" t="s">
        <v>658</v>
      </c>
      <c r="D56" s="259">
        <v>11592</v>
      </c>
      <c r="E56" s="259">
        <v>0</v>
      </c>
      <c r="F56" s="259">
        <v>700</v>
      </c>
      <c r="G56" s="259">
        <v>355</v>
      </c>
      <c r="H56" s="259">
        <v>0</v>
      </c>
      <c r="I56" s="260">
        <f t="shared" si="20"/>
        <v>12647</v>
      </c>
      <c r="J56" s="261">
        <v>17010</v>
      </c>
      <c r="K56" s="261">
        <v>1530</v>
      </c>
      <c r="L56" s="261">
        <v>1490</v>
      </c>
      <c r="M56" s="261"/>
      <c r="N56" s="261">
        <v>0</v>
      </c>
      <c r="O56" s="262">
        <v>20030</v>
      </c>
      <c r="P56" s="260">
        <v>32677</v>
      </c>
      <c r="Q56" s="94">
        <v>35754</v>
      </c>
      <c r="R56" s="94"/>
      <c r="S56" s="94">
        <v>35754</v>
      </c>
    </row>
    <row r="57" spans="1:19" ht="30" customHeight="1">
      <c r="A57" s="69">
        <v>2</v>
      </c>
      <c r="B57" s="70" t="s">
        <v>112</v>
      </c>
      <c r="C57" s="70" t="s">
        <v>13</v>
      </c>
      <c r="D57" s="259">
        <v>16192</v>
      </c>
      <c r="E57" s="259">
        <v>0</v>
      </c>
      <c r="F57" s="259">
        <v>2200</v>
      </c>
      <c r="G57" s="259">
        <v>2130</v>
      </c>
      <c r="H57" s="259">
        <v>0</v>
      </c>
      <c r="I57" s="260">
        <f t="shared" si="20"/>
        <v>20522</v>
      </c>
      <c r="J57" s="261">
        <v>21840</v>
      </c>
      <c r="K57" s="261">
        <v>10440</v>
      </c>
      <c r="L57" s="261">
        <v>2600</v>
      </c>
      <c r="M57" s="261"/>
      <c r="N57" s="261">
        <v>0</v>
      </c>
      <c r="O57" s="262">
        <v>34880</v>
      </c>
      <c r="P57" s="260">
        <v>55402</v>
      </c>
      <c r="Q57" s="94">
        <v>62261</v>
      </c>
      <c r="R57" s="94"/>
      <c r="S57" s="94">
        <v>62261</v>
      </c>
    </row>
    <row r="58" spans="1:19" ht="30" customHeight="1">
      <c r="A58" s="69">
        <v>3</v>
      </c>
      <c r="B58" s="70" t="s">
        <v>113</v>
      </c>
      <c r="C58" s="70" t="s">
        <v>13</v>
      </c>
      <c r="D58" s="259">
        <v>13800</v>
      </c>
      <c r="E58" s="259">
        <v>0</v>
      </c>
      <c r="F58" s="259">
        <v>1500</v>
      </c>
      <c r="G58" s="259">
        <v>0</v>
      </c>
      <c r="H58" s="259">
        <v>0</v>
      </c>
      <c r="I58" s="260">
        <f t="shared" si="20"/>
        <v>15300</v>
      </c>
      <c r="J58" s="261">
        <v>17325</v>
      </c>
      <c r="K58" s="261">
        <v>8940</v>
      </c>
      <c r="L58" s="261">
        <v>1650</v>
      </c>
      <c r="M58" s="261"/>
      <c r="N58" s="261">
        <v>0</v>
      </c>
      <c r="O58" s="262">
        <v>27915</v>
      </c>
      <c r="P58" s="260">
        <v>43215</v>
      </c>
      <c r="Q58" s="94">
        <v>49828</v>
      </c>
      <c r="R58" s="94"/>
      <c r="S58" s="94">
        <v>49828</v>
      </c>
    </row>
    <row r="59" spans="1:19" ht="30" customHeight="1">
      <c r="A59" s="69">
        <v>4</v>
      </c>
      <c r="B59" s="70" t="s">
        <v>114</v>
      </c>
      <c r="C59" s="70" t="s">
        <v>13</v>
      </c>
      <c r="D59" s="259">
        <v>16560</v>
      </c>
      <c r="E59" s="259">
        <v>0</v>
      </c>
      <c r="F59" s="259">
        <v>1800</v>
      </c>
      <c r="G59" s="259">
        <v>3550</v>
      </c>
      <c r="H59" s="259">
        <v>1680</v>
      </c>
      <c r="I59" s="260">
        <f t="shared" si="20"/>
        <v>23590</v>
      </c>
      <c r="J59" s="261">
        <v>20790</v>
      </c>
      <c r="K59" s="261">
        <v>6720</v>
      </c>
      <c r="L59" s="261">
        <v>1980</v>
      </c>
      <c r="M59" s="261"/>
      <c r="N59" s="261">
        <v>0</v>
      </c>
      <c r="O59" s="262">
        <v>29490</v>
      </c>
      <c r="P59" s="260">
        <v>53080</v>
      </c>
      <c r="Q59" s="94">
        <v>52640</v>
      </c>
      <c r="R59" s="94"/>
      <c r="S59" s="94">
        <v>52640</v>
      </c>
    </row>
    <row r="60" spans="1:19" ht="30" customHeight="1">
      <c r="A60" s="69">
        <v>5</v>
      </c>
      <c r="B60" s="70" t="s">
        <v>115</v>
      </c>
      <c r="C60" s="70" t="s">
        <v>13</v>
      </c>
      <c r="D60" s="259">
        <v>16560</v>
      </c>
      <c r="E60" s="259">
        <v>0</v>
      </c>
      <c r="F60" s="259">
        <v>1800</v>
      </c>
      <c r="G60" s="259">
        <v>0</v>
      </c>
      <c r="H60" s="259">
        <v>1700</v>
      </c>
      <c r="I60" s="260">
        <f t="shared" si="20"/>
        <v>20060</v>
      </c>
      <c r="J60" s="261">
        <v>22680</v>
      </c>
      <c r="K60" s="261">
        <v>1700</v>
      </c>
      <c r="L60" s="261">
        <v>2160</v>
      </c>
      <c r="M60" s="261"/>
      <c r="N60" s="261">
        <v>0</v>
      </c>
      <c r="O60" s="262">
        <v>26540</v>
      </c>
      <c r="P60" s="260">
        <v>46600</v>
      </c>
      <c r="Q60" s="94">
        <v>47374</v>
      </c>
      <c r="R60" s="94"/>
      <c r="S60" s="94">
        <v>47374</v>
      </c>
    </row>
    <row r="61" spans="1:19" ht="30" customHeight="1">
      <c r="A61" s="69">
        <v>6</v>
      </c>
      <c r="B61" s="70" t="s">
        <v>116</v>
      </c>
      <c r="C61" s="76" t="s">
        <v>413</v>
      </c>
      <c r="D61" s="259">
        <v>11040</v>
      </c>
      <c r="E61" s="259">
        <v>0</v>
      </c>
      <c r="F61" s="259">
        <v>1440</v>
      </c>
      <c r="G61" s="259">
        <v>355</v>
      </c>
      <c r="H61" s="259">
        <v>0</v>
      </c>
      <c r="I61" s="260">
        <f t="shared" si="20"/>
        <v>12835</v>
      </c>
      <c r="J61" s="261">
        <v>11025</v>
      </c>
      <c r="K61" s="261">
        <v>0</v>
      </c>
      <c r="L61" s="261">
        <v>1260</v>
      </c>
      <c r="M61" s="261"/>
      <c r="N61" s="261">
        <v>0</v>
      </c>
      <c r="O61" s="262">
        <v>12285</v>
      </c>
      <c r="P61" s="260">
        <v>25120</v>
      </c>
      <c r="Q61" s="94">
        <v>21929</v>
      </c>
      <c r="R61" s="94"/>
      <c r="S61" s="94">
        <v>21929</v>
      </c>
    </row>
    <row r="62" spans="1:19" ht="30" customHeight="1">
      <c r="A62" s="69">
        <v>7</v>
      </c>
      <c r="B62" s="70" t="s">
        <v>117</v>
      </c>
      <c r="C62" s="76" t="s">
        <v>413</v>
      </c>
      <c r="D62" s="259">
        <v>20700</v>
      </c>
      <c r="E62" s="259">
        <v>0</v>
      </c>
      <c r="F62" s="259">
        <v>2700</v>
      </c>
      <c r="G62" s="259">
        <v>1065</v>
      </c>
      <c r="H62" s="259">
        <v>0</v>
      </c>
      <c r="I62" s="260">
        <f t="shared" si="20"/>
        <v>24465</v>
      </c>
      <c r="J62" s="261">
        <v>33075</v>
      </c>
      <c r="K62" s="261">
        <v>12980</v>
      </c>
      <c r="L62" s="261">
        <v>3780</v>
      </c>
      <c r="M62" s="261"/>
      <c r="N62" s="261">
        <v>0</v>
      </c>
      <c r="O62" s="262">
        <v>49835</v>
      </c>
      <c r="P62" s="260">
        <v>74300</v>
      </c>
      <c r="Q62" s="94">
        <v>88955</v>
      </c>
      <c r="R62" s="94"/>
      <c r="S62" s="94">
        <v>88955</v>
      </c>
    </row>
    <row r="63" spans="1:19" ht="30" customHeight="1">
      <c r="A63" s="69">
        <v>8</v>
      </c>
      <c r="B63" s="70" t="s">
        <v>118</v>
      </c>
      <c r="C63" s="76" t="s">
        <v>413</v>
      </c>
      <c r="D63" s="259">
        <v>16744</v>
      </c>
      <c r="E63" s="259">
        <v>0</v>
      </c>
      <c r="F63" s="259">
        <v>1400</v>
      </c>
      <c r="G63" s="259">
        <v>0</v>
      </c>
      <c r="H63" s="259">
        <v>1760</v>
      </c>
      <c r="I63" s="260">
        <f t="shared" si="20"/>
        <v>19904</v>
      </c>
      <c r="J63" s="261">
        <v>24570</v>
      </c>
      <c r="K63" s="261">
        <v>15885</v>
      </c>
      <c r="L63" s="261">
        <v>1800</v>
      </c>
      <c r="M63" s="261"/>
      <c r="N63" s="261">
        <v>0</v>
      </c>
      <c r="O63" s="262">
        <v>42255</v>
      </c>
      <c r="P63" s="260">
        <v>62159</v>
      </c>
      <c r="Q63" s="94">
        <v>75425</v>
      </c>
      <c r="R63" s="94"/>
      <c r="S63" s="94">
        <v>75425</v>
      </c>
    </row>
    <row r="64" spans="1:19" ht="30" customHeight="1">
      <c r="A64" s="73"/>
      <c r="B64" s="74" t="s">
        <v>46</v>
      </c>
      <c r="C64" s="75"/>
      <c r="D64" s="253">
        <f>SUM(D55:D63)</f>
        <v>139748</v>
      </c>
      <c r="E64" s="253">
        <f t="shared" ref="E64:I64" si="21">SUM(E55:E63)</f>
        <v>0</v>
      </c>
      <c r="F64" s="253">
        <f t="shared" si="21"/>
        <v>14540</v>
      </c>
      <c r="G64" s="253">
        <f t="shared" si="21"/>
        <v>7455</v>
      </c>
      <c r="H64" s="253">
        <f t="shared" si="21"/>
        <v>5140</v>
      </c>
      <c r="I64" s="253">
        <f t="shared" si="21"/>
        <v>166883</v>
      </c>
      <c r="J64" s="253">
        <f>SUM(J55:J63)</f>
        <v>192885</v>
      </c>
      <c r="K64" s="253">
        <f t="shared" ref="K64:S64" si="22">SUM(K55:K63)</f>
        <v>61255</v>
      </c>
      <c r="L64" s="253">
        <f t="shared" si="22"/>
        <v>19060</v>
      </c>
      <c r="M64" s="253">
        <f t="shared" si="22"/>
        <v>0</v>
      </c>
      <c r="N64" s="253">
        <f t="shared" si="22"/>
        <v>0</v>
      </c>
      <c r="O64" s="253">
        <f t="shared" si="22"/>
        <v>273200</v>
      </c>
      <c r="P64" s="253">
        <f t="shared" si="22"/>
        <v>440083</v>
      </c>
      <c r="Q64" s="253">
        <f t="shared" si="22"/>
        <v>487662</v>
      </c>
      <c r="R64" s="253">
        <f t="shared" si="22"/>
        <v>0</v>
      </c>
      <c r="S64" s="253">
        <f t="shared" si="22"/>
        <v>487662</v>
      </c>
    </row>
    <row r="65" spans="1:19" ht="30" customHeight="1">
      <c r="A65" s="69">
        <v>1</v>
      </c>
      <c r="B65" s="70" t="s">
        <v>119</v>
      </c>
      <c r="C65" s="70" t="s">
        <v>13</v>
      </c>
      <c r="D65" s="259">
        <v>9660</v>
      </c>
      <c r="E65" s="259">
        <v>0</v>
      </c>
      <c r="F65" s="259">
        <v>1260</v>
      </c>
      <c r="G65" s="259">
        <v>2130</v>
      </c>
      <c r="H65" s="259">
        <v>0</v>
      </c>
      <c r="I65" s="260">
        <f t="shared" ref="I65:I70" si="23">SUM(D65:H65)</f>
        <v>13050</v>
      </c>
      <c r="J65" s="261">
        <v>9450</v>
      </c>
      <c r="K65" s="261">
        <v>3410</v>
      </c>
      <c r="L65" s="261">
        <v>1080</v>
      </c>
      <c r="M65" s="261"/>
      <c r="N65" s="261">
        <v>0</v>
      </c>
      <c r="O65" s="262">
        <v>13940</v>
      </c>
      <c r="P65" s="260">
        <v>26990</v>
      </c>
      <c r="Q65" s="94">
        <v>24883</v>
      </c>
      <c r="R65" s="94"/>
      <c r="S65" s="94">
        <v>24883</v>
      </c>
    </row>
    <row r="66" spans="1:19" ht="30" customHeight="1">
      <c r="A66" s="69">
        <v>2</v>
      </c>
      <c r="B66" s="70" t="s">
        <v>120</v>
      </c>
      <c r="C66" s="70" t="s">
        <v>13</v>
      </c>
      <c r="D66" s="259">
        <v>12285</v>
      </c>
      <c r="E66" s="259">
        <v>0</v>
      </c>
      <c r="F66" s="259">
        <v>1170</v>
      </c>
      <c r="G66" s="259">
        <v>710</v>
      </c>
      <c r="H66" s="259">
        <v>1985</v>
      </c>
      <c r="I66" s="260">
        <f t="shared" si="23"/>
        <v>16150</v>
      </c>
      <c r="J66" s="261">
        <v>18270</v>
      </c>
      <c r="K66" s="261">
        <v>390</v>
      </c>
      <c r="L66" s="261">
        <v>1800</v>
      </c>
      <c r="M66" s="261"/>
      <c r="N66" s="261">
        <v>0</v>
      </c>
      <c r="O66" s="262">
        <v>20460</v>
      </c>
      <c r="P66" s="260">
        <v>36610</v>
      </c>
      <c r="Q66" s="94">
        <v>36521</v>
      </c>
      <c r="R66" s="94"/>
      <c r="S66" s="94">
        <v>36521</v>
      </c>
    </row>
    <row r="67" spans="1:19" ht="30" customHeight="1">
      <c r="A67" s="69">
        <v>3</v>
      </c>
      <c r="B67" s="79" t="s">
        <v>121</v>
      </c>
      <c r="C67" s="70" t="s">
        <v>657</v>
      </c>
      <c r="D67" s="259">
        <v>2760</v>
      </c>
      <c r="E67" s="259">
        <v>0</v>
      </c>
      <c r="F67" s="259">
        <v>400</v>
      </c>
      <c r="G67" s="259">
        <v>355</v>
      </c>
      <c r="H67" s="259">
        <v>0</v>
      </c>
      <c r="I67" s="260">
        <f t="shared" si="23"/>
        <v>3515</v>
      </c>
      <c r="J67" s="261">
        <v>1575</v>
      </c>
      <c r="K67" s="261">
        <v>0</v>
      </c>
      <c r="L67" s="261">
        <v>200</v>
      </c>
      <c r="M67" s="261"/>
      <c r="N67" s="261">
        <v>0</v>
      </c>
      <c r="O67" s="262">
        <v>1775</v>
      </c>
      <c r="P67" s="260">
        <v>5290</v>
      </c>
      <c r="Q67" s="94">
        <v>3168</v>
      </c>
      <c r="R67" s="94"/>
      <c r="S67" s="94">
        <v>3168</v>
      </c>
    </row>
    <row r="68" spans="1:19" ht="30" customHeight="1">
      <c r="A68" s="69"/>
      <c r="B68" s="79" t="s">
        <v>121</v>
      </c>
      <c r="C68" s="70" t="s">
        <v>656</v>
      </c>
      <c r="D68" s="259"/>
      <c r="E68" s="259"/>
      <c r="F68" s="259"/>
      <c r="G68" s="259"/>
      <c r="H68" s="259"/>
      <c r="I68" s="260"/>
      <c r="J68" s="261">
        <v>1575</v>
      </c>
      <c r="K68" s="261">
        <v>0</v>
      </c>
      <c r="L68" s="261">
        <v>200</v>
      </c>
      <c r="M68" s="261"/>
      <c r="N68" s="261">
        <v>0</v>
      </c>
      <c r="O68" s="262">
        <v>1775</v>
      </c>
      <c r="P68" s="260">
        <v>1775</v>
      </c>
      <c r="Q68" s="94">
        <v>3168</v>
      </c>
      <c r="R68" s="94"/>
      <c r="S68" s="94">
        <v>3168</v>
      </c>
    </row>
    <row r="69" spans="1:19" ht="30" customHeight="1">
      <c r="A69" s="69">
        <v>4</v>
      </c>
      <c r="B69" s="70" t="s">
        <v>122</v>
      </c>
      <c r="C69" s="76" t="s">
        <v>413</v>
      </c>
      <c r="D69" s="259">
        <v>9660</v>
      </c>
      <c r="E69" s="259">
        <v>0</v>
      </c>
      <c r="F69" s="259">
        <v>1050</v>
      </c>
      <c r="G69" s="259">
        <v>0</v>
      </c>
      <c r="H69" s="259">
        <v>0</v>
      </c>
      <c r="I69" s="260">
        <f t="shared" si="23"/>
        <v>10710</v>
      </c>
      <c r="J69" s="261">
        <v>11025</v>
      </c>
      <c r="K69" s="261">
        <v>4500</v>
      </c>
      <c r="L69" s="261">
        <v>1050</v>
      </c>
      <c r="M69" s="261"/>
      <c r="N69" s="261">
        <v>0</v>
      </c>
      <c r="O69" s="262">
        <v>16575</v>
      </c>
      <c r="P69" s="260">
        <v>27285</v>
      </c>
      <c r="Q69" s="94">
        <v>29586</v>
      </c>
      <c r="R69" s="94"/>
      <c r="S69" s="94">
        <v>29586</v>
      </c>
    </row>
    <row r="70" spans="1:19" ht="30" customHeight="1">
      <c r="A70" s="69">
        <v>5</v>
      </c>
      <c r="B70" s="70" t="s">
        <v>123</v>
      </c>
      <c r="C70" s="76" t="s">
        <v>413</v>
      </c>
      <c r="D70" s="259">
        <v>12420</v>
      </c>
      <c r="E70" s="259">
        <v>0</v>
      </c>
      <c r="F70" s="259">
        <v>1800</v>
      </c>
      <c r="G70" s="259">
        <v>1065</v>
      </c>
      <c r="H70" s="259">
        <v>0</v>
      </c>
      <c r="I70" s="260">
        <f t="shared" si="23"/>
        <v>15285</v>
      </c>
      <c r="J70" s="261">
        <v>11025</v>
      </c>
      <c r="K70" s="261">
        <v>3375</v>
      </c>
      <c r="L70" s="261">
        <v>1400</v>
      </c>
      <c r="M70" s="261"/>
      <c r="N70" s="261">
        <v>0</v>
      </c>
      <c r="O70" s="262">
        <v>15800</v>
      </c>
      <c r="P70" s="260">
        <v>31085</v>
      </c>
      <c r="Q70" s="94">
        <v>28203</v>
      </c>
      <c r="R70" s="94"/>
      <c r="S70" s="94">
        <v>28203</v>
      </c>
    </row>
    <row r="71" spans="1:19" ht="30" customHeight="1">
      <c r="A71" s="73"/>
      <c r="B71" s="74" t="s">
        <v>47</v>
      </c>
      <c r="C71" s="75"/>
      <c r="D71" s="258">
        <f>SUM(D65:D70)</f>
        <v>46785</v>
      </c>
      <c r="E71" s="258">
        <f t="shared" ref="E71:I71" si="24">SUM(E65:E70)</f>
        <v>0</v>
      </c>
      <c r="F71" s="258">
        <f t="shared" si="24"/>
        <v>5680</v>
      </c>
      <c r="G71" s="258">
        <f t="shared" si="24"/>
        <v>4260</v>
      </c>
      <c r="H71" s="258">
        <f t="shared" si="24"/>
        <v>1985</v>
      </c>
      <c r="I71" s="258">
        <f t="shared" si="24"/>
        <v>58710</v>
      </c>
      <c r="J71" s="258">
        <f>SUM(J65:J70)</f>
        <v>52920</v>
      </c>
      <c r="K71" s="258">
        <f t="shared" ref="K71:S71" si="25">SUM(K65:K70)</f>
        <v>11675</v>
      </c>
      <c r="L71" s="258">
        <f t="shared" si="25"/>
        <v>5730</v>
      </c>
      <c r="M71" s="258">
        <f t="shared" si="25"/>
        <v>0</v>
      </c>
      <c r="N71" s="258">
        <f t="shared" si="25"/>
        <v>0</v>
      </c>
      <c r="O71" s="258">
        <f t="shared" si="25"/>
        <v>70325</v>
      </c>
      <c r="P71" s="258">
        <f t="shared" si="25"/>
        <v>129035</v>
      </c>
      <c r="Q71" s="258">
        <f t="shared" si="25"/>
        <v>125529</v>
      </c>
      <c r="R71" s="258">
        <f t="shared" si="25"/>
        <v>0</v>
      </c>
      <c r="S71" s="258">
        <f t="shared" si="25"/>
        <v>125529</v>
      </c>
    </row>
    <row r="72" spans="1:19" ht="30" customHeight="1">
      <c r="A72" s="73"/>
      <c r="B72" s="75" t="s">
        <v>21</v>
      </c>
      <c r="C72" s="75"/>
      <c r="D72" s="253">
        <f t="shared" ref="D72:I72" si="26">SUM(D71,D64,D54,D47,D40,D31,D20,D9,D7)</f>
        <v>1325989</v>
      </c>
      <c r="E72" s="253">
        <f t="shared" si="26"/>
        <v>0</v>
      </c>
      <c r="F72" s="253">
        <f t="shared" si="26"/>
        <v>144370</v>
      </c>
      <c r="G72" s="253">
        <f t="shared" si="26"/>
        <v>39760</v>
      </c>
      <c r="H72" s="253">
        <f t="shared" si="26"/>
        <v>23935.5</v>
      </c>
      <c r="I72" s="253">
        <f t="shared" si="26"/>
        <v>1534054.5</v>
      </c>
      <c r="J72" s="253">
        <f>J7+J9+J20+J31+J40+J47+J54+J64+J71</f>
        <v>1613010</v>
      </c>
      <c r="K72" s="253">
        <f t="shared" ref="K72:S72" si="27">K7+K9+K20+K31+K40+K47+K54+K64+K71</f>
        <v>427117</v>
      </c>
      <c r="L72" s="253">
        <f t="shared" si="27"/>
        <v>152790</v>
      </c>
      <c r="M72" s="253">
        <f t="shared" si="27"/>
        <v>0</v>
      </c>
      <c r="N72" s="253">
        <f t="shared" si="27"/>
        <v>0</v>
      </c>
      <c r="O72" s="253">
        <f t="shared" si="27"/>
        <v>2192917</v>
      </c>
      <c r="P72" s="253">
        <f t="shared" si="27"/>
        <v>3726971.5</v>
      </c>
      <c r="Q72" s="253">
        <f t="shared" si="27"/>
        <v>3914356</v>
      </c>
      <c r="R72" s="253">
        <f t="shared" si="27"/>
        <v>390000</v>
      </c>
      <c r="S72" s="253">
        <f t="shared" si="27"/>
        <v>3524356</v>
      </c>
    </row>
    <row r="73" spans="1:19">
      <c r="A73" s="80"/>
      <c r="B73" s="80"/>
      <c r="C73" s="80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4" bestFit="1" customWidth="1"/>
    <col min="2" max="2" width="8.5" style="114" customWidth="1"/>
    <col min="3" max="3" width="6" style="114" customWidth="1"/>
    <col min="4" max="7" width="7.625" style="114" customWidth="1"/>
    <col min="8" max="9" width="7.625" style="114" hidden="1" customWidth="1"/>
    <col min="10" max="13" width="7.625" style="114" customWidth="1"/>
    <col min="14" max="14" width="11.625" style="85" customWidth="1"/>
    <col min="15" max="15" width="9.375" style="114" customWidth="1"/>
    <col min="16" max="16" width="7.625" style="114" customWidth="1"/>
    <col min="17" max="19" width="7.625" style="114" hidden="1" customWidth="1"/>
    <col min="20" max="21" width="7.625" style="114" customWidth="1"/>
    <col min="22" max="22" width="7.625" style="115" hidden="1" customWidth="1"/>
    <col min="23" max="23" width="7.625" style="116" customWidth="1"/>
    <col min="24" max="24" width="11.25" style="117" bestFit="1" customWidth="1"/>
    <col min="25" max="25" width="11.375" style="85" bestFit="1" customWidth="1"/>
    <col min="26" max="29" width="7" style="85"/>
    <col min="30" max="16384" width="7" style="114"/>
  </cols>
  <sheetData>
    <row r="1" spans="1:29" s="186" customFormat="1" ht="30" customHeight="1">
      <c r="A1" s="383" t="s">
        <v>675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229"/>
      <c r="Z1" s="229"/>
      <c r="AA1" s="229"/>
      <c r="AB1" s="229"/>
      <c r="AC1" s="229"/>
    </row>
    <row r="2" spans="1:29" s="186" customFormat="1" ht="30" customHeight="1">
      <c r="A2" s="391" t="s">
        <v>605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229"/>
      <c r="Z2" s="229"/>
      <c r="AA2" s="229"/>
      <c r="AB2" s="229"/>
      <c r="AC2" s="229"/>
    </row>
    <row r="3" spans="1:29" s="86" customFormat="1" ht="23.25" customHeight="1">
      <c r="A3" s="384" t="s">
        <v>11</v>
      </c>
      <c r="B3" s="384" t="s">
        <v>38</v>
      </c>
      <c r="C3" s="384" t="s">
        <v>49</v>
      </c>
      <c r="D3" s="385" t="s">
        <v>416</v>
      </c>
      <c r="E3" s="385"/>
      <c r="F3" s="385"/>
      <c r="G3" s="385"/>
      <c r="H3" s="385"/>
      <c r="I3" s="385"/>
      <c r="J3" s="385"/>
      <c r="K3" s="385"/>
      <c r="L3" s="385"/>
      <c r="M3" s="385"/>
      <c r="N3" s="385" t="s">
        <v>417</v>
      </c>
      <c r="O3" s="385"/>
      <c r="P3" s="385"/>
      <c r="Q3" s="385"/>
      <c r="R3" s="385"/>
      <c r="S3" s="385"/>
      <c r="T3" s="385"/>
      <c r="U3" s="385"/>
      <c r="V3" s="385"/>
      <c r="W3" s="385"/>
      <c r="X3" s="390" t="s">
        <v>418</v>
      </c>
      <c r="Y3" s="85"/>
      <c r="Z3" s="85"/>
      <c r="AA3" s="85"/>
      <c r="AB3" s="85"/>
      <c r="AC3" s="85"/>
    </row>
    <row r="4" spans="1:29" s="86" customFormat="1" ht="38.25">
      <c r="A4" s="384"/>
      <c r="B4" s="384"/>
      <c r="C4" s="384"/>
      <c r="D4" s="230" t="s">
        <v>50</v>
      </c>
      <c r="E4" s="230" t="s">
        <v>51</v>
      </c>
      <c r="F4" s="230" t="s">
        <v>52</v>
      </c>
      <c r="G4" s="230" t="s">
        <v>53</v>
      </c>
      <c r="H4" s="230" t="s">
        <v>54</v>
      </c>
      <c r="I4" s="230" t="s">
        <v>55</v>
      </c>
      <c r="J4" s="230" t="s">
        <v>56</v>
      </c>
      <c r="K4" s="230" t="s">
        <v>57</v>
      </c>
      <c r="L4" s="230" t="s">
        <v>58</v>
      </c>
      <c r="M4" s="68" t="s">
        <v>24</v>
      </c>
      <c r="N4" s="231" t="s">
        <v>419</v>
      </c>
      <c r="O4" s="230" t="s">
        <v>420</v>
      </c>
      <c r="P4" s="230" t="s">
        <v>52</v>
      </c>
      <c r="Q4" s="230" t="s">
        <v>53</v>
      </c>
      <c r="R4" s="230" t="s">
        <v>54</v>
      </c>
      <c r="S4" s="230" t="s">
        <v>55</v>
      </c>
      <c r="T4" s="230" t="s">
        <v>56</v>
      </c>
      <c r="U4" s="230" t="s">
        <v>57</v>
      </c>
      <c r="V4" s="230" t="s">
        <v>58</v>
      </c>
      <c r="W4" s="87" t="s">
        <v>24</v>
      </c>
      <c r="X4" s="390"/>
      <c r="Y4" s="85"/>
      <c r="Z4" s="85"/>
      <c r="AA4" s="85"/>
      <c r="AB4" s="85"/>
      <c r="AC4" s="85"/>
    </row>
    <row r="5" spans="1:29" s="91" customFormat="1" ht="20.100000000000001" customHeight="1">
      <c r="A5" s="389"/>
      <c r="B5" s="389"/>
      <c r="C5" s="389"/>
      <c r="D5" s="187" t="s">
        <v>48</v>
      </c>
      <c r="E5" s="187" t="s">
        <v>48</v>
      </c>
      <c r="F5" s="187" t="s">
        <v>48</v>
      </c>
      <c r="G5" s="187" t="s">
        <v>48</v>
      </c>
      <c r="H5" s="187" t="s">
        <v>48</v>
      </c>
      <c r="I5" s="187" t="s">
        <v>48</v>
      </c>
      <c r="J5" s="187" t="s">
        <v>48</v>
      </c>
      <c r="K5" s="187" t="s">
        <v>48</v>
      </c>
      <c r="L5" s="187" t="s">
        <v>48</v>
      </c>
      <c r="M5" s="187" t="s">
        <v>48</v>
      </c>
      <c r="N5" s="88" t="s">
        <v>48</v>
      </c>
      <c r="O5" s="187" t="s">
        <v>48</v>
      </c>
      <c r="P5" s="187" t="s">
        <v>48</v>
      </c>
      <c r="Q5" s="187" t="s">
        <v>48</v>
      </c>
      <c r="R5" s="187" t="s">
        <v>48</v>
      </c>
      <c r="S5" s="187" t="s">
        <v>48</v>
      </c>
      <c r="T5" s="187" t="s">
        <v>48</v>
      </c>
      <c r="U5" s="187" t="s">
        <v>48</v>
      </c>
      <c r="V5" s="187" t="s">
        <v>48</v>
      </c>
      <c r="W5" s="89" t="s">
        <v>48</v>
      </c>
      <c r="X5" s="390" t="s">
        <v>48</v>
      </c>
      <c r="Y5" s="90"/>
      <c r="Z5" s="90"/>
      <c r="AA5" s="90"/>
      <c r="AB5" s="90"/>
      <c r="AC5" s="90"/>
    </row>
    <row r="6" spans="1:29" s="99" customFormat="1" ht="20.100000000000001" customHeight="1">
      <c r="A6" s="92" t="s">
        <v>231</v>
      </c>
      <c r="B6" s="93" t="s">
        <v>18</v>
      </c>
      <c r="C6" s="93" t="s">
        <v>421</v>
      </c>
      <c r="D6" s="72">
        <v>6747</v>
      </c>
      <c r="E6" s="72">
        <v>2760</v>
      </c>
      <c r="F6" s="72">
        <v>210</v>
      </c>
      <c r="G6" s="72">
        <v>120</v>
      </c>
      <c r="H6" s="72">
        <v>0</v>
      </c>
      <c r="I6" s="72">
        <v>0</v>
      </c>
      <c r="J6" s="72">
        <v>600</v>
      </c>
      <c r="K6" s="72">
        <v>1800</v>
      </c>
      <c r="L6" s="72">
        <v>1420</v>
      </c>
      <c r="M6" s="94">
        <f>SUM(D6:L6)</f>
        <v>13657</v>
      </c>
      <c r="N6" s="95">
        <v>3465</v>
      </c>
      <c r="O6" s="72">
        <v>1575</v>
      </c>
      <c r="P6" s="72">
        <v>105</v>
      </c>
      <c r="Q6" s="72"/>
      <c r="R6" s="72"/>
      <c r="S6" s="72"/>
      <c r="T6" s="72">
        <v>300</v>
      </c>
      <c r="U6" s="72">
        <v>900</v>
      </c>
      <c r="V6" s="72"/>
      <c r="W6" s="96">
        <f>SUM(N6:V6)</f>
        <v>6345</v>
      </c>
      <c r="X6" s="97">
        <f>ROUND(W6*1.7*1.05,0)</f>
        <v>11326</v>
      </c>
      <c r="Y6" s="98"/>
      <c r="Z6" s="98"/>
      <c r="AA6" s="98"/>
      <c r="AB6" s="98"/>
      <c r="AC6" s="98"/>
    </row>
    <row r="7" spans="1:29" s="99" customFormat="1" ht="20.100000000000001" customHeight="1">
      <c r="A7" s="92" t="s">
        <v>422</v>
      </c>
      <c r="B7" s="93" t="s">
        <v>18</v>
      </c>
      <c r="C7" s="93" t="s">
        <v>421</v>
      </c>
      <c r="D7" s="72">
        <v>1288</v>
      </c>
      <c r="E7" s="72">
        <v>552</v>
      </c>
      <c r="F7" s="72">
        <v>100</v>
      </c>
      <c r="G7" s="72">
        <v>20</v>
      </c>
      <c r="H7" s="72">
        <v>0</v>
      </c>
      <c r="I7" s="72">
        <v>0</v>
      </c>
      <c r="J7" s="72">
        <v>200</v>
      </c>
      <c r="K7" s="72">
        <v>500</v>
      </c>
      <c r="L7" s="72">
        <v>0</v>
      </c>
      <c r="M7" s="94">
        <f>SUM(D7:L7)</f>
        <v>2660</v>
      </c>
      <c r="N7" s="95">
        <v>1470</v>
      </c>
      <c r="O7" s="72">
        <v>630</v>
      </c>
      <c r="P7" s="72">
        <v>100</v>
      </c>
      <c r="Q7" s="72"/>
      <c r="R7" s="72"/>
      <c r="S7" s="72"/>
      <c r="T7" s="72">
        <v>200</v>
      </c>
      <c r="U7" s="72">
        <v>500</v>
      </c>
      <c r="V7" s="72"/>
      <c r="W7" s="96">
        <f t="shared" ref="W7:W8" si="0">SUM(N7:V7)</f>
        <v>2900</v>
      </c>
      <c r="X7" s="97">
        <f t="shared" ref="X7:X8" si="1">ROUND(W7*1.7*1.05,0)</f>
        <v>5177</v>
      </c>
      <c r="Y7" s="98"/>
      <c r="Z7" s="98"/>
      <c r="AA7" s="98"/>
      <c r="AB7" s="98"/>
      <c r="AC7" s="98"/>
    </row>
    <row r="8" spans="1:29" s="99" customFormat="1" ht="20.100000000000001" customHeight="1">
      <c r="A8" s="100" t="s">
        <v>229</v>
      </c>
      <c r="B8" s="93" t="s">
        <v>18</v>
      </c>
      <c r="C8" s="93" t="s">
        <v>421</v>
      </c>
      <c r="D8" s="72">
        <v>4365</v>
      </c>
      <c r="E8" s="72">
        <v>1455</v>
      </c>
      <c r="F8" s="72">
        <v>150</v>
      </c>
      <c r="G8" s="72">
        <v>60</v>
      </c>
      <c r="H8" s="72">
        <v>0</v>
      </c>
      <c r="I8" s="72">
        <v>0</v>
      </c>
      <c r="J8" s="72">
        <v>300</v>
      </c>
      <c r="K8" s="72">
        <v>900</v>
      </c>
      <c r="L8" s="72">
        <v>710</v>
      </c>
      <c r="M8" s="94">
        <f>SUM(D8:L8)</f>
        <v>7940</v>
      </c>
      <c r="N8" s="95">
        <v>1575</v>
      </c>
      <c r="O8" s="72">
        <v>525</v>
      </c>
      <c r="P8" s="72">
        <v>50</v>
      </c>
      <c r="Q8" s="72"/>
      <c r="R8" s="72"/>
      <c r="S8" s="72"/>
      <c r="T8" s="72">
        <v>100</v>
      </c>
      <c r="U8" s="72">
        <v>300</v>
      </c>
      <c r="V8" s="72"/>
      <c r="W8" s="96">
        <f t="shared" si="0"/>
        <v>2550</v>
      </c>
      <c r="X8" s="97">
        <f t="shared" si="1"/>
        <v>4552</v>
      </c>
      <c r="Y8" s="98"/>
      <c r="Z8" s="98"/>
      <c r="AA8" s="98"/>
      <c r="AB8" s="98"/>
      <c r="AC8" s="98"/>
    </row>
    <row r="9" spans="1:29" s="91" customFormat="1" ht="20.100000000000001" customHeight="1">
      <c r="A9" s="101" t="s">
        <v>423</v>
      </c>
      <c r="B9" s="102"/>
      <c r="C9" s="102"/>
      <c r="D9" s="103">
        <f>SUM(D6:D8)</f>
        <v>12400</v>
      </c>
      <c r="E9" s="103">
        <f t="shared" ref="E9:X9" si="2">SUM(E6:E8)</f>
        <v>4767</v>
      </c>
      <c r="F9" s="103">
        <f t="shared" si="2"/>
        <v>460</v>
      </c>
      <c r="G9" s="103">
        <f t="shared" si="2"/>
        <v>200</v>
      </c>
      <c r="H9" s="103">
        <f t="shared" si="2"/>
        <v>0</v>
      </c>
      <c r="I9" s="103">
        <f t="shared" si="2"/>
        <v>0</v>
      </c>
      <c r="J9" s="103">
        <f t="shared" si="2"/>
        <v>1100</v>
      </c>
      <c r="K9" s="103">
        <f t="shared" si="2"/>
        <v>3200</v>
      </c>
      <c r="L9" s="103">
        <f t="shared" si="2"/>
        <v>2130</v>
      </c>
      <c r="M9" s="103">
        <f t="shared" si="2"/>
        <v>24257</v>
      </c>
      <c r="N9" s="104">
        <f t="shared" si="2"/>
        <v>6510</v>
      </c>
      <c r="O9" s="103">
        <f t="shared" si="2"/>
        <v>2730</v>
      </c>
      <c r="P9" s="103">
        <f t="shared" si="2"/>
        <v>255</v>
      </c>
      <c r="Q9" s="103">
        <f t="shared" si="2"/>
        <v>0</v>
      </c>
      <c r="R9" s="103">
        <f t="shared" si="2"/>
        <v>0</v>
      </c>
      <c r="S9" s="103">
        <f t="shared" si="2"/>
        <v>0</v>
      </c>
      <c r="T9" s="103">
        <f t="shared" si="2"/>
        <v>600</v>
      </c>
      <c r="U9" s="103">
        <f t="shared" si="2"/>
        <v>1700</v>
      </c>
      <c r="V9" s="103">
        <f t="shared" si="2"/>
        <v>0</v>
      </c>
      <c r="W9" s="105">
        <f t="shared" si="2"/>
        <v>11795</v>
      </c>
      <c r="X9" s="106">
        <f t="shared" si="2"/>
        <v>21055</v>
      </c>
      <c r="Y9" s="90"/>
      <c r="Z9" s="90"/>
      <c r="AA9" s="90"/>
      <c r="AB9" s="90"/>
      <c r="AC9" s="90"/>
    </row>
    <row r="10" spans="1:29" s="99" customFormat="1" ht="20.100000000000001" customHeight="1">
      <c r="A10" s="107" t="s">
        <v>125</v>
      </c>
      <c r="B10" s="93" t="s">
        <v>19</v>
      </c>
      <c r="C10" s="93" t="s">
        <v>421</v>
      </c>
      <c r="D10" s="72">
        <v>2024</v>
      </c>
      <c r="E10" s="72">
        <v>920</v>
      </c>
      <c r="F10" s="72">
        <v>70</v>
      </c>
      <c r="G10" s="72">
        <v>40</v>
      </c>
      <c r="H10" s="72">
        <v>0</v>
      </c>
      <c r="I10" s="72">
        <v>0</v>
      </c>
      <c r="J10" s="72">
        <v>200</v>
      </c>
      <c r="K10" s="72">
        <v>300</v>
      </c>
      <c r="L10" s="72">
        <v>355</v>
      </c>
      <c r="M10" s="94">
        <f>SUM(D10:L10)</f>
        <v>3909</v>
      </c>
      <c r="N10" s="95">
        <v>4410</v>
      </c>
      <c r="O10" s="72">
        <v>2310</v>
      </c>
      <c r="P10" s="72">
        <v>140</v>
      </c>
      <c r="Q10" s="72"/>
      <c r="R10" s="72"/>
      <c r="S10" s="72"/>
      <c r="T10" s="72">
        <v>400</v>
      </c>
      <c r="U10" s="72">
        <v>600</v>
      </c>
      <c r="V10" s="72"/>
      <c r="W10" s="96">
        <f>SUM(N10:V10)</f>
        <v>7860</v>
      </c>
      <c r="X10" s="97">
        <f t="shared" ref="X10" si="3">ROUND(W10*1.7*1.05,0)</f>
        <v>14030</v>
      </c>
      <c r="Y10" s="98"/>
      <c r="Z10" s="98"/>
      <c r="AA10" s="98"/>
      <c r="AB10" s="98"/>
      <c r="AC10" s="98"/>
    </row>
    <row r="11" spans="1:29" s="99" customFormat="1" ht="20.100000000000001" customHeight="1">
      <c r="A11" s="107" t="s">
        <v>424</v>
      </c>
      <c r="B11" s="93" t="s">
        <v>19</v>
      </c>
      <c r="C11" s="93" t="s">
        <v>421</v>
      </c>
      <c r="D11" s="72">
        <v>5060</v>
      </c>
      <c r="E11" s="72">
        <v>1840</v>
      </c>
      <c r="F11" s="72">
        <v>175</v>
      </c>
      <c r="G11" s="72">
        <v>100</v>
      </c>
      <c r="H11" s="72">
        <v>0</v>
      </c>
      <c r="I11" s="72">
        <v>0</v>
      </c>
      <c r="J11" s="72">
        <v>500</v>
      </c>
      <c r="K11" s="72">
        <v>500</v>
      </c>
      <c r="L11" s="72">
        <v>710</v>
      </c>
      <c r="M11" s="94">
        <f>SUM(D11:L11)</f>
        <v>8885</v>
      </c>
      <c r="N11" s="95">
        <v>5775</v>
      </c>
      <c r="O11" s="72">
        <v>2100</v>
      </c>
      <c r="P11" s="72">
        <v>175</v>
      </c>
      <c r="Q11" s="72"/>
      <c r="R11" s="72"/>
      <c r="S11" s="72"/>
      <c r="T11" s="72">
        <v>500</v>
      </c>
      <c r="U11" s="72">
        <v>500</v>
      </c>
      <c r="V11" s="72"/>
      <c r="W11" s="96">
        <f>SUM(N11:V11)</f>
        <v>9050</v>
      </c>
      <c r="X11" s="97">
        <v>0</v>
      </c>
      <c r="Y11" s="98"/>
      <c r="Z11" s="98"/>
      <c r="AA11" s="98"/>
      <c r="AB11" s="98"/>
      <c r="AC11" s="98"/>
    </row>
    <row r="12" spans="1:29" s="91" customFormat="1" ht="20.100000000000001" customHeight="1">
      <c r="A12" s="101" t="s">
        <v>425</v>
      </c>
      <c r="B12" s="102"/>
      <c r="C12" s="102"/>
      <c r="D12" s="103">
        <f t="shared" ref="D12:X12" si="4">SUM(D10:D11)</f>
        <v>7084</v>
      </c>
      <c r="E12" s="103">
        <f t="shared" si="4"/>
        <v>2760</v>
      </c>
      <c r="F12" s="103">
        <f t="shared" si="4"/>
        <v>245</v>
      </c>
      <c r="G12" s="103">
        <f t="shared" si="4"/>
        <v>140</v>
      </c>
      <c r="H12" s="103">
        <f t="shared" si="4"/>
        <v>0</v>
      </c>
      <c r="I12" s="103">
        <f t="shared" si="4"/>
        <v>0</v>
      </c>
      <c r="J12" s="103">
        <f t="shared" si="4"/>
        <v>700</v>
      </c>
      <c r="K12" s="103">
        <f t="shared" si="4"/>
        <v>800</v>
      </c>
      <c r="L12" s="103">
        <f t="shared" si="4"/>
        <v>1065</v>
      </c>
      <c r="M12" s="103">
        <f t="shared" si="4"/>
        <v>12794</v>
      </c>
      <c r="N12" s="104">
        <f t="shared" si="4"/>
        <v>10185</v>
      </c>
      <c r="O12" s="103">
        <f t="shared" si="4"/>
        <v>4410</v>
      </c>
      <c r="P12" s="103">
        <f t="shared" si="4"/>
        <v>315</v>
      </c>
      <c r="Q12" s="103">
        <f t="shared" si="4"/>
        <v>0</v>
      </c>
      <c r="R12" s="103">
        <f t="shared" si="4"/>
        <v>0</v>
      </c>
      <c r="S12" s="103">
        <f t="shared" si="4"/>
        <v>0</v>
      </c>
      <c r="T12" s="103">
        <f t="shared" si="4"/>
        <v>900</v>
      </c>
      <c r="U12" s="103">
        <f t="shared" si="4"/>
        <v>1100</v>
      </c>
      <c r="V12" s="103">
        <f t="shared" si="4"/>
        <v>0</v>
      </c>
      <c r="W12" s="105">
        <f t="shared" si="4"/>
        <v>16910</v>
      </c>
      <c r="X12" s="106">
        <f t="shared" si="4"/>
        <v>14030</v>
      </c>
      <c r="Y12" s="90"/>
      <c r="Z12" s="90"/>
      <c r="AA12" s="90"/>
      <c r="AB12" s="90"/>
      <c r="AC12" s="90"/>
    </row>
    <row r="13" spans="1:29" s="99" customFormat="1" ht="20.100000000000001" customHeight="1">
      <c r="A13" s="107" t="s">
        <v>126</v>
      </c>
      <c r="B13" s="93" t="s">
        <v>17</v>
      </c>
      <c r="C13" s="93" t="s">
        <v>421</v>
      </c>
      <c r="D13" s="72">
        <v>8096</v>
      </c>
      <c r="E13" s="72">
        <v>2208</v>
      </c>
      <c r="F13" s="72">
        <v>280</v>
      </c>
      <c r="G13" s="72">
        <v>160</v>
      </c>
      <c r="H13" s="72">
        <v>0</v>
      </c>
      <c r="I13" s="72">
        <v>0</v>
      </c>
      <c r="J13" s="72">
        <v>800</v>
      </c>
      <c r="K13" s="72">
        <v>1200</v>
      </c>
      <c r="L13" s="72">
        <v>1065</v>
      </c>
      <c r="M13" s="94">
        <f t="shared" ref="M13:M19" si="5">SUM(D13:L13)</f>
        <v>13809</v>
      </c>
      <c r="N13" s="95">
        <v>4620</v>
      </c>
      <c r="O13" s="72">
        <v>1260</v>
      </c>
      <c r="P13" s="72">
        <v>140</v>
      </c>
      <c r="Q13" s="72"/>
      <c r="R13" s="72"/>
      <c r="S13" s="72"/>
      <c r="T13" s="72">
        <v>400</v>
      </c>
      <c r="U13" s="72">
        <v>600</v>
      </c>
      <c r="V13" s="72"/>
      <c r="W13" s="96">
        <f t="shared" ref="W13:W19" si="6">SUM(N13:V13)</f>
        <v>7020</v>
      </c>
      <c r="X13" s="97">
        <f t="shared" ref="X13:X19" si="7">ROUND(W13*1.7*1.05,0)</f>
        <v>12531</v>
      </c>
      <c r="Y13" s="98"/>
      <c r="Z13" s="98"/>
      <c r="AA13" s="98"/>
      <c r="AB13" s="98"/>
      <c r="AC13" s="98"/>
    </row>
    <row r="14" spans="1:29" s="99" customFormat="1" ht="20.100000000000001" customHeight="1">
      <c r="A14" s="107" t="s">
        <v>127</v>
      </c>
      <c r="B14" s="93" t="s">
        <v>17</v>
      </c>
      <c r="C14" s="93" t="s">
        <v>421</v>
      </c>
      <c r="D14" s="72">
        <v>1840</v>
      </c>
      <c r="E14" s="72">
        <v>1104</v>
      </c>
      <c r="F14" s="72">
        <v>70</v>
      </c>
      <c r="G14" s="72">
        <v>40</v>
      </c>
      <c r="H14" s="72">
        <v>0</v>
      </c>
      <c r="I14" s="72">
        <v>0</v>
      </c>
      <c r="J14" s="72">
        <v>200</v>
      </c>
      <c r="K14" s="72">
        <v>200</v>
      </c>
      <c r="L14" s="72">
        <v>0</v>
      </c>
      <c r="M14" s="94">
        <f t="shared" si="5"/>
        <v>3454</v>
      </c>
      <c r="N14" s="95">
        <v>2100</v>
      </c>
      <c r="O14" s="72">
        <v>1260</v>
      </c>
      <c r="P14" s="72">
        <v>70</v>
      </c>
      <c r="Q14" s="72"/>
      <c r="R14" s="72"/>
      <c r="S14" s="72"/>
      <c r="T14" s="72">
        <v>200</v>
      </c>
      <c r="U14" s="72">
        <v>200</v>
      </c>
      <c r="V14" s="72"/>
      <c r="W14" s="96">
        <f t="shared" si="6"/>
        <v>3830</v>
      </c>
      <c r="X14" s="97">
        <f t="shared" si="7"/>
        <v>6837</v>
      </c>
      <c r="Y14" s="98"/>
      <c r="Z14" s="98"/>
      <c r="AA14" s="98"/>
      <c r="AB14" s="98"/>
      <c r="AC14" s="98"/>
    </row>
    <row r="15" spans="1:29" s="99" customFormat="1" ht="20.100000000000001" customHeight="1">
      <c r="A15" s="92" t="s">
        <v>244</v>
      </c>
      <c r="B15" s="93" t="s">
        <v>17</v>
      </c>
      <c r="C15" s="93" t="s">
        <v>421</v>
      </c>
      <c r="D15" s="72">
        <v>63664</v>
      </c>
      <c r="E15" s="72">
        <v>25392</v>
      </c>
      <c r="F15" s="72">
        <v>3360</v>
      </c>
      <c r="G15" s="72">
        <v>960</v>
      </c>
      <c r="H15" s="72">
        <v>0</v>
      </c>
      <c r="I15" s="72">
        <v>0</v>
      </c>
      <c r="J15" s="72">
        <v>6350</v>
      </c>
      <c r="K15" s="72">
        <v>20800</v>
      </c>
      <c r="L15" s="72">
        <v>13135</v>
      </c>
      <c r="M15" s="94">
        <f t="shared" si="5"/>
        <v>133661</v>
      </c>
      <c r="N15" s="95">
        <v>55440</v>
      </c>
      <c r="O15" s="72">
        <v>20790</v>
      </c>
      <c r="P15" s="72">
        <v>2505</v>
      </c>
      <c r="Q15" s="72"/>
      <c r="R15" s="72"/>
      <c r="S15" s="72"/>
      <c r="T15" s="72">
        <v>4950</v>
      </c>
      <c r="U15" s="72">
        <v>16500</v>
      </c>
      <c r="V15" s="72"/>
      <c r="W15" s="96">
        <f t="shared" si="6"/>
        <v>100185</v>
      </c>
      <c r="X15" s="97">
        <f t="shared" si="7"/>
        <v>178830</v>
      </c>
      <c r="Y15" s="98"/>
      <c r="Z15" s="98"/>
      <c r="AA15" s="98"/>
      <c r="AB15" s="98"/>
      <c r="AC15" s="98"/>
    </row>
    <row r="16" spans="1:29" s="99" customFormat="1" ht="20.100000000000001" customHeight="1">
      <c r="A16" s="107" t="s">
        <v>246</v>
      </c>
      <c r="B16" s="93" t="s">
        <v>17</v>
      </c>
      <c r="C16" s="93" t="s">
        <v>421</v>
      </c>
      <c r="D16" s="72">
        <v>7728</v>
      </c>
      <c r="E16" s="72">
        <v>2208</v>
      </c>
      <c r="F16" s="72">
        <v>210</v>
      </c>
      <c r="G16" s="72">
        <v>120</v>
      </c>
      <c r="H16" s="72">
        <v>0</v>
      </c>
      <c r="I16" s="72">
        <v>0</v>
      </c>
      <c r="J16" s="72">
        <v>600</v>
      </c>
      <c r="K16" s="72">
        <v>1526</v>
      </c>
      <c r="L16" s="72">
        <v>355</v>
      </c>
      <c r="M16" s="94">
        <f t="shared" si="5"/>
        <v>12747</v>
      </c>
      <c r="N16" s="95">
        <v>14763.998360655738</v>
      </c>
      <c r="O16" s="72">
        <v>3780</v>
      </c>
      <c r="P16" s="72">
        <v>315</v>
      </c>
      <c r="Q16" s="72"/>
      <c r="R16" s="72"/>
      <c r="S16" s="72"/>
      <c r="T16" s="72">
        <v>900</v>
      </c>
      <c r="U16" s="72">
        <v>2700</v>
      </c>
      <c r="V16" s="72"/>
      <c r="W16" s="96">
        <f t="shared" si="6"/>
        <v>22458.998360655736</v>
      </c>
      <c r="X16" s="97">
        <f t="shared" si="7"/>
        <v>40089</v>
      </c>
      <c r="Y16" s="98"/>
      <c r="Z16" s="98"/>
      <c r="AA16" s="98"/>
      <c r="AB16" s="98"/>
      <c r="AC16" s="98"/>
    </row>
    <row r="17" spans="1:29" s="99" customFormat="1" ht="20.100000000000001" customHeight="1">
      <c r="A17" s="108" t="s">
        <v>426</v>
      </c>
      <c r="B17" s="93" t="s">
        <v>17</v>
      </c>
      <c r="C17" s="93" t="s">
        <v>421</v>
      </c>
      <c r="D17" s="72"/>
      <c r="E17" s="72"/>
      <c r="F17" s="72"/>
      <c r="G17" s="72"/>
      <c r="H17" s="72"/>
      <c r="I17" s="72"/>
      <c r="J17" s="72"/>
      <c r="K17" s="72"/>
      <c r="L17" s="72"/>
      <c r="M17" s="94"/>
      <c r="N17" s="95">
        <v>1365</v>
      </c>
      <c r="O17" s="72">
        <v>315</v>
      </c>
      <c r="P17" s="72">
        <v>35</v>
      </c>
      <c r="Q17" s="72"/>
      <c r="R17" s="72"/>
      <c r="S17" s="72"/>
      <c r="T17" s="72">
        <v>100</v>
      </c>
      <c r="U17" s="72">
        <v>100</v>
      </c>
      <c r="V17" s="72"/>
      <c r="W17" s="96">
        <f t="shared" si="6"/>
        <v>1915</v>
      </c>
      <c r="X17" s="97">
        <f t="shared" si="7"/>
        <v>3418</v>
      </c>
      <c r="Y17" s="98"/>
      <c r="Z17" s="98"/>
      <c r="AA17" s="98"/>
      <c r="AB17" s="98"/>
      <c r="AC17" s="98"/>
    </row>
    <row r="18" spans="1:29" s="99" customFormat="1" ht="20.100000000000001" customHeight="1">
      <c r="A18" s="108" t="s">
        <v>427</v>
      </c>
      <c r="B18" s="93" t="s">
        <v>17</v>
      </c>
      <c r="C18" s="93" t="s">
        <v>421</v>
      </c>
      <c r="D18" s="72"/>
      <c r="E18" s="72"/>
      <c r="F18" s="72"/>
      <c r="G18" s="72"/>
      <c r="H18" s="72"/>
      <c r="I18" s="72"/>
      <c r="J18" s="72"/>
      <c r="K18" s="72"/>
      <c r="L18" s="72"/>
      <c r="M18" s="94"/>
      <c r="N18" s="95">
        <v>1680</v>
      </c>
      <c r="O18" s="72">
        <v>420</v>
      </c>
      <c r="P18" s="72">
        <v>35</v>
      </c>
      <c r="Q18" s="72"/>
      <c r="R18" s="72"/>
      <c r="S18" s="72"/>
      <c r="T18" s="72">
        <v>100</v>
      </c>
      <c r="U18" s="72">
        <v>200</v>
      </c>
      <c r="V18" s="72"/>
      <c r="W18" s="96">
        <f t="shared" si="6"/>
        <v>2435</v>
      </c>
      <c r="X18" s="97">
        <f t="shared" si="7"/>
        <v>4346</v>
      </c>
      <c r="Y18" s="98"/>
      <c r="Z18" s="98"/>
      <c r="AA18" s="98"/>
      <c r="AB18" s="98"/>
      <c r="AC18" s="98"/>
    </row>
    <row r="19" spans="1:29" s="99" customFormat="1" ht="20.100000000000001" customHeight="1">
      <c r="A19" s="107" t="s">
        <v>428</v>
      </c>
      <c r="B19" s="93" t="s">
        <v>17</v>
      </c>
      <c r="C19" s="93" t="s">
        <v>421</v>
      </c>
      <c r="D19" s="72">
        <v>5980</v>
      </c>
      <c r="E19" s="72">
        <v>2300</v>
      </c>
      <c r="F19" s="72">
        <v>175</v>
      </c>
      <c r="G19" s="72">
        <v>100</v>
      </c>
      <c r="H19" s="72">
        <v>0</v>
      </c>
      <c r="I19" s="72">
        <v>0</v>
      </c>
      <c r="J19" s="72">
        <v>500</v>
      </c>
      <c r="K19" s="72">
        <v>1000</v>
      </c>
      <c r="L19" s="72">
        <v>0</v>
      </c>
      <c r="M19" s="94">
        <f t="shared" si="5"/>
        <v>10055</v>
      </c>
      <c r="N19" s="95">
        <v>4095</v>
      </c>
      <c r="O19" s="72">
        <v>1575</v>
      </c>
      <c r="P19" s="72">
        <v>105</v>
      </c>
      <c r="Q19" s="72"/>
      <c r="R19" s="72"/>
      <c r="S19" s="72"/>
      <c r="T19" s="72">
        <v>300</v>
      </c>
      <c r="U19" s="72">
        <v>600</v>
      </c>
      <c r="V19" s="72"/>
      <c r="W19" s="96">
        <f t="shared" si="6"/>
        <v>6675</v>
      </c>
      <c r="X19" s="97">
        <f t="shared" si="7"/>
        <v>11915</v>
      </c>
      <c r="Y19" s="98"/>
      <c r="Z19" s="98"/>
      <c r="AA19" s="98"/>
      <c r="AB19" s="98"/>
      <c r="AC19" s="98"/>
    </row>
    <row r="20" spans="1:29" s="91" customFormat="1" ht="20.100000000000001" customHeight="1">
      <c r="A20" s="101" t="s">
        <v>429</v>
      </c>
      <c r="B20" s="102"/>
      <c r="C20" s="102"/>
      <c r="D20" s="103">
        <f t="shared" ref="D20:X20" si="8">SUM(D13:D19)</f>
        <v>87308</v>
      </c>
      <c r="E20" s="103">
        <f t="shared" si="8"/>
        <v>33212</v>
      </c>
      <c r="F20" s="103">
        <f t="shared" si="8"/>
        <v>4095</v>
      </c>
      <c r="G20" s="103">
        <f t="shared" si="8"/>
        <v>1380</v>
      </c>
      <c r="H20" s="103">
        <f t="shared" si="8"/>
        <v>0</v>
      </c>
      <c r="I20" s="103">
        <f t="shared" si="8"/>
        <v>0</v>
      </c>
      <c r="J20" s="103">
        <f t="shared" si="8"/>
        <v>8450</v>
      </c>
      <c r="K20" s="103">
        <f t="shared" si="8"/>
        <v>24726</v>
      </c>
      <c r="L20" s="103">
        <f t="shared" si="8"/>
        <v>14555</v>
      </c>
      <c r="M20" s="103">
        <f t="shared" si="8"/>
        <v>173726</v>
      </c>
      <c r="N20" s="104">
        <f t="shared" si="8"/>
        <v>84063.998360655736</v>
      </c>
      <c r="O20" s="103">
        <f t="shared" si="8"/>
        <v>29400</v>
      </c>
      <c r="P20" s="103">
        <f t="shared" si="8"/>
        <v>3205</v>
      </c>
      <c r="Q20" s="103">
        <f t="shared" si="8"/>
        <v>0</v>
      </c>
      <c r="R20" s="103">
        <f t="shared" si="8"/>
        <v>0</v>
      </c>
      <c r="S20" s="103">
        <f t="shared" si="8"/>
        <v>0</v>
      </c>
      <c r="T20" s="103">
        <f t="shared" si="8"/>
        <v>6950</v>
      </c>
      <c r="U20" s="103">
        <f t="shared" si="8"/>
        <v>20900</v>
      </c>
      <c r="V20" s="103">
        <f t="shared" si="8"/>
        <v>0</v>
      </c>
      <c r="W20" s="105">
        <f t="shared" si="8"/>
        <v>144518.99836065574</v>
      </c>
      <c r="X20" s="106">
        <f t="shared" si="8"/>
        <v>257966</v>
      </c>
      <c r="Y20" s="90"/>
      <c r="Z20" s="90"/>
      <c r="AA20" s="90"/>
      <c r="AB20" s="90"/>
      <c r="AC20" s="90"/>
    </row>
    <row r="21" spans="1:29" s="99" customFormat="1" ht="20.100000000000001" customHeight="1">
      <c r="A21" s="107" t="s">
        <v>128</v>
      </c>
      <c r="B21" s="93" t="s">
        <v>16</v>
      </c>
      <c r="C21" s="93" t="s">
        <v>421</v>
      </c>
      <c r="D21" s="72">
        <v>5048</v>
      </c>
      <c r="E21" s="72">
        <v>3780</v>
      </c>
      <c r="F21" s="72">
        <v>315</v>
      </c>
      <c r="G21" s="72">
        <v>180</v>
      </c>
      <c r="H21" s="72">
        <v>0</v>
      </c>
      <c r="I21" s="72">
        <v>0</v>
      </c>
      <c r="J21" s="72">
        <v>900</v>
      </c>
      <c r="K21" s="72">
        <v>0</v>
      </c>
      <c r="L21" s="72">
        <v>1775</v>
      </c>
      <c r="M21" s="94">
        <f t="shared" ref="M21:M28" si="9">SUM(D21:L21)</f>
        <v>11998</v>
      </c>
      <c r="N21" s="95">
        <v>7560</v>
      </c>
      <c r="O21" s="72">
        <v>5670</v>
      </c>
      <c r="P21" s="72">
        <v>315</v>
      </c>
      <c r="Q21" s="72"/>
      <c r="R21" s="72"/>
      <c r="S21" s="72"/>
      <c r="T21" s="72">
        <v>900</v>
      </c>
      <c r="U21" s="72">
        <v>900</v>
      </c>
      <c r="V21" s="72"/>
      <c r="W21" s="96">
        <f t="shared" ref="W21:W62" si="10">SUM(N21:V21)</f>
        <v>15345</v>
      </c>
      <c r="X21" s="97">
        <f t="shared" ref="X21:X28" si="11">ROUND(W21*1.7*1.05,0)</f>
        <v>27391</v>
      </c>
      <c r="Y21" s="98"/>
      <c r="Z21" s="98"/>
      <c r="AA21" s="98"/>
      <c r="AB21" s="98"/>
      <c r="AC21" s="98"/>
    </row>
    <row r="22" spans="1:29" s="99" customFormat="1" ht="20.100000000000001" customHeight="1">
      <c r="A22" s="92" t="s">
        <v>254</v>
      </c>
      <c r="B22" s="93" t="s">
        <v>16</v>
      </c>
      <c r="C22" s="93" t="s">
        <v>421</v>
      </c>
      <c r="D22" s="72">
        <v>2208</v>
      </c>
      <c r="E22" s="72">
        <v>1656</v>
      </c>
      <c r="F22" s="72">
        <v>105</v>
      </c>
      <c r="G22" s="72">
        <v>60</v>
      </c>
      <c r="H22" s="72">
        <v>0</v>
      </c>
      <c r="I22" s="72">
        <v>0</v>
      </c>
      <c r="J22" s="72">
        <v>300</v>
      </c>
      <c r="K22" s="72">
        <v>300</v>
      </c>
      <c r="L22" s="72">
        <v>0</v>
      </c>
      <c r="M22" s="94">
        <f t="shared" si="9"/>
        <v>4629</v>
      </c>
      <c r="N22" s="95">
        <v>4200</v>
      </c>
      <c r="O22" s="72">
        <v>3150</v>
      </c>
      <c r="P22" s="72">
        <v>175</v>
      </c>
      <c r="Q22" s="72"/>
      <c r="R22" s="72"/>
      <c r="S22" s="72"/>
      <c r="T22" s="72">
        <v>500</v>
      </c>
      <c r="U22" s="72">
        <v>500</v>
      </c>
      <c r="V22" s="72"/>
      <c r="W22" s="96">
        <f t="shared" si="10"/>
        <v>8525</v>
      </c>
      <c r="X22" s="97">
        <f t="shared" si="11"/>
        <v>15217</v>
      </c>
      <c r="Y22" s="98"/>
      <c r="Z22" s="98"/>
      <c r="AA22" s="98"/>
      <c r="AB22" s="98"/>
      <c r="AC22" s="98"/>
    </row>
    <row r="23" spans="1:29" s="99" customFormat="1" ht="20.100000000000001" customHeight="1">
      <c r="A23" s="107" t="s">
        <v>129</v>
      </c>
      <c r="B23" s="93" t="s">
        <v>16</v>
      </c>
      <c r="C23" s="93" t="s">
        <v>421</v>
      </c>
      <c r="D23" s="72">
        <v>9936</v>
      </c>
      <c r="E23" s="72">
        <v>5520</v>
      </c>
      <c r="F23" s="72">
        <v>420</v>
      </c>
      <c r="G23" s="72">
        <v>240</v>
      </c>
      <c r="H23" s="72">
        <v>0</v>
      </c>
      <c r="I23" s="72">
        <v>0</v>
      </c>
      <c r="J23" s="72">
        <v>1200</v>
      </c>
      <c r="K23" s="72">
        <v>1200</v>
      </c>
      <c r="L23" s="72">
        <v>710</v>
      </c>
      <c r="M23" s="94">
        <f t="shared" si="9"/>
        <v>19226</v>
      </c>
      <c r="N23" s="95">
        <v>12285</v>
      </c>
      <c r="O23" s="72">
        <v>6825</v>
      </c>
      <c r="P23" s="72">
        <v>455</v>
      </c>
      <c r="Q23" s="72"/>
      <c r="R23" s="72"/>
      <c r="S23" s="72"/>
      <c r="T23" s="72">
        <v>1300</v>
      </c>
      <c r="U23" s="72">
        <v>1300</v>
      </c>
      <c r="V23" s="72"/>
      <c r="W23" s="96">
        <f t="shared" si="10"/>
        <v>22165</v>
      </c>
      <c r="X23" s="97">
        <f t="shared" si="11"/>
        <v>39565</v>
      </c>
      <c r="Y23" s="98"/>
      <c r="Z23" s="98"/>
      <c r="AA23" s="98"/>
      <c r="AB23" s="98"/>
      <c r="AC23" s="98"/>
    </row>
    <row r="24" spans="1:29" s="99" customFormat="1" ht="20.100000000000001" customHeight="1">
      <c r="A24" s="107" t="s">
        <v>130</v>
      </c>
      <c r="B24" s="109" t="s">
        <v>16</v>
      </c>
      <c r="C24" s="93" t="s">
        <v>421</v>
      </c>
      <c r="D24" s="72">
        <v>5119</v>
      </c>
      <c r="E24" s="72">
        <v>3846</v>
      </c>
      <c r="F24" s="72">
        <v>280</v>
      </c>
      <c r="G24" s="72">
        <v>160</v>
      </c>
      <c r="H24" s="72">
        <v>0</v>
      </c>
      <c r="I24" s="72">
        <v>0</v>
      </c>
      <c r="J24" s="72">
        <v>800</v>
      </c>
      <c r="K24" s="72">
        <v>1200</v>
      </c>
      <c r="L24" s="72">
        <v>0</v>
      </c>
      <c r="M24" s="94">
        <f t="shared" si="9"/>
        <v>11405</v>
      </c>
      <c r="N24" s="95">
        <v>10080</v>
      </c>
      <c r="O24" s="72">
        <v>7560</v>
      </c>
      <c r="P24" s="72">
        <v>420</v>
      </c>
      <c r="Q24" s="72"/>
      <c r="R24" s="72"/>
      <c r="S24" s="72"/>
      <c r="T24" s="72">
        <v>1200</v>
      </c>
      <c r="U24" s="72">
        <v>1800</v>
      </c>
      <c r="V24" s="72"/>
      <c r="W24" s="96">
        <f t="shared" si="10"/>
        <v>21060</v>
      </c>
      <c r="X24" s="97">
        <f t="shared" si="11"/>
        <v>37592</v>
      </c>
      <c r="Y24" s="98"/>
      <c r="Z24" s="98"/>
      <c r="AA24" s="98"/>
      <c r="AB24" s="98"/>
      <c r="AC24" s="98"/>
    </row>
    <row r="25" spans="1:29" s="99" customFormat="1" ht="20.100000000000001" customHeight="1">
      <c r="A25" s="107" t="s">
        <v>131</v>
      </c>
      <c r="B25" s="93" t="s">
        <v>16</v>
      </c>
      <c r="C25" s="93" t="s">
        <v>421</v>
      </c>
      <c r="D25" s="72">
        <v>8832</v>
      </c>
      <c r="E25" s="72">
        <v>6624</v>
      </c>
      <c r="F25" s="72">
        <v>420</v>
      </c>
      <c r="G25" s="72">
        <v>240</v>
      </c>
      <c r="H25" s="72">
        <v>0</v>
      </c>
      <c r="I25" s="72">
        <v>0</v>
      </c>
      <c r="J25" s="72">
        <v>1200</v>
      </c>
      <c r="K25" s="72">
        <v>1200</v>
      </c>
      <c r="L25" s="72">
        <v>355</v>
      </c>
      <c r="M25" s="94">
        <f t="shared" si="9"/>
        <v>18871</v>
      </c>
      <c r="N25" s="95">
        <v>10080</v>
      </c>
      <c r="O25" s="72">
        <v>7560</v>
      </c>
      <c r="P25" s="72">
        <v>420</v>
      </c>
      <c r="Q25" s="72"/>
      <c r="R25" s="72"/>
      <c r="S25" s="72"/>
      <c r="T25" s="72">
        <v>1200</v>
      </c>
      <c r="U25" s="72">
        <v>1200</v>
      </c>
      <c r="V25" s="72"/>
      <c r="W25" s="96">
        <f t="shared" si="10"/>
        <v>20460</v>
      </c>
      <c r="X25" s="97">
        <f t="shared" si="11"/>
        <v>36521</v>
      </c>
      <c r="Y25" s="98"/>
      <c r="Z25" s="98"/>
      <c r="AA25" s="98"/>
      <c r="AB25" s="98"/>
      <c r="AC25" s="98"/>
    </row>
    <row r="26" spans="1:29" s="99" customFormat="1" ht="20.100000000000001" customHeight="1">
      <c r="A26" s="107" t="s">
        <v>132</v>
      </c>
      <c r="B26" s="93" t="s">
        <v>16</v>
      </c>
      <c r="C26" s="93" t="s">
        <v>421</v>
      </c>
      <c r="D26" s="72">
        <v>736</v>
      </c>
      <c r="E26" s="72">
        <v>552</v>
      </c>
      <c r="F26" s="72">
        <v>35</v>
      </c>
      <c r="G26" s="72">
        <v>20</v>
      </c>
      <c r="H26" s="72">
        <v>0</v>
      </c>
      <c r="I26" s="72">
        <v>0</v>
      </c>
      <c r="J26" s="72">
        <v>100</v>
      </c>
      <c r="K26" s="72">
        <v>100</v>
      </c>
      <c r="L26" s="72">
        <v>0</v>
      </c>
      <c r="M26" s="94">
        <f t="shared" si="9"/>
        <v>1543</v>
      </c>
      <c r="N26" s="95">
        <v>840</v>
      </c>
      <c r="O26" s="72">
        <v>630</v>
      </c>
      <c r="P26" s="72">
        <v>35</v>
      </c>
      <c r="Q26" s="72"/>
      <c r="R26" s="72"/>
      <c r="S26" s="72"/>
      <c r="T26" s="72">
        <v>100</v>
      </c>
      <c r="U26" s="72">
        <v>100</v>
      </c>
      <c r="V26" s="72"/>
      <c r="W26" s="96">
        <f t="shared" si="10"/>
        <v>1705</v>
      </c>
      <c r="X26" s="97">
        <f t="shared" si="11"/>
        <v>3043</v>
      </c>
      <c r="Y26" s="98"/>
      <c r="Z26" s="98"/>
      <c r="AA26" s="98"/>
      <c r="AB26" s="98"/>
      <c r="AC26" s="98"/>
    </row>
    <row r="27" spans="1:29" s="99" customFormat="1" ht="20.100000000000001" customHeight="1">
      <c r="A27" s="107" t="s">
        <v>252</v>
      </c>
      <c r="B27" s="93" t="s">
        <v>16</v>
      </c>
      <c r="C27" s="93" t="s">
        <v>421</v>
      </c>
      <c r="D27" s="72">
        <v>5152</v>
      </c>
      <c r="E27" s="72">
        <v>3864</v>
      </c>
      <c r="F27" s="72">
        <v>245</v>
      </c>
      <c r="G27" s="72">
        <v>140</v>
      </c>
      <c r="H27" s="72">
        <v>0</v>
      </c>
      <c r="I27" s="72">
        <v>0</v>
      </c>
      <c r="J27" s="72">
        <v>700</v>
      </c>
      <c r="K27" s="72">
        <v>1050</v>
      </c>
      <c r="L27" s="72">
        <v>1065</v>
      </c>
      <c r="M27" s="94">
        <f t="shared" si="9"/>
        <v>12216</v>
      </c>
      <c r="N27" s="95">
        <v>6720</v>
      </c>
      <c r="O27" s="72">
        <v>5040</v>
      </c>
      <c r="P27" s="72">
        <v>280</v>
      </c>
      <c r="Q27" s="72"/>
      <c r="R27" s="72"/>
      <c r="S27" s="72"/>
      <c r="T27" s="72">
        <v>800</v>
      </c>
      <c r="U27" s="72">
        <v>1200</v>
      </c>
      <c r="V27" s="72"/>
      <c r="W27" s="96">
        <f t="shared" si="10"/>
        <v>14040</v>
      </c>
      <c r="X27" s="97">
        <f t="shared" si="11"/>
        <v>25061</v>
      </c>
      <c r="Y27" s="98"/>
      <c r="Z27" s="98"/>
      <c r="AA27" s="98"/>
      <c r="AB27" s="98"/>
      <c r="AC27" s="98"/>
    </row>
    <row r="28" spans="1:29" s="99" customFormat="1" ht="20.100000000000001" customHeight="1">
      <c r="A28" s="107" t="s">
        <v>257</v>
      </c>
      <c r="B28" s="93" t="s">
        <v>16</v>
      </c>
      <c r="C28" s="93" t="s">
        <v>421</v>
      </c>
      <c r="D28" s="72">
        <v>9568</v>
      </c>
      <c r="E28" s="72">
        <v>7176</v>
      </c>
      <c r="F28" s="72">
        <v>455</v>
      </c>
      <c r="G28" s="72">
        <v>260</v>
      </c>
      <c r="H28" s="72">
        <v>0</v>
      </c>
      <c r="I28" s="72">
        <v>0</v>
      </c>
      <c r="J28" s="72">
        <v>1300</v>
      </c>
      <c r="K28" s="72">
        <v>1300</v>
      </c>
      <c r="L28" s="72">
        <v>0</v>
      </c>
      <c r="M28" s="94">
        <f t="shared" si="9"/>
        <v>20059</v>
      </c>
      <c r="N28" s="95">
        <v>10920</v>
      </c>
      <c r="O28" s="72">
        <v>8190</v>
      </c>
      <c r="P28" s="72">
        <v>455</v>
      </c>
      <c r="Q28" s="72"/>
      <c r="R28" s="72"/>
      <c r="S28" s="72"/>
      <c r="T28" s="72">
        <v>1300</v>
      </c>
      <c r="U28" s="72">
        <v>1300</v>
      </c>
      <c r="V28" s="72"/>
      <c r="W28" s="96">
        <f t="shared" si="10"/>
        <v>22165</v>
      </c>
      <c r="X28" s="97">
        <f t="shared" si="11"/>
        <v>39565</v>
      </c>
      <c r="Y28" s="98"/>
      <c r="Z28" s="98"/>
      <c r="AA28" s="98"/>
      <c r="AB28" s="98"/>
      <c r="AC28" s="98"/>
    </row>
    <row r="29" spans="1:29" s="91" customFormat="1" ht="20.100000000000001" customHeight="1">
      <c r="A29" s="101" t="s">
        <v>310</v>
      </c>
      <c r="B29" s="102"/>
      <c r="C29" s="102"/>
      <c r="D29" s="103">
        <f>SUM(D21:D28)</f>
        <v>46599</v>
      </c>
      <c r="E29" s="103">
        <f t="shared" ref="E29:X29" si="12">SUM(E21:E28)</f>
        <v>33018</v>
      </c>
      <c r="F29" s="103">
        <f t="shared" si="12"/>
        <v>2275</v>
      </c>
      <c r="G29" s="103">
        <f t="shared" si="12"/>
        <v>1300</v>
      </c>
      <c r="H29" s="103">
        <f t="shared" si="12"/>
        <v>0</v>
      </c>
      <c r="I29" s="103">
        <f t="shared" si="12"/>
        <v>0</v>
      </c>
      <c r="J29" s="103">
        <f t="shared" si="12"/>
        <v>6500</v>
      </c>
      <c r="K29" s="103">
        <f t="shared" si="12"/>
        <v>6350</v>
      </c>
      <c r="L29" s="103">
        <f t="shared" si="12"/>
        <v>3905</v>
      </c>
      <c r="M29" s="103">
        <f t="shared" si="12"/>
        <v>99947</v>
      </c>
      <c r="N29" s="104">
        <f t="shared" si="12"/>
        <v>62685</v>
      </c>
      <c r="O29" s="103">
        <f t="shared" si="12"/>
        <v>44625</v>
      </c>
      <c r="P29" s="103">
        <f t="shared" si="12"/>
        <v>2555</v>
      </c>
      <c r="Q29" s="103">
        <f t="shared" si="12"/>
        <v>0</v>
      </c>
      <c r="R29" s="103">
        <f t="shared" si="12"/>
        <v>0</v>
      </c>
      <c r="S29" s="103">
        <f t="shared" si="12"/>
        <v>0</v>
      </c>
      <c r="T29" s="103">
        <f t="shared" si="12"/>
        <v>7300</v>
      </c>
      <c r="U29" s="103">
        <f t="shared" si="12"/>
        <v>8300</v>
      </c>
      <c r="V29" s="103">
        <f t="shared" si="12"/>
        <v>0</v>
      </c>
      <c r="W29" s="105">
        <f t="shared" si="12"/>
        <v>125465</v>
      </c>
      <c r="X29" s="106">
        <f t="shared" si="12"/>
        <v>223955</v>
      </c>
      <c r="Y29" s="90"/>
      <c r="Z29" s="90"/>
      <c r="AA29" s="90"/>
      <c r="AB29" s="90"/>
      <c r="AC29" s="90"/>
    </row>
    <row r="30" spans="1:29" s="99" customFormat="1" ht="20.100000000000001" customHeight="1">
      <c r="A30" s="107" t="s">
        <v>133</v>
      </c>
      <c r="B30" s="93" t="s">
        <v>15</v>
      </c>
      <c r="C30" s="93" t="s">
        <v>421</v>
      </c>
      <c r="D30" s="72">
        <v>3588</v>
      </c>
      <c r="E30" s="72">
        <v>1380</v>
      </c>
      <c r="F30" s="72">
        <v>105</v>
      </c>
      <c r="G30" s="72">
        <v>60</v>
      </c>
      <c r="H30" s="72">
        <v>0</v>
      </c>
      <c r="I30" s="72">
        <v>0</v>
      </c>
      <c r="J30" s="72">
        <v>300</v>
      </c>
      <c r="K30" s="72">
        <v>540</v>
      </c>
      <c r="L30" s="72">
        <v>355</v>
      </c>
      <c r="M30" s="94">
        <f t="shared" ref="M30:M36" si="13">SUM(D30:L30)</f>
        <v>6328</v>
      </c>
      <c r="N30" s="95">
        <v>1365</v>
      </c>
      <c r="O30" s="72">
        <v>525</v>
      </c>
      <c r="P30" s="72">
        <v>35</v>
      </c>
      <c r="Q30" s="72"/>
      <c r="R30" s="72"/>
      <c r="S30" s="72"/>
      <c r="T30" s="72">
        <v>100</v>
      </c>
      <c r="U30" s="72">
        <v>180</v>
      </c>
      <c r="V30" s="72"/>
      <c r="W30" s="96">
        <f t="shared" si="10"/>
        <v>2205</v>
      </c>
      <c r="X30" s="97">
        <f t="shared" ref="X30:X36" si="14">ROUND(W30*1.7*1.05,0)</f>
        <v>3936</v>
      </c>
      <c r="Y30" s="98"/>
      <c r="Z30" s="98"/>
      <c r="AA30" s="98"/>
      <c r="AB30" s="98"/>
      <c r="AC30" s="98"/>
    </row>
    <row r="31" spans="1:29" s="99" customFormat="1" ht="20.100000000000001" customHeight="1">
      <c r="A31" s="107" t="s">
        <v>134</v>
      </c>
      <c r="B31" s="93" t="s">
        <v>15</v>
      </c>
      <c r="C31" s="93" t="s">
        <v>421</v>
      </c>
      <c r="D31" s="72">
        <v>2484</v>
      </c>
      <c r="E31" s="72">
        <v>1380</v>
      </c>
      <c r="F31" s="72">
        <v>70</v>
      </c>
      <c r="G31" s="72">
        <v>40</v>
      </c>
      <c r="H31" s="72">
        <v>0</v>
      </c>
      <c r="I31" s="72">
        <v>0</v>
      </c>
      <c r="J31" s="72">
        <v>200</v>
      </c>
      <c r="K31" s="72">
        <v>400</v>
      </c>
      <c r="L31" s="72">
        <v>355</v>
      </c>
      <c r="M31" s="94">
        <f t="shared" si="13"/>
        <v>4929</v>
      </c>
      <c r="N31" s="95">
        <v>1890</v>
      </c>
      <c r="O31" s="72">
        <v>1050</v>
      </c>
      <c r="P31" s="72">
        <v>70</v>
      </c>
      <c r="Q31" s="72"/>
      <c r="R31" s="72"/>
      <c r="S31" s="72"/>
      <c r="T31" s="72">
        <v>200</v>
      </c>
      <c r="U31" s="72">
        <v>400</v>
      </c>
      <c r="V31" s="72"/>
      <c r="W31" s="96">
        <f t="shared" si="10"/>
        <v>3610</v>
      </c>
      <c r="X31" s="97">
        <f t="shared" si="14"/>
        <v>6444</v>
      </c>
      <c r="Y31" s="98"/>
      <c r="Z31" s="98"/>
      <c r="AA31" s="98"/>
      <c r="AB31" s="98"/>
      <c r="AC31" s="98"/>
    </row>
    <row r="32" spans="1:29" s="99" customFormat="1" ht="20.100000000000001" customHeight="1">
      <c r="A32" s="107" t="s">
        <v>135</v>
      </c>
      <c r="B32" s="93" t="s">
        <v>15</v>
      </c>
      <c r="C32" s="93" t="s">
        <v>421</v>
      </c>
      <c r="D32" s="72">
        <v>7084</v>
      </c>
      <c r="E32" s="72">
        <v>2576</v>
      </c>
      <c r="F32" s="72">
        <v>245</v>
      </c>
      <c r="G32" s="72">
        <v>0</v>
      </c>
      <c r="H32" s="72">
        <v>0</v>
      </c>
      <c r="I32" s="72">
        <v>0</v>
      </c>
      <c r="J32" s="72">
        <v>700</v>
      </c>
      <c r="K32" s="72">
        <v>700</v>
      </c>
      <c r="L32" s="72">
        <v>1065</v>
      </c>
      <c r="M32" s="94">
        <f t="shared" si="13"/>
        <v>12370</v>
      </c>
      <c r="N32" s="95">
        <v>8085</v>
      </c>
      <c r="O32" s="72">
        <v>2940</v>
      </c>
      <c r="P32" s="72">
        <v>245</v>
      </c>
      <c r="Q32" s="72"/>
      <c r="R32" s="72"/>
      <c r="S32" s="72"/>
      <c r="T32" s="72">
        <v>700</v>
      </c>
      <c r="U32" s="72">
        <v>700</v>
      </c>
      <c r="V32" s="72"/>
      <c r="W32" s="96">
        <f t="shared" si="10"/>
        <v>12670</v>
      </c>
      <c r="X32" s="97">
        <f t="shared" si="14"/>
        <v>22616</v>
      </c>
      <c r="Y32" s="98"/>
      <c r="Z32" s="98"/>
      <c r="AA32" s="98"/>
      <c r="AB32" s="98"/>
      <c r="AC32" s="98"/>
    </row>
    <row r="33" spans="1:29" s="99" customFormat="1" ht="20.100000000000001" customHeight="1">
      <c r="A33" s="107" t="s">
        <v>136</v>
      </c>
      <c r="B33" s="93" t="s">
        <v>15</v>
      </c>
      <c r="C33" s="93" t="s">
        <v>421</v>
      </c>
      <c r="D33" s="72">
        <v>6624</v>
      </c>
      <c r="E33" s="72">
        <v>4416</v>
      </c>
      <c r="F33" s="72">
        <v>210</v>
      </c>
      <c r="G33" s="72">
        <v>120</v>
      </c>
      <c r="H33" s="72">
        <v>0</v>
      </c>
      <c r="I33" s="72">
        <v>0</v>
      </c>
      <c r="J33" s="72">
        <v>600</v>
      </c>
      <c r="K33" s="72">
        <v>600</v>
      </c>
      <c r="L33" s="72">
        <v>710</v>
      </c>
      <c r="M33" s="94">
        <f t="shared" si="13"/>
        <v>13280</v>
      </c>
      <c r="N33" s="95">
        <v>7560</v>
      </c>
      <c r="O33" s="72">
        <v>5040</v>
      </c>
      <c r="P33" s="72">
        <v>210</v>
      </c>
      <c r="Q33" s="72"/>
      <c r="R33" s="72"/>
      <c r="S33" s="72"/>
      <c r="T33" s="72">
        <v>600</v>
      </c>
      <c r="U33" s="72">
        <v>600</v>
      </c>
      <c r="V33" s="72"/>
      <c r="W33" s="96">
        <f t="shared" si="10"/>
        <v>14010</v>
      </c>
      <c r="X33" s="97">
        <f t="shared" si="14"/>
        <v>25008</v>
      </c>
      <c r="Y33" s="98"/>
      <c r="Z33" s="98"/>
      <c r="AA33" s="98"/>
      <c r="AB33" s="98"/>
      <c r="AC33" s="98"/>
    </row>
    <row r="34" spans="1:29" s="99" customFormat="1" ht="20.100000000000001" customHeight="1">
      <c r="A34" s="92" t="s">
        <v>269</v>
      </c>
      <c r="B34" s="93" t="s">
        <v>15</v>
      </c>
      <c r="C34" s="93" t="s">
        <v>421</v>
      </c>
      <c r="D34" s="72">
        <v>8832</v>
      </c>
      <c r="E34" s="72">
        <v>4416</v>
      </c>
      <c r="F34" s="72">
        <v>280</v>
      </c>
      <c r="G34" s="72">
        <v>160</v>
      </c>
      <c r="H34" s="72">
        <v>0</v>
      </c>
      <c r="I34" s="72">
        <v>0</v>
      </c>
      <c r="J34" s="72">
        <v>800</v>
      </c>
      <c r="K34" s="72">
        <v>2400</v>
      </c>
      <c r="L34" s="72">
        <v>710</v>
      </c>
      <c r="M34" s="94">
        <f t="shared" si="13"/>
        <v>17598</v>
      </c>
      <c r="N34" s="95">
        <v>8820</v>
      </c>
      <c r="O34" s="72">
        <v>4410</v>
      </c>
      <c r="P34" s="72">
        <v>245</v>
      </c>
      <c r="Q34" s="72"/>
      <c r="R34" s="72"/>
      <c r="S34" s="72"/>
      <c r="T34" s="72">
        <v>700</v>
      </c>
      <c r="U34" s="72">
        <v>2100</v>
      </c>
      <c r="V34" s="72"/>
      <c r="W34" s="96">
        <f t="shared" si="10"/>
        <v>16275</v>
      </c>
      <c r="X34" s="97">
        <f t="shared" si="14"/>
        <v>29051</v>
      </c>
      <c r="Y34" s="98"/>
      <c r="Z34" s="98"/>
      <c r="AA34" s="98"/>
      <c r="AB34" s="98"/>
      <c r="AC34" s="98"/>
    </row>
    <row r="35" spans="1:29" s="99" customFormat="1" ht="20.100000000000001" customHeight="1">
      <c r="A35" s="107" t="s">
        <v>137</v>
      </c>
      <c r="B35" s="93" t="s">
        <v>15</v>
      </c>
      <c r="C35" s="93" t="s">
        <v>421</v>
      </c>
      <c r="D35" s="72">
        <v>12144</v>
      </c>
      <c r="E35" s="72">
        <v>4416</v>
      </c>
      <c r="F35" s="72">
        <v>420</v>
      </c>
      <c r="G35" s="72">
        <v>240</v>
      </c>
      <c r="H35" s="72">
        <v>0</v>
      </c>
      <c r="I35" s="72">
        <v>0</v>
      </c>
      <c r="J35" s="72">
        <v>1200</v>
      </c>
      <c r="K35" s="72">
        <v>1200</v>
      </c>
      <c r="L35" s="72">
        <v>2130</v>
      </c>
      <c r="M35" s="94">
        <f t="shared" si="13"/>
        <v>21750</v>
      </c>
      <c r="N35" s="95">
        <v>5775</v>
      </c>
      <c r="O35" s="72">
        <v>2100</v>
      </c>
      <c r="P35" s="72">
        <v>175</v>
      </c>
      <c r="Q35" s="72"/>
      <c r="R35" s="72"/>
      <c r="S35" s="72"/>
      <c r="T35" s="72">
        <v>500</v>
      </c>
      <c r="U35" s="72">
        <v>1500</v>
      </c>
      <c r="V35" s="72"/>
      <c r="W35" s="96">
        <f t="shared" si="10"/>
        <v>10050</v>
      </c>
      <c r="X35" s="97">
        <f t="shared" si="14"/>
        <v>17939</v>
      </c>
      <c r="Y35" s="98"/>
      <c r="Z35" s="98"/>
      <c r="AA35" s="98"/>
      <c r="AB35" s="98"/>
      <c r="AC35" s="98"/>
    </row>
    <row r="36" spans="1:29" s="99" customFormat="1" ht="20.100000000000001" customHeight="1">
      <c r="A36" s="92" t="s">
        <v>271</v>
      </c>
      <c r="B36" s="93" t="s">
        <v>15</v>
      </c>
      <c r="C36" s="93" t="s">
        <v>421</v>
      </c>
      <c r="D36" s="72">
        <v>1104</v>
      </c>
      <c r="E36" s="72">
        <v>368</v>
      </c>
      <c r="F36" s="72">
        <v>35</v>
      </c>
      <c r="G36" s="72">
        <v>20</v>
      </c>
      <c r="H36" s="72">
        <v>0</v>
      </c>
      <c r="I36" s="72">
        <v>0</v>
      </c>
      <c r="J36" s="72">
        <v>100</v>
      </c>
      <c r="K36" s="72">
        <v>200</v>
      </c>
      <c r="L36" s="72">
        <v>0</v>
      </c>
      <c r="M36" s="94">
        <f t="shared" si="13"/>
        <v>1827</v>
      </c>
      <c r="N36" s="95">
        <v>2520</v>
      </c>
      <c r="O36" s="72">
        <v>840</v>
      </c>
      <c r="P36" s="72">
        <v>70</v>
      </c>
      <c r="Q36" s="72"/>
      <c r="R36" s="72"/>
      <c r="S36" s="72"/>
      <c r="T36" s="72">
        <v>200</v>
      </c>
      <c r="U36" s="72">
        <v>400</v>
      </c>
      <c r="V36" s="72"/>
      <c r="W36" s="96">
        <f t="shared" si="10"/>
        <v>4030</v>
      </c>
      <c r="X36" s="97">
        <f t="shared" si="14"/>
        <v>7194</v>
      </c>
      <c r="Y36" s="98"/>
      <c r="Z36" s="98"/>
      <c r="AA36" s="98"/>
      <c r="AB36" s="98"/>
      <c r="AC36" s="98"/>
    </row>
    <row r="37" spans="1:29" s="91" customFormat="1" ht="20.100000000000001" customHeight="1">
      <c r="A37" s="101" t="s">
        <v>309</v>
      </c>
      <c r="B37" s="102"/>
      <c r="C37" s="102"/>
      <c r="D37" s="103">
        <f t="shared" ref="D37:X37" si="15">SUM(D30:D36)</f>
        <v>41860</v>
      </c>
      <c r="E37" s="103">
        <f t="shared" si="15"/>
        <v>18952</v>
      </c>
      <c r="F37" s="103">
        <f t="shared" si="15"/>
        <v>1365</v>
      </c>
      <c r="G37" s="103">
        <f t="shared" si="15"/>
        <v>640</v>
      </c>
      <c r="H37" s="103">
        <f t="shared" si="15"/>
        <v>0</v>
      </c>
      <c r="I37" s="103">
        <f t="shared" si="15"/>
        <v>0</v>
      </c>
      <c r="J37" s="103">
        <f t="shared" si="15"/>
        <v>3900</v>
      </c>
      <c r="K37" s="103">
        <f t="shared" si="15"/>
        <v>6040</v>
      </c>
      <c r="L37" s="103">
        <f t="shared" si="15"/>
        <v>5325</v>
      </c>
      <c r="M37" s="103">
        <f t="shared" si="15"/>
        <v>78082</v>
      </c>
      <c r="N37" s="104">
        <f t="shared" si="15"/>
        <v>36015</v>
      </c>
      <c r="O37" s="103">
        <f t="shared" si="15"/>
        <v>16905</v>
      </c>
      <c r="P37" s="103">
        <f t="shared" si="15"/>
        <v>1050</v>
      </c>
      <c r="Q37" s="103">
        <f t="shared" si="15"/>
        <v>0</v>
      </c>
      <c r="R37" s="103">
        <f t="shared" si="15"/>
        <v>0</v>
      </c>
      <c r="S37" s="103">
        <f t="shared" si="15"/>
        <v>0</v>
      </c>
      <c r="T37" s="103">
        <f t="shared" si="15"/>
        <v>3000</v>
      </c>
      <c r="U37" s="103">
        <f t="shared" si="15"/>
        <v>5880</v>
      </c>
      <c r="V37" s="103">
        <f t="shared" si="15"/>
        <v>0</v>
      </c>
      <c r="W37" s="105">
        <f t="shared" si="15"/>
        <v>62850</v>
      </c>
      <c r="X37" s="106">
        <f t="shared" si="15"/>
        <v>112188</v>
      </c>
      <c r="Y37" s="90"/>
      <c r="Z37" s="90"/>
      <c r="AA37" s="90"/>
      <c r="AB37" s="90"/>
      <c r="AC37" s="90"/>
    </row>
    <row r="38" spans="1:29" s="99" customFormat="1" ht="20.100000000000001" customHeight="1">
      <c r="A38" s="110" t="s">
        <v>430</v>
      </c>
      <c r="B38" s="93" t="s">
        <v>71</v>
      </c>
      <c r="C38" s="93" t="s">
        <v>421</v>
      </c>
      <c r="D38" s="72">
        <v>3454</v>
      </c>
      <c r="E38" s="72">
        <v>1570</v>
      </c>
      <c r="F38" s="72">
        <v>70</v>
      </c>
      <c r="G38" s="72">
        <v>60</v>
      </c>
      <c r="H38" s="72">
        <v>0</v>
      </c>
      <c r="I38" s="72">
        <v>0</v>
      </c>
      <c r="J38" s="72">
        <v>200</v>
      </c>
      <c r="K38" s="72">
        <v>400</v>
      </c>
      <c r="L38" s="72">
        <v>355</v>
      </c>
      <c r="M38" s="94">
        <f t="shared" ref="M38:M44" si="16">SUM(D38:L38)</f>
        <v>6109</v>
      </c>
      <c r="N38" s="95">
        <v>3465</v>
      </c>
      <c r="O38" s="72">
        <v>1575</v>
      </c>
      <c r="P38" s="72">
        <v>105</v>
      </c>
      <c r="Q38" s="72"/>
      <c r="R38" s="72"/>
      <c r="S38" s="72"/>
      <c r="T38" s="72">
        <v>300</v>
      </c>
      <c r="U38" s="72">
        <v>600</v>
      </c>
      <c r="V38" s="72"/>
      <c r="W38" s="96">
        <f t="shared" si="10"/>
        <v>6045</v>
      </c>
      <c r="X38" s="97">
        <f t="shared" ref="X38:X44" si="17">ROUND(W38*1.7*1.05,0)</f>
        <v>10790</v>
      </c>
      <c r="Y38" s="98"/>
      <c r="Z38" s="98"/>
      <c r="AA38" s="98"/>
      <c r="AB38" s="98"/>
      <c r="AC38" s="98"/>
    </row>
    <row r="39" spans="1:29" s="99" customFormat="1" ht="20.100000000000001" customHeight="1">
      <c r="A39" s="110" t="s">
        <v>431</v>
      </c>
      <c r="B39" s="93" t="s">
        <v>71</v>
      </c>
      <c r="C39" s="93" t="s">
        <v>421</v>
      </c>
      <c r="D39" s="72">
        <v>1110</v>
      </c>
      <c r="E39" s="72">
        <v>666</v>
      </c>
      <c r="F39" s="72">
        <v>35</v>
      </c>
      <c r="G39" s="72">
        <v>20</v>
      </c>
      <c r="H39" s="72">
        <v>0</v>
      </c>
      <c r="I39" s="72">
        <v>0</v>
      </c>
      <c r="J39" s="72">
        <v>100</v>
      </c>
      <c r="K39" s="72">
        <v>290</v>
      </c>
      <c r="L39" s="72">
        <v>355</v>
      </c>
      <c r="M39" s="94">
        <f t="shared" si="16"/>
        <v>2576</v>
      </c>
      <c r="N39" s="95">
        <v>2100</v>
      </c>
      <c r="O39" s="72">
        <v>1260</v>
      </c>
      <c r="P39" s="72">
        <v>70</v>
      </c>
      <c r="Q39" s="72"/>
      <c r="R39" s="72"/>
      <c r="S39" s="72"/>
      <c r="T39" s="72">
        <v>200</v>
      </c>
      <c r="U39" s="72">
        <v>400</v>
      </c>
      <c r="V39" s="72"/>
      <c r="W39" s="96">
        <f t="shared" si="10"/>
        <v>4030</v>
      </c>
      <c r="X39" s="97">
        <f t="shared" si="17"/>
        <v>7194</v>
      </c>
      <c r="Y39" s="98"/>
      <c r="Z39" s="98"/>
      <c r="AA39" s="98"/>
      <c r="AB39" s="98"/>
      <c r="AC39" s="98"/>
    </row>
    <row r="40" spans="1:29" s="99" customFormat="1" ht="20.100000000000001" customHeight="1">
      <c r="A40" s="107" t="s">
        <v>139</v>
      </c>
      <c r="B40" s="93" t="s">
        <v>71</v>
      </c>
      <c r="C40" s="93" t="s">
        <v>421</v>
      </c>
      <c r="D40" s="72">
        <v>2508</v>
      </c>
      <c r="E40" s="72">
        <v>1140</v>
      </c>
      <c r="F40" s="72">
        <v>70</v>
      </c>
      <c r="G40" s="72">
        <v>40</v>
      </c>
      <c r="H40" s="72">
        <v>0</v>
      </c>
      <c r="I40" s="72">
        <v>0</v>
      </c>
      <c r="J40" s="72">
        <v>200</v>
      </c>
      <c r="K40" s="72">
        <v>400</v>
      </c>
      <c r="L40" s="72">
        <v>0</v>
      </c>
      <c r="M40" s="94">
        <f t="shared" si="16"/>
        <v>4358</v>
      </c>
      <c r="N40" s="95">
        <v>5775</v>
      </c>
      <c r="O40" s="72">
        <v>2625</v>
      </c>
      <c r="P40" s="72">
        <v>175</v>
      </c>
      <c r="Q40" s="72"/>
      <c r="R40" s="72"/>
      <c r="S40" s="72"/>
      <c r="T40" s="72">
        <v>500</v>
      </c>
      <c r="U40" s="72">
        <v>1000</v>
      </c>
      <c r="V40" s="72"/>
      <c r="W40" s="96">
        <f t="shared" si="10"/>
        <v>10075</v>
      </c>
      <c r="X40" s="97">
        <f t="shared" si="17"/>
        <v>17984</v>
      </c>
      <c r="Y40" s="98"/>
      <c r="Z40" s="98"/>
      <c r="AA40" s="98"/>
      <c r="AB40" s="98"/>
      <c r="AC40" s="98"/>
    </row>
    <row r="41" spans="1:29" s="99" customFormat="1" ht="20.100000000000001" customHeight="1">
      <c r="A41" s="107" t="s">
        <v>140</v>
      </c>
      <c r="B41" s="93" t="s">
        <v>71</v>
      </c>
      <c r="C41" s="93" t="s">
        <v>421</v>
      </c>
      <c r="D41" s="72">
        <v>12837</v>
      </c>
      <c r="E41" s="72">
        <v>5835</v>
      </c>
      <c r="F41" s="72">
        <v>350</v>
      </c>
      <c r="G41" s="72">
        <v>200</v>
      </c>
      <c r="H41" s="72">
        <v>0</v>
      </c>
      <c r="I41" s="72">
        <v>0</v>
      </c>
      <c r="J41" s="72">
        <v>1000</v>
      </c>
      <c r="K41" s="72">
        <v>2000</v>
      </c>
      <c r="L41" s="72">
        <v>0</v>
      </c>
      <c r="M41" s="94">
        <f t="shared" si="16"/>
        <v>22222</v>
      </c>
      <c r="N41" s="95">
        <v>15527.004098360656</v>
      </c>
      <c r="O41" s="72">
        <v>6825</v>
      </c>
      <c r="P41" s="72">
        <v>455</v>
      </c>
      <c r="Q41" s="72"/>
      <c r="R41" s="72"/>
      <c r="S41" s="72"/>
      <c r="T41" s="72">
        <v>1300</v>
      </c>
      <c r="U41" s="72">
        <v>2600</v>
      </c>
      <c r="V41" s="72"/>
      <c r="W41" s="96">
        <f t="shared" si="10"/>
        <v>26707.004098360656</v>
      </c>
      <c r="X41" s="97">
        <f t="shared" si="17"/>
        <v>47672</v>
      </c>
      <c r="Y41" s="98"/>
      <c r="Z41" s="98"/>
      <c r="AA41" s="98"/>
      <c r="AB41" s="98"/>
      <c r="AC41" s="98"/>
    </row>
    <row r="42" spans="1:29" s="99" customFormat="1" ht="20.100000000000001" customHeight="1">
      <c r="A42" s="100" t="s">
        <v>284</v>
      </c>
      <c r="B42" s="93" t="s">
        <v>71</v>
      </c>
      <c r="C42" s="93" t="s">
        <v>421</v>
      </c>
      <c r="D42" s="72">
        <v>9324</v>
      </c>
      <c r="E42" s="72">
        <v>3996</v>
      </c>
      <c r="F42" s="72">
        <v>360</v>
      </c>
      <c r="G42" s="72">
        <v>120</v>
      </c>
      <c r="H42" s="72">
        <v>0</v>
      </c>
      <c r="I42" s="72">
        <v>0</v>
      </c>
      <c r="J42" s="72">
        <v>900</v>
      </c>
      <c r="K42" s="72">
        <v>1800</v>
      </c>
      <c r="L42" s="72">
        <v>710</v>
      </c>
      <c r="M42" s="94">
        <f t="shared" si="16"/>
        <v>17210</v>
      </c>
      <c r="N42" s="95">
        <v>11760</v>
      </c>
      <c r="O42" s="72">
        <v>5040</v>
      </c>
      <c r="P42" s="72">
        <v>480</v>
      </c>
      <c r="Q42" s="72"/>
      <c r="R42" s="72"/>
      <c r="S42" s="72"/>
      <c r="T42" s="72">
        <v>1200</v>
      </c>
      <c r="U42" s="72">
        <v>2400</v>
      </c>
      <c r="V42" s="72"/>
      <c r="W42" s="96">
        <f t="shared" si="10"/>
        <v>20880</v>
      </c>
      <c r="X42" s="97">
        <f t="shared" si="17"/>
        <v>37271</v>
      </c>
      <c r="Y42" s="98"/>
      <c r="Z42" s="98"/>
      <c r="AA42" s="98"/>
      <c r="AB42" s="98"/>
      <c r="AC42" s="98"/>
    </row>
    <row r="43" spans="1:29" s="99" customFormat="1" ht="20.100000000000001" customHeight="1">
      <c r="A43" s="100" t="s">
        <v>432</v>
      </c>
      <c r="B43" s="93" t="s">
        <v>71</v>
      </c>
      <c r="C43" s="93" t="s">
        <v>421</v>
      </c>
      <c r="D43" s="72">
        <v>6202</v>
      </c>
      <c r="E43" s="72">
        <v>2628</v>
      </c>
      <c r="F43" s="72">
        <v>240</v>
      </c>
      <c r="G43" s="72">
        <v>80</v>
      </c>
      <c r="H43" s="72">
        <v>0</v>
      </c>
      <c r="I43" s="72">
        <v>0</v>
      </c>
      <c r="J43" s="72">
        <v>600</v>
      </c>
      <c r="K43" s="72">
        <v>1200</v>
      </c>
      <c r="L43" s="72">
        <v>355</v>
      </c>
      <c r="M43" s="94">
        <f t="shared" si="16"/>
        <v>11305</v>
      </c>
      <c r="N43" s="95">
        <v>1470</v>
      </c>
      <c r="O43" s="72">
        <v>630</v>
      </c>
      <c r="P43" s="72">
        <v>60</v>
      </c>
      <c r="Q43" s="72"/>
      <c r="R43" s="72"/>
      <c r="S43" s="72"/>
      <c r="T43" s="72">
        <v>150</v>
      </c>
      <c r="U43" s="72">
        <v>300</v>
      </c>
      <c r="V43" s="72"/>
      <c r="W43" s="96">
        <f t="shared" si="10"/>
        <v>2610</v>
      </c>
      <c r="X43" s="97">
        <f t="shared" si="17"/>
        <v>4659</v>
      </c>
      <c r="Y43" s="98"/>
      <c r="Z43" s="98"/>
      <c r="AA43" s="98"/>
      <c r="AB43" s="98"/>
      <c r="AC43" s="98"/>
    </row>
    <row r="44" spans="1:29" s="99" customFormat="1" ht="20.100000000000001" customHeight="1">
      <c r="A44" s="100" t="s">
        <v>279</v>
      </c>
      <c r="B44" s="93" t="s">
        <v>71</v>
      </c>
      <c r="C44" s="93" t="s">
        <v>421</v>
      </c>
      <c r="D44" s="72">
        <v>1309</v>
      </c>
      <c r="E44" s="72">
        <v>595</v>
      </c>
      <c r="F44" s="72">
        <v>50</v>
      </c>
      <c r="G44" s="72">
        <v>20</v>
      </c>
      <c r="H44" s="72">
        <v>0</v>
      </c>
      <c r="I44" s="72">
        <v>0</v>
      </c>
      <c r="J44" s="72">
        <v>100</v>
      </c>
      <c r="K44" s="72">
        <v>200</v>
      </c>
      <c r="L44" s="72">
        <v>355</v>
      </c>
      <c r="M44" s="94">
        <f t="shared" si="16"/>
        <v>2629</v>
      </c>
      <c r="N44" s="95">
        <v>4620</v>
      </c>
      <c r="O44" s="72">
        <v>2100</v>
      </c>
      <c r="P44" s="72">
        <v>200</v>
      </c>
      <c r="Q44" s="72"/>
      <c r="R44" s="72"/>
      <c r="S44" s="72"/>
      <c r="T44" s="72">
        <v>400</v>
      </c>
      <c r="U44" s="72">
        <v>800</v>
      </c>
      <c r="V44" s="72"/>
      <c r="W44" s="96">
        <f t="shared" si="10"/>
        <v>8120</v>
      </c>
      <c r="X44" s="97">
        <f t="shared" si="17"/>
        <v>14494</v>
      </c>
      <c r="Y44" s="98"/>
      <c r="Z44" s="98"/>
      <c r="AA44" s="98"/>
      <c r="AB44" s="98"/>
      <c r="AC44" s="98"/>
    </row>
    <row r="45" spans="1:29" s="91" customFormat="1" ht="20.100000000000001" customHeight="1">
      <c r="A45" s="101" t="s">
        <v>433</v>
      </c>
      <c r="B45" s="102"/>
      <c r="C45" s="102"/>
      <c r="D45" s="103">
        <f>SUM(D38:D44)</f>
        <v>36744</v>
      </c>
      <c r="E45" s="103">
        <f t="shared" ref="E45:X45" si="18">SUM(E38:E44)</f>
        <v>16430</v>
      </c>
      <c r="F45" s="103">
        <f t="shared" si="18"/>
        <v>1175</v>
      </c>
      <c r="G45" s="103">
        <f t="shared" si="18"/>
        <v>540</v>
      </c>
      <c r="H45" s="103">
        <f t="shared" si="18"/>
        <v>0</v>
      </c>
      <c r="I45" s="103">
        <f t="shared" si="18"/>
        <v>0</v>
      </c>
      <c r="J45" s="103">
        <f t="shared" si="18"/>
        <v>3100</v>
      </c>
      <c r="K45" s="103">
        <f t="shared" si="18"/>
        <v>6290</v>
      </c>
      <c r="L45" s="103">
        <f t="shared" si="18"/>
        <v>2130</v>
      </c>
      <c r="M45" s="103">
        <f t="shared" si="18"/>
        <v>66409</v>
      </c>
      <c r="N45" s="104">
        <f t="shared" si="18"/>
        <v>44717.00409836066</v>
      </c>
      <c r="O45" s="103">
        <f t="shared" si="18"/>
        <v>20055</v>
      </c>
      <c r="P45" s="103">
        <f t="shared" si="18"/>
        <v>1545</v>
      </c>
      <c r="Q45" s="103">
        <f t="shared" si="18"/>
        <v>0</v>
      </c>
      <c r="R45" s="103">
        <f t="shared" si="18"/>
        <v>0</v>
      </c>
      <c r="S45" s="103">
        <f t="shared" si="18"/>
        <v>0</v>
      </c>
      <c r="T45" s="103">
        <f t="shared" si="18"/>
        <v>4050</v>
      </c>
      <c r="U45" s="103">
        <f t="shared" si="18"/>
        <v>8100</v>
      </c>
      <c r="V45" s="103">
        <f t="shared" si="18"/>
        <v>0</v>
      </c>
      <c r="W45" s="105">
        <f t="shared" si="18"/>
        <v>78467.00409836066</v>
      </c>
      <c r="X45" s="106">
        <f t="shared" si="18"/>
        <v>140064</v>
      </c>
      <c r="Y45" s="90"/>
      <c r="Z45" s="90"/>
      <c r="AA45" s="90"/>
      <c r="AB45" s="90"/>
      <c r="AC45" s="90"/>
    </row>
    <row r="46" spans="1:29" s="99" customFormat="1" ht="20.100000000000001" customHeight="1">
      <c r="A46" s="107" t="s">
        <v>141</v>
      </c>
      <c r="B46" s="93" t="s">
        <v>70</v>
      </c>
      <c r="C46" s="93" t="s">
        <v>421</v>
      </c>
      <c r="D46" s="72">
        <v>9200</v>
      </c>
      <c r="E46" s="72">
        <v>4048</v>
      </c>
      <c r="F46" s="72">
        <v>245</v>
      </c>
      <c r="G46" s="72">
        <v>140</v>
      </c>
      <c r="H46" s="72">
        <v>0</v>
      </c>
      <c r="I46" s="72">
        <v>0</v>
      </c>
      <c r="J46" s="72">
        <v>740</v>
      </c>
      <c r="K46" s="72">
        <v>700</v>
      </c>
      <c r="L46" s="72">
        <v>1065</v>
      </c>
      <c r="M46" s="94">
        <f>SUM(D46:L46)</f>
        <v>16138</v>
      </c>
      <c r="N46" s="95">
        <v>9188</v>
      </c>
      <c r="O46" s="72">
        <v>4043</v>
      </c>
      <c r="P46" s="72">
        <v>245</v>
      </c>
      <c r="Q46" s="72"/>
      <c r="R46" s="72"/>
      <c r="S46" s="72"/>
      <c r="T46" s="72">
        <v>720</v>
      </c>
      <c r="U46" s="72">
        <v>1400</v>
      </c>
      <c r="V46" s="72"/>
      <c r="W46" s="96">
        <f t="shared" si="10"/>
        <v>15596</v>
      </c>
      <c r="X46" s="97">
        <f t="shared" ref="X46:X50" si="19">ROUND(W46*1.7*1.05,0)</f>
        <v>27839</v>
      </c>
      <c r="Y46" s="98"/>
      <c r="Z46" s="98"/>
      <c r="AA46" s="98"/>
      <c r="AB46" s="98"/>
      <c r="AC46" s="98"/>
    </row>
    <row r="47" spans="1:29" s="99" customFormat="1" ht="20.100000000000001" customHeight="1">
      <c r="A47" s="107" t="s">
        <v>142</v>
      </c>
      <c r="B47" s="93" t="s">
        <v>70</v>
      </c>
      <c r="C47" s="93" t="s">
        <v>421</v>
      </c>
      <c r="D47" s="72">
        <v>5060</v>
      </c>
      <c r="E47" s="72">
        <v>1840</v>
      </c>
      <c r="F47" s="72">
        <v>175</v>
      </c>
      <c r="G47" s="72">
        <v>100</v>
      </c>
      <c r="H47" s="72">
        <v>0</v>
      </c>
      <c r="I47" s="72">
        <v>0</v>
      </c>
      <c r="J47" s="72">
        <v>500</v>
      </c>
      <c r="K47" s="72">
        <v>1000</v>
      </c>
      <c r="L47" s="72">
        <v>0</v>
      </c>
      <c r="M47" s="94">
        <f>SUM(D47:L47)</f>
        <v>8675</v>
      </c>
      <c r="N47" s="95">
        <v>4620</v>
      </c>
      <c r="O47" s="72">
        <v>1680</v>
      </c>
      <c r="P47" s="72">
        <v>140</v>
      </c>
      <c r="Q47" s="72"/>
      <c r="R47" s="72"/>
      <c r="S47" s="72"/>
      <c r="T47" s="72">
        <v>400</v>
      </c>
      <c r="U47" s="72">
        <v>800</v>
      </c>
      <c r="V47" s="72"/>
      <c r="W47" s="96">
        <f t="shared" si="10"/>
        <v>7640</v>
      </c>
      <c r="X47" s="97">
        <f t="shared" si="19"/>
        <v>13637</v>
      </c>
      <c r="Y47" s="98"/>
      <c r="Z47" s="98"/>
      <c r="AA47" s="98"/>
      <c r="AB47" s="98"/>
      <c r="AC47" s="98"/>
    </row>
    <row r="48" spans="1:29" s="99" customFormat="1" ht="20.100000000000001" customHeight="1">
      <c r="A48" s="107" t="s">
        <v>143</v>
      </c>
      <c r="B48" s="93" t="s">
        <v>70</v>
      </c>
      <c r="C48" s="93" t="s">
        <v>421</v>
      </c>
      <c r="D48" s="72">
        <v>5520</v>
      </c>
      <c r="E48" s="72">
        <v>2760</v>
      </c>
      <c r="F48" s="72">
        <v>210</v>
      </c>
      <c r="G48" s="72">
        <v>120</v>
      </c>
      <c r="H48" s="72">
        <v>0</v>
      </c>
      <c r="I48" s="72">
        <v>0</v>
      </c>
      <c r="J48" s="72">
        <v>600</v>
      </c>
      <c r="K48" s="72">
        <v>1200</v>
      </c>
      <c r="L48" s="72">
        <v>1420</v>
      </c>
      <c r="M48" s="94">
        <f>SUM(D48:L48)</f>
        <v>11830</v>
      </c>
      <c r="N48" s="95">
        <v>3150</v>
      </c>
      <c r="O48" s="72">
        <v>1575</v>
      </c>
      <c r="P48" s="72">
        <v>105</v>
      </c>
      <c r="Q48" s="72"/>
      <c r="R48" s="72"/>
      <c r="S48" s="72"/>
      <c r="T48" s="72">
        <v>300</v>
      </c>
      <c r="U48" s="72">
        <v>600</v>
      </c>
      <c r="V48" s="72"/>
      <c r="W48" s="96">
        <f t="shared" si="10"/>
        <v>5730</v>
      </c>
      <c r="X48" s="97">
        <f t="shared" si="19"/>
        <v>10228</v>
      </c>
      <c r="Y48" s="98"/>
      <c r="Z48" s="98"/>
      <c r="AA48" s="98"/>
      <c r="AB48" s="98"/>
      <c r="AC48" s="98"/>
    </row>
    <row r="49" spans="1:29" s="99" customFormat="1" ht="20.100000000000001" customHeight="1">
      <c r="A49" s="108" t="s">
        <v>290</v>
      </c>
      <c r="B49" s="93" t="s">
        <v>70</v>
      </c>
      <c r="C49" s="93" t="s">
        <v>421</v>
      </c>
      <c r="D49" s="72"/>
      <c r="E49" s="72"/>
      <c r="F49" s="72"/>
      <c r="G49" s="72"/>
      <c r="H49" s="72"/>
      <c r="I49" s="72"/>
      <c r="J49" s="72"/>
      <c r="K49" s="72"/>
      <c r="L49" s="72"/>
      <c r="M49" s="94"/>
      <c r="N49" s="95">
        <v>2520</v>
      </c>
      <c r="O49" s="72">
        <v>1260</v>
      </c>
      <c r="P49" s="72">
        <v>70</v>
      </c>
      <c r="Q49" s="72"/>
      <c r="R49" s="72"/>
      <c r="S49" s="72"/>
      <c r="T49" s="72">
        <v>200</v>
      </c>
      <c r="U49" s="72">
        <v>600</v>
      </c>
      <c r="V49" s="72"/>
      <c r="W49" s="96">
        <f t="shared" si="10"/>
        <v>4650</v>
      </c>
      <c r="X49" s="97">
        <f t="shared" si="19"/>
        <v>8300</v>
      </c>
      <c r="Y49" s="98"/>
      <c r="Z49" s="98"/>
      <c r="AA49" s="98"/>
      <c r="AB49" s="98"/>
      <c r="AC49" s="98"/>
    </row>
    <row r="50" spans="1:29" s="99" customFormat="1" ht="20.100000000000001" customHeight="1">
      <c r="A50" s="107" t="s">
        <v>434</v>
      </c>
      <c r="B50" s="93" t="s">
        <v>70</v>
      </c>
      <c r="C50" s="93" t="s">
        <v>421</v>
      </c>
      <c r="D50" s="72">
        <v>8810</v>
      </c>
      <c r="E50" s="72">
        <v>4387.5</v>
      </c>
      <c r="F50" s="72">
        <v>350</v>
      </c>
      <c r="G50" s="72">
        <v>160</v>
      </c>
      <c r="H50" s="72">
        <v>0</v>
      </c>
      <c r="I50" s="72">
        <v>0</v>
      </c>
      <c r="J50" s="72">
        <v>963.8</v>
      </c>
      <c r="K50" s="72">
        <v>1400</v>
      </c>
      <c r="L50" s="72">
        <v>355</v>
      </c>
      <c r="M50" s="94">
        <f>SUM(D50:L50)</f>
        <v>16426.3</v>
      </c>
      <c r="N50" s="95">
        <v>7350</v>
      </c>
      <c r="O50" s="72">
        <v>3675</v>
      </c>
      <c r="P50" s="72">
        <v>245</v>
      </c>
      <c r="Q50" s="72"/>
      <c r="R50" s="72"/>
      <c r="S50" s="72"/>
      <c r="T50" s="72">
        <v>700</v>
      </c>
      <c r="U50" s="72">
        <v>2100</v>
      </c>
      <c r="V50" s="72"/>
      <c r="W50" s="96">
        <f t="shared" si="10"/>
        <v>14070</v>
      </c>
      <c r="X50" s="97">
        <f t="shared" si="19"/>
        <v>25115</v>
      </c>
      <c r="Y50" s="98"/>
      <c r="Z50" s="98"/>
      <c r="AA50" s="98"/>
      <c r="AB50" s="98"/>
      <c r="AC50" s="98"/>
    </row>
    <row r="51" spans="1:29" s="91" customFormat="1" ht="20.100000000000001" customHeight="1">
      <c r="A51" s="101" t="s">
        <v>307</v>
      </c>
      <c r="B51" s="102"/>
      <c r="C51" s="102"/>
      <c r="D51" s="103">
        <f t="shared" ref="D51:X51" si="20">SUM(D46:D50)</f>
        <v>28590</v>
      </c>
      <c r="E51" s="103">
        <f t="shared" si="20"/>
        <v>13035.5</v>
      </c>
      <c r="F51" s="103">
        <f t="shared" si="20"/>
        <v>980</v>
      </c>
      <c r="G51" s="103">
        <f t="shared" si="20"/>
        <v>520</v>
      </c>
      <c r="H51" s="103">
        <f t="shared" si="20"/>
        <v>0</v>
      </c>
      <c r="I51" s="103">
        <f t="shared" si="20"/>
        <v>0</v>
      </c>
      <c r="J51" s="103">
        <f t="shared" si="20"/>
        <v>2803.8</v>
      </c>
      <c r="K51" s="103">
        <f t="shared" si="20"/>
        <v>4300</v>
      </c>
      <c r="L51" s="103">
        <f t="shared" si="20"/>
        <v>2840</v>
      </c>
      <c r="M51" s="103">
        <f t="shared" si="20"/>
        <v>53069.3</v>
      </c>
      <c r="N51" s="104">
        <f t="shared" si="20"/>
        <v>26828</v>
      </c>
      <c r="O51" s="103">
        <f t="shared" si="20"/>
        <v>12233</v>
      </c>
      <c r="P51" s="103">
        <f t="shared" si="20"/>
        <v>805</v>
      </c>
      <c r="Q51" s="103">
        <f t="shared" si="20"/>
        <v>0</v>
      </c>
      <c r="R51" s="103">
        <f t="shared" si="20"/>
        <v>0</v>
      </c>
      <c r="S51" s="103">
        <f t="shared" si="20"/>
        <v>0</v>
      </c>
      <c r="T51" s="103">
        <f t="shared" si="20"/>
        <v>2320</v>
      </c>
      <c r="U51" s="103">
        <f t="shared" si="20"/>
        <v>5500</v>
      </c>
      <c r="V51" s="103">
        <f t="shared" si="20"/>
        <v>0</v>
      </c>
      <c r="W51" s="105">
        <f t="shared" si="20"/>
        <v>47686</v>
      </c>
      <c r="X51" s="106">
        <f t="shared" si="20"/>
        <v>85119</v>
      </c>
      <c r="Y51" s="90"/>
      <c r="Z51" s="90"/>
      <c r="AA51" s="90"/>
      <c r="AB51" s="90"/>
      <c r="AC51" s="90"/>
    </row>
    <row r="52" spans="1:29" s="99" customFormat="1" ht="20.100000000000001" customHeight="1">
      <c r="A52" s="107" t="s">
        <v>145</v>
      </c>
      <c r="B52" s="93" t="s">
        <v>435</v>
      </c>
      <c r="C52" s="93" t="s">
        <v>421</v>
      </c>
      <c r="D52" s="72">
        <v>10120</v>
      </c>
      <c r="E52" s="72">
        <v>3680</v>
      </c>
      <c r="F52" s="72">
        <v>500</v>
      </c>
      <c r="G52" s="72">
        <v>200</v>
      </c>
      <c r="H52" s="72">
        <v>0</v>
      </c>
      <c r="I52" s="72">
        <v>0</v>
      </c>
      <c r="J52" s="72">
        <v>1000</v>
      </c>
      <c r="K52" s="72">
        <v>1200</v>
      </c>
      <c r="L52" s="72">
        <v>710</v>
      </c>
      <c r="M52" s="94">
        <f t="shared" ref="M52:M57" si="21">SUM(D52:L52)</f>
        <v>17410</v>
      </c>
      <c r="N52" s="95">
        <v>8052</v>
      </c>
      <c r="O52" s="72">
        <v>13860</v>
      </c>
      <c r="P52" s="72">
        <v>5040</v>
      </c>
      <c r="Q52" s="72"/>
      <c r="R52" s="72"/>
      <c r="S52" s="72"/>
      <c r="T52" s="72">
        <v>1200</v>
      </c>
      <c r="U52" s="72">
        <v>1440</v>
      </c>
      <c r="V52" s="72"/>
      <c r="W52" s="96">
        <f t="shared" si="10"/>
        <v>29592</v>
      </c>
      <c r="X52" s="97">
        <f t="shared" ref="X52:X57" si="22">ROUND(W52*1.7*1.05,0)</f>
        <v>52822</v>
      </c>
      <c r="Y52" s="98"/>
      <c r="Z52" s="98"/>
      <c r="AA52" s="98"/>
      <c r="AB52" s="98"/>
      <c r="AC52" s="98"/>
    </row>
    <row r="53" spans="1:29" s="99" customFormat="1" ht="20.100000000000001" customHeight="1">
      <c r="A53" s="107" t="s">
        <v>146</v>
      </c>
      <c r="B53" s="93" t="s">
        <v>20</v>
      </c>
      <c r="C53" s="93" t="s">
        <v>421</v>
      </c>
      <c r="D53" s="72">
        <v>4048</v>
      </c>
      <c r="E53" s="72">
        <v>1472</v>
      </c>
      <c r="F53" s="72">
        <v>140</v>
      </c>
      <c r="G53" s="72">
        <v>80</v>
      </c>
      <c r="H53" s="72">
        <v>0</v>
      </c>
      <c r="I53" s="72">
        <v>0</v>
      </c>
      <c r="J53" s="72">
        <v>400</v>
      </c>
      <c r="K53" s="72">
        <v>600</v>
      </c>
      <c r="L53" s="72">
        <v>1420</v>
      </c>
      <c r="M53" s="94">
        <f t="shared" si="21"/>
        <v>8160</v>
      </c>
      <c r="N53" s="95">
        <v>3355</v>
      </c>
      <c r="O53" s="72">
        <v>5775</v>
      </c>
      <c r="P53" s="72">
        <v>2100</v>
      </c>
      <c r="Q53" s="72"/>
      <c r="R53" s="72"/>
      <c r="S53" s="72"/>
      <c r="T53" s="72">
        <v>500</v>
      </c>
      <c r="U53" s="72">
        <v>750</v>
      </c>
      <c r="V53" s="72"/>
      <c r="W53" s="96">
        <f t="shared" si="10"/>
        <v>12480</v>
      </c>
      <c r="X53" s="97">
        <f t="shared" si="22"/>
        <v>22277</v>
      </c>
      <c r="Y53" s="98"/>
      <c r="Z53" s="98"/>
      <c r="AA53" s="98"/>
      <c r="AB53" s="98"/>
      <c r="AC53" s="98"/>
    </row>
    <row r="54" spans="1:29" s="99" customFormat="1" ht="20.100000000000001" customHeight="1">
      <c r="A54" s="92" t="s">
        <v>196</v>
      </c>
      <c r="B54" s="93" t="s">
        <v>20</v>
      </c>
      <c r="C54" s="93" t="s">
        <v>421</v>
      </c>
      <c r="D54" s="71">
        <v>13248</v>
      </c>
      <c r="E54" s="71">
        <v>5888</v>
      </c>
      <c r="F54" s="71">
        <v>560</v>
      </c>
      <c r="G54" s="71">
        <v>320</v>
      </c>
      <c r="H54" s="71">
        <v>0</v>
      </c>
      <c r="I54" s="71">
        <v>0</v>
      </c>
      <c r="J54" s="71">
        <v>1600</v>
      </c>
      <c r="K54" s="71">
        <v>1600</v>
      </c>
      <c r="L54" s="71">
        <v>0</v>
      </c>
      <c r="M54" s="111">
        <f t="shared" si="21"/>
        <v>23216</v>
      </c>
      <c r="N54" s="112">
        <v>6710</v>
      </c>
      <c r="O54" s="71">
        <v>11550</v>
      </c>
      <c r="P54" s="71">
        <v>5250</v>
      </c>
      <c r="Q54" s="71"/>
      <c r="R54" s="71"/>
      <c r="S54" s="71"/>
      <c r="T54" s="71">
        <v>1000</v>
      </c>
      <c r="U54" s="71">
        <v>2000</v>
      </c>
      <c r="V54" s="72"/>
      <c r="W54" s="96">
        <f t="shared" si="10"/>
        <v>26510</v>
      </c>
      <c r="X54" s="97">
        <f t="shared" si="22"/>
        <v>47320</v>
      </c>
      <c r="Y54" s="98"/>
      <c r="Z54" s="98"/>
      <c r="AA54" s="98"/>
      <c r="AB54" s="98"/>
      <c r="AC54" s="98"/>
    </row>
    <row r="55" spans="1:29" s="99" customFormat="1" ht="20.100000000000001" customHeight="1">
      <c r="A55" s="107" t="s">
        <v>147</v>
      </c>
      <c r="B55" s="93" t="s">
        <v>20</v>
      </c>
      <c r="C55" s="93" t="s">
        <v>421</v>
      </c>
      <c r="D55" s="72">
        <v>5796</v>
      </c>
      <c r="E55" s="72">
        <v>2576</v>
      </c>
      <c r="F55" s="72">
        <v>245</v>
      </c>
      <c r="G55" s="72">
        <v>140</v>
      </c>
      <c r="H55" s="72">
        <v>0</v>
      </c>
      <c r="I55" s="72">
        <v>0</v>
      </c>
      <c r="J55" s="72">
        <v>700</v>
      </c>
      <c r="K55" s="72">
        <v>1050</v>
      </c>
      <c r="L55" s="72">
        <v>1065</v>
      </c>
      <c r="M55" s="94">
        <f t="shared" si="21"/>
        <v>11572</v>
      </c>
      <c r="N55" s="95">
        <v>5124</v>
      </c>
      <c r="O55" s="72">
        <v>8820</v>
      </c>
      <c r="P55" s="72">
        <v>4410</v>
      </c>
      <c r="Q55" s="72"/>
      <c r="R55" s="72"/>
      <c r="S55" s="72"/>
      <c r="T55" s="72">
        <v>700</v>
      </c>
      <c r="U55" s="72">
        <v>1050</v>
      </c>
      <c r="V55" s="72"/>
      <c r="W55" s="96">
        <f t="shared" si="10"/>
        <v>20104</v>
      </c>
      <c r="X55" s="97">
        <f t="shared" si="22"/>
        <v>35886</v>
      </c>
      <c r="Y55" s="98"/>
      <c r="Z55" s="98"/>
      <c r="AA55" s="98"/>
      <c r="AB55" s="98"/>
      <c r="AC55" s="98"/>
    </row>
    <row r="56" spans="1:29" s="99" customFormat="1" ht="20.100000000000001" customHeight="1">
      <c r="A56" s="107" t="s">
        <v>148</v>
      </c>
      <c r="B56" s="93" t="s">
        <v>20</v>
      </c>
      <c r="C56" s="93" t="s">
        <v>421</v>
      </c>
      <c r="D56" s="72">
        <v>4784</v>
      </c>
      <c r="E56" s="72">
        <v>1840</v>
      </c>
      <c r="F56" s="72">
        <v>140</v>
      </c>
      <c r="G56" s="72">
        <v>80</v>
      </c>
      <c r="H56" s="72">
        <v>0</v>
      </c>
      <c r="I56" s="72">
        <v>0</v>
      </c>
      <c r="J56" s="72">
        <v>400</v>
      </c>
      <c r="K56" s="72">
        <v>800</v>
      </c>
      <c r="L56" s="72">
        <v>1065</v>
      </c>
      <c r="M56" s="94">
        <f t="shared" si="21"/>
        <v>9109</v>
      </c>
      <c r="N56" s="95">
        <v>1586</v>
      </c>
      <c r="O56" s="72">
        <v>2730</v>
      </c>
      <c r="P56" s="72">
        <v>1050</v>
      </c>
      <c r="Q56" s="72"/>
      <c r="R56" s="72"/>
      <c r="S56" s="72"/>
      <c r="T56" s="72">
        <v>200</v>
      </c>
      <c r="U56" s="72">
        <v>400</v>
      </c>
      <c r="V56" s="72"/>
      <c r="W56" s="96">
        <f t="shared" si="10"/>
        <v>5966</v>
      </c>
      <c r="X56" s="97">
        <f t="shared" si="22"/>
        <v>10649</v>
      </c>
      <c r="Y56" s="98"/>
      <c r="Z56" s="98"/>
      <c r="AA56" s="98"/>
      <c r="AB56" s="98"/>
      <c r="AC56" s="98"/>
    </row>
    <row r="57" spans="1:29" s="99" customFormat="1" ht="20.100000000000001" customHeight="1">
      <c r="A57" s="100" t="s">
        <v>296</v>
      </c>
      <c r="B57" s="93" t="s">
        <v>20</v>
      </c>
      <c r="C57" s="93" t="s">
        <v>421</v>
      </c>
      <c r="D57" s="72">
        <v>1840</v>
      </c>
      <c r="E57" s="72">
        <v>552</v>
      </c>
      <c r="F57" s="72">
        <v>70</v>
      </c>
      <c r="G57" s="72">
        <v>40</v>
      </c>
      <c r="H57" s="72">
        <v>0</v>
      </c>
      <c r="I57" s="72">
        <v>0</v>
      </c>
      <c r="J57" s="72">
        <v>200</v>
      </c>
      <c r="K57" s="72">
        <v>200</v>
      </c>
      <c r="L57" s="72">
        <v>0</v>
      </c>
      <c r="M57" s="94">
        <f t="shared" si="21"/>
        <v>2902</v>
      </c>
      <c r="N57" s="95">
        <v>1708</v>
      </c>
      <c r="O57" s="72">
        <v>2940</v>
      </c>
      <c r="P57" s="72">
        <v>840</v>
      </c>
      <c r="Q57" s="72"/>
      <c r="R57" s="72"/>
      <c r="S57" s="72"/>
      <c r="T57" s="72">
        <v>200</v>
      </c>
      <c r="U57" s="72">
        <v>200</v>
      </c>
      <c r="V57" s="72"/>
      <c r="W57" s="96">
        <f t="shared" si="10"/>
        <v>5888</v>
      </c>
      <c r="X57" s="97">
        <f t="shared" si="22"/>
        <v>10510</v>
      </c>
      <c r="Y57" s="98"/>
      <c r="Z57" s="98"/>
      <c r="AA57" s="98"/>
      <c r="AB57" s="98"/>
      <c r="AC57" s="98"/>
    </row>
    <row r="58" spans="1:29" s="91" customFormat="1" ht="20.100000000000001" customHeight="1">
      <c r="A58" s="101" t="s">
        <v>308</v>
      </c>
      <c r="B58" s="102"/>
      <c r="C58" s="102"/>
      <c r="D58" s="103">
        <f>SUM(D52:D57)</f>
        <v>39836</v>
      </c>
      <c r="E58" s="103">
        <f t="shared" ref="E58:X58" si="23">SUM(E52:E57)</f>
        <v>16008</v>
      </c>
      <c r="F58" s="103">
        <f t="shared" si="23"/>
        <v>1655</v>
      </c>
      <c r="G58" s="103">
        <f t="shared" si="23"/>
        <v>860</v>
      </c>
      <c r="H58" s="103">
        <f t="shared" si="23"/>
        <v>0</v>
      </c>
      <c r="I58" s="103">
        <f t="shared" si="23"/>
        <v>0</v>
      </c>
      <c r="J58" s="103">
        <f t="shared" si="23"/>
        <v>4300</v>
      </c>
      <c r="K58" s="103">
        <f t="shared" si="23"/>
        <v>5450</v>
      </c>
      <c r="L58" s="103">
        <f t="shared" si="23"/>
        <v>4260</v>
      </c>
      <c r="M58" s="103">
        <f t="shared" si="23"/>
        <v>72369</v>
      </c>
      <c r="N58" s="104">
        <f t="shared" si="23"/>
        <v>26535</v>
      </c>
      <c r="O58" s="103">
        <f t="shared" si="23"/>
        <v>45675</v>
      </c>
      <c r="P58" s="103">
        <f t="shared" si="23"/>
        <v>18690</v>
      </c>
      <c r="Q58" s="103">
        <f t="shared" si="23"/>
        <v>0</v>
      </c>
      <c r="R58" s="103">
        <f t="shared" si="23"/>
        <v>0</v>
      </c>
      <c r="S58" s="103">
        <f t="shared" si="23"/>
        <v>0</v>
      </c>
      <c r="T58" s="103">
        <f t="shared" si="23"/>
        <v>3800</v>
      </c>
      <c r="U58" s="103">
        <f t="shared" si="23"/>
        <v>5840</v>
      </c>
      <c r="V58" s="103">
        <f t="shared" si="23"/>
        <v>0</v>
      </c>
      <c r="W58" s="105">
        <f t="shared" si="23"/>
        <v>100540</v>
      </c>
      <c r="X58" s="106">
        <f t="shared" si="23"/>
        <v>179464</v>
      </c>
      <c r="Y58" s="90"/>
      <c r="Z58" s="90"/>
      <c r="AA58" s="90"/>
      <c r="AB58" s="90"/>
      <c r="AC58" s="90"/>
    </row>
    <row r="59" spans="1:29" s="99" customFormat="1" ht="20.100000000000001" customHeight="1">
      <c r="A59" s="107" t="s">
        <v>149</v>
      </c>
      <c r="B59" s="93" t="s">
        <v>14</v>
      </c>
      <c r="C59" s="93" t="s">
        <v>421</v>
      </c>
      <c r="D59" s="72">
        <v>4416</v>
      </c>
      <c r="E59" s="72">
        <v>1472</v>
      </c>
      <c r="F59" s="72">
        <v>128</v>
      </c>
      <c r="G59" s="72">
        <v>0</v>
      </c>
      <c r="H59" s="72">
        <v>0</v>
      </c>
      <c r="I59" s="72">
        <v>0</v>
      </c>
      <c r="J59" s="72">
        <v>400</v>
      </c>
      <c r="K59" s="72">
        <v>800</v>
      </c>
      <c r="L59" s="72">
        <v>355</v>
      </c>
      <c r="M59" s="94">
        <f>SUM(D59:L59)</f>
        <v>7571</v>
      </c>
      <c r="N59" s="95">
        <v>5040</v>
      </c>
      <c r="O59" s="72">
        <v>1680</v>
      </c>
      <c r="P59" s="72">
        <v>140</v>
      </c>
      <c r="Q59" s="72"/>
      <c r="R59" s="72"/>
      <c r="S59" s="72"/>
      <c r="T59" s="72">
        <v>400</v>
      </c>
      <c r="U59" s="72">
        <v>800</v>
      </c>
      <c r="V59" s="72"/>
      <c r="W59" s="96">
        <f t="shared" si="10"/>
        <v>8060</v>
      </c>
      <c r="X59" s="97">
        <f t="shared" ref="X59:X62" si="24">ROUND(W59*1.7*1.05,0)</f>
        <v>14387</v>
      </c>
      <c r="Y59" s="98"/>
      <c r="Z59" s="98"/>
      <c r="AA59" s="98"/>
      <c r="AB59" s="98"/>
      <c r="AC59" s="98"/>
    </row>
    <row r="60" spans="1:29" s="99" customFormat="1" ht="20.100000000000001" customHeight="1">
      <c r="A60" s="107" t="s">
        <v>436</v>
      </c>
      <c r="B60" s="113" t="s">
        <v>14</v>
      </c>
      <c r="C60" s="72" t="s">
        <v>421</v>
      </c>
      <c r="D60" s="72">
        <v>3680</v>
      </c>
      <c r="E60" s="72">
        <v>2208</v>
      </c>
      <c r="F60" s="72">
        <v>0</v>
      </c>
      <c r="G60" s="72">
        <v>80</v>
      </c>
      <c r="H60" s="72">
        <v>0</v>
      </c>
      <c r="I60" s="72">
        <v>0</v>
      </c>
      <c r="J60" s="72">
        <v>400</v>
      </c>
      <c r="K60" s="72">
        <v>400</v>
      </c>
      <c r="L60" s="72">
        <v>1420</v>
      </c>
      <c r="M60" s="94">
        <f t="shared" ref="M60:M62" si="25">SUM(D60:L60)</f>
        <v>8188</v>
      </c>
      <c r="N60" s="95">
        <v>3150</v>
      </c>
      <c r="O60" s="72">
        <v>1890</v>
      </c>
      <c r="P60" s="72">
        <v>105</v>
      </c>
      <c r="Q60" s="72"/>
      <c r="R60" s="72"/>
      <c r="S60" s="72"/>
      <c r="T60" s="72">
        <v>300</v>
      </c>
      <c r="U60" s="72">
        <v>300</v>
      </c>
      <c r="V60" s="72"/>
      <c r="W60" s="96">
        <f t="shared" si="10"/>
        <v>5745</v>
      </c>
      <c r="X60" s="97">
        <f t="shared" si="24"/>
        <v>10255</v>
      </c>
      <c r="Y60" s="98"/>
      <c r="Z60" s="98"/>
      <c r="AA60" s="98"/>
      <c r="AB60" s="98"/>
      <c r="AC60" s="98"/>
    </row>
    <row r="61" spans="1:29" s="99" customFormat="1" ht="20.100000000000001" customHeight="1">
      <c r="A61" s="100" t="s">
        <v>301</v>
      </c>
      <c r="B61" s="113" t="s">
        <v>14</v>
      </c>
      <c r="C61" s="72" t="s">
        <v>421</v>
      </c>
      <c r="D61" s="72">
        <v>1840</v>
      </c>
      <c r="E61" s="72">
        <v>1104</v>
      </c>
      <c r="F61" s="72">
        <v>0</v>
      </c>
      <c r="G61" s="72">
        <v>40</v>
      </c>
      <c r="H61" s="72">
        <v>0</v>
      </c>
      <c r="I61" s="72">
        <v>0</v>
      </c>
      <c r="J61" s="72">
        <v>200</v>
      </c>
      <c r="K61" s="72">
        <v>200</v>
      </c>
      <c r="L61" s="72">
        <v>355</v>
      </c>
      <c r="M61" s="94">
        <f t="shared" si="25"/>
        <v>3739</v>
      </c>
      <c r="N61" s="95">
        <v>1050</v>
      </c>
      <c r="O61" s="72">
        <v>630</v>
      </c>
      <c r="P61" s="72">
        <v>70</v>
      </c>
      <c r="Q61" s="72"/>
      <c r="R61" s="72"/>
      <c r="S61" s="72"/>
      <c r="T61" s="72">
        <v>200</v>
      </c>
      <c r="U61" s="72">
        <v>200</v>
      </c>
      <c r="V61" s="72"/>
      <c r="W61" s="96">
        <f t="shared" si="10"/>
        <v>2150</v>
      </c>
      <c r="X61" s="97">
        <f t="shared" si="24"/>
        <v>3838</v>
      </c>
      <c r="Y61" s="98"/>
      <c r="Z61" s="98"/>
      <c r="AA61" s="98"/>
      <c r="AB61" s="98"/>
      <c r="AC61" s="98"/>
    </row>
    <row r="62" spans="1:29" s="99" customFormat="1" ht="20.100000000000001" customHeight="1">
      <c r="A62" s="100" t="s">
        <v>192</v>
      </c>
      <c r="B62" s="113" t="s">
        <v>14</v>
      </c>
      <c r="C62" s="72" t="s">
        <v>421</v>
      </c>
      <c r="D62" s="72">
        <v>1246</v>
      </c>
      <c r="E62" s="72">
        <v>528</v>
      </c>
      <c r="F62" s="72">
        <v>53</v>
      </c>
      <c r="G62" s="72">
        <v>20</v>
      </c>
      <c r="H62" s="72">
        <v>0</v>
      </c>
      <c r="I62" s="72">
        <v>0</v>
      </c>
      <c r="J62" s="72">
        <v>130</v>
      </c>
      <c r="K62" s="72">
        <v>300</v>
      </c>
      <c r="L62" s="72">
        <v>0</v>
      </c>
      <c r="M62" s="94">
        <f t="shared" si="25"/>
        <v>2277</v>
      </c>
      <c r="N62" s="95">
        <v>1470</v>
      </c>
      <c r="O62" s="72">
        <v>630</v>
      </c>
      <c r="P62" s="72">
        <v>52</v>
      </c>
      <c r="Q62" s="72"/>
      <c r="R62" s="72"/>
      <c r="S62" s="72"/>
      <c r="T62" s="72">
        <v>155</v>
      </c>
      <c r="U62" s="72">
        <v>300</v>
      </c>
      <c r="V62" s="72"/>
      <c r="W62" s="96">
        <f t="shared" si="10"/>
        <v>2607</v>
      </c>
      <c r="X62" s="97">
        <f t="shared" si="24"/>
        <v>4653</v>
      </c>
      <c r="Y62" s="98"/>
      <c r="Z62" s="98"/>
      <c r="AA62" s="98"/>
      <c r="AB62" s="98"/>
      <c r="AC62" s="98"/>
    </row>
    <row r="63" spans="1:29" s="91" customFormat="1" ht="20.100000000000001" customHeight="1">
      <c r="A63" s="101" t="s">
        <v>437</v>
      </c>
      <c r="B63" s="102"/>
      <c r="C63" s="102"/>
      <c r="D63" s="103">
        <f>SUM(D59:D62)</f>
        <v>11182</v>
      </c>
      <c r="E63" s="103">
        <f t="shared" ref="E63:X63" si="26">SUM(E59:E62)</f>
        <v>5312</v>
      </c>
      <c r="F63" s="103">
        <f t="shared" si="26"/>
        <v>181</v>
      </c>
      <c r="G63" s="103">
        <f t="shared" si="26"/>
        <v>140</v>
      </c>
      <c r="H63" s="103">
        <f t="shared" si="26"/>
        <v>0</v>
      </c>
      <c r="I63" s="103">
        <f t="shared" si="26"/>
        <v>0</v>
      </c>
      <c r="J63" s="103">
        <f t="shared" si="26"/>
        <v>1130</v>
      </c>
      <c r="K63" s="103">
        <f t="shared" si="26"/>
        <v>1700</v>
      </c>
      <c r="L63" s="103">
        <f t="shared" si="26"/>
        <v>2130</v>
      </c>
      <c r="M63" s="103">
        <f t="shared" si="26"/>
        <v>21775</v>
      </c>
      <c r="N63" s="104">
        <f t="shared" si="26"/>
        <v>10710</v>
      </c>
      <c r="O63" s="103">
        <f t="shared" si="26"/>
        <v>4830</v>
      </c>
      <c r="P63" s="103">
        <f t="shared" si="26"/>
        <v>367</v>
      </c>
      <c r="Q63" s="103">
        <f t="shared" si="26"/>
        <v>0</v>
      </c>
      <c r="R63" s="103">
        <f t="shared" si="26"/>
        <v>0</v>
      </c>
      <c r="S63" s="103">
        <f t="shared" si="26"/>
        <v>0</v>
      </c>
      <c r="T63" s="103">
        <f t="shared" si="26"/>
        <v>1055</v>
      </c>
      <c r="U63" s="103">
        <f t="shared" si="26"/>
        <v>1600</v>
      </c>
      <c r="V63" s="103">
        <f t="shared" si="26"/>
        <v>0</v>
      </c>
      <c r="W63" s="105">
        <f t="shared" si="26"/>
        <v>18562</v>
      </c>
      <c r="X63" s="106">
        <f t="shared" si="26"/>
        <v>33133</v>
      </c>
      <c r="Y63" s="90"/>
      <c r="Z63" s="90"/>
      <c r="AA63" s="90"/>
      <c r="AB63" s="90"/>
      <c r="AC63" s="90"/>
    </row>
    <row r="64" spans="1:29" s="91" customFormat="1" ht="20.100000000000001" customHeight="1">
      <c r="A64" s="101" t="s">
        <v>306</v>
      </c>
      <c r="B64" s="102"/>
      <c r="C64" s="102"/>
      <c r="D64" s="103">
        <f t="shared" ref="D64:X64" si="27">SUM(D63,D58,D51,D45,D37,D29,D20,D12,D9)</f>
        <v>311603</v>
      </c>
      <c r="E64" s="103">
        <f t="shared" si="27"/>
        <v>143494.5</v>
      </c>
      <c r="F64" s="103">
        <f t="shared" si="27"/>
        <v>12431</v>
      </c>
      <c r="G64" s="103">
        <f t="shared" si="27"/>
        <v>5720</v>
      </c>
      <c r="H64" s="103">
        <f t="shared" si="27"/>
        <v>0</v>
      </c>
      <c r="I64" s="103">
        <f t="shared" si="27"/>
        <v>0</v>
      </c>
      <c r="J64" s="103">
        <f t="shared" si="27"/>
        <v>31983.8</v>
      </c>
      <c r="K64" s="103">
        <f t="shared" si="27"/>
        <v>58856</v>
      </c>
      <c r="L64" s="103">
        <f t="shared" si="27"/>
        <v>38340</v>
      </c>
      <c r="M64" s="103">
        <f t="shared" si="27"/>
        <v>602428.30000000005</v>
      </c>
      <c r="N64" s="104">
        <f t="shared" si="27"/>
        <v>308249.0024590164</v>
      </c>
      <c r="O64" s="103">
        <f t="shared" si="27"/>
        <v>180863</v>
      </c>
      <c r="P64" s="103">
        <f t="shared" si="27"/>
        <v>28787</v>
      </c>
      <c r="Q64" s="103">
        <f t="shared" si="27"/>
        <v>0</v>
      </c>
      <c r="R64" s="103">
        <f t="shared" si="27"/>
        <v>0</v>
      </c>
      <c r="S64" s="103">
        <f t="shared" si="27"/>
        <v>0</v>
      </c>
      <c r="T64" s="103">
        <f t="shared" si="27"/>
        <v>29975</v>
      </c>
      <c r="U64" s="103">
        <f t="shared" si="27"/>
        <v>58920</v>
      </c>
      <c r="V64" s="103">
        <f t="shared" si="27"/>
        <v>0</v>
      </c>
      <c r="W64" s="105">
        <f t="shared" si="27"/>
        <v>606794.0024590164</v>
      </c>
      <c r="X64" s="106">
        <f t="shared" si="27"/>
        <v>1066974</v>
      </c>
      <c r="Y64" s="90"/>
      <c r="Z64" s="90"/>
      <c r="AA64" s="90"/>
      <c r="AB64" s="90"/>
      <c r="AC64" s="9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81"/>
  <sheetViews>
    <sheetView topLeftCell="A60" workbookViewId="0">
      <selection activeCell="A82" sqref="A82:XFD477"/>
    </sheetView>
  </sheetViews>
  <sheetFormatPr defaultColWidth="8.625" defaultRowHeight="13.5"/>
  <cols>
    <col min="1" max="1" width="9.375" style="343" customWidth="1"/>
    <col min="2" max="2" width="11.625" style="343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44" customWidth="1"/>
    <col min="10" max="10" width="12.75" style="294" customWidth="1"/>
    <col min="11" max="16384" width="8.625" style="294"/>
  </cols>
  <sheetData>
    <row r="1" spans="1:11" ht="30" customHeight="1">
      <c r="A1" s="392" t="s">
        <v>686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30" customHeight="1">
      <c r="A2" s="394" t="s">
        <v>223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20.100000000000001" customHeight="1">
      <c r="A3" s="295" t="s">
        <v>687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688</v>
      </c>
      <c r="H3" s="297" t="s">
        <v>689</v>
      </c>
      <c r="I3" s="298" t="s">
        <v>690</v>
      </c>
      <c r="J3" s="297" t="s">
        <v>691</v>
      </c>
    </row>
    <row r="4" spans="1:11" s="304" customFormat="1">
      <c r="A4" s="299" t="s">
        <v>20</v>
      </c>
      <c r="B4" s="299" t="s">
        <v>23</v>
      </c>
      <c r="C4" s="300" t="s">
        <v>118</v>
      </c>
      <c r="D4" s="301" t="s">
        <v>692</v>
      </c>
      <c r="E4" s="300" t="s">
        <v>693</v>
      </c>
      <c r="F4" s="300" t="s">
        <v>694</v>
      </c>
      <c r="G4" s="299"/>
      <c r="H4" s="302">
        <v>400</v>
      </c>
      <c r="I4" s="299">
        <v>150</v>
      </c>
      <c r="J4" s="303">
        <f>H4*I4</f>
        <v>60000</v>
      </c>
    </row>
    <row r="5" spans="1:11" s="304" customFormat="1">
      <c r="A5" s="299" t="s">
        <v>20</v>
      </c>
      <c r="B5" s="299" t="s">
        <v>23</v>
      </c>
      <c r="C5" s="300" t="s">
        <v>118</v>
      </c>
      <c r="D5" s="301" t="s">
        <v>692</v>
      </c>
      <c r="E5" s="300" t="s">
        <v>693</v>
      </c>
      <c r="F5" s="305" t="s">
        <v>695</v>
      </c>
      <c r="G5" s="299"/>
      <c r="H5" s="302">
        <v>2000</v>
      </c>
      <c r="I5" s="299">
        <v>3</v>
      </c>
      <c r="J5" s="303">
        <f t="shared" ref="J5:J14" si="0">H5*I5</f>
        <v>6000</v>
      </c>
    </row>
    <row r="6" spans="1:11" s="304" customFormat="1">
      <c r="A6" s="299" t="s">
        <v>20</v>
      </c>
      <c r="B6" s="299" t="s">
        <v>23</v>
      </c>
      <c r="C6" s="300" t="s">
        <v>118</v>
      </c>
      <c r="D6" s="301" t="s">
        <v>692</v>
      </c>
      <c r="E6" s="300" t="s">
        <v>693</v>
      </c>
      <c r="F6" s="305" t="s">
        <v>696</v>
      </c>
      <c r="G6" s="299"/>
      <c r="H6" s="302">
        <v>3500</v>
      </c>
      <c r="I6" s="299">
        <v>3</v>
      </c>
      <c r="J6" s="303">
        <f t="shared" si="0"/>
        <v>10500</v>
      </c>
    </row>
    <row r="7" spans="1:11" s="304" customFormat="1">
      <c r="A7" s="299" t="s">
        <v>20</v>
      </c>
      <c r="B7" s="299" t="s">
        <v>23</v>
      </c>
      <c r="C7" s="300" t="s">
        <v>118</v>
      </c>
      <c r="D7" s="301" t="s">
        <v>692</v>
      </c>
      <c r="E7" s="300" t="s">
        <v>693</v>
      </c>
      <c r="F7" s="305" t="s">
        <v>697</v>
      </c>
      <c r="G7" s="299"/>
      <c r="H7" s="302">
        <v>1600</v>
      </c>
      <c r="I7" s="299">
        <v>6</v>
      </c>
      <c r="J7" s="303">
        <f t="shared" si="0"/>
        <v>9600</v>
      </c>
    </row>
    <row r="8" spans="1:11" s="304" customFormat="1">
      <c r="A8" s="299" t="s">
        <v>20</v>
      </c>
      <c r="B8" s="299" t="s">
        <v>23</v>
      </c>
      <c r="C8" s="300" t="s">
        <v>118</v>
      </c>
      <c r="D8" s="301" t="s">
        <v>692</v>
      </c>
      <c r="E8" s="300" t="s">
        <v>693</v>
      </c>
      <c r="F8" s="305" t="s">
        <v>698</v>
      </c>
      <c r="G8" s="299"/>
      <c r="H8" s="302">
        <v>700</v>
      </c>
      <c r="I8" s="299">
        <v>3</v>
      </c>
      <c r="J8" s="303">
        <f t="shared" si="0"/>
        <v>2100</v>
      </c>
    </row>
    <row r="9" spans="1:11" s="304" customFormat="1">
      <c r="A9" s="299" t="s">
        <v>20</v>
      </c>
      <c r="B9" s="299" t="s">
        <v>23</v>
      </c>
      <c r="C9" s="300" t="s">
        <v>118</v>
      </c>
      <c r="D9" s="301" t="s">
        <v>692</v>
      </c>
      <c r="E9" s="300" t="s">
        <v>699</v>
      </c>
      <c r="F9" s="305" t="s">
        <v>700</v>
      </c>
      <c r="G9" s="299"/>
      <c r="H9" s="302">
        <v>18000</v>
      </c>
      <c r="I9" s="299">
        <v>3</v>
      </c>
      <c r="J9" s="303">
        <f t="shared" si="0"/>
        <v>54000</v>
      </c>
    </row>
    <row r="10" spans="1:11" s="304" customFormat="1">
      <c r="A10" s="299" t="s">
        <v>20</v>
      </c>
      <c r="B10" s="299" t="s">
        <v>23</v>
      </c>
      <c r="C10" s="300" t="s">
        <v>118</v>
      </c>
      <c r="D10" s="301" t="s">
        <v>692</v>
      </c>
      <c r="E10" s="306" t="s">
        <v>701</v>
      </c>
      <c r="F10" s="305" t="s">
        <v>702</v>
      </c>
      <c r="G10" s="299"/>
      <c r="H10" s="302">
        <v>7000</v>
      </c>
      <c r="I10" s="299">
        <v>6</v>
      </c>
      <c r="J10" s="303">
        <f t="shared" si="0"/>
        <v>42000</v>
      </c>
    </row>
    <row r="11" spans="1:11" s="304" customFormat="1">
      <c r="A11" s="299" t="s">
        <v>20</v>
      </c>
      <c r="B11" s="299" t="s">
        <v>23</v>
      </c>
      <c r="C11" s="300" t="s">
        <v>118</v>
      </c>
      <c r="D11" s="301" t="s">
        <v>692</v>
      </c>
      <c r="E11" s="306" t="s">
        <v>703</v>
      </c>
      <c r="F11" s="300" t="s">
        <v>726</v>
      </c>
      <c r="G11" s="307"/>
      <c r="H11" s="302">
        <v>11000</v>
      </c>
      <c r="I11" s="299">
        <v>3</v>
      </c>
      <c r="J11" s="303">
        <f t="shared" si="0"/>
        <v>33000</v>
      </c>
    </row>
    <row r="12" spans="1:11" s="304" customFormat="1">
      <c r="A12" s="299" t="s">
        <v>20</v>
      </c>
      <c r="B12" s="299" t="s">
        <v>23</v>
      </c>
      <c r="C12" s="300" t="s">
        <v>118</v>
      </c>
      <c r="D12" s="301" t="s">
        <v>692</v>
      </c>
      <c r="E12" s="306" t="s">
        <v>727</v>
      </c>
      <c r="F12" s="300" t="s">
        <v>727</v>
      </c>
      <c r="G12" s="307"/>
      <c r="H12" s="302">
        <v>90</v>
      </c>
      <c r="I12" s="299">
        <v>800</v>
      </c>
      <c r="J12" s="303">
        <f t="shared" si="0"/>
        <v>72000</v>
      </c>
    </row>
    <row r="13" spans="1:11" s="304" customFormat="1">
      <c r="A13" s="299" t="s">
        <v>20</v>
      </c>
      <c r="B13" s="299" t="s">
        <v>23</v>
      </c>
      <c r="C13" s="300" t="s">
        <v>118</v>
      </c>
      <c r="D13" s="301" t="s">
        <v>692</v>
      </c>
      <c r="E13" s="306" t="s">
        <v>728</v>
      </c>
      <c r="F13" s="300" t="s">
        <v>728</v>
      </c>
      <c r="G13" s="307"/>
      <c r="H13" s="302">
        <v>90</v>
      </c>
      <c r="I13" s="299">
        <v>450</v>
      </c>
      <c r="J13" s="303">
        <f t="shared" si="0"/>
        <v>40500</v>
      </c>
    </row>
    <row r="14" spans="1:11" s="304" customFormat="1">
      <c r="A14" s="299" t="s">
        <v>20</v>
      </c>
      <c r="B14" s="299" t="s">
        <v>23</v>
      </c>
      <c r="C14" s="300" t="s">
        <v>118</v>
      </c>
      <c r="D14" s="301" t="s">
        <v>692</v>
      </c>
      <c r="E14" s="306" t="s">
        <v>729</v>
      </c>
      <c r="F14" s="300" t="s">
        <v>729</v>
      </c>
      <c r="G14" s="307"/>
      <c r="H14" s="302">
        <v>60</v>
      </c>
      <c r="I14" s="299">
        <v>450</v>
      </c>
      <c r="J14" s="303">
        <f t="shared" si="0"/>
        <v>27000</v>
      </c>
    </row>
    <row r="15" spans="1:11" s="304" customFormat="1">
      <c r="A15" s="308"/>
      <c r="B15" s="308"/>
      <c r="C15" s="308" t="s">
        <v>705</v>
      </c>
      <c r="D15" s="301"/>
      <c r="E15" s="309"/>
      <c r="F15" s="310"/>
      <c r="G15" s="308"/>
      <c r="H15" s="311"/>
      <c r="I15" s="308"/>
      <c r="J15" s="312">
        <f>SUM(J4:J14)</f>
        <v>356700</v>
      </c>
    </row>
    <row r="16" spans="1:11" s="304" customFormat="1">
      <c r="A16" s="299" t="s">
        <v>20</v>
      </c>
      <c r="B16" s="299" t="s">
        <v>23</v>
      </c>
      <c r="C16" s="300" t="s">
        <v>116</v>
      </c>
      <c r="D16" s="301" t="s">
        <v>692</v>
      </c>
      <c r="E16" s="300" t="s">
        <v>693</v>
      </c>
      <c r="F16" s="300" t="s">
        <v>694</v>
      </c>
      <c r="G16" s="299"/>
      <c r="H16" s="302">
        <v>400</v>
      </c>
      <c r="I16" s="299">
        <v>150</v>
      </c>
      <c r="J16" s="303">
        <f>H16*I16</f>
        <v>60000</v>
      </c>
    </row>
    <row r="17" spans="1:10" s="304" customFormat="1">
      <c r="A17" s="299" t="s">
        <v>20</v>
      </c>
      <c r="B17" s="299" t="s">
        <v>23</v>
      </c>
      <c r="C17" s="300" t="s">
        <v>116</v>
      </c>
      <c r="D17" s="301" t="s">
        <v>692</v>
      </c>
      <c r="E17" s="300" t="s">
        <v>693</v>
      </c>
      <c r="F17" s="305" t="s">
        <v>695</v>
      </c>
      <c r="G17" s="299"/>
      <c r="H17" s="302">
        <v>2000</v>
      </c>
      <c r="I17" s="299">
        <v>3</v>
      </c>
      <c r="J17" s="303">
        <f t="shared" ref="J17:J24" si="1">H17*I17</f>
        <v>6000</v>
      </c>
    </row>
    <row r="18" spans="1:10" s="304" customFormat="1">
      <c r="A18" s="299" t="s">
        <v>20</v>
      </c>
      <c r="B18" s="299" t="s">
        <v>23</v>
      </c>
      <c r="C18" s="300" t="s">
        <v>116</v>
      </c>
      <c r="D18" s="301" t="s">
        <v>692</v>
      </c>
      <c r="E18" s="300" t="s">
        <v>693</v>
      </c>
      <c r="F18" s="305" t="s">
        <v>696</v>
      </c>
      <c r="G18" s="299"/>
      <c r="H18" s="302">
        <v>3500</v>
      </c>
      <c r="I18" s="299">
        <v>3</v>
      </c>
      <c r="J18" s="303">
        <f t="shared" si="1"/>
        <v>10500</v>
      </c>
    </row>
    <row r="19" spans="1:10" s="304" customFormat="1">
      <c r="A19" s="299" t="s">
        <v>20</v>
      </c>
      <c r="B19" s="299" t="s">
        <v>23</v>
      </c>
      <c r="C19" s="300" t="s">
        <v>116</v>
      </c>
      <c r="D19" s="301" t="s">
        <v>692</v>
      </c>
      <c r="E19" s="300" t="s">
        <v>693</v>
      </c>
      <c r="F19" s="305" t="s">
        <v>697</v>
      </c>
      <c r="G19" s="299"/>
      <c r="H19" s="302">
        <v>1600</v>
      </c>
      <c r="I19" s="299">
        <v>6</v>
      </c>
      <c r="J19" s="303">
        <f t="shared" si="1"/>
        <v>9600</v>
      </c>
    </row>
    <row r="20" spans="1:10" s="304" customFormat="1">
      <c r="A20" s="299" t="s">
        <v>20</v>
      </c>
      <c r="B20" s="299" t="s">
        <v>23</v>
      </c>
      <c r="C20" s="300" t="s">
        <v>116</v>
      </c>
      <c r="D20" s="301" t="s">
        <v>692</v>
      </c>
      <c r="E20" s="300" t="s">
        <v>693</v>
      </c>
      <c r="F20" s="305" t="s">
        <v>698</v>
      </c>
      <c r="G20" s="299"/>
      <c r="H20" s="302">
        <v>700</v>
      </c>
      <c r="I20" s="299">
        <v>3</v>
      </c>
      <c r="J20" s="303">
        <f t="shared" si="1"/>
        <v>2100</v>
      </c>
    </row>
    <row r="21" spans="1:10" s="304" customFormat="1">
      <c r="A21" s="299" t="s">
        <v>20</v>
      </c>
      <c r="B21" s="299" t="s">
        <v>23</v>
      </c>
      <c r="C21" s="300" t="s">
        <v>116</v>
      </c>
      <c r="D21" s="301" t="s">
        <v>692</v>
      </c>
      <c r="E21" s="300" t="s">
        <v>693</v>
      </c>
      <c r="F21" s="305" t="s">
        <v>706</v>
      </c>
      <c r="G21" s="299"/>
      <c r="H21" s="302">
        <v>2000</v>
      </c>
      <c r="I21" s="299">
        <v>3</v>
      </c>
      <c r="J21" s="303">
        <f t="shared" si="1"/>
        <v>6000</v>
      </c>
    </row>
    <row r="22" spans="1:10" s="304" customFormat="1">
      <c r="A22" s="299" t="s">
        <v>20</v>
      </c>
      <c r="B22" s="299" t="s">
        <v>23</v>
      </c>
      <c r="C22" s="300" t="s">
        <v>116</v>
      </c>
      <c r="D22" s="301" t="s">
        <v>692</v>
      </c>
      <c r="E22" s="300" t="s">
        <v>699</v>
      </c>
      <c r="F22" s="305" t="s">
        <v>707</v>
      </c>
      <c r="G22" s="299"/>
      <c r="H22" s="302">
        <v>16000</v>
      </c>
      <c r="I22" s="299">
        <v>3</v>
      </c>
      <c r="J22" s="303">
        <f t="shared" si="1"/>
        <v>48000</v>
      </c>
    </row>
    <row r="23" spans="1:10" s="304" customFormat="1">
      <c r="A23" s="299" t="s">
        <v>20</v>
      </c>
      <c r="B23" s="299" t="s">
        <v>23</v>
      </c>
      <c r="C23" s="300" t="s">
        <v>116</v>
      </c>
      <c r="D23" s="301" t="s">
        <v>692</v>
      </c>
      <c r="E23" s="306" t="s">
        <v>701</v>
      </c>
      <c r="F23" s="305" t="s">
        <v>702</v>
      </c>
      <c r="G23" s="299"/>
      <c r="H23" s="302">
        <v>7000</v>
      </c>
      <c r="I23" s="299">
        <v>6</v>
      </c>
      <c r="J23" s="303">
        <f t="shared" si="1"/>
        <v>42000</v>
      </c>
    </row>
    <row r="24" spans="1:10" s="304" customFormat="1">
      <c r="A24" s="299" t="s">
        <v>20</v>
      </c>
      <c r="B24" s="299" t="s">
        <v>23</v>
      </c>
      <c r="C24" s="300" t="s">
        <v>116</v>
      </c>
      <c r="D24" s="301" t="s">
        <v>692</v>
      </c>
      <c r="E24" s="306" t="s">
        <v>703</v>
      </c>
      <c r="F24" s="300" t="s">
        <v>704</v>
      </c>
      <c r="G24" s="307"/>
      <c r="H24" s="302">
        <v>7000</v>
      </c>
      <c r="I24" s="299">
        <v>6</v>
      </c>
      <c r="J24" s="303">
        <f t="shared" si="1"/>
        <v>42000</v>
      </c>
    </row>
    <row r="25" spans="1:10" s="304" customFormat="1">
      <c r="A25" s="308"/>
      <c r="B25" s="308"/>
      <c r="C25" s="308" t="s">
        <v>705</v>
      </c>
      <c r="D25" s="301"/>
      <c r="E25" s="309"/>
      <c r="F25" s="310"/>
      <c r="G25" s="308"/>
      <c r="H25" s="311"/>
      <c r="I25" s="308"/>
      <c r="J25" s="312">
        <f>SUM(J16:J24)</f>
        <v>226200</v>
      </c>
    </row>
    <row r="26" spans="1:10">
      <c r="A26" s="313" t="s">
        <v>20</v>
      </c>
      <c r="B26" s="313" t="s">
        <v>421</v>
      </c>
      <c r="C26" s="314" t="s">
        <v>644</v>
      </c>
      <c r="D26" s="315" t="s">
        <v>692</v>
      </c>
      <c r="E26" s="314" t="s">
        <v>693</v>
      </c>
      <c r="F26" s="314" t="s">
        <v>708</v>
      </c>
      <c r="G26" s="313"/>
      <c r="H26" s="316">
        <v>650</v>
      </c>
      <c r="I26" s="313">
        <v>5</v>
      </c>
      <c r="J26" s="317">
        <f t="shared" ref="J26:J27" si="2">H26*I26</f>
        <v>3250</v>
      </c>
    </row>
    <row r="27" spans="1:10">
      <c r="A27" s="313" t="s">
        <v>20</v>
      </c>
      <c r="B27" s="313" t="s">
        <v>421</v>
      </c>
      <c r="C27" s="314" t="s">
        <v>644</v>
      </c>
      <c r="D27" s="315" t="s">
        <v>692</v>
      </c>
      <c r="E27" s="314" t="s">
        <v>693</v>
      </c>
      <c r="F27" s="314" t="s">
        <v>709</v>
      </c>
      <c r="G27" s="313"/>
      <c r="H27" s="316">
        <v>650</v>
      </c>
      <c r="I27" s="313">
        <v>5</v>
      </c>
      <c r="J27" s="317">
        <f t="shared" si="2"/>
        <v>3250</v>
      </c>
    </row>
    <row r="28" spans="1:10">
      <c r="A28" s="319"/>
      <c r="B28" s="319"/>
      <c r="C28" s="308" t="s">
        <v>705</v>
      </c>
      <c r="D28" s="320"/>
      <c r="E28" s="321"/>
      <c r="F28" s="322"/>
      <c r="G28" s="319"/>
      <c r="H28" s="323"/>
      <c r="I28" s="319"/>
      <c r="J28" s="323">
        <f>SUM(J26:J27)</f>
        <v>6500</v>
      </c>
    </row>
    <row r="29" spans="1:10">
      <c r="A29" s="313" t="s">
        <v>20</v>
      </c>
      <c r="B29" s="313" t="s">
        <v>421</v>
      </c>
      <c r="C29" s="314" t="s">
        <v>566</v>
      </c>
      <c r="D29" s="315" t="s">
        <v>692</v>
      </c>
      <c r="E29" s="314" t="s">
        <v>693</v>
      </c>
      <c r="F29" s="314" t="s">
        <v>708</v>
      </c>
      <c r="G29" s="313"/>
      <c r="H29" s="316">
        <v>650</v>
      </c>
      <c r="I29" s="313">
        <v>5</v>
      </c>
      <c r="J29" s="317">
        <f t="shared" ref="J29:J30" si="3">H29*I29</f>
        <v>3250</v>
      </c>
    </row>
    <row r="30" spans="1:10">
      <c r="A30" s="313" t="s">
        <v>20</v>
      </c>
      <c r="B30" s="313" t="s">
        <v>421</v>
      </c>
      <c r="C30" s="314" t="s">
        <v>566</v>
      </c>
      <c r="D30" s="315" t="s">
        <v>692</v>
      </c>
      <c r="E30" s="314" t="s">
        <v>693</v>
      </c>
      <c r="F30" s="314" t="s">
        <v>709</v>
      </c>
      <c r="G30" s="313"/>
      <c r="H30" s="316">
        <v>650</v>
      </c>
      <c r="I30" s="313">
        <v>5</v>
      </c>
      <c r="J30" s="317">
        <f t="shared" si="3"/>
        <v>3250</v>
      </c>
    </row>
    <row r="31" spans="1:10">
      <c r="A31" s="319"/>
      <c r="B31" s="319"/>
      <c r="C31" s="308" t="s">
        <v>705</v>
      </c>
      <c r="D31" s="320"/>
      <c r="E31" s="321"/>
      <c r="F31" s="322"/>
      <c r="G31" s="319"/>
      <c r="H31" s="323"/>
      <c r="I31" s="319"/>
      <c r="J31" s="323">
        <f>SUM(J29:J30)</f>
        <v>6500</v>
      </c>
    </row>
    <row r="32" spans="1:10">
      <c r="A32" s="313" t="s">
        <v>20</v>
      </c>
      <c r="B32" s="313" t="s">
        <v>421</v>
      </c>
      <c r="C32" s="314" t="s">
        <v>145</v>
      </c>
      <c r="D32" s="315" t="s">
        <v>692</v>
      </c>
      <c r="E32" s="314" t="s">
        <v>693</v>
      </c>
      <c r="F32" s="314" t="s">
        <v>708</v>
      </c>
      <c r="G32" s="313"/>
      <c r="H32" s="316">
        <v>650</v>
      </c>
      <c r="I32" s="313">
        <v>5</v>
      </c>
      <c r="J32" s="317">
        <f t="shared" ref="J32:J46" si="4">H32*I32</f>
        <v>3250</v>
      </c>
    </row>
    <row r="33" spans="1:10">
      <c r="A33" s="313" t="s">
        <v>20</v>
      </c>
      <c r="B33" s="313" t="s">
        <v>421</v>
      </c>
      <c r="C33" s="314" t="s">
        <v>145</v>
      </c>
      <c r="D33" s="315" t="s">
        <v>692</v>
      </c>
      <c r="E33" s="314" t="s">
        <v>693</v>
      </c>
      <c r="F33" s="314" t="s">
        <v>709</v>
      </c>
      <c r="G33" s="313"/>
      <c r="H33" s="316">
        <v>650</v>
      </c>
      <c r="I33" s="313">
        <v>5</v>
      </c>
      <c r="J33" s="317">
        <f t="shared" si="4"/>
        <v>3250</v>
      </c>
    </row>
    <row r="34" spans="1:10">
      <c r="A34" s="313" t="s">
        <v>20</v>
      </c>
      <c r="B34" s="313" t="s">
        <v>421</v>
      </c>
      <c r="C34" s="314" t="s">
        <v>145</v>
      </c>
      <c r="D34" s="315" t="s">
        <v>692</v>
      </c>
      <c r="E34" s="314" t="s">
        <v>693</v>
      </c>
      <c r="F34" s="314" t="s">
        <v>710</v>
      </c>
      <c r="G34" s="313"/>
      <c r="H34" s="316">
        <v>380</v>
      </c>
      <c r="I34" s="313">
        <v>30</v>
      </c>
      <c r="J34" s="317">
        <f t="shared" si="4"/>
        <v>11400</v>
      </c>
    </row>
    <row r="35" spans="1:10">
      <c r="A35" s="313" t="s">
        <v>20</v>
      </c>
      <c r="B35" s="313" t="s">
        <v>421</v>
      </c>
      <c r="C35" s="314" t="s">
        <v>145</v>
      </c>
      <c r="D35" s="315" t="s">
        <v>692</v>
      </c>
      <c r="E35" s="314" t="s">
        <v>693</v>
      </c>
      <c r="F35" s="314" t="s">
        <v>711</v>
      </c>
      <c r="G35" s="313"/>
      <c r="H35" s="316">
        <v>2400</v>
      </c>
      <c r="I35" s="313">
        <v>1</v>
      </c>
      <c r="J35" s="317">
        <f t="shared" si="4"/>
        <v>2400</v>
      </c>
    </row>
    <row r="36" spans="1:10">
      <c r="A36" s="313" t="s">
        <v>20</v>
      </c>
      <c r="B36" s="313" t="s">
        <v>421</v>
      </c>
      <c r="C36" s="314" t="s">
        <v>145</v>
      </c>
      <c r="D36" s="315" t="s">
        <v>692</v>
      </c>
      <c r="E36" s="314" t="s">
        <v>693</v>
      </c>
      <c r="F36" s="314" t="s">
        <v>712</v>
      </c>
      <c r="G36" s="313"/>
      <c r="H36" s="316">
        <v>700</v>
      </c>
      <c r="I36" s="313">
        <v>1</v>
      </c>
      <c r="J36" s="317">
        <f t="shared" si="4"/>
        <v>700</v>
      </c>
    </row>
    <row r="37" spans="1:10">
      <c r="A37" s="313" t="s">
        <v>20</v>
      </c>
      <c r="B37" s="313" t="s">
        <v>421</v>
      </c>
      <c r="C37" s="314" t="s">
        <v>145</v>
      </c>
      <c r="D37" s="315" t="s">
        <v>692</v>
      </c>
      <c r="E37" s="314" t="s">
        <v>693</v>
      </c>
      <c r="F37" s="314" t="s">
        <v>713</v>
      </c>
      <c r="G37" s="313"/>
      <c r="H37" s="316">
        <v>6000</v>
      </c>
      <c r="I37" s="313">
        <v>1</v>
      </c>
      <c r="J37" s="317">
        <f t="shared" si="4"/>
        <v>6000</v>
      </c>
    </row>
    <row r="38" spans="1:10">
      <c r="A38" s="313" t="s">
        <v>20</v>
      </c>
      <c r="B38" s="313" t="s">
        <v>421</v>
      </c>
      <c r="C38" s="314" t="s">
        <v>145</v>
      </c>
      <c r="D38" s="315" t="s">
        <v>692</v>
      </c>
      <c r="E38" s="314" t="s">
        <v>693</v>
      </c>
      <c r="F38" s="314" t="s">
        <v>697</v>
      </c>
      <c r="G38" s="313"/>
      <c r="H38" s="316">
        <v>1600</v>
      </c>
      <c r="I38" s="313">
        <v>1</v>
      </c>
      <c r="J38" s="317">
        <f t="shared" si="4"/>
        <v>1600</v>
      </c>
    </row>
    <row r="39" spans="1:10">
      <c r="A39" s="313" t="s">
        <v>20</v>
      </c>
      <c r="B39" s="313" t="s">
        <v>421</v>
      </c>
      <c r="C39" s="314" t="s">
        <v>145</v>
      </c>
      <c r="D39" s="315" t="s">
        <v>692</v>
      </c>
      <c r="E39" s="314" t="s">
        <v>693</v>
      </c>
      <c r="F39" s="314" t="s">
        <v>724</v>
      </c>
      <c r="G39" s="313"/>
      <c r="H39" s="316">
        <v>700</v>
      </c>
      <c r="I39" s="313">
        <v>1</v>
      </c>
      <c r="J39" s="317">
        <f t="shared" si="4"/>
        <v>700</v>
      </c>
    </row>
    <row r="40" spans="1:10">
      <c r="A40" s="313" t="s">
        <v>20</v>
      </c>
      <c r="B40" s="313" t="s">
        <v>421</v>
      </c>
      <c r="C40" s="314" t="s">
        <v>145</v>
      </c>
      <c r="D40" s="315" t="s">
        <v>692</v>
      </c>
      <c r="E40" s="314" t="s">
        <v>714</v>
      </c>
      <c r="F40" s="314" t="s">
        <v>715</v>
      </c>
      <c r="G40" s="313"/>
      <c r="H40" s="316">
        <v>20000</v>
      </c>
      <c r="I40" s="313">
        <v>1</v>
      </c>
      <c r="J40" s="317">
        <f t="shared" si="4"/>
        <v>20000</v>
      </c>
    </row>
    <row r="41" spans="1:10">
      <c r="A41" s="313" t="s">
        <v>20</v>
      </c>
      <c r="B41" s="313" t="s">
        <v>421</v>
      </c>
      <c r="C41" s="314" t="s">
        <v>145</v>
      </c>
      <c r="D41" s="315" t="s">
        <v>692</v>
      </c>
      <c r="E41" s="318" t="s">
        <v>701</v>
      </c>
      <c r="F41" s="314" t="s">
        <v>716</v>
      </c>
      <c r="G41" s="313"/>
      <c r="H41" s="316">
        <v>6000</v>
      </c>
      <c r="I41" s="313">
        <v>1</v>
      </c>
      <c r="J41" s="317">
        <f t="shared" si="4"/>
        <v>6000</v>
      </c>
    </row>
    <row r="42" spans="1:10">
      <c r="A42" s="313" t="s">
        <v>20</v>
      </c>
      <c r="B42" s="313" t="s">
        <v>421</v>
      </c>
      <c r="C42" s="314" t="s">
        <v>145</v>
      </c>
      <c r="D42" s="315" t="s">
        <v>692</v>
      </c>
      <c r="E42" s="314" t="s">
        <v>703</v>
      </c>
      <c r="F42" s="314" t="s">
        <v>717</v>
      </c>
      <c r="G42" s="313"/>
      <c r="H42" s="316">
        <v>7000</v>
      </c>
      <c r="I42" s="313">
        <v>1</v>
      </c>
      <c r="J42" s="317">
        <f t="shared" si="4"/>
        <v>7000</v>
      </c>
    </row>
    <row r="43" spans="1:10">
      <c r="A43" s="313" t="s">
        <v>20</v>
      </c>
      <c r="B43" s="313" t="s">
        <v>421</v>
      </c>
      <c r="C43" s="314" t="s">
        <v>145</v>
      </c>
      <c r="D43" s="315" t="s">
        <v>692</v>
      </c>
      <c r="E43" s="314" t="s">
        <v>703</v>
      </c>
      <c r="F43" s="314" t="s">
        <v>718</v>
      </c>
      <c r="G43" s="313"/>
      <c r="H43" s="316">
        <v>11000</v>
      </c>
      <c r="I43" s="313">
        <v>1</v>
      </c>
      <c r="J43" s="317">
        <f t="shared" si="4"/>
        <v>11000</v>
      </c>
    </row>
    <row r="44" spans="1:10">
      <c r="A44" s="313" t="s">
        <v>20</v>
      </c>
      <c r="B44" s="313" t="s">
        <v>421</v>
      </c>
      <c r="C44" s="314" t="s">
        <v>145</v>
      </c>
      <c r="D44" s="315" t="s">
        <v>692</v>
      </c>
      <c r="E44" s="314" t="s">
        <v>699</v>
      </c>
      <c r="F44" s="314" t="s">
        <v>719</v>
      </c>
      <c r="G44" s="313"/>
      <c r="H44" s="316">
        <v>10000</v>
      </c>
      <c r="I44" s="313">
        <v>1</v>
      </c>
      <c r="J44" s="317">
        <f t="shared" si="4"/>
        <v>10000</v>
      </c>
    </row>
    <row r="45" spans="1:10">
      <c r="A45" s="313" t="s">
        <v>20</v>
      </c>
      <c r="B45" s="313" t="s">
        <v>421</v>
      </c>
      <c r="C45" s="314" t="s">
        <v>145</v>
      </c>
      <c r="D45" s="315" t="s">
        <v>692</v>
      </c>
      <c r="E45" s="314" t="s">
        <v>720</v>
      </c>
      <c r="F45" s="314" t="s">
        <v>721</v>
      </c>
      <c r="G45" s="313"/>
      <c r="H45" s="316">
        <v>2000</v>
      </c>
      <c r="I45" s="313">
        <v>1</v>
      </c>
      <c r="J45" s="317">
        <f t="shared" si="4"/>
        <v>2000</v>
      </c>
    </row>
    <row r="46" spans="1:10">
      <c r="A46" s="313" t="s">
        <v>20</v>
      </c>
      <c r="B46" s="313" t="s">
        <v>421</v>
      </c>
      <c r="C46" s="314" t="s">
        <v>145</v>
      </c>
      <c r="D46" s="315" t="s">
        <v>692</v>
      </c>
      <c r="E46" s="314" t="s">
        <v>720</v>
      </c>
      <c r="F46" s="314" t="s">
        <v>722</v>
      </c>
      <c r="G46" s="313"/>
      <c r="H46" s="316">
        <v>1500</v>
      </c>
      <c r="I46" s="313">
        <v>1</v>
      </c>
      <c r="J46" s="317">
        <f t="shared" si="4"/>
        <v>1500</v>
      </c>
    </row>
    <row r="47" spans="1:10">
      <c r="A47" s="319"/>
      <c r="B47" s="319"/>
      <c r="C47" s="308" t="s">
        <v>705</v>
      </c>
      <c r="D47" s="320"/>
      <c r="E47" s="321"/>
      <c r="F47" s="322"/>
      <c r="G47" s="319"/>
      <c r="H47" s="323"/>
      <c r="I47" s="319"/>
      <c r="J47" s="323">
        <f>SUM(J32:J46)</f>
        <v>86800</v>
      </c>
    </row>
    <row r="48" spans="1:10">
      <c r="A48" s="313" t="s">
        <v>20</v>
      </c>
      <c r="B48" s="313" t="s">
        <v>421</v>
      </c>
      <c r="C48" s="314" t="s">
        <v>146</v>
      </c>
      <c r="D48" s="315" t="s">
        <v>692</v>
      </c>
      <c r="E48" s="314" t="s">
        <v>693</v>
      </c>
      <c r="F48" s="314" t="s">
        <v>708</v>
      </c>
      <c r="G48" s="313"/>
      <c r="H48" s="316">
        <v>650</v>
      </c>
      <c r="I48" s="313">
        <v>11</v>
      </c>
      <c r="J48" s="317">
        <f t="shared" ref="J48:J63" si="5">H48*I48</f>
        <v>7150</v>
      </c>
    </row>
    <row r="49" spans="1:10">
      <c r="A49" s="313" t="s">
        <v>20</v>
      </c>
      <c r="B49" s="313" t="s">
        <v>421</v>
      </c>
      <c r="C49" s="314" t="s">
        <v>146</v>
      </c>
      <c r="D49" s="315" t="s">
        <v>692</v>
      </c>
      <c r="E49" s="314" t="s">
        <v>693</v>
      </c>
      <c r="F49" s="314" t="s">
        <v>709</v>
      </c>
      <c r="G49" s="313"/>
      <c r="H49" s="316">
        <v>650</v>
      </c>
      <c r="I49" s="313">
        <v>11</v>
      </c>
      <c r="J49" s="317">
        <f t="shared" si="5"/>
        <v>7150</v>
      </c>
    </row>
    <row r="50" spans="1:10">
      <c r="A50" s="313" t="s">
        <v>20</v>
      </c>
      <c r="B50" s="313" t="s">
        <v>421</v>
      </c>
      <c r="C50" s="314" t="s">
        <v>146</v>
      </c>
      <c r="D50" s="315" t="s">
        <v>692</v>
      </c>
      <c r="E50" s="314" t="s">
        <v>693</v>
      </c>
      <c r="F50" s="314" t="s">
        <v>710</v>
      </c>
      <c r="G50" s="313"/>
      <c r="H50" s="316">
        <v>380</v>
      </c>
      <c r="I50" s="313">
        <v>65</v>
      </c>
      <c r="J50" s="317">
        <f t="shared" si="5"/>
        <v>24700</v>
      </c>
    </row>
    <row r="51" spans="1:10">
      <c r="A51" s="313" t="s">
        <v>20</v>
      </c>
      <c r="B51" s="313" t="s">
        <v>421</v>
      </c>
      <c r="C51" s="314" t="s">
        <v>146</v>
      </c>
      <c r="D51" s="315" t="s">
        <v>692</v>
      </c>
      <c r="E51" s="314" t="s">
        <v>693</v>
      </c>
      <c r="F51" s="314" t="s">
        <v>711</v>
      </c>
      <c r="G51" s="313"/>
      <c r="H51" s="316">
        <v>2400</v>
      </c>
      <c r="I51" s="313">
        <v>2</v>
      </c>
      <c r="J51" s="317">
        <f t="shared" si="5"/>
        <v>4800</v>
      </c>
    </row>
    <row r="52" spans="1:10">
      <c r="A52" s="313" t="s">
        <v>20</v>
      </c>
      <c r="B52" s="313" t="s">
        <v>421</v>
      </c>
      <c r="C52" s="314" t="s">
        <v>146</v>
      </c>
      <c r="D52" s="315" t="s">
        <v>692</v>
      </c>
      <c r="E52" s="314" t="s">
        <v>693</v>
      </c>
      <c r="F52" s="314" t="s">
        <v>712</v>
      </c>
      <c r="G52" s="313"/>
      <c r="H52" s="316">
        <v>700</v>
      </c>
      <c r="I52" s="313">
        <v>2</v>
      </c>
      <c r="J52" s="317">
        <f t="shared" si="5"/>
        <v>1400</v>
      </c>
    </row>
    <row r="53" spans="1:10">
      <c r="A53" s="313" t="s">
        <v>20</v>
      </c>
      <c r="B53" s="313" t="s">
        <v>421</v>
      </c>
      <c r="C53" s="314" t="s">
        <v>146</v>
      </c>
      <c r="D53" s="315" t="s">
        <v>692</v>
      </c>
      <c r="E53" s="314" t="s">
        <v>693</v>
      </c>
      <c r="F53" s="314" t="s">
        <v>713</v>
      </c>
      <c r="G53" s="313"/>
      <c r="H53" s="316">
        <v>6000</v>
      </c>
      <c r="I53" s="313">
        <v>2</v>
      </c>
      <c r="J53" s="317">
        <f t="shared" si="5"/>
        <v>12000</v>
      </c>
    </row>
    <row r="54" spans="1:10">
      <c r="A54" s="313" t="s">
        <v>20</v>
      </c>
      <c r="B54" s="313" t="s">
        <v>421</v>
      </c>
      <c r="C54" s="314" t="s">
        <v>146</v>
      </c>
      <c r="D54" s="315" t="s">
        <v>692</v>
      </c>
      <c r="E54" s="314" t="s">
        <v>693</v>
      </c>
      <c r="F54" s="314" t="s">
        <v>697</v>
      </c>
      <c r="G54" s="313"/>
      <c r="H54" s="316">
        <v>1600</v>
      </c>
      <c r="I54" s="313">
        <v>4</v>
      </c>
      <c r="J54" s="317">
        <f t="shared" si="5"/>
        <v>6400</v>
      </c>
    </row>
    <row r="55" spans="1:10">
      <c r="A55" s="313" t="s">
        <v>20</v>
      </c>
      <c r="B55" s="313" t="s">
        <v>421</v>
      </c>
      <c r="C55" s="314" t="s">
        <v>146</v>
      </c>
      <c r="D55" s="315" t="s">
        <v>692</v>
      </c>
      <c r="E55" s="314" t="s">
        <v>693</v>
      </c>
      <c r="F55" s="314" t="s">
        <v>724</v>
      </c>
      <c r="G55" s="313"/>
      <c r="H55" s="316">
        <v>700</v>
      </c>
      <c r="I55" s="313">
        <v>2</v>
      </c>
      <c r="J55" s="317">
        <f t="shared" si="5"/>
        <v>1400</v>
      </c>
    </row>
    <row r="56" spans="1:10">
      <c r="A56" s="313" t="s">
        <v>20</v>
      </c>
      <c r="B56" s="313" t="s">
        <v>421</v>
      </c>
      <c r="C56" s="314" t="s">
        <v>146</v>
      </c>
      <c r="D56" s="315" t="s">
        <v>692</v>
      </c>
      <c r="E56" s="314" t="s">
        <v>714</v>
      </c>
      <c r="F56" s="314" t="s">
        <v>730</v>
      </c>
      <c r="G56" s="313"/>
      <c r="H56" s="316">
        <v>13000</v>
      </c>
      <c r="I56" s="313">
        <v>1</v>
      </c>
      <c r="J56" s="317">
        <f t="shared" si="5"/>
        <v>13000</v>
      </c>
    </row>
    <row r="57" spans="1:10">
      <c r="A57" s="313" t="s">
        <v>20</v>
      </c>
      <c r="B57" s="313" t="s">
        <v>421</v>
      </c>
      <c r="C57" s="314" t="s">
        <v>146</v>
      </c>
      <c r="D57" s="315" t="s">
        <v>692</v>
      </c>
      <c r="E57" s="314" t="s">
        <v>714</v>
      </c>
      <c r="F57" s="314" t="s">
        <v>715</v>
      </c>
      <c r="G57" s="313"/>
      <c r="H57" s="316">
        <v>20000</v>
      </c>
      <c r="I57" s="313">
        <v>2</v>
      </c>
      <c r="J57" s="317">
        <f t="shared" si="5"/>
        <v>40000</v>
      </c>
    </row>
    <row r="58" spans="1:10">
      <c r="A58" s="313" t="s">
        <v>20</v>
      </c>
      <c r="B58" s="313" t="s">
        <v>421</v>
      </c>
      <c r="C58" s="314" t="s">
        <v>146</v>
      </c>
      <c r="D58" s="315" t="s">
        <v>692</v>
      </c>
      <c r="E58" s="318" t="s">
        <v>701</v>
      </c>
      <c r="F58" s="314" t="s">
        <v>725</v>
      </c>
      <c r="G58" s="313"/>
      <c r="H58" s="316">
        <v>7000</v>
      </c>
      <c r="I58" s="313">
        <v>4</v>
      </c>
      <c r="J58" s="317">
        <f t="shared" si="5"/>
        <v>28000</v>
      </c>
    </row>
    <row r="59" spans="1:10">
      <c r="A59" s="313" t="s">
        <v>20</v>
      </c>
      <c r="B59" s="313" t="s">
        <v>421</v>
      </c>
      <c r="C59" s="314" t="s">
        <v>146</v>
      </c>
      <c r="D59" s="315" t="s">
        <v>692</v>
      </c>
      <c r="E59" s="314" t="s">
        <v>703</v>
      </c>
      <c r="F59" s="314" t="s">
        <v>731</v>
      </c>
      <c r="G59" s="313"/>
      <c r="H59" s="316">
        <v>7000</v>
      </c>
      <c r="I59" s="313">
        <v>2</v>
      </c>
      <c r="J59" s="317">
        <f t="shared" si="5"/>
        <v>14000</v>
      </c>
    </row>
    <row r="60" spans="1:10">
      <c r="A60" s="313" t="s">
        <v>20</v>
      </c>
      <c r="B60" s="313" t="s">
        <v>421</v>
      </c>
      <c r="C60" s="314" t="s">
        <v>146</v>
      </c>
      <c r="D60" s="315" t="s">
        <v>692</v>
      </c>
      <c r="E60" s="314" t="s">
        <v>703</v>
      </c>
      <c r="F60" s="314" t="s">
        <v>732</v>
      </c>
      <c r="G60" s="313"/>
      <c r="H60" s="316">
        <v>11000</v>
      </c>
      <c r="I60" s="313">
        <v>2</v>
      </c>
      <c r="J60" s="317">
        <f t="shared" si="5"/>
        <v>22000</v>
      </c>
    </row>
    <row r="61" spans="1:10">
      <c r="A61" s="313" t="s">
        <v>20</v>
      </c>
      <c r="B61" s="313" t="s">
        <v>421</v>
      </c>
      <c r="C61" s="314" t="s">
        <v>146</v>
      </c>
      <c r="D61" s="315" t="s">
        <v>692</v>
      </c>
      <c r="E61" s="314" t="s">
        <v>699</v>
      </c>
      <c r="F61" s="314" t="s">
        <v>719</v>
      </c>
      <c r="G61" s="313"/>
      <c r="H61" s="316">
        <v>10000</v>
      </c>
      <c r="I61" s="313">
        <v>2</v>
      </c>
      <c r="J61" s="317">
        <f t="shared" si="5"/>
        <v>20000</v>
      </c>
    </row>
    <row r="62" spans="1:10">
      <c r="A62" s="313" t="s">
        <v>20</v>
      </c>
      <c r="B62" s="313" t="s">
        <v>421</v>
      </c>
      <c r="C62" s="314" t="s">
        <v>146</v>
      </c>
      <c r="D62" s="315" t="s">
        <v>692</v>
      </c>
      <c r="E62" s="314" t="s">
        <v>720</v>
      </c>
      <c r="F62" s="314" t="s">
        <v>721</v>
      </c>
      <c r="G62" s="313"/>
      <c r="H62" s="316">
        <v>2000</v>
      </c>
      <c r="I62" s="313">
        <v>2</v>
      </c>
      <c r="J62" s="317">
        <f t="shared" si="5"/>
        <v>4000</v>
      </c>
    </row>
    <row r="63" spans="1:10">
      <c r="A63" s="313" t="s">
        <v>20</v>
      </c>
      <c r="B63" s="313" t="s">
        <v>421</v>
      </c>
      <c r="C63" s="314" t="s">
        <v>146</v>
      </c>
      <c r="D63" s="315" t="s">
        <v>692</v>
      </c>
      <c r="E63" s="314" t="s">
        <v>720</v>
      </c>
      <c r="F63" s="314" t="s">
        <v>722</v>
      </c>
      <c r="G63" s="313"/>
      <c r="H63" s="316">
        <v>1500</v>
      </c>
      <c r="I63" s="313">
        <v>2</v>
      </c>
      <c r="J63" s="317">
        <f t="shared" si="5"/>
        <v>3000</v>
      </c>
    </row>
    <row r="64" spans="1:10">
      <c r="A64" s="319"/>
      <c r="B64" s="319"/>
      <c r="C64" s="308" t="s">
        <v>705</v>
      </c>
      <c r="D64" s="320"/>
      <c r="E64" s="321"/>
      <c r="F64" s="322"/>
      <c r="G64" s="319"/>
      <c r="H64" s="323"/>
      <c r="I64" s="319"/>
      <c r="J64" s="323">
        <f>SUM(J48:J63)</f>
        <v>209000</v>
      </c>
    </row>
    <row r="65" spans="1:10">
      <c r="A65" s="324" t="s">
        <v>20</v>
      </c>
      <c r="B65" s="325" t="s">
        <v>421</v>
      </c>
      <c r="C65" s="326" t="s">
        <v>146</v>
      </c>
      <c r="D65" s="327" t="s">
        <v>723</v>
      </c>
      <c r="E65" s="326" t="s">
        <v>693</v>
      </c>
      <c r="F65" s="326" t="s">
        <v>708</v>
      </c>
      <c r="G65" s="325"/>
      <c r="H65" s="328">
        <v>650</v>
      </c>
      <c r="I65" s="325">
        <v>4</v>
      </c>
      <c r="J65" s="329">
        <f t="shared" ref="J65:J79" si="6">H65*I65</f>
        <v>2600</v>
      </c>
    </row>
    <row r="66" spans="1:10">
      <c r="A66" s="324" t="s">
        <v>20</v>
      </c>
      <c r="B66" s="325" t="s">
        <v>421</v>
      </c>
      <c r="C66" s="326" t="s">
        <v>146</v>
      </c>
      <c r="D66" s="327" t="s">
        <v>723</v>
      </c>
      <c r="E66" s="326" t="s">
        <v>693</v>
      </c>
      <c r="F66" s="330" t="s">
        <v>709</v>
      </c>
      <c r="G66" s="325"/>
      <c r="H66" s="328">
        <v>650</v>
      </c>
      <c r="I66" s="325">
        <v>4</v>
      </c>
      <c r="J66" s="329">
        <f t="shared" si="6"/>
        <v>2600</v>
      </c>
    </row>
    <row r="67" spans="1:10">
      <c r="A67" s="324" t="s">
        <v>20</v>
      </c>
      <c r="B67" s="325" t="s">
        <v>421</v>
      </c>
      <c r="C67" s="326" t="s">
        <v>146</v>
      </c>
      <c r="D67" s="327" t="s">
        <v>723</v>
      </c>
      <c r="E67" s="326" t="s">
        <v>693</v>
      </c>
      <c r="F67" s="330" t="s">
        <v>710</v>
      </c>
      <c r="G67" s="325"/>
      <c r="H67" s="328">
        <v>380</v>
      </c>
      <c r="I67" s="325">
        <v>20</v>
      </c>
      <c r="J67" s="329">
        <f t="shared" si="6"/>
        <v>7600</v>
      </c>
    </row>
    <row r="68" spans="1:10">
      <c r="A68" s="324" t="s">
        <v>20</v>
      </c>
      <c r="B68" s="325" t="s">
        <v>421</v>
      </c>
      <c r="C68" s="326" t="s">
        <v>146</v>
      </c>
      <c r="D68" s="327" t="s">
        <v>723</v>
      </c>
      <c r="E68" s="341" t="s">
        <v>693</v>
      </c>
      <c r="F68" s="330" t="s">
        <v>711</v>
      </c>
      <c r="G68" s="330"/>
      <c r="H68" s="328">
        <v>2400</v>
      </c>
      <c r="I68" s="325">
        <v>1</v>
      </c>
      <c r="J68" s="329">
        <f t="shared" si="6"/>
        <v>2400</v>
      </c>
    </row>
    <row r="69" spans="1:10">
      <c r="A69" s="324" t="s">
        <v>20</v>
      </c>
      <c r="B69" s="325" t="s">
        <v>421</v>
      </c>
      <c r="C69" s="326" t="s">
        <v>146</v>
      </c>
      <c r="D69" s="327" t="s">
        <v>723</v>
      </c>
      <c r="E69" s="326" t="s">
        <v>693</v>
      </c>
      <c r="F69" s="330" t="s">
        <v>712</v>
      </c>
      <c r="G69" s="325"/>
      <c r="H69" s="328">
        <v>700</v>
      </c>
      <c r="I69" s="325">
        <v>1</v>
      </c>
      <c r="J69" s="329">
        <f t="shared" si="6"/>
        <v>700</v>
      </c>
    </row>
    <row r="70" spans="1:10">
      <c r="A70" s="324" t="s">
        <v>20</v>
      </c>
      <c r="B70" s="325" t="s">
        <v>421</v>
      </c>
      <c r="C70" s="326" t="s">
        <v>146</v>
      </c>
      <c r="D70" s="327" t="s">
        <v>723</v>
      </c>
      <c r="E70" s="326" t="s">
        <v>693</v>
      </c>
      <c r="F70" s="330" t="s">
        <v>713</v>
      </c>
      <c r="G70" s="325"/>
      <c r="H70" s="328">
        <v>6000</v>
      </c>
      <c r="I70" s="325">
        <v>1</v>
      </c>
      <c r="J70" s="329">
        <f t="shared" si="6"/>
        <v>6000</v>
      </c>
    </row>
    <row r="71" spans="1:10">
      <c r="A71" s="324" t="s">
        <v>20</v>
      </c>
      <c r="B71" s="325" t="s">
        <v>421</v>
      </c>
      <c r="C71" s="326" t="s">
        <v>146</v>
      </c>
      <c r="D71" s="327" t="s">
        <v>723</v>
      </c>
      <c r="E71" s="326" t="s">
        <v>693</v>
      </c>
      <c r="F71" s="330" t="s">
        <v>697</v>
      </c>
      <c r="G71" s="325"/>
      <c r="H71" s="328">
        <v>1600</v>
      </c>
      <c r="I71" s="325">
        <v>2</v>
      </c>
      <c r="J71" s="329">
        <f t="shared" si="6"/>
        <v>3200</v>
      </c>
    </row>
    <row r="72" spans="1:10">
      <c r="A72" s="324" t="s">
        <v>20</v>
      </c>
      <c r="B72" s="325" t="s">
        <v>421</v>
      </c>
      <c r="C72" s="326" t="s">
        <v>146</v>
      </c>
      <c r="D72" s="327" t="s">
        <v>723</v>
      </c>
      <c r="E72" s="341" t="s">
        <v>693</v>
      </c>
      <c r="F72" s="330" t="s">
        <v>724</v>
      </c>
      <c r="G72" s="325"/>
      <c r="H72" s="328">
        <v>700</v>
      </c>
      <c r="I72" s="325">
        <v>1</v>
      </c>
      <c r="J72" s="329">
        <f t="shared" si="6"/>
        <v>700</v>
      </c>
    </row>
    <row r="73" spans="1:10">
      <c r="A73" s="324" t="s">
        <v>20</v>
      </c>
      <c r="B73" s="325" t="s">
        <v>421</v>
      </c>
      <c r="C73" s="326" t="s">
        <v>146</v>
      </c>
      <c r="D73" s="327" t="s">
        <v>723</v>
      </c>
      <c r="E73" s="341" t="s">
        <v>714</v>
      </c>
      <c r="F73" s="326" t="s">
        <v>715</v>
      </c>
      <c r="G73" s="342"/>
      <c r="H73" s="328">
        <v>20000</v>
      </c>
      <c r="I73" s="325">
        <v>1</v>
      </c>
      <c r="J73" s="329">
        <f t="shared" si="6"/>
        <v>20000</v>
      </c>
    </row>
    <row r="74" spans="1:10">
      <c r="A74" s="324" t="s">
        <v>20</v>
      </c>
      <c r="B74" s="325" t="s">
        <v>421</v>
      </c>
      <c r="C74" s="326" t="s">
        <v>146</v>
      </c>
      <c r="D74" s="327" t="s">
        <v>723</v>
      </c>
      <c r="E74" s="341" t="s">
        <v>701</v>
      </c>
      <c r="F74" s="326" t="s">
        <v>733</v>
      </c>
      <c r="G74" s="342"/>
      <c r="H74" s="328">
        <v>7000</v>
      </c>
      <c r="I74" s="325">
        <v>2</v>
      </c>
      <c r="J74" s="329">
        <f t="shared" si="6"/>
        <v>14000</v>
      </c>
    </row>
    <row r="75" spans="1:10">
      <c r="A75" s="324" t="s">
        <v>20</v>
      </c>
      <c r="B75" s="325" t="s">
        <v>421</v>
      </c>
      <c r="C75" s="326" t="s">
        <v>146</v>
      </c>
      <c r="D75" s="327" t="s">
        <v>723</v>
      </c>
      <c r="E75" s="341" t="s">
        <v>703</v>
      </c>
      <c r="F75" s="326" t="s">
        <v>731</v>
      </c>
      <c r="G75" s="342"/>
      <c r="H75" s="328">
        <v>7000</v>
      </c>
      <c r="I75" s="325">
        <v>1</v>
      </c>
      <c r="J75" s="329">
        <f t="shared" si="6"/>
        <v>7000</v>
      </c>
    </row>
    <row r="76" spans="1:10">
      <c r="A76" s="324" t="s">
        <v>20</v>
      </c>
      <c r="B76" s="325" t="s">
        <v>421</v>
      </c>
      <c r="C76" s="326" t="s">
        <v>146</v>
      </c>
      <c r="D76" s="327" t="s">
        <v>723</v>
      </c>
      <c r="E76" s="341" t="s">
        <v>703</v>
      </c>
      <c r="F76" s="326" t="s">
        <v>732</v>
      </c>
      <c r="G76" s="342"/>
      <c r="H76" s="328">
        <v>11000</v>
      </c>
      <c r="I76" s="325">
        <v>1</v>
      </c>
      <c r="J76" s="329">
        <f t="shared" si="6"/>
        <v>11000</v>
      </c>
    </row>
    <row r="77" spans="1:10">
      <c r="A77" s="324" t="s">
        <v>20</v>
      </c>
      <c r="B77" s="325" t="s">
        <v>421</v>
      </c>
      <c r="C77" s="326" t="s">
        <v>146</v>
      </c>
      <c r="D77" s="327" t="s">
        <v>723</v>
      </c>
      <c r="E77" s="341" t="s">
        <v>699</v>
      </c>
      <c r="F77" s="326" t="s">
        <v>719</v>
      </c>
      <c r="G77" s="342"/>
      <c r="H77" s="328">
        <v>10000</v>
      </c>
      <c r="I77" s="325">
        <v>1</v>
      </c>
      <c r="J77" s="329">
        <f t="shared" si="6"/>
        <v>10000</v>
      </c>
    </row>
    <row r="78" spans="1:10">
      <c r="A78" s="324" t="s">
        <v>20</v>
      </c>
      <c r="B78" s="325" t="s">
        <v>421</v>
      </c>
      <c r="C78" s="326" t="s">
        <v>146</v>
      </c>
      <c r="D78" s="327" t="s">
        <v>723</v>
      </c>
      <c r="E78" s="341" t="s">
        <v>720</v>
      </c>
      <c r="F78" s="326" t="s">
        <v>721</v>
      </c>
      <c r="G78" s="342"/>
      <c r="H78" s="328">
        <v>2000</v>
      </c>
      <c r="I78" s="325">
        <v>1</v>
      </c>
      <c r="J78" s="329">
        <f t="shared" si="6"/>
        <v>2000</v>
      </c>
    </row>
    <row r="79" spans="1:10">
      <c r="A79" s="324" t="s">
        <v>20</v>
      </c>
      <c r="B79" s="325" t="s">
        <v>421</v>
      </c>
      <c r="C79" s="326" t="s">
        <v>146</v>
      </c>
      <c r="D79" s="327" t="s">
        <v>723</v>
      </c>
      <c r="E79" s="341" t="s">
        <v>720</v>
      </c>
      <c r="F79" s="326" t="s">
        <v>722</v>
      </c>
      <c r="G79" s="342"/>
      <c r="H79" s="328">
        <v>1500</v>
      </c>
      <c r="I79" s="325">
        <v>1</v>
      </c>
      <c r="J79" s="329">
        <f t="shared" si="6"/>
        <v>1500</v>
      </c>
    </row>
    <row r="80" spans="1:10">
      <c r="A80" s="331"/>
      <c r="B80" s="331"/>
      <c r="C80" s="331" t="s">
        <v>705</v>
      </c>
      <c r="D80" s="332"/>
      <c r="E80" s="333"/>
      <c r="F80" s="334"/>
      <c r="G80" s="331"/>
      <c r="H80" s="335"/>
      <c r="I80" s="331"/>
      <c r="J80" s="336">
        <f>SUM(J65:J79)</f>
        <v>91300</v>
      </c>
    </row>
    <row r="81" spans="1:10" s="304" customFormat="1">
      <c r="A81" s="337"/>
      <c r="B81" s="338"/>
      <c r="C81" s="338" t="s">
        <v>734</v>
      </c>
      <c r="D81" s="320"/>
      <c r="E81" s="321"/>
      <c r="F81" s="321"/>
      <c r="G81" s="339"/>
      <c r="H81" s="323"/>
      <c r="I81" s="319"/>
      <c r="J81" s="340">
        <f>SUM(J64,J47,J31,J28,J25,J15,J80)</f>
        <v>983000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0" hidden="1" customWidth="1"/>
    <col min="2" max="2" width="30.25" style="60" customWidth="1"/>
    <col min="3" max="3" width="5.875" style="60" hidden="1" customWidth="1"/>
    <col min="4" max="4" width="9.875" style="60" hidden="1" customWidth="1"/>
    <col min="5" max="18" width="9" style="60" hidden="1" customWidth="1"/>
    <col min="19" max="19" width="9" style="64" hidden="1" customWidth="1"/>
    <col min="20" max="23" width="9" style="60" hidden="1" customWidth="1"/>
    <col min="24" max="24" width="9" style="64" hidden="1" customWidth="1"/>
    <col min="25" max="25" width="8.375" style="60" hidden="1" customWidth="1"/>
    <col min="26" max="26" width="9.625" style="60" hidden="1" customWidth="1"/>
    <col min="27" max="27" width="9.375" style="60" hidden="1" customWidth="1"/>
    <col min="28" max="28" width="12.5" style="60" hidden="1" customWidth="1"/>
    <col min="29" max="29" width="9.875" style="60" hidden="1" customWidth="1"/>
    <col min="30" max="30" width="11.625" style="60" customWidth="1"/>
    <col min="31" max="31" width="11.125" style="60" bestFit="1" customWidth="1"/>
    <col min="32" max="32" width="10.875" style="60" customWidth="1"/>
    <col min="33" max="33" width="11.375" style="60" customWidth="1"/>
    <col min="34" max="34" width="11.625" style="60" customWidth="1"/>
    <col min="35" max="35" width="11.375" style="60" customWidth="1"/>
    <col min="36" max="36" width="9.5" style="60" bestFit="1" customWidth="1"/>
    <col min="37" max="37" width="11.125" style="60" bestFit="1" customWidth="1"/>
    <col min="38" max="38" width="11" style="60" customWidth="1"/>
    <col min="39" max="39" width="12.125" style="60" customWidth="1"/>
    <col min="40" max="40" width="12.5" style="63" customWidth="1"/>
    <col min="41" max="41" width="10.5" style="65" customWidth="1"/>
    <col min="42" max="42" width="13" style="66" bestFit="1" customWidth="1"/>
    <col min="43" max="43" width="13" style="66" customWidth="1"/>
    <col min="44" max="44" width="10.75" style="60" customWidth="1"/>
    <col min="45" max="16384" width="9" style="60"/>
  </cols>
  <sheetData>
    <row r="1" spans="1:43" ht="30" customHeight="1">
      <c r="A1" s="351" t="s">
        <v>664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3"/>
      <c r="AP1" s="353"/>
      <c r="AQ1" s="354"/>
    </row>
    <row r="2" spans="1:43" s="267" customFormat="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6"/>
      <c r="AP2" s="266"/>
      <c r="AQ2" s="277" t="s">
        <v>655</v>
      </c>
    </row>
    <row r="3" spans="1:43">
      <c r="A3" s="358" t="s">
        <v>22</v>
      </c>
      <c r="B3" s="355" t="s">
        <v>59</v>
      </c>
      <c r="C3" s="355" t="s">
        <v>190</v>
      </c>
      <c r="D3" s="355" t="s">
        <v>312</v>
      </c>
      <c r="E3" s="355" t="s">
        <v>313</v>
      </c>
      <c r="F3" s="355"/>
      <c r="G3" s="355"/>
      <c r="H3" s="355"/>
      <c r="I3" s="355"/>
      <c r="J3" s="355" t="s">
        <v>314</v>
      </c>
      <c r="K3" s="355"/>
      <c r="L3" s="355"/>
      <c r="M3" s="355"/>
      <c r="N3" s="355"/>
      <c r="O3" s="359" t="s">
        <v>315</v>
      </c>
      <c r="P3" s="359"/>
      <c r="Q3" s="359"/>
      <c r="R3" s="359"/>
      <c r="S3" s="359"/>
      <c r="T3" s="359" t="s">
        <v>316</v>
      </c>
      <c r="U3" s="359"/>
      <c r="V3" s="359"/>
      <c r="W3" s="359"/>
      <c r="X3" s="359"/>
      <c r="Y3" s="359" t="s">
        <v>317</v>
      </c>
      <c r="Z3" s="359"/>
      <c r="AA3" s="359"/>
      <c r="AB3" s="359"/>
      <c r="AC3" s="359"/>
      <c r="AD3" s="355" t="s">
        <v>505</v>
      </c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6" t="s">
        <v>318</v>
      </c>
      <c r="AP3" s="356" t="s">
        <v>10</v>
      </c>
      <c r="AQ3" s="350" t="s">
        <v>654</v>
      </c>
    </row>
    <row r="4" spans="1:43" ht="33.75">
      <c r="A4" s="358"/>
      <c r="B4" s="355"/>
      <c r="C4" s="355"/>
      <c r="D4" s="355"/>
      <c r="E4" s="250" t="s">
        <v>319</v>
      </c>
      <c r="F4" s="250" t="s">
        <v>320</v>
      </c>
      <c r="G4" s="250" t="s">
        <v>321</v>
      </c>
      <c r="H4" s="250" t="s">
        <v>322</v>
      </c>
      <c r="I4" s="251" t="s">
        <v>24</v>
      </c>
      <c r="J4" s="250" t="s">
        <v>319</v>
      </c>
      <c r="K4" s="250" t="s">
        <v>320</v>
      </c>
      <c r="L4" s="250" t="s">
        <v>321</v>
      </c>
      <c r="M4" s="250" t="s">
        <v>322</v>
      </c>
      <c r="N4" s="251" t="s">
        <v>24</v>
      </c>
      <c r="O4" s="250" t="s">
        <v>319</v>
      </c>
      <c r="P4" s="250" t="s">
        <v>320</v>
      </c>
      <c r="Q4" s="250" t="s">
        <v>321</v>
      </c>
      <c r="R4" s="250" t="s">
        <v>322</v>
      </c>
      <c r="S4" s="252" t="s">
        <v>24</v>
      </c>
      <c r="T4" s="250" t="s">
        <v>319</v>
      </c>
      <c r="U4" s="250" t="s">
        <v>320</v>
      </c>
      <c r="V4" s="250" t="s">
        <v>321</v>
      </c>
      <c r="W4" s="250" t="s">
        <v>322</v>
      </c>
      <c r="X4" s="252" t="s">
        <v>24</v>
      </c>
      <c r="Y4" s="250" t="s">
        <v>319</v>
      </c>
      <c r="Z4" s="250" t="s">
        <v>320</v>
      </c>
      <c r="AA4" s="250" t="s">
        <v>321</v>
      </c>
      <c r="AB4" s="250" t="s">
        <v>322</v>
      </c>
      <c r="AC4" s="251" t="s">
        <v>24</v>
      </c>
      <c r="AD4" s="250" t="s">
        <v>323</v>
      </c>
      <c r="AE4" s="250" t="s">
        <v>324</v>
      </c>
      <c r="AF4" s="250" t="s">
        <v>325</v>
      </c>
      <c r="AG4" s="250" t="s">
        <v>326</v>
      </c>
      <c r="AH4" s="250" t="s">
        <v>327</v>
      </c>
      <c r="AI4" s="250" t="s">
        <v>328</v>
      </c>
      <c r="AJ4" s="250" t="s">
        <v>329</v>
      </c>
      <c r="AK4" s="250" t="s">
        <v>330</v>
      </c>
      <c r="AL4" s="250" t="s">
        <v>331</v>
      </c>
      <c r="AM4" s="250" t="s">
        <v>332</v>
      </c>
      <c r="AN4" s="253" t="s">
        <v>333</v>
      </c>
      <c r="AO4" s="357"/>
      <c r="AP4" s="357"/>
      <c r="AQ4" s="350"/>
    </row>
    <row r="5" spans="1:43" ht="20.100000000000001" customHeight="1">
      <c r="A5" s="141" t="s">
        <v>36</v>
      </c>
      <c r="B5" s="143" t="s">
        <v>149</v>
      </c>
      <c r="C5" s="143" t="s">
        <v>334</v>
      </c>
      <c r="D5" s="144">
        <v>2</v>
      </c>
      <c r="E5" s="145">
        <v>0</v>
      </c>
      <c r="F5" s="145">
        <v>2</v>
      </c>
      <c r="G5" s="145">
        <v>21</v>
      </c>
      <c r="H5" s="145">
        <v>3</v>
      </c>
      <c r="I5" s="142">
        <f t="shared" ref="I5:I69" si="0">SUM(E5:H5)</f>
        <v>26</v>
      </c>
      <c r="J5" s="146"/>
      <c r="K5" s="146"/>
      <c r="L5" s="146"/>
      <c r="M5" s="146"/>
      <c r="N5" s="142">
        <f>SUM(J5:M5)</f>
        <v>0</v>
      </c>
      <c r="O5" s="142">
        <f>E5+J5</f>
        <v>0</v>
      </c>
      <c r="P5" s="142">
        <f t="shared" ref="P5:R14" si="1">F5+K5</f>
        <v>2</v>
      </c>
      <c r="Q5" s="142">
        <f t="shared" si="1"/>
        <v>21</v>
      </c>
      <c r="R5" s="142">
        <f t="shared" si="1"/>
        <v>3</v>
      </c>
      <c r="S5" s="147">
        <f>SUM(O5:R5)</f>
        <v>26</v>
      </c>
      <c r="T5" s="146">
        <v>0</v>
      </c>
      <c r="U5" s="146">
        <v>0</v>
      </c>
      <c r="V5" s="146">
        <v>18</v>
      </c>
      <c r="W5" s="146">
        <v>3</v>
      </c>
      <c r="X5" s="147">
        <f>SUM(T5:W5)</f>
        <v>21</v>
      </c>
      <c r="Y5" s="146">
        <v>0</v>
      </c>
      <c r="Z5" s="146">
        <v>0</v>
      </c>
      <c r="AA5" s="146">
        <v>18</v>
      </c>
      <c r="AB5" s="146">
        <v>3</v>
      </c>
      <c r="AC5" s="142">
        <f>SUM(Y5:AB5)</f>
        <v>21</v>
      </c>
      <c r="AD5" s="142">
        <f>(Y5*6800+Z5*5950+AA5*5395+AB5*4500)*12</f>
        <v>1327320</v>
      </c>
      <c r="AE5" s="142">
        <f>AC5*4320</f>
        <v>90720</v>
      </c>
      <c r="AF5" s="142">
        <f>AC5*6000</f>
        <v>126000</v>
      </c>
      <c r="AG5" s="142">
        <f>AC5*2400</f>
        <v>50400</v>
      </c>
      <c r="AH5" s="142">
        <f>AC5*10000</f>
        <v>210000</v>
      </c>
      <c r="AI5" s="142">
        <f>AC5*800</f>
        <v>16800</v>
      </c>
      <c r="AJ5" s="142">
        <f>D5*50*200</f>
        <v>20000</v>
      </c>
      <c r="AK5" s="142">
        <f>Y5*1200+Z5*1200+AA5*600+AB5*600</f>
        <v>12600</v>
      </c>
      <c r="AL5" s="142">
        <f>AC5*960</f>
        <v>20160</v>
      </c>
      <c r="AM5" s="142">
        <f>ROUND((7460*0.342*AC5*12),2)</f>
        <v>642932.64</v>
      </c>
      <c r="AN5" s="142">
        <f>ROUND(SUM(AD5:AM5),2)</f>
        <v>2516932.64</v>
      </c>
      <c r="AO5" s="148"/>
      <c r="AP5" s="149">
        <f>AN5+AO5</f>
        <v>2516932.64</v>
      </c>
      <c r="AQ5" s="149">
        <f>ROUND((AN5*0.98173)+AO5,2)</f>
        <v>2470948.2799999998</v>
      </c>
    </row>
    <row r="6" spans="1:43" ht="20.100000000000001" customHeight="1">
      <c r="A6" s="141" t="s">
        <v>36</v>
      </c>
      <c r="B6" s="143" t="s">
        <v>335</v>
      </c>
      <c r="C6" s="143" t="s">
        <v>334</v>
      </c>
      <c r="D6" s="144">
        <v>3</v>
      </c>
      <c r="E6" s="145">
        <v>0</v>
      </c>
      <c r="F6" s="145">
        <v>0</v>
      </c>
      <c r="G6" s="145">
        <v>18</v>
      </c>
      <c r="H6" s="145">
        <v>3</v>
      </c>
      <c r="I6" s="142">
        <f t="shared" si="0"/>
        <v>21</v>
      </c>
      <c r="J6" s="146"/>
      <c r="K6" s="146"/>
      <c r="L6" s="146"/>
      <c r="M6" s="146">
        <v>1</v>
      </c>
      <c r="N6" s="142">
        <f t="shared" ref="N6:N69" si="2">SUM(J6:M6)</f>
        <v>1</v>
      </c>
      <c r="O6" s="142">
        <f t="shared" ref="O6:O14" si="3">E6+J6</f>
        <v>0</v>
      </c>
      <c r="P6" s="142">
        <f t="shared" si="1"/>
        <v>0</v>
      </c>
      <c r="Q6" s="142">
        <f t="shared" si="1"/>
        <v>18</v>
      </c>
      <c r="R6" s="142">
        <f t="shared" si="1"/>
        <v>4</v>
      </c>
      <c r="S6" s="147">
        <f t="shared" ref="S6:S69" si="4">SUM(O6:R6)</f>
        <v>22</v>
      </c>
      <c r="T6" s="146">
        <v>0</v>
      </c>
      <c r="U6" s="146">
        <v>1</v>
      </c>
      <c r="V6" s="146">
        <v>16</v>
      </c>
      <c r="W6" s="146">
        <v>3</v>
      </c>
      <c r="X6" s="147">
        <f t="shared" ref="X6:X69" si="5">SUM(T6:W6)</f>
        <v>20</v>
      </c>
      <c r="Y6" s="146">
        <v>0</v>
      </c>
      <c r="Z6" s="146">
        <v>1</v>
      </c>
      <c r="AA6" s="146">
        <v>16</v>
      </c>
      <c r="AB6" s="146">
        <v>3</v>
      </c>
      <c r="AC6" s="142">
        <f t="shared" ref="AC6:AC69" si="6">SUM(Y6:AB6)</f>
        <v>20</v>
      </c>
      <c r="AD6" s="142">
        <f t="shared" ref="AD6:AD10" si="7">(Y6*6800+Z6*5950+AA6*5395+AB6*4500)*12</f>
        <v>1269240</v>
      </c>
      <c r="AE6" s="142">
        <f t="shared" ref="AE6:AE69" si="8">AC6*4320</f>
        <v>86400</v>
      </c>
      <c r="AF6" s="142">
        <f t="shared" ref="AF6:AF69" si="9">AC6*6000</f>
        <v>120000</v>
      </c>
      <c r="AG6" s="142">
        <f t="shared" ref="AG6:AG69" si="10">AC6*2400</f>
        <v>48000</v>
      </c>
      <c r="AH6" s="142">
        <f t="shared" ref="AH6:AH10" si="11">AC6*10000</f>
        <v>200000</v>
      </c>
      <c r="AI6" s="142">
        <f t="shared" ref="AI6:AI69" si="12">AC6*800</f>
        <v>16000</v>
      </c>
      <c r="AJ6" s="142">
        <f t="shared" ref="AJ6:AJ69" si="13">D6*50*200</f>
        <v>30000</v>
      </c>
      <c r="AK6" s="142">
        <f t="shared" ref="AK6:AK69" si="14">Y6*1200+Z6*1200+AA6*600+AB6*600</f>
        <v>12600</v>
      </c>
      <c r="AL6" s="142">
        <f t="shared" ref="AL6:AL69" si="15">AC6*960</f>
        <v>19200</v>
      </c>
      <c r="AM6" s="142">
        <f t="shared" ref="AM6:AM69" si="16">ROUND((7460*0.342*AC6*12),2)</f>
        <v>612316.80000000005</v>
      </c>
      <c r="AN6" s="142">
        <f t="shared" ref="AN6:AN69" si="17">ROUND(SUM(AD6:AM6),2)</f>
        <v>2413756.7999999998</v>
      </c>
      <c r="AO6" s="148"/>
      <c r="AP6" s="149">
        <f t="shared" ref="AP6:AP14" si="18">AN6+AO6</f>
        <v>2413756.7999999998</v>
      </c>
      <c r="AQ6" s="149">
        <f t="shared" ref="AQ6:AQ69" si="19">ROUND((AN6*0.98173)+AO6,2)</f>
        <v>2369657.46</v>
      </c>
    </row>
    <row r="7" spans="1:43" s="61" customFormat="1" ht="20.100000000000001" customHeight="1">
      <c r="A7" s="141" t="s">
        <v>36</v>
      </c>
      <c r="B7" s="143" t="s">
        <v>336</v>
      </c>
      <c r="C7" s="143" t="s">
        <v>334</v>
      </c>
      <c r="D7" s="144">
        <v>2</v>
      </c>
      <c r="E7" s="145">
        <v>0</v>
      </c>
      <c r="F7" s="145">
        <v>2</v>
      </c>
      <c r="G7" s="145">
        <v>21</v>
      </c>
      <c r="H7" s="145">
        <v>3</v>
      </c>
      <c r="I7" s="142">
        <f t="shared" si="0"/>
        <v>26</v>
      </c>
      <c r="J7" s="146"/>
      <c r="K7" s="146"/>
      <c r="L7" s="146"/>
      <c r="M7" s="146"/>
      <c r="N7" s="142">
        <f t="shared" si="2"/>
        <v>0</v>
      </c>
      <c r="O7" s="142">
        <f t="shared" si="3"/>
        <v>0</v>
      </c>
      <c r="P7" s="142">
        <f t="shared" si="1"/>
        <v>2</v>
      </c>
      <c r="Q7" s="142">
        <f t="shared" si="1"/>
        <v>21</v>
      </c>
      <c r="R7" s="142">
        <f t="shared" si="1"/>
        <v>3</v>
      </c>
      <c r="S7" s="147">
        <f t="shared" si="4"/>
        <v>26</v>
      </c>
      <c r="T7" s="146">
        <v>0</v>
      </c>
      <c r="U7" s="146">
        <v>2</v>
      </c>
      <c r="V7" s="146">
        <v>21</v>
      </c>
      <c r="W7" s="146">
        <v>3</v>
      </c>
      <c r="X7" s="147">
        <f t="shared" si="5"/>
        <v>26</v>
      </c>
      <c r="Y7" s="146">
        <v>0</v>
      </c>
      <c r="Z7" s="146">
        <v>2</v>
      </c>
      <c r="AA7" s="146">
        <v>21</v>
      </c>
      <c r="AB7" s="146">
        <v>3</v>
      </c>
      <c r="AC7" s="142">
        <f t="shared" si="6"/>
        <v>26</v>
      </c>
      <c r="AD7" s="142">
        <f t="shared" si="7"/>
        <v>1664340</v>
      </c>
      <c r="AE7" s="142">
        <f t="shared" si="8"/>
        <v>112320</v>
      </c>
      <c r="AF7" s="142">
        <f t="shared" si="9"/>
        <v>156000</v>
      </c>
      <c r="AG7" s="142">
        <f t="shared" si="10"/>
        <v>62400</v>
      </c>
      <c r="AH7" s="142">
        <f t="shared" si="11"/>
        <v>260000</v>
      </c>
      <c r="AI7" s="142">
        <f t="shared" si="12"/>
        <v>20800</v>
      </c>
      <c r="AJ7" s="142">
        <f t="shared" si="13"/>
        <v>20000</v>
      </c>
      <c r="AK7" s="142">
        <f t="shared" si="14"/>
        <v>16800</v>
      </c>
      <c r="AL7" s="142">
        <f t="shared" si="15"/>
        <v>24960</v>
      </c>
      <c r="AM7" s="142">
        <f t="shared" si="16"/>
        <v>796011.84</v>
      </c>
      <c r="AN7" s="142">
        <f t="shared" si="17"/>
        <v>3133631.84</v>
      </c>
      <c r="AO7" s="150"/>
      <c r="AP7" s="149">
        <f t="shared" si="18"/>
        <v>3133631.84</v>
      </c>
      <c r="AQ7" s="149">
        <f t="shared" si="19"/>
        <v>3076380.39</v>
      </c>
    </row>
    <row r="8" spans="1:43" ht="20.100000000000001" customHeight="1">
      <c r="A8" s="141" t="s">
        <v>36</v>
      </c>
      <c r="B8" s="143" t="s">
        <v>150</v>
      </c>
      <c r="C8" s="143" t="s">
        <v>334</v>
      </c>
      <c r="D8" s="144">
        <v>2</v>
      </c>
      <c r="E8" s="145">
        <v>0</v>
      </c>
      <c r="F8" s="145">
        <v>0</v>
      </c>
      <c r="G8" s="145">
        <v>26</v>
      </c>
      <c r="H8" s="145">
        <v>3</v>
      </c>
      <c r="I8" s="142">
        <f t="shared" si="0"/>
        <v>29</v>
      </c>
      <c r="J8" s="146"/>
      <c r="K8" s="146"/>
      <c r="L8" s="146"/>
      <c r="M8" s="146">
        <v>1</v>
      </c>
      <c r="N8" s="142">
        <f t="shared" si="2"/>
        <v>1</v>
      </c>
      <c r="O8" s="142">
        <f t="shared" si="3"/>
        <v>0</v>
      </c>
      <c r="P8" s="142">
        <f t="shared" si="1"/>
        <v>0</v>
      </c>
      <c r="Q8" s="142">
        <f t="shared" si="1"/>
        <v>26</v>
      </c>
      <c r="R8" s="142">
        <f t="shared" si="1"/>
        <v>4</v>
      </c>
      <c r="S8" s="147">
        <f t="shared" si="4"/>
        <v>30</v>
      </c>
      <c r="T8" s="146">
        <v>0</v>
      </c>
      <c r="U8" s="146">
        <v>0</v>
      </c>
      <c r="V8" s="146">
        <v>26</v>
      </c>
      <c r="W8" s="146">
        <v>3</v>
      </c>
      <c r="X8" s="147">
        <f t="shared" si="5"/>
        <v>29</v>
      </c>
      <c r="Y8" s="146">
        <v>0</v>
      </c>
      <c r="Z8" s="146">
        <v>0</v>
      </c>
      <c r="AA8" s="146">
        <v>26</v>
      </c>
      <c r="AB8" s="146">
        <v>3</v>
      </c>
      <c r="AC8" s="142">
        <f t="shared" si="6"/>
        <v>29</v>
      </c>
      <c r="AD8" s="142">
        <f t="shared" si="7"/>
        <v>1845240</v>
      </c>
      <c r="AE8" s="142">
        <f t="shared" si="8"/>
        <v>125280</v>
      </c>
      <c r="AF8" s="142">
        <f t="shared" si="9"/>
        <v>174000</v>
      </c>
      <c r="AG8" s="142">
        <f t="shared" si="10"/>
        <v>69600</v>
      </c>
      <c r="AH8" s="142">
        <f t="shared" si="11"/>
        <v>290000</v>
      </c>
      <c r="AI8" s="142">
        <f t="shared" si="12"/>
        <v>23200</v>
      </c>
      <c r="AJ8" s="142">
        <f t="shared" si="13"/>
        <v>20000</v>
      </c>
      <c r="AK8" s="142">
        <f t="shared" si="14"/>
        <v>17400</v>
      </c>
      <c r="AL8" s="142">
        <f t="shared" si="15"/>
        <v>27840</v>
      </c>
      <c r="AM8" s="142">
        <f t="shared" si="16"/>
        <v>887859.36</v>
      </c>
      <c r="AN8" s="142">
        <f t="shared" si="17"/>
        <v>3480419.36</v>
      </c>
      <c r="AO8" s="148"/>
      <c r="AP8" s="149">
        <f t="shared" si="18"/>
        <v>3480419.36</v>
      </c>
      <c r="AQ8" s="149">
        <f t="shared" si="19"/>
        <v>3416832.1</v>
      </c>
    </row>
    <row r="9" spans="1:43" ht="20.100000000000001" customHeight="1">
      <c r="A9" s="141" t="s">
        <v>36</v>
      </c>
      <c r="B9" s="143" t="s">
        <v>119</v>
      </c>
      <c r="C9" s="143" t="s">
        <v>37</v>
      </c>
      <c r="D9" s="144"/>
      <c r="E9" s="145">
        <v>2</v>
      </c>
      <c r="F9" s="145">
        <v>9</v>
      </c>
      <c r="G9" s="145">
        <v>0</v>
      </c>
      <c r="H9" s="145">
        <v>6</v>
      </c>
      <c r="I9" s="142">
        <f t="shared" si="0"/>
        <v>17</v>
      </c>
      <c r="J9" s="146"/>
      <c r="K9" s="146"/>
      <c r="L9" s="146"/>
      <c r="M9" s="146"/>
      <c r="N9" s="142">
        <f t="shared" si="2"/>
        <v>0</v>
      </c>
      <c r="O9" s="142">
        <f t="shared" si="3"/>
        <v>2</v>
      </c>
      <c r="P9" s="142">
        <f t="shared" si="1"/>
        <v>9</v>
      </c>
      <c r="Q9" s="142">
        <f t="shared" si="1"/>
        <v>0</v>
      </c>
      <c r="R9" s="142">
        <f t="shared" si="1"/>
        <v>6</v>
      </c>
      <c r="S9" s="147">
        <f t="shared" si="4"/>
        <v>17</v>
      </c>
      <c r="T9" s="146">
        <v>3</v>
      </c>
      <c r="U9" s="146">
        <v>3</v>
      </c>
      <c r="V9" s="146">
        <v>1</v>
      </c>
      <c r="W9" s="146">
        <v>1</v>
      </c>
      <c r="X9" s="147">
        <f t="shared" si="5"/>
        <v>8</v>
      </c>
      <c r="Y9" s="146">
        <v>3</v>
      </c>
      <c r="Z9" s="146">
        <v>3</v>
      </c>
      <c r="AA9" s="146">
        <v>1</v>
      </c>
      <c r="AB9" s="146">
        <v>1</v>
      </c>
      <c r="AC9" s="142">
        <f t="shared" si="6"/>
        <v>8</v>
      </c>
      <c r="AD9" s="142">
        <f t="shared" si="7"/>
        <v>577740</v>
      </c>
      <c r="AE9" s="142">
        <f t="shared" si="8"/>
        <v>34560</v>
      </c>
      <c r="AF9" s="142">
        <f t="shared" si="9"/>
        <v>48000</v>
      </c>
      <c r="AG9" s="142">
        <f t="shared" si="10"/>
        <v>19200</v>
      </c>
      <c r="AH9" s="142">
        <f t="shared" si="11"/>
        <v>80000</v>
      </c>
      <c r="AI9" s="142">
        <f t="shared" si="12"/>
        <v>6400</v>
      </c>
      <c r="AJ9" s="142">
        <f t="shared" si="13"/>
        <v>0</v>
      </c>
      <c r="AK9" s="142">
        <f t="shared" si="14"/>
        <v>8400</v>
      </c>
      <c r="AL9" s="142">
        <f t="shared" si="15"/>
        <v>7680</v>
      </c>
      <c r="AM9" s="142">
        <f t="shared" si="16"/>
        <v>244926.72</v>
      </c>
      <c r="AN9" s="142">
        <f t="shared" si="17"/>
        <v>1026906.72</v>
      </c>
      <c r="AO9" s="148">
        <v>18364</v>
      </c>
      <c r="AP9" s="148">
        <f t="shared" si="18"/>
        <v>1045270.72</v>
      </c>
      <c r="AQ9" s="149">
        <f t="shared" si="19"/>
        <v>1026509.13</v>
      </c>
    </row>
    <row r="10" spans="1:43" ht="20.100000000000001" customHeight="1">
      <c r="A10" s="141" t="s">
        <v>36</v>
      </c>
      <c r="B10" s="143" t="s">
        <v>337</v>
      </c>
      <c r="C10" s="143" t="s">
        <v>37</v>
      </c>
      <c r="D10" s="144"/>
      <c r="E10" s="145">
        <v>14</v>
      </c>
      <c r="F10" s="145">
        <v>9</v>
      </c>
      <c r="G10" s="145">
        <v>0</v>
      </c>
      <c r="H10" s="145">
        <v>6</v>
      </c>
      <c r="I10" s="142">
        <f t="shared" si="0"/>
        <v>29</v>
      </c>
      <c r="J10" s="146">
        <v>4</v>
      </c>
      <c r="K10" s="146"/>
      <c r="L10" s="146"/>
      <c r="M10" s="146"/>
      <c r="N10" s="142">
        <f t="shared" si="2"/>
        <v>4</v>
      </c>
      <c r="O10" s="142">
        <f t="shared" si="3"/>
        <v>18</v>
      </c>
      <c r="P10" s="142">
        <f t="shared" si="1"/>
        <v>9</v>
      </c>
      <c r="Q10" s="142">
        <f t="shared" si="1"/>
        <v>0</v>
      </c>
      <c r="R10" s="142">
        <f t="shared" si="1"/>
        <v>6</v>
      </c>
      <c r="S10" s="147">
        <f t="shared" si="4"/>
        <v>33</v>
      </c>
      <c r="T10" s="146">
        <v>7</v>
      </c>
      <c r="U10" s="146">
        <v>2</v>
      </c>
      <c r="V10" s="146">
        <v>0</v>
      </c>
      <c r="W10" s="146">
        <v>7</v>
      </c>
      <c r="X10" s="147">
        <f t="shared" si="5"/>
        <v>16</v>
      </c>
      <c r="Y10" s="146">
        <v>7</v>
      </c>
      <c r="Z10" s="146">
        <v>2</v>
      </c>
      <c r="AA10" s="146">
        <v>0</v>
      </c>
      <c r="AB10" s="146">
        <v>7</v>
      </c>
      <c r="AC10" s="142">
        <f t="shared" si="6"/>
        <v>16</v>
      </c>
      <c r="AD10" s="142">
        <f t="shared" si="7"/>
        <v>1092000</v>
      </c>
      <c r="AE10" s="142">
        <f t="shared" si="8"/>
        <v>69120</v>
      </c>
      <c r="AF10" s="142">
        <f t="shared" si="9"/>
        <v>96000</v>
      </c>
      <c r="AG10" s="142">
        <f t="shared" si="10"/>
        <v>38400</v>
      </c>
      <c r="AH10" s="142">
        <f t="shared" si="11"/>
        <v>160000</v>
      </c>
      <c r="AI10" s="142">
        <f t="shared" si="12"/>
        <v>12800</v>
      </c>
      <c r="AJ10" s="142">
        <f t="shared" si="13"/>
        <v>0</v>
      </c>
      <c r="AK10" s="142">
        <f t="shared" si="14"/>
        <v>15000</v>
      </c>
      <c r="AL10" s="142">
        <f t="shared" si="15"/>
        <v>15360</v>
      </c>
      <c r="AM10" s="142">
        <f t="shared" si="16"/>
        <v>489853.44</v>
      </c>
      <c r="AN10" s="142">
        <f t="shared" si="17"/>
        <v>1988533.44</v>
      </c>
      <c r="AO10" s="148">
        <v>72314</v>
      </c>
      <c r="AP10" s="148">
        <f t="shared" si="18"/>
        <v>2060847.44</v>
      </c>
      <c r="AQ10" s="149">
        <f t="shared" si="19"/>
        <v>2024516.93</v>
      </c>
    </row>
    <row r="11" spans="1:43" s="61" customFormat="1" ht="20.100000000000001" customHeight="1">
      <c r="A11" s="141" t="s">
        <v>36</v>
      </c>
      <c r="B11" s="143" t="s">
        <v>122</v>
      </c>
      <c r="C11" s="143" t="s">
        <v>66</v>
      </c>
      <c r="D11" s="144"/>
      <c r="E11" s="145">
        <v>7</v>
      </c>
      <c r="F11" s="145">
        <v>9</v>
      </c>
      <c r="G11" s="145">
        <v>0</v>
      </c>
      <c r="H11" s="145">
        <v>5</v>
      </c>
      <c r="I11" s="142">
        <f t="shared" si="0"/>
        <v>21</v>
      </c>
      <c r="J11" s="146">
        <v>6</v>
      </c>
      <c r="K11" s="146"/>
      <c r="L11" s="146"/>
      <c r="M11" s="146"/>
      <c r="N11" s="142">
        <f t="shared" si="2"/>
        <v>6</v>
      </c>
      <c r="O11" s="142">
        <f t="shared" si="3"/>
        <v>13</v>
      </c>
      <c r="P11" s="142">
        <f t="shared" si="1"/>
        <v>9</v>
      </c>
      <c r="Q11" s="142">
        <f t="shared" si="1"/>
        <v>0</v>
      </c>
      <c r="R11" s="142">
        <f t="shared" si="1"/>
        <v>5</v>
      </c>
      <c r="S11" s="147">
        <f t="shared" si="4"/>
        <v>27</v>
      </c>
      <c r="T11" s="146">
        <v>6</v>
      </c>
      <c r="U11" s="146">
        <v>8</v>
      </c>
      <c r="V11" s="146">
        <v>0</v>
      </c>
      <c r="W11" s="146">
        <v>5</v>
      </c>
      <c r="X11" s="147">
        <f t="shared" si="5"/>
        <v>19</v>
      </c>
      <c r="Y11" s="146">
        <v>6</v>
      </c>
      <c r="Z11" s="146">
        <v>8</v>
      </c>
      <c r="AA11" s="146">
        <v>0</v>
      </c>
      <c r="AB11" s="146">
        <v>5</v>
      </c>
      <c r="AC11" s="142">
        <f t="shared" si="6"/>
        <v>19</v>
      </c>
      <c r="AD11" s="142">
        <f>(Y11*7700+Z11*5950+AA11*5395+AB11*4500)*12</f>
        <v>1395600</v>
      </c>
      <c r="AE11" s="142">
        <f t="shared" si="8"/>
        <v>82080</v>
      </c>
      <c r="AF11" s="142">
        <f t="shared" si="9"/>
        <v>114000</v>
      </c>
      <c r="AG11" s="142">
        <f t="shared" si="10"/>
        <v>45600</v>
      </c>
      <c r="AH11" s="142">
        <f>(Y11*16000)+(Z11*10000+AA11*10000+AB11*10000)</f>
        <v>226000</v>
      </c>
      <c r="AI11" s="142">
        <f t="shared" si="12"/>
        <v>15200</v>
      </c>
      <c r="AJ11" s="142">
        <f t="shared" si="13"/>
        <v>0</v>
      </c>
      <c r="AK11" s="142">
        <f t="shared" si="14"/>
        <v>19800</v>
      </c>
      <c r="AL11" s="142">
        <f t="shared" si="15"/>
        <v>18240</v>
      </c>
      <c r="AM11" s="142">
        <f t="shared" si="16"/>
        <v>581700.96</v>
      </c>
      <c r="AN11" s="142">
        <f t="shared" si="17"/>
        <v>2498220.96</v>
      </c>
      <c r="AO11" s="150">
        <v>70955.5</v>
      </c>
      <c r="AP11" s="148">
        <f t="shared" si="18"/>
        <v>2569176.46</v>
      </c>
      <c r="AQ11" s="149">
        <f t="shared" si="19"/>
        <v>2523533.96</v>
      </c>
    </row>
    <row r="12" spans="1:43" ht="20.100000000000001" customHeight="1">
      <c r="A12" s="141" t="s">
        <v>36</v>
      </c>
      <c r="B12" s="143" t="s">
        <v>123</v>
      </c>
      <c r="C12" s="143" t="s">
        <v>66</v>
      </c>
      <c r="D12" s="144"/>
      <c r="E12" s="145">
        <v>0</v>
      </c>
      <c r="F12" s="145">
        <v>9</v>
      </c>
      <c r="G12" s="145">
        <v>0</v>
      </c>
      <c r="H12" s="145">
        <v>5</v>
      </c>
      <c r="I12" s="142">
        <f t="shared" si="0"/>
        <v>14</v>
      </c>
      <c r="J12" s="146">
        <v>1</v>
      </c>
      <c r="K12" s="146"/>
      <c r="L12" s="146"/>
      <c r="M12" s="146"/>
      <c r="N12" s="142">
        <f t="shared" si="2"/>
        <v>1</v>
      </c>
      <c r="O12" s="142">
        <f t="shared" si="3"/>
        <v>1</v>
      </c>
      <c r="P12" s="142">
        <f t="shared" si="1"/>
        <v>9</v>
      </c>
      <c r="Q12" s="142">
        <f t="shared" si="1"/>
        <v>0</v>
      </c>
      <c r="R12" s="142">
        <f t="shared" si="1"/>
        <v>5</v>
      </c>
      <c r="S12" s="147">
        <f t="shared" si="4"/>
        <v>15</v>
      </c>
      <c r="T12" s="146">
        <v>1</v>
      </c>
      <c r="U12" s="146">
        <v>0</v>
      </c>
      <c r="V12" s="146">
        <v>0</v>
      </c>
      <c r="W12" s="146">
        <v>6</v>
      </c>
      <c r="X12" s="147">
        <f t="shared" si="5"/>
        <v>7</v>
      </c>
      <c r="Y12" s="146">
        <v>1</v>
      </c>
      <c r="Z12" s="146">
        <v>0</v>
      </c>
      <c r="AA12" s="146">
        <v>0</v>
      </c>
      <c r="AB12" s="146">
        <v>6</v>
      </c>
      <c r="AC12" s="142">
        <f t="shared" si="6"/>
        <v>7</v>
      </c>
      <c r="AD12" s="142">
        <f>(Y12*7700+Z12*5950+AA12*5395+AB12*4500)*12</f>
        <v>416400</v>
      </c>
      <c r="AE12" s="142">
        <f t="shared" si="8"/>
        <v>30240</v>
      </c>
      <c r="AF12" s="142">
        <f t="shared" si="9"/>
        <v>42000</v>
      </c>
      <c r="AG12" s="142">
        <f t="shared" si="10"/>
        <v>16800</v>
      </c>
      <c r="AH12" s="142">
        <f t="shared" ref="AH12:AH13" si="20">(Y12*16000)+(Z12*10000+AA12*10000+AB12*10000)</f>
        <v>76000</v>
      </c>
      <c r="AI12" s="142">
        <f t="shared" si="12"/>
        <v>5600</v>
      </c>
      <c r="AJ12" s="142">
        <f t="shared" si="13"/>
        <v>0</v>
      </c>
      <c r="AK12" s="142">
        <f t="shared" si="14"/>
        <v>4800</v>
      </c>
      <c r="AL12" s="142">
        <f t="shared" si="15"/>
        <v>6720</v>
      </c>
      <c r="AM12" s="142">
        <f t="shared" si="16"/>
        <v>214310.88</v>
      </c>
      <c r="AN12" s="142">
        <f t="shared" si="17"/>
        <v>812870.88</v>
      </c>
      <c r="AO12" s="148">
        <v>8160</v>
      </c>
      <c r="AP12" s="148">
        <f t="shared" si="18"/>
        <v>821030.88</v>
      </c>
      <c r="AQ12" s="149">
        <f t="shared" si="19"/>
        <v>806179.73</v>
      </c>
    </row>
    <row r="13" spans="1:43" s="61" customFormat="1" ht="20.100000000000001" customHeight="1">
      <c r="A13" s="141" t="s">
        <v>36</v>
      </c>
      <c r="B13" s="151" t="s">
        <v>121</v>
      </c>
      <c r="C13" s="143" t="s">
        <v>65</v>
      </c>
      <c r="D13" s="144"/>
      <c r="E13" s="145">
        <v>0</v>
      </c>
      <c r="F13" s="145">
        <v>11</v>
      </c>
      <c r="G13" s="145">
        <v>0</v>
      </c>
      <c r="H13" s="145">
        <v>6</v>
      </c>
      <c r="I13" s="142">
        <f t="shared" si="0"/>
        <v>17</v>
      </c>
      <c r="J13" s="146"/>
      <c r="K13" s="146"/>
      <c r="L13" s="146"/>
      <c r="M13" s="146"/>
      <c r="N13" s="142">
        <f t="shared" si="2"/>
        <v>0</v>
      </c>
      <c r="O13" s="142">
        <f t="shared" si="3"/>
        <v>0</v>
      </c>
      <c r="P13" s="142">
        <f t="shared" si="1"/>
        <v>11</v>
      </c>
      <c r="Q13" s="142">
        <f t="shared" si="1"/>
        <v>0</v>
      </c>
      <c r="R13" s="142">
        <f t="shared" si="1"/>
        <v>6</v>
      </c>
      <c r="S13" s="147">
        <f t="shared" si="4"/>
        <v>17</v>
      </c>
      <c r="T13" s="146">
        <v>2</v>
      </c>
      <c r="U13" s="145">
        <v>11</v>
      </c>
      <c r="V13" s="146">
        <v>0</v>
      </c>
      <c r="W13" s="146">
        <v>6</v>
      </c>
      <c r="X13" s="147">
        <f t="shared" si="5"/>
        <v>19</v>
      </c>
      <c r="Y13" s="146">
        <v>0</v>
      </c>
      <c r="Z13" s="145">
        <v>11</v>
      </c>
      <c r="AA13" s="146">
        <v>0</v>
      </c>
      <c r="AB13" s="146">
        <v>6</v>
      </c>
      <c r="AC13" s="142">
        <f t="shared" si="6"/>
        <v>17</v>
      </c>
      <c r="AD13" s="142">
        <f>(Y13*7250+Z13*5950+AA13*5395+AB13*4500)*12</f>
        <v>1109400</v>
      </c>
      <c r="AE13" s="142">
        <f t="shared" si="8"/>
        <v>73440</v>
      </c>
      <c r="AF13" s="142">
        <f t="shared" si="9"/>
        <v>102000</v>
      </c>
      <c r="AG13" s="142">
        <f t="shared" si="10"/>
        <v>40800</v>
      </c>
      <c r="AH13" s="142">
        <f t="shared" si="20"/>
        <v>170000</v>
      </c>
      <c r="AI13" s="142">
        <f t="shared" si="12"/>
        <v>13600</v>
      </c>
      <c r="AJ13" s="142">
        <f t="shared" si="13"/>
        <v>0</v>
      </c>
      <c r="AK13" s="142">
        <f t="shared" si="14"/>
        <v>16800</v>
      </c>
      <c r="AL13" s="142">
        <f t="shared" si="15"/>
        <v>16320</v>
      </c>
      <c r="AM13" s="142">
        <f t="shared" si="16"/>
        <v>520469.28</v>
      </c>
      <c r="AN13" s="142">
        <f t="shared" si="17"/>
        <v>2062829.28</v>
      </c>
      <c r="AO13" s="150">
        <v>6885</v>
      </c>
      <c r="AP13" s="148">
        <f t="shared" si="18"/>
        <v>2069714.28</v>
      </c>
      <c r="AQ13" s="149">
        <f t="shared" si="19"/>
        <v>2032026.39</v>
      </c>
    </row>
    <row r="14" spans="1:43" s="61" customFormat="1" ht="20.100000000000001" customHeight="1">
      <c r="A14" s="141"/>
      <c r="B14" s="143" t="s">
        <v>338</v>
      </c>
      <c r="C14" s="143" t="s">
        <v>334</v>
      </c>
      <c r="D14" s="144">
        <v>1</v>
      </c>
      <c r="E14" s="145">
        <v>0</v>
      </c>
      <c r="F14" s="145">
        <v>1</v>
      </c>
      <c r="G14" s="145">
        <v>3</v>
      </c>
      <c r="H14" s="145">
        <v>1</v>
      </c>
      <c r="I14" s="142">
        <f t="shared" si="0"/>
        <v>5</v>
      </c>
      <c r="J14" s="146"/>
      <c r="K14" s="146"/>
      <c r="L14" s="146">
        <v>3</v>
      </c>
      <c r="M14" s="146"/>
      <c r="N14" s="142">
        <f t="shared" si="2"/>
        <v>3</v>
      </c>
      <c r="O14" s="142">
        <f t="shared" si="3"/>
        <v>0</v>
      </c>
      <c r="P14" s="142">
        <f t="shared" si="1"/>
        <v>1</v>
      </c>
      <c r="Q14" s="142">
        <f t="shared" si="1"/>
        <v>6</v>
      </c>
      <c r="R14" s="142">
        <f t="shared" si="1"/>
        <v>1</v>
      </c>
      <c r="S14" s="147">
        <f t="shared" si="4"/>
        <v>8</v>
      </c>
      <c r="T14" s="146">
        <v>0</v>
      </c>
      <c r="U14" s="145">
        <v>1</v>
      </c>
      <c r="V14" s="146">
        <v>7</v>
      </c>
      <c r="W14" s="146">
        <v>0</v>
      </c>
      <c r="X14" s="147">
        <f t="shared" si="5"/>
        <v>8</v>
      </c>
      <c r="Y14" s="146">
        <v>0</v>
      </c>
      <c r="Z14" s="145">
        <v>1</v>
      </c>
      <c r="AA14" s="146">
        <v>7</v>
      </c>
      <c r="AB14" s="146">
        <v>0</v>
      </c>
      <c r="AC14" s="142">
        <f t="shared" si="6"/>
        <v>8</v>
      </c>
      <c r="AD14" s="142">
        <f>(Y14*6800+Z14*5950+AA14*5395+AB14*4500)*12</f>
        <v>524580</v>
      </c>
      <c r="AE14" s="142">
        <f t="shared" si="8"/>
        <v>34560</v>
      </c>
      <c r="AF14" s="142">
        <f t="shared" si="9"/>
        <v>48000</v>
      </c>
      <c r="AG14" s="142">
        <f t="shared" si="10"/>
        <v>19200</v>
      </c>
      <c r="AH14" s="142">
        <f>AC14*10000</f>
        <v>80000</v>
      </c>
      <c r="AI14" s="142">
        <f t="shared" si="12"/>
        <v>6400</v>
      </c>
      <c r="AJ14" s="142">
        <f t="shared" si="13"/>
        <v>10000</v>
      </c>
      <c r="AK14" s="142">
        <f t="shared" si="14"/>
        <v>5400</v>
      </c>
      <c r="AL14" s="142">
        <f t="shared" si="15"/>
        <v>7680</v>
      </c>
      <c r="AM14" s="142">
        <f t="shared" si="16"/>
        <v>244926.72</v>
      </c>
      <c r="AN14" s="142">
        <f t="shared" si="17"/>
        <v>980746.72</v>
      </c>
      <c r="AO14" s="150"/>
      <c r="AP14" s="149">
        <f t="shared" si="18"/>
        <v>980746.72</v>
      </c>
      <c r="AQ14" s="149">
        <f t="shared" si="19"/>
        <v>962828.48</v>
      </c>
    </row>
    <row r="15" spans="1:43" ht="20.100000000000001" customHeight="1">
      <c r="A15" s="143"/>
      <c r="B15" s="254" t="s">
        <v>47</v>
      </c>
      <c r="C15" s="254"/>
      <c r="D15" s="253">
        <f>SUM(D5:D14)</f>
        <v>10</v>
      </c>
      <c r="E15" s="253">
        <f t="shared" ref="E15:AQ15" si="21">SUM(E5:E14)</f>
        <v>23</v>
      </c>
      <c r="F15" s="253">
        <f t="shared" si="21"/>
        <v>52</v>
      </c>
      <c r="G15" s="253">
        <f t="shared" si="21"/>
        <v>89</v>
      </c>
      <c r="H15" s="253">
        <f t="shared" si="21"/>
        <v>41</v>
      </c>
      <c r="I15" s="253">
        <f t="shared" si="21"/>
        <v>205</v>
      </c>
      <c r="J15" s="253">
        <f t="shared" si="21"/>
        <v>11</v>
      </c>
      <c r="K15" s="253">
        <f t="shared" si="21"/>
        <v>0</v>
      </c>
      <c r="L15" s="253">
        <f t="shared" si="21"/>
        <v>3</v>
      </c>
      <c r="M15" s="253">
        <f t="shared" si="21"/>
        <v>2</v>
      </c>
      <c r="N15" s="253">
        <f t="shared" si="21"/>
        <v>16</v>
      </c>
      <c r="O15" s="253">
        <f t="shared" si="21"/>
        <v>34</v>
      </c>
      <c r="P15" s="253">
        <f t="shared" si="21"/>
        <v>52</v>
      </c>
      <c r="Q15" s="253">
        <f t="shared" si="21"/>
        <v>92</v>
      </c>
      <c r="R15" s="253">
        <f t="shared" si="21"/>
        <v>43</v>
      </c>
      <c r="S15" s="253">
        <f t="shared" si="21"/>
        <v>221</v>
      </c>
      <c r="T15" s="253">
        <f t="shared" si="21"/>
        <v>19</v>
      </c>
      <c r="U15" s="253">
        <f t="shared" si="21"/>
        <v>28</v>
      </c>
      <c r="V15" s="253">
        <f t="shared" si="21"/>
        <v>89</v>
      </c>
      <c r="W15" s="253">
        <f t="shared" si="21"/>
        <v>37</v>
      </c>
      <c r="X15" s="253">
        <f t="shared" si="21"/>
        <v>173</v>
      </c>
      <c r="Y15" s="253">
        <f t="shared" si="21"/>
        <v>17</v>
      </c>
      <c r="Z15" s="253">
        <f t="shared" si="21"/>
        <v>28</v>
      </c>
      <c r="AA15" s="253">
        <f t="shared" si="21"/>
        <v>89</v>
      </c>
      <c r="AB15" s="253">
        <f t="shared" si="21"/>
        <v>37</v>
      </c>
      <c r="AC15" s="253">
        <f t="shared" si="21"/>
        <v>171</v>
      </c>
      <c r="AD15" s="253">
        <f t="shared" si="21"/>
        <v>11221860</v>
      </c>
      <c r="AE15" s="253">
        <f t="shared" si="21"/>
        <v>738720</v>
      </c>
      <c r="AF15" s="253">
        <f t="shared" si="21"/>
        <v>1026000</v>
      </c>
      <c r="AG15" s="253">
        <f t="shared" si="21"/>
        <v>410400</v>
      </c>
      <c r="AH15" s="253">
        <f t="shared" si="21"/>
        <v>1752000</v>
      </c>
      <c r="AI15" s="253">
        <f t="shared" si="21"/>
        <v>136800</v>
      </c>
      <c r="AJ15" s="253">
        <f t="shared" si="21"/>
        <v>100000</v>
      </c>
      <c r="AK15" s="253">
        <f t="shared" si="21"/>
        <v>129600</v>
      </c>
      <c r="AL15" s="253">
        <f t="shared" si="21"/>
        <v>164160</v>
      </c>
      <c r="AM15" s="253">
        <f t="shared" si="21"/>
        <v>5235308.6399999997</v>
      </c>
      <c r="AN15" s="253">
        <f t="shared" si="21"/>
        <v>20914848.639999997</v>
      </c>
      <c r="AO15" s="253">
        <f t="shared" si="21"/>
        <v>176678.5</v>
      </c>
      <c r="AP15" s="253">
        <f t="shared" si="21"/>
        <v>21091527.139999997</v>
      </c>
      <c r="AQ15" s="253">
        <f t="shared" si="21"/>
        <v>20709412.850000001</v>
      </c>
    </row>
    <row r="16" spans="1:43" ht="20.100000000000001" customHeight="1">
      <c r="A16" s="141" t="s">
        <v>33</v>
      </c>
      <c r="B16" s="143" t="s">
        <v>339</v>
      </c>
      <c r="C16" s="143" t="s">
        <v>334</v>
      </c>
      <c r="D16" s="144">
        <v>2</v>
      </c>
      <c r="E16" s="145">
        <v>3</v>
      </c>
      <c r="F16" s="145">
        <v>3</v>
      </c>
      <c r="G16" s="145">
        <v>27</v>
      </c>
      <c r="H16" s="145">
        <v>3</v>
      </c>
      <c r="I16" s="142">
        <f t="shared" si="0"/>
        <v>36</v>
      </c>
      <c r="J16" s="146"/>
      <c r="K16" s="146"/>
      <c r="L16" s="146"/>
      <c r="M16" s="146"/>
      <c r="N16" s="142">
        <f t="shared" si="2"/>
        <v>0</v>
      </c>
      <c r="O16" s="142">
        <f>E16+J16</f>
        <v>3</v>
      </c>
      <c r="P16" s="142">
        <f t="shared" ref="P16:R23" si="22">F16+K16</f>
        <v>3</v>
      </c>
      <c r="Q16" s="142">
        <f t="shared" si="22"/>
        <v>27</v>
      </c>
      <c r="R16" s="142">
        <f t="shared" si="22"/>
        <v>3</v>
      </c>
      <c r="S16" s="147">
        <f t="shared" si="4"/>
        <v>36</v>
      </c>
      <c r="T16" s="144">
        <v>0</v>
      </c>
      <c r="U16" s="144">
        <v>5</v>
      </c>
      <c r="V16" s="144">
        <v>25</v>
      </c>
      <c r="W16" s="144">
        <v>3</v>
      </c>
      <c r="X16" s="147">
        <f t="shared" si="5"/>
        <v>33</v>
      </c>
      <c r="Y16" s="144">
        <v>0</v>
      </c>
      <c r="Z16" s="144">
        <v>5</v>
      </c>
      <c r="AA16" s="144">
        <v>25</v>
      </c>
      <c r="AB16" s="144">
        <v>3</v>
      </c>
      <c r="AC16" s="142">
        <f t="shared" si="6"/>
        <v>33</v>
      </c>
      <c r="AD16" s="142">
        <f t="shared" ref="AD16:AD19" si="23">(Y16*6800+Z16*5950+AA16*5395+AB16*4500)*12</f>
        <v>2137500</v>
      </c>
      <c r="AE16" s="142">
        <f t="shared" si="8"/>
        <v>142560</v>
      </c>
      <c r="AF16" s="142">
        <f t="shared" si="9"/>
        <v>198000</v>
      </c>
      <c r="AG16" s="142">
        <f t="shared" si="10"/>
        <v>79200</v>
      </c>
      <c r="AH16" s="142">
        <f t="shared" ref="AH16:AH19" si="24">AC16*10000</f>
        <v>330000</v>
      </c>
      <c r="AI16" s="142">
        <f t="shared" si="12"/>
        <v>26400</v>
      </c>
      <c r="AJ16" s="142">
        <f t="shared" si="13"/>
        <v>20000</v>
      </c>
      <c r="AK16" s="142">
        <f t="shared" si="14"/>
        <v>22800</v>
      </c>
      <c r="AL16" s="142">
        <f t="shared" si="15"/>
        <v>31680</v>
      </c>
      <c r="AM16" s="142">
        <f t="shared" si="16"/>
        <v>1010322.72</v>
      </c>
      <c r="AN16" s="142">
        <f t="shared" si="17"/>
        <v>3998462.72</v>
      </c>
      <c r="AO16" s="148"/>
      <c r="AP16" s="149">
        <f>AN16+AO16</f>
        <v>3998462.72</v>
      </c>
      <c r="AQ16" s="149">
        <f t="shared" si="19"/>
        <v>3925410.81</v>
      </c>
    </row>
    <row r="17" spans="1:43" ht="20.100000000000001" customHeight="1">
      <c r="A17" s="141" t="s">
        <v>33</v>
      </c>
      <c r="B17" s="143" t="s">
        <v>144</v>
      </c>
      <c r="C17" s="143" t="s">
        <v>334</v>
      </c>
      <c r="D17" s="144">
        <v>1</v>
      </c>
      <c r="E17" s="145">
        <v>1</v>
      </c>
      <c r="F17" s="145">
        <v>2</v>
      </c>
      <c r="G17" s="145">
        <v>15</v>
      </c>
      <c r="H17" s="145">
        <v>2</v>
      </c>
      <c r="I17" s="142">
        <f t="shared" si="0"/>
        <v>20</v>
      </c>
      <c r="J17" s="146"/>
      <c r="K17" s="146"/>
      <c r="L17" s="146"/>
      <c r="M17" s="146"/>
      <c r="N17" s="142">
        <f t="shared" si="2"/>
        <v>0</v>
      </c>
      <c r="O17" s="142">
        <f t="shared" ref="O17:O23" si="25">E17+J17</f>
        <v>1</v>
      </c>
      <c r="P17" s="142">
        <f t="shared" si="22"/>
        <v>2</v>
      </c>
      <c r="Q17" s="142">
        <f t="shared" si="22"/>
        <v>15</v>
      </c>
      <c r="R17" s="142">
        <f t="shared" si="22"/>
        <v>2</v>
      </c>
      <c r="S17" s="147">
        <f t="shared" si="4"/>
        <v>20</v>
      </c>
      <c r="T17" s="144">
        <v>0</v>
      </c>
      <c r="U17" s="144">
        <v>2</v>
      </c>
      <c r="V17" s="144">
        <v>17</v>
      </c>
      <c r="W17" s="144">
        <v>1</v>
      </c>
      <c r="X17" s="147">
        <f t="shared" si="5"/>
        <v>20</v>
      </c>
      <c r="Y17" s="144">
        <v>0</v>
      </c>
      <c r="Z17" s="144">
        <v>2</v>
      </c>
      <c r="AA17" s="144">
        <v>17</v>
      </c>
      <c r="AB17" s="144">
        <v>1</v>
      </c>
      <c r="AC17" s="142">
        <f t="shared" si="6"/>
        <v>20</v>
      </c>
      <c r="AD17" s="142">
        <f t="shared" si="23"/>
        <v>1297380</v>
      </c>
      <c r="AE17" s="142">
        <f t="shared" si="8"/>
        <v>86400</v>
      </c>
      <c r="AF17" s="142">
        <f t="shared" si="9"/>
        <v>120000</v>
      </c>
      <c r="AG17" s="142">
        <f t="shared" si="10"/>
        <v>48000</v>
      </c>
      <c r="AH17" s="142">
        <f t="shared" si="24"/>
        <v>200000</v>
      </c>
      <c r="AI17" s="142">
        <f t="shared" si="12"/>
        <v>16000</v>
      </c>
      <c r="AJ17" s="142">
        <f t="shared" si="13"/>
        <v>10000</v>
      </c>
      <c r="AK17" s="142">
        <f t="shared" si="14"/>
        <v>13200</v>
      </c>
      <c r="AL17" s="142">
        <f t="shared" si="15"/>
        <v>19200</v>
      </c>
      <c r="AM17" s="142">
        <f t="shared" si="16"/>
        <v>612316.80000000005</v>
      </c>
      <c r="AN17" s="142">
        <f t="shared" si="17"/>
        <v>2422496.7999999998</v>
      </c>
      <c r="AO17" s="148"/>
      <c r="AP17" s="149">
        <f t="shared" ref="AP17:AP23" si="26">AN17+AO17</f>
        <v>2422496.7999999998</v>
      </c>
      <c r="AQ17" s="149">
        <f t="shared" si="19"/>
        <v>2378237.7799999998</v>
      </c>
    </row>
    <row r="18" spans="1:43" s="61" customFormat="1" ht="20.100000000000001" customHeight="1">
      <c r="A18" s="141" t="s">
        <v>33</v>
      </c>
      <c r="B18" s="143" t="s">
        <v>340</v>
      </c>
      <c r="C18" s="143" t="s">
        <v>334</v>
      </c>
      <c r="D18" s="144">
        <v>2</v>
      </c>
      <c r="E18" s="145">
        <v>3</v>
      </c>
      <c r="F18" s="145">
        <v>3</v>
      </c>
      <c r="G18" s="145">
        <v>36</v>
      </c>
      <c r="H18" s="145">
        <v>3</v>
      </c>
      <c r="I18" s="142">
        <f t="shared" si="0"/>
        <v>45</v>
      </c>
      <c r="J18" s="146"/>
      <c r="K18" s="146"/>
      <c r="L18" s="146"/>
      <c r="M18" s="146"/>
      <c r="N18" s="142">
        <f t="shared" si="2"/>
        <v>0</v>
      </c>
      <c r="O18" s="142">
        <f t="shared" si="25"/>
        <v>3</v>
      </c>
      <c r="P18" s="142">
        <f t="shared" si="22"/>
        <v>3</v>
      </c>
      <c r="Q18" s="142">
        <f t="shared" si="22"/>
        <v>36</v>
      </c>
      <c r="R18" s="142">
        <f t="shared" si="22"/>
        <v>3</v>
      </c>
      <c r="S18" s="147">
        <f t="shared" si="4"/>
        <v>45</v>
      </c>
      <c r="T18" s="144">
        <v>3</v>
      </c>
      <c r="U18" s="144">
        <v>4</v>
      </c>
      <c r="V18" s="144">
        <v>33</v>
      </c>
      <c r="W18" s="144">
        <v>2</v>
      </c>
      <c r="X18" s="147">
        <f t="shared" si="5"/>
        <v>42</v>
      </c>
      <c r="Y18" s="144">
        <v>3</v>
      </c>
      <c r="Z18" s="144">
        <v>4</v>
      </c>
      <c r="AA18" s="144">
        <v>33</v>
      </c>
      <c r="AB18" s="144">
        <v>2</v>
      </c>
      <c r="AC18" s="142">
        <f t="shared" si="6"/>
        <v>42</v>
      </c>
      <c r="AD18" s="142">
        <f t="shared" si="23"/>
        <v>2774820</v>
      </c>
      <c r="AE18" s="142">
        <f t="shared" si="8"/>
        <v>181440</v>
      </c>
      <c r="AF18" s="142">
        <f t="shared" si="9"/>
        <v>252000</v>
      </c>
      <c r="AG18" s="142">
        <f t="shared" si="10"/>
        <v>100800</v>
      </c>
      <c r="AH18" s="142">
        <f t="shared" si="24"/>
        <v>420000</v>
      </c>
      <c r="AI18" s="142">
        <f t="shared" si="12"/>
        <v>33600</v>
      </c>
      <c r="AJ18" s="142">
        <f t="shared" si="13"/>
        <v>20000</v>
      </c>
      <c r="AK18" s="142">
        <f t="shared" si="14"/>
        <v>29400</v>
      </c>
      <c r="AL18" s="142">
        <f t="shared" si="15"/>
        <v>40320</v>
      </c>
      <c r="AM18" s="142">
        <f t="shared" si="16"/>
        <v>1285865.28</v>
      </c>
      <c r="AN18" s="142">
        <f t="shared" si="17"/>
        <v>5138245.28</v>
      </c>
      <c r="AO18" s="150"/>
      <c r="AP18" s="149">
        <f t="shared" si="26"/>
        <v>5138245.28</v>
      </c>
      <c r="AQ18" s="149">
        <f t="shared" si="19"/>
        <v>5044369.54</v>
      </c>
    </row>
    <row r="19" spans="1:43" s="61" customFormat="1" ht="20.100000000000001" customHeight="1">
      <c r="A19" s="141" t="s">
        <v>33</v>
      </c>
      <c r="B19" s="143" t="s">
        <v>143</v>
      </c>
      <c r="C19" s="143" t="s">
        <v>334</v>
      </c>
      <c r="D19" s="144">
        <v>2</v>
      </c>
      <c r="E19" s="145">
        <v>0</v>
      </c>
      <c r="F19" s="145">
        <v>2</v>
      </c>
      <c r="G19" s="145">
        <v>21</v>
      </c>
      <c r="H19" s="145">
        <v>2</v>
      </c>
      <c r="I19" s="142">
        <f t="shared" si="0"/>
        <v>25</v>
      </c>
      <c r="J19" s="146"/>
      <c r="K19" s="146"/>
      <c r="L19" s="146"/>
      <c r="M19" s="146">
        <v>1</v>
      </c>
      <c r="N19" s="142">
        <f t="shared" si="2"/>
        <v>1</v>
      </c>
      <c r="O19" s="142">
        <f t="shared" si="25"/>
        <v>0</v>
      </c>
      <c r="P19" s="142">
        <f t="shared" si="22"/>
        <v>2</v>
      </c>
      <c r="Q19" s="142">
        <f t="shared" si="22"/>
        <v>21</v>
      </c>
      <c r="R19" s="142">
        <f t="shared" si="22"/>
        <v>3</v>
      </c>
      <c r="S19" s="147">
        <f t="shared" si="4"/>
        <v>26</v>
      </c>
      <c r="T19" s="144">
        <v>0</v>
      </c>
      <c r="U19" s="144">
        <v>2</v>
      </c>
      <c r="V19" s="144">
        <v>23</v>
      </c>
      <c r="W19" s="144">
        <v>2</v>
      </c>
      <c r="X19" s="147">
        <f t="shared" si="5"/>
        <v>27</v>
      </c>
      <c r="Y19" s="144">
        <v>0</v>
      </c>
      <c r="Z19" s="144">
        <v>2</v>
      </c>
      <c r="AA19" s="144">
        <v>21</v>
      </c>
      <c r="AB19" s="144">
        <v>3</v>
      </c>
      <c r="AC19" s="142">
        <f t="shared" si="6"/>
        <v>26</v>
      </c>
      <c r="AD19" s="142">
        <f t="shared" si="23"/>
        <v>1664340</v>
      </c>
      <c r="AE19" s="142">
        <f t="shared" si="8"/>
        <v>112320</v>
      </c>
      <c r="AF19" s="142">
        <f t="shared" si="9"/>
        <v>156000</v>
      </c>
      <c r="AG19" s="142">
        <f t="shared" si="10"/>
        <v>62400</v>
      </c>
      <c r="AH19" s="142">
        <f t="shared" si="24"/>
        <v>260000</v>
      </c>
      <c r="AI19" s="142">
        <f t="shared" si="12"/>
        <v>20800</v>
      </c>
      <c r="AJ19" s="142">
        <f t="shared" si="13"/>
        <v>20000</v>
      </c>
      <c r="AK19" s="142">
        <f t="shared" si="14"/>
        <v>16800</v>
      </c>
      <c r="AL19" s="142">
        <f t="shared" si="15"/>
        <v>24960</v>
      </c>
      <c r="AM19" s="142">
        <f t="shared" si="16"/>
        <v>796011.84</v>
      </c>
      <c r="AN19" s="142">
        <f t="shared" si="17"/>
        <v>3133631.84</v>
      </c>
      <c r="AO19" s="150"/>
      <c r="AP19" s="149">
        <f t="shared" si="26"/>
        <v>3133631.84</v>
      </c>
      <c r="AQ19" s="149">
        <f t="shared" si="19"/>
        <v>3076380.39</v>
      </c>
    </row>
    <row r="20" spans="1:43" ht="20.100000000000001" customHeight="1">
      <c r="A20" s="141" t="s">
        <v>33</v>
      </c>
      <c r="B20" s="143" t="s">
        <v>108</v>
      </c>
      <c r="C20" s="143" t="s">
        <v>65</v>
      </c>
      <c r="D20" s="144"/>
      <c r="E20" s="145">
        <v>27</v>
      </c>
      <c r="F20" s="145">
        <v>12</v>
      </c>
      <c r="G20" s="145">
        <v>0</v>
      </c>
      <c r="H20" s="145">
        <v>10</v>
      </c>
      <c r="I20" s="142">
        <f t="shared" si="0"/>
        <v>49</v>
      </c>
      <c r="J20" s="146">
        <v>5</v>
      </c>
      <c r="K20" s="146">
        <v>1</v>
      </c>
      <c r="L20" s="146"/>
      <c r="M20" s="146">
        <v>1</v>
      </c>
      <c r="N20" s="142">
        <f t="shared" si="2"/>
        <v>7</v>
      </c>
      <c r="O20" s="142">
        <f t="shared" si="25"/>
        <v>32</v>
      </c>
      <c r="P20" s="142">
        <f t="shared" si="22"/>
        <v>13</v>
      </c>
      <c r="Q20" s="142">
        <f t="shared" si="22"/>
        <v>0</v>
      </c>
      <c r="R20" s="142">
        <f t="shared" si="22"/>
        <v>11</v>
      </c>
      <c r="S20" s="147">
        <f t="shared" si="4"/>
        <v>56</v>
      </c>
      <c r="T20" s="144">
        <v>6</v>
      </c>
      <c r="U20" s="144">
        <v>12</v>
      </c>
      <c r="V20" s="144">
        <v>0</v>
      </c>
      <c r="W20" s="144">
        <v>10</v>
      </c>
      <c r="X20" s="147">
        <f t="shared" si="5"/>
        <v>28</v>
      </c>
      <c r="Y20" s="144">
        <v>6</v>
      </c>
      <c r="Z20" s="144">
        <v>12</v>
      </c>
      <c r="AA20" s="144">
        <v>0</v>
      </c>
      <c r="AB20" s="144">
        <v>10</v>
      </c>
      <c r="AC20" s="142">
        <f t="shared" si="6"/>
        <v>28</v>
      </c>
      <c r="AD20" s="142">
        <f t="shared" ref="AD20:AD22" si="27">(Y20*7250+Z20*5950+AA20*5395+AB20*4500)*12</f>
        <v>1918800</v>
      </c>
      <c r="AE20" s="142">
        <f t="shared" si="8"/>
        <v>120960</v>
      </c>
      <c r="AF20" s="142">
        <f t="shared" si="9"/>
        <v>168000</v>
      </c>
      <c r="AG20" s="142">
        <f t="shared" si="10"/>
        <v>67200</v>
      </c>
      <c r="AH20" s="142">
        <f t="shared" ref="AH20:AH22" si="28">(Y20*16000)+(Z20*10000+AA20*10000+AB20*10000)</f>
        <v>316000</v>
      </c>
      <c r="AI20" s="142">
        <f t="shared" si="12"/>
        <v>22400</v>
      </c>
      <c r="AJ20" s="142">
        <f t="shared" si="13"/>
        <v>0</v>
      </c>
      <c r="AK20" s="142">
        <f t="shared" si="14"/>
        <v>27600</v>
      </c>
      <c r="AL20" s="142">
        <f t="shared" si="15"/>
        <v>26880</v>
      </c>
      <c r="AM20" s="142">
        <f t="shared" si="16"/>
        <v>857243.52</v>
      </c>
      <c r="AN20" s="142">
        <f t="shared" si="17"/>
        <v>3525083.52</v>
      </c>
      <c r="AO20" s="148">
        <v>74658.25</v>
      </c>
      <c r="AP20" s="148">
        <f t="shared" si="26"/>
        <v>3599741.77</v>
      </c>
      <c r="AQ20" s="149">
        <f t="shared" si="19"/>
        <v>3535338.49</v>
      </c>
    </row>
    <row r="21" spans="1:43" ht="20.100000000000001" customHeight="1">
      <c r="A21" s="141" t="s">
        <v>33</v>
      </c>
      <c r="B21" s="143" t="s">
        <v>109</v>
      </c>
      <c r="C21" s="143" t="s">
        <v>65</v>
      </c>
      <c r="D21" s="144"/>
      <c r="E21" s="145">
        <v>39</v>
      </c>
      <c r="F21" s="145">
        <v>12</v>
      </c>
      <c r="G21" s="145">
        <v>0</v>
      </c>
      <c r="H21" s="145">
        <v>10</v>
      </c>
      <c r="I21" s="142">
        <f t="shared" si="0"/>
        <v>61</v>
      </c>
      <c r="J21" s="146"/>
      <c r="K21" s="146"/>
      <c r="L21" s="146"/>
      <c r="M21" s="146"/>
      <c r="N21" s="142">
        <f t="shared" si="2"/>
        <v>0</v>
      </c>
      <c r="O21" s="142">
        <f t="shared" si="25"/>
        <v>39</v>
      </c>
      <c r="P21" s="142">
        <f t="shared" si="22"/>
        <v>12</v>
      </c>
      <c r="Q21" s="142">
        <f t="shared" si="22"/>
        <v>0</v>
      </c>
      <c r="R21" s="142">
        <f t="shared" si="22"/>
        <v>10</v>
      </c>
      <c r="S21" s="147">
        <f t="shared" si="4"/>
        <v>61</v>
      </c>
      <c r="T21" s="144">
        <v>25</v>
      </c>
      <c r="U21" s="144">
        <v>5</v>
      </c>
      <c r="V21" s="144">
        <v>0</v>
      </c>
      <c r="W21" s="144">
        <v>9</v>
      </c>
      <c r="X21" s="147">
        <f t="shared" si="5"/>
        <v>39</v>
      </c>
      <c r="Y21" s="144">
        <v>25</v>
      </c>
      <c r="Z21" s="144">
        <v>5</v>
      </c>
      <c r="AA21" s="144">
        <v>0</v>
      </c>
      <c r="AB21" s="144">
        <v>9</v>
      </c>
      <c r="AC21" s="142">
        <f t="shared" si="6"/>
        <v>39</v>
      </c>
      <c r="AD21" s="142">
        <f t="shared" si="27"/>
        <v>3018000</v>
      </c>
      <c r="AE21" s="142">
        <f t="shared" si="8"/>
        <v>168480</v>
      </c>
      <c r="AF21" s="142">
        <f t="shared" si="9"/>
        <v>234000</v>
      </c>
      <c r="AG21" s="142">
        <f t="shared" si="10"/>
        <v>93600</v>
      </c>
      <c r="AH21" s="142">
        <f t="shared" si="28"/>
        <v>540000</v>
      </c>
      <c r="AI21" s="142">
        <f t="shared" si="12"/>
        <v>31200</v>
      </c>
      <c r="AJ21" s="142">
        <f t="shared" si="13"/>
        <v>0</v>
      </c>
      <c r="AK21" s="142">
        <f t="shared" si="14"/>
        <v>41400</v>
      </c>
      <c r="AL21" s="142">
        <f t="shared" si="15"/>
        <v>37440</v>
      </c>
      <c r="AM21" s="142">
        <f t="shared" si="16"/>
        <v>1194017.76</v>
      </c>
      <c r="AN21" s="142">
        <f t="shared" si="17"/>
        <v>5358137.76</v>
      </c>
      <c r="AO21" s="148">
        <f>291166.5-390.4</f>
        <v>290776.09999999998</v>
      </c>
      <c r="AP21" s="148">
        <f t="shared" si="26"/>
        <v>5648913.8599999994</v>
      </c>
      <c r="AQ21" s="149">
        <f t="shared" si="19"/>
        <v>5551020.6799999997</v>
      </c>
    </row>
    <row r="22" spans="1:43" s="61" customFormat="1" ht="20.100000000000001" customHeight="1">
      <c r="A22" s="141" t="s">
        <v>33</v>
      </c>
      <c r="B22" s="143" t="s">
        <v>341</v>
      </c>
      <c r="C22" s="143" t="s">
        <v>65</v>
      </c>
      <c r="D22" s="144"/>
      <c r="E22" s="145">
        <v>0</v>
      </c>
      <c r="F22" s="145">
        <v>10</v>
      </c>
      <c r="G22" s="145">
        <v>0</v>
      </c>
      <c r="H22" s="145">
        <v>9</v>
      </c>
      <c r="I22" s="142">
        <f t="shared" si="0"/>
        <v>19</v>
      </c>
      <c r="J22" s="146">
        <v>4</v>
      </c>
      <c r="K22" s="146"/>
      <c r="L22" s="146"/>
      <c r="M22" s="146"/>
      <c r="N22" s="142">
        <f t="shared" si="2"/>
        <v>4</v>
      </c>
      <c r="O22" s="142">
        <f t="shared" si="25"/>
        <v>4</v>
      </c>
      <c r="P22" s="142">
        <f t="shared" si="22"/>
        <v>10</v>
      </c>
      <c r="Q22" s="142">
        <f t="shared" si="22"/>
        <v>0</v>
      </c>
      <c r="R22" s="142">
        <f t="shared" si="22"/>
        <v>9</v>
      </c>
      <c r="S22" s="147">
        <f t="shared" si="4"/>
        <v>23</v>
      </c>
      <c r="T22" s="144">
        <v>4</v>
      </c>
      <c r="U22" s="144">
        <v>5</v>
      </c>
      <c r="V22" s="144">
        <v>0</v>
      </c>
      <c r="W22" s="144">
        <v>8</v>
      </c>
      <c r="X22" s="147">
        <f t="shared" si="5"/>
        <v>17</v>
      </c>
      <c r="Y22" s="144">
        <v>4</v>
      </c>
      <c r="Z22" s="144">
        <v>5</v>
      </c>
      <c r="AA22" s="144">
        <v>0</v>
      </c>
      <c r="AB22" s="144">
        <v>8</v>
      </c>
      <c r="AC22" s="142">
        <f t="shared" si="6"/>
        <v>17</v>
      </c>
      <c r="AD22" s="142">
        <f t="shared" si="27"/>
        <v>1137000</v>
      </c>
      <c r="AE22" s="142">
        <f t="shared" si="8"/>
        <v>73440</v>
      </c>
      <c r="AF22" s="142">
        <f t="shared" si="9"/>
        <v>102000</v>
      </c>
      <c r="AG22" s="142">
        <f t="shared" si="10"/>
        <v>40800</v>
      </c>
      <c r="AH22" s="142">
        <f t="shared" si="28"/>
        <v>194000</v>
      </c>
      <c r="AI22" s="142">
        <f t="shared" si="12"/>
        <v>13600</v>
      </c>
      <c r="AJ22" s="142">
        <f t="shared" si="13"/>
        <v>0</v>
      </c>
      <c r="AK22" s="142">
        <f t="shared" si="14"/>
        <v>15600</v>
      </c>
      <c r="AL22" s="142">
        <f t="shared" si="15"/>
        <v>16320</v>
      </c>
      <c r="AM22" s="142">
        <f t="shared" si="16"/>
        <v>520469.28</v>
      </c>
      <c r="AN22" s="142">
        <f t="shared" si="17"/>
        <v>2113229.2799999998</v>
      </c>
      <c r="AO22" s="150">
        <f>11857.5</f>
        <v>11857.5</v>
      </c>
      <c r="AP22" s="148">
        <f t="shared" si="26"/>
        <v>2125086.7799999998</v>
      </c>
      <c r="AQ22" s="149">
        <f t="shared" si="19"/>
        <v>2086478.08</v>
      </c>
    </row>
    <row r="23" spans="1:43" s="61" customFormat="1" ht="20.100000000000001" customHeight="1">
      <c r="A23" s="141"/>
      <c r="B23" s="143" t="s">
        <v>342</v>
      </c>
      <c r="C23" s="143" t="s">
        <v>334</v>
      </c>
      <c r="D23" s="144">
        <v>2</v>
      </c>
      <c r="E23" s="145">
        <v>3</v>
      </c>
      <c r="F23" s="145">
        <v>1</v>
      </c>
      <c r="G23" s="145">
        <v>6</v>
      </c>
      <c r="H23" s="145">
        <v>1</v>
      </c>
      <c r="I23" s="142">
        <f t="shared" si="0"/>
        <v>11</v>
      </c>
      <c r="J23" s="146"/>
      <c r="K23" s="146">
        <v>3</v>
      </c>
      <c r="L23" s="146">
        <v>21</v>
      </c>
      <c r="M23" s="146">
        <v>1</v>
      </c>
      <c r="N23" s="142">
        <f t="shared" si="2"/>
        <v>25</v>
      </c>
      <c r="O23" s="142">
        <f t="shared" si="25"/>
        <v>3</v>
      </c>
      <c r="P23" s="142">
        <f t="shared" si="22"/>
        <v>4</v>
      </c>
      <c r="Q23" s="142">
        <f t="shared" si="22"/>
        <v>27</v>
      </c>
      <c r="R23" s="142">
        <f t="shared" si="22"/>
        <v>2</v>
      </c>
      <c r="S23" s="147">
        <f t="shared" si="4"/>
        <v>36</v>
      </c>
      <c r="T23" s="144">
        <v>0</v>
      </c>
      <c r="U23" s="144">
        <v>5</v>
      </c>
      <c r="V23" s="144">
        <v>25</v>
      </c>
      <c r="W23" s="144">
        <v>2</v>
      </c>
      <c r="X23" s="147">
        <f t="shared" si="5"/>
        <v>32</v>
      </c>
      <c r="Y23" s="144">
        <v>0</v>
      </c>
      <c r="Z23" s="144">
        <v>5</v>
      </c>
      <c r="AA23" s="144">
        <v>25</v>
      </c>
      <c r="AB23" s="144">
        <v>2</v>
      </c>
      <c r="AC23" s="142">
        <f t="shared" si="6"/>
        <v>32</v>
      </c>
      <c r="AD23" s="142">
        <f>(Y23*6800+Z23*5950+AA23*5395+AB23*4500)*12</f>
        <v>2083500</v>
      </c>
      <c r="AE23" s="142">
        <f t="shared" si="8"/>
        <v>138240</v>
      </c>
      <c r="AF23" s="142">
        <f t="shared" si="9"/>
        <v>192000</v>
      </c>
      <c r="AG23" s="142">
        <f t="shared" si="10"/>
        <v>76800</v>
      </c>
      <c r="AH23" s="142">
        <f>AC23*10000</f>
        <v>320000</v>
      </c>
      <c r="AI23" s="142">
        <f t="shared" si="12"/>
        <v>25600</v>
      </c>
      <c r="AJ23" s="142">
        <f t="shared" si="13"/>
        <v>20000</v>
      </c>
      <c r="AK23" s="142">
        <f t="shared" si="14"/>
        <v>22200</v>
      </c>
      <c r="AL23" s="142">
        <f t="shared" si="15"/>
        <v>30720</v>
      </c>
      <c r="AM23" s="142">
        <f t="shared" si="16"/>
        <v>979706.88</v>
      </c>
      <c r="AN23" s="142">
        <f t="shared" si="17"/>
        <v>3888766.88</v>
      </c>
      <c r="AO23" s="150"/>
      <c r="AP23" s="149">
        <f t="shared" si="26"/>
        <v>3888766.88</v>
      </c>
      <c r="AQ23" s="149">
        <f t="shared" si="19"/>
        <v>3817719.11</v>
      </c>
    </row>
    <row r="24" spans="1:43" ht="20.100000000000001" customHeight="1">
      <c r="A24" s="143"/>
      <c r="B24" s="254" t="s">
        <v>45</v>
      </c>
      <c r="C24" s="254"/>
      <c r="D24" s="253">
        <f>SUM(D16:D23)</f>
        <v>9</v>
      </c>
      <c r="E24" s="253">
        <f t="shared" ref="E24:AQ24" si="29">SUM(E16:E23)</f>
        <v>76</v>
      </c>
      <c r="F24" s="253">
        <f t="shared" si="29"/>
        <v>45</v>
      </c>
      <c r="G24" s="253">
        <f t="shared" si="29"/>
        <v>105</v>
      </c>
      <c r="H24" s="253">
        <f t="shared" si="29"/>
        <v>40</v>
      </c>
      <c r="I24" s="253">
        <f t="shared" si="29"/>
        <v>266</v>
      </c>
      <c r="J24" s="253">
        <f t="shared" si="29"/>
        <v>9</v>
      </c>
      <c r="K24" s="253">
        <f t="shared" si="29"/>
        <v>4</v>
      </c>
      <c r="L24" s="253">
        <f t="shared" si="29"/>
        <v>21</v>
      </c>
      <c r="M24" s="253">
        <f t="shared" si="29"/>
        <v>3</v>
      </c>
      <c r="N24" s="253">
        <f t="shared" si="29"/>
        <v>37</v>
      </c>
      <c r="O24" s="253">
        <f t="shared" si="29"/>
        <v>85</v>
      </c>
      <c r="P24" s="253">
        <f t="shared" si="29"/>
        <v>49</v>
      </c>
      <c r="Q24" s="253">
        <f t="shared" si="29"/>
        <v>126</v>
      </c>
      <c r="R24" s="253">
        <f t="shared" si="29"/>
        <v>43</v>
      </c>
      <c r="S24" s="253">
        <f t="shared" si="29"/>
        <v>303</v>
      </c>
      <c r="T24" s="253">
        <f t="shared" si="29"/>
        <v>38</v>
      </c>
      <c r="U24" s="253">
        <f t="shared" si="29"/>
        <v>40</v>
      </c>
      <c r="V24" s="253">
        <f t="shared" si="29"/>
        <v>123</v>
      </c>
      <c r="W24" s="253">
        <f t="shared" si="29"/>
        <v>37</v>
      </c>
      <c r="X24" s="253">
        <f t="shared" si="29"/>
        <v>238</v>
      </c>
      <c r="Y24" s="253">
        <f t="shared" si="29"/>
        <v>38</v>
      </c>
      <c r="Z24" s="253">
        <f t="shared" si="29"/>
        <v>40</v>
      </c>
      <c r="AA24" s="253">
        <f t="shared" si="29"/>
        <v>121</v>
      </c>
      <c r="AB24" s="253">
        <f t="shared" si="29"/>
        <v>38</v>
      </c>
      <c r="AC24" s="253">
        <f t="shared" si="29"/>
        <v>237</v>
      </c>
      <c r="AD24" s="253">
        <f t="shared" si="29"/>
        <v>16031340</v>
      </c>
      <c r="AE24" s="253">
        <f t="shared" si="29"/>
        <v>1023840</v>
      </c>
      <c r="AF24" s="253">
        <f t="shared" si="29"/>
        <v>1422000</v>
      </c>
      <c r="AG24" s="253">
        <f t="shared" si="29"/>
        <v>568800</v>
      </c>
      <c r="AH24" s="253">
        <f t="shared" si="29"/>
        <v>2580000</v>
      </c>
      <c r="AI24" s="253">
        <f t="shared" si="29"/>
        <v>189600</v>
      </c>
      <c r="AJ24" s="253">
        <f t="shared" si="29"/>
        <v>90000</v>
      </c>
      <c r="AK24" s="253">
        <f t="shared" si="29"/>
        <v>189000</v>
      </c>
      <c r="AL24" s="253">
        <f t="shared" si="29"/>
        <v>227520</v>
      </c>
      <c r="AM24" s="253">
        <f t="shared" si="29"/>
        <v>7255954.0800000001</v>
      </c>
      <c r="AN24" s="253">
        <f t="shared" si="29"/>
        <v>29578054.080000002</v>
      </c>
      <c r="AO24" s="253">
        <f t="shared" si="29"/>
        <v>377291.85</v>
      </c>
      <c r="AP24" s="253">
        <f t="shared" si="29"/>
        <v>29955345.93</v>
      </c>
      <c r="AQ24" s="253">
        <f t="shared" si="29"/>
        <v>29414954.879999995</v>
      </c>
    </row>
    <row r="25" spans="1:43" s="61" customFormat="1" ht="20.100000000000001" customHeight="1">
      <c r="A25" s="141" t="s">
        <v>32</v>
      </c>
      <c r="B25" s="143" t="s">
        <v>343</v>
      </c>
      <c r="C25" s="143" t="s">
        <v>334</v>
      </c>
      <c r="D25" s="144">
        <v>1</v>
      </c>
      <c r="E25" s="152">
        <v>0</v>
      </c>
      <c r="F25" s="152">
        <v>1</v>
      </c>
      <c r="G25" s="152">
        <v>14</v>
      </c>
      <c r="H25" s="152">
        <v>1</v>
      </c>
      <c r="I25" s="142">
        <f t="shared" si="0"/>
        <v>16</v>
      </c>
      <c r="J25" s="144"/>
      <c r="K25" s="144">
        <v>2</v>
      </c>
      <c r="L25" s="144">
        <v>1</v>
      </c>
      <c r="M25" s="144">
        <v>1</v>
      </c>
      <c r="N25" s="142">
        <f t="shared" si="2"/>
        <v>4</v>
      </c>
      <c r="O25" s="142">
        <f>E25+J25</f>
        <v>0</v>
      </c>
      <c r="P25" s="142">
        <f t="shared" ref="P25:R35" si="30">F25+K25</f>
        <v>3</v>
      </c>
      <c r="Q25" s="142">
        <f t="shared" si="30"/>
        <v>15</v>
      </c>
      <c r="R25" s="142">
        <f t="shared" si="30"/>
        <v>2</v>
      </c>
      <c r="S25" s="147">
        <f t="shared" si="4"/>
        <v>20</v>
      </c>
      <c r="T25" s="144">
        <v>0</v>
      </c>
      <c r="U25" s="144">
        <v>3</v>
      </c>
      <c r="V25" s="144">
        <v>15</v>
      </c>
      <c r="W25" s="144">
        <v>1</v>
      </c>
      <c r="X25" s="147">
        <f t="shared" si="5"/>
        <v>19</v>
      </c>
      <c r="Y25" s="144">
        <v>0</v>
      </c>
      <c r="Z25" s="144">
        <v>3</v>
      </c>
      <c r="AA25" s="144">
        <v>15</v>
      </c>
      <c r="AB25" s="144">
        <v>1</v>
      </c>
      <c r="AC25" s="142">
        <f t="shared" si="6"/>
        <v>19</v>
      </c>
      <c r="AD25" s="142">
        <f t="shared" ref="AD25:AD29" si="31">(Y25*6800+Z25*5950+AA25*5395+AB25*4500)*12</f>
        <v>1239300</v>
      </c>
      <c r="AE25" s="142">
        <f t="shared" si="8"/>
        <v>82080</v>
      </c>
      <c r="AF25" s="142">
        <f t="shared" si="9"/>
        <v>114000</v>
      </c>
      <c r="AG25" s="142">
        <f t="shared" si="10"/>
        <v>45600</v>
      </c>
      <c r="AH25" s="142">
        <f t="shared" ref="AH25:AH29" si="32">AC25*10000</f>
        <v>190000</v>
      </c>
      <c r="AI25" s="142">
        <f t="shared" si="12"/>
        <v>15200</v>
      </c>
      <c r="AJ25" s="142">
        <f t="shared" si="13"/>
        <v>10000</v>
      </c>
      <c r="AK25" s="142">
        <f t="shared" si="14"/>
        <v>13200</v>
      </c>
      <c r="AL25" s="142">
        <f t="shared" si="15"/>
        <v>18240</v>
      </c>
      <c r="AM25" s="142">
        <f t="shared" si="16"/>
        <v>581700.96</v>
      </c>
      <c r="AN25" s="142">
        <f t="shared" si="17"/>
        <v>2309320.96</v>
      </c>
      <c r="AO25" s="150"/>
      <c r="AP25" s="142">
        <f>AN25+AO25</f>
        <v>2309320.96</v>
      </c>
      <c r="AQ25" s="149">
        <f t="shared" si="19"/>
        <v>2267129.67</v>
      </c>
    </row>
    <row r="26" spans="1:43" ht="20.100000000000001" customHeight="1">
      <c r="A26" s="141" t="s">
        <v>32</v>
      </c>
      <c r="B26" s="143" t="s">
        <v>344</v>
      </c>
      <c r="C26" s="143" t="s">
        <v>334</v>
      </c>
      <c r="D26" s="144">
        <v>2</v>
      </c>
      <c r="E26" s="152">
        <v>0</v>
      </c>
      <c r="F26" s="152">
        <v>2</v>
      </c>
      <c r="G26" s="152">
        <v>30</v>
      </c>
      <c r="H26" s="152">
        <v>2</v>
      </c>
      <c r="I26" s="142">
        <f t="shared" si="0"/>
        <v>34</v>
      </c>
      <c r="J26" s="144"/>
      <c r="K26" s="144"/>
      <c r="L26" s="144"/>
      <c r="M26" s="144"/>
      <c r="N26" s="142">
        <f t="shared" si="2"/>
        <v>0</v>
      </c>
      <c r="O26" s="142">
        <f t="shared" ref="O26:O35" si="33">E26+J26</f>
        <v>0</v>
      </c>
      <c r="P26" s="142">
        <f t="shared" si="30"/>
        <v>2</v>
      </c>
      <c r="Q26" s="142">
        <f t="shared" si="30"/>
        <v>30</v>
      </c>
      <c r="R26" s="142">
        <f t="shared" si="30"/>
        <v>2</v>
      </c>
      <c r="S26" s="147">
        <f t="shared" si="4"/>
        <v>34</v>
      </c>
      <c r="T26" s="144">
        <v>0</v>
      </c>
      <c r="U26" s="144">
        <v>2</v>
      </c>
      <c r="V26" s="144">
        <v>32</v>
      </c>
      <c r="W26" s="144">
        <v>2</v>
      </c>
      <c r="X26" s="147">
        <f t="shared" si="5"/>
        <v>36</v>
      </c>
      <c r="Y26" s="144">
        <v>0</v>
      </c>
      <c r="Z26" s="144">
        <v>2</v>
      </c>
      <c r="AA26" s="144">
        <v>30</v>
      </c>
      <c r="AB26" s="144">
        <v>2</v>
      </c>
      <c r="AC26" s="142">
        <f t="shared" si="6"/>
        <v>34</v>
      </c>
      <c r="AD26" s="142">
        <f t="shared" si="31"/>
        <v>2193000</v>
      </c>
      <c r="AE26" s="142">
        <f t="shared" si="8"/>
        <v>146880</v>
      </c>
      <c r="AF26" s="142">
        <f t="shared" si="9"/>
        <v>204000</v>
      </c>
      <c r="AG26" s="142">
        <f t="shared" si="10"/>
        <v>81600</v>
      </c>
      <c r="AH26" s="142">
        <f t="shared" si="32"/>
        <v>340000</v>
      </c>
      <c r="AI26" s="142">
        <f t="shared" si="12"/>
        <v>27200</v>
      </c>
      <c r="AJ26" s="142">
        <f t="shared" si="13"/>
        <v>20000</v>
      </c>
      <c r="AK26" s="142">
        <f t="shared" si="14"/>
        <v>21600</v>
      </c>
      <c r="AL26" s="142">
        <f t="shared" si="15"/>
        <v>32640</v>
      </c>
      <c r="AM26" s="142">
        <f t="shared" si="16"/>
        <v>1040938.56</v>
      </c>
      <c r="AN26" s="142">
        <f t="shared" si="17"/>
        <v>4107858.56</v>
      </c>
      <c r="AO26" s="148"/>
      <c r="AP26" s="142">
        <f t="shared" ref="AP26:AP35" si="34">AN26+AO26</f>
        <v>4107858.56</v>
      </c>
      <c r="AQ26" s="149">
        <f t="shared" si="19"/>
        <v>4032807.98</v>
      </c>
    </row>
    <row r="27" spans="1:43" ht="20.100000000000001" customHeight="1">
      <c r="A27" s="141" t="s">
        <v>32</v>
      </c>
      <c r="B27" s="143" t="s">
        <v>345</v>
      </c>
      <c r="C27" s="143" t="s">
        <v>334</v>
      </c>
      <c r="D27" s="144">
        <v>1</v>
      </c>
      <c r="E27" s="152">
        <v>12</v>
      </c>
      <c r="F27" s="152">
        <v>3</v>
      </c>
      <c r="G27" s="152">
        <v>21</v>
      </c>
      <c r="H27" s="152">
        <v>2</v>
      </c>
      <c r="I27" s="142">
        <f t="shared" si="0"/>
        <v>38</v>
      </c>
      <c r="J27" s="144"/>
      <c r="K27" s="144">
        <v>2</v>
      </c>
      <c r="L27" s="144"/>
      <c r="M27" s="144"/>
      <c r="N27" s="142">
        <f t="shared" si="2"/>
        <v>2</v>
      </c>
      <c r="O27" s="142">
        <f t="shared" si="33"/>
        <v>12</v>
      </c>
      <c r="P27" s="142">
        <f t="shared" si="30"/>
        <v>5</v>
      </c>
      <c r="Q27" s="142">
        <f t="shared" si="30"/>
        <v>21</v>
      </c>
      <c r="R27" s="142">
        <f t="shared" si="30"/>
        <v>2</v>
      </c>
      <c r="S27" s="147">
        <f t="shared" si="4"/>
        <v>40</v>
      </c>
      <c r="T27" s="144">
        <v>0</v>
      </c>
      <c r="U27" s="144">
        <v>7</v>
      </c>
      <c r="V27" s="144">
        <v>20</v>
      </c>
      <c r="W27" s="144">
        <v>2</v>
      </c>
      <c r="X27" s="147">
        <f t="shared" si="5"/>
        <v>29</v>
      </c>
      <c r="Y27" s="144">
        <v>0</v>
      </c>
      <c r="Z27" s="144">
        <v>7</v>
      </c>
      <c r="AA27" s="144">
        <v>20</v>
      </c>
      <c r="AB27" s="144">
        <v>2</v>
      </c>
      <c r="AC27" s="142">
        <f t="shared" si="6"/>
        <v>29</v>
      </c>
      <c r="AD27" s="142">
        <f t="shared" si="31"/>
        <v>1902600</v>
      </c>
      <c r="AE27" s="142">
        <f t="shared" si="8"/>
        <v>125280</v>
      </c>
      <c r="AF27" s="142">
        <f t="shared" si="9"/>
        <v>174000</v>
      </c>
      <c r="AG27" s="142">
        <f t="shared" si="10"/>
        <v>69600</v>
      </c>
      <c r="AH27" s="142">
        <f t="shared" si="32"/>
        <v>290000</v>
      </c>
      <c r="AI27" s="142">
        <f t="shared" si="12"/>
        <v>23200</v>
      </c>
      <c r="AJ27" s="142">
        <f t="shared" si="13"/>
        <v>10000</v>
      </c>
      <c r="AK27" s="142">
        <f t="shared" si="14"/>
        <v>21600</v>
      </c>
      <c r="AL27" s="142">
        <f t="shared" si="15"/>
        <v>27840</v>
      </c>
      <c r="AM27" s="142">
        <f t="shared" si="16"/>
        <v>887859.36</v>
      </c>
      <c r="AN27" s="142">
        <f t="shared" si="17"/>
        <v>3531979.36</v>
      </c>
      <c r="AO27" s="148"/>
      <c r="AP27" s="142">
        <f t="shared" si="34"/>
        <v>3531979.36</v>
      </c>
      <c r="AQ27" s="149">
        <f t="shared" si="19"/>
        <v>3467450.1</v>
      </c>
    </row>
    <row r="28" spans="1:43" s="61" customFormat="1" ht="20.100000000000001" customHeight="1">
      <c r="A28" s="141" t="s">
        <v>32</v>
      </c>
      <c r="B28" s="143" t="s">
        <v>346</v>
      </c>
      <c r="C28" s="143" t="s">
        <v>334</v>
      </c>
      <c r="D28" s="144">
        <v>1</v>
      </c>
      <c r="E28" s="152">
        <v>0</v>
      </c>
      <c r="F28" s="152">
        <v>2</v>
      </c>
      <c r="G28" s="152">
        <v>13</v>
      </c>
      <c r="H28" s="152">
        <v>2</v>
      </c>
      <c r="I28" s="142">
        <f t="shared" si="0"/>
        <v>17</v>
      </c>
      <c r="J28" s="144"/>
      <c r="K28" s="144"/>
      <c r="L28" s="144"/>
      <c r="M28" s="144"/>
      <c r="N28" s="142">
        <f t="shared" si="2"/>
        <v>0</v>
      </c>
      <c r="O28" s="142">
        <f t="shared" si="33"/>
        <v>0</v>
      </c>
      <c r="P28" s="142">
        <f t="shared" si="30"/>
        <v>2</v>
      </c>
      <c r="Q28" s="142">
        <f t="shared" si="30"/>
        <v>13</v>
      </c>
      <c r="R28" s="142">
        <f t="shared" si="30"/>
        <v>2</v>
      </c>
      <c r="S28" s="147">
        <f t="shared" si="4"/>
        <v>17</v>
      </c>
      <c r="T28" s="144">
        <v>0</v>
      </c>
      <c r="U28" s="144">
        <v>2</v>
      </c>
      <c r="V28" s="144">
        <v>16</v>
      </c>
      <c r="W28" s="144">
        <v>2</v>
      </c>
      <c r="X28" s="147">
        <f t="shared" si="5"/>
        <v>20</v>
      </c>
      <c r="Y28" s="144">
        <v>0</v>
      </c>
      <c r="Z28" s="144">
        <v>2</v>
      </c>
      <c r="AA28" s="144">
        <v>13</v>
      </c>
      <c r="AB28" s="144">
        <v>2</v>
      </c>
      <c r="AC28" s="142">
        <f t="shared" si="6"/>
        <v>17</v>
      </c>
      <c r="AD28" s="142">
        <f t="shared" si="31"/>
        <v>1092420</v>
      </c>
      <c r="AE28" s="142">
        <f t="shared" si="8"/>
        <v>73440</v>
      </c>
      <c r="AF28" s="142">
        <f t="shared" si="9"/>
        <v>102000</v>
      </c>
      <c r="AG28" s="142">
        <f t="shared" si="10"/>
        <v>40800</v>
      </c>
      <c r="AH28" s="142">
        <f t="shared" si="32"/>
        <v>170000</v>
      </c>
      <c r="AI28" s="142">
        <f t="shared" si="12"/>
        <v>13600</v>
      </c>
      <c r="AJ28" s="142">
        <f t="shared" si="13"/>
        <v>10000</v>
      </c>
      <c r="AK28" s="142">
        <f t="shared" si="14"/>
        <v>11400</v>
      </c>
      <c r="AL28" s="142">
        <f t="shared" si="15"/>
        <v>16320</v>
      </c>
      <c r="AM28" s="142">
        <f t="shared" si="16"/>
        <v>520469.28</v>
      </c>
      <c r="AN28" s="142">
        <f t="shared" si="17"/>
        <v>2050449.28</v>
      </c>
      <c r="AO28" s="150"/>
      <c r="AP28" s="142">
        <f t="shared" si="34"/>
        <v>2050449.28</v>
      </c>
      <c r="AQ28" s="149">
        <f t="shared" si="19"/>
        <v>2012987.57</v>
      </c>
    </row>
    <row r="29" spans="1:43" s="61" customFormat="1" ht="20.100000000000001" customHeight="1">
      <c r="A29" s="141" t="s">
        <v>32</v>
      </c>
      <c r="B29" s="143" t="s">
        <v>138</v>
      </c>
      <c r="C29" s="143" t="s">
        <v>334</v>
      </c>
      <c r="D29" s="144">
        <v>1</v>
      </c>
      <c r="E29" s="152">
        <v>0</v>
      </c>
      <c r="F29" s="152">
        <v>2</v>
      </c>
      <c r="G29" s="152">
        <v>15</v>
      </c>
      <c r="H29" s="152">
        <v>1</v>
      </c>
      <c r="I29" s="142">
        <f t="shared" si="0"/>
        <v>18</v>
      </c>
      <c r="J29" s="144"/>
      <c r="K29" s="144"/>
      <c r="L29" s="144"/>
      <c r="M29" s="144">
        <v>1</v>
      </c>
      <c r="N29" s="142">
        <f t="shared" si="2"/>
        <v>1</v>
      </c>
      <c r="O29" s="142">
        <f t="shared" si="33"/>
        <v>0</v>
      </c>
      <c r="P29" s="142">
        <f t="shared" si="30"/>
        <v>2</v>
      </c>
      <c r="Q29" s="142">
        <f t="shared" si="30"/>
        <v>15</v>
      </c>
      <c r="R29" s="142">
        <f t="shared" si="30"/>
        <v>2</v>
      </c>
      <c r="S29" s="147">
        <f t="shared" si="4"/>
        <v>19</v>
      </c>
      <c r="T29" s="144">
        <v>0</v>
      </c>
      <c r="U29" s="144">
        <v>2</v>
      </c>
      <c r="V29" s="144">
        <v>14</v>
      </c>
      <c r="W29" s="144">
        <v>1</v>
      </c>
      <c r="X29" s="147">
        <f t="shared" si="5"/>
        <v>17</v>
      </c>
      <c r="Y29" s="144">
        <v>0</v>
      </c>
      <c r="Z29" s="144">
        <v>2</v>
      </c>
      <c r="AA29" s="144">
        <v>14</v>
      </c>
      <c r="AB29" s="144">
        <v>1</v>
      </c>
      <c r="AC29" s="142">
        <f t="shared" si="6"/>
        <v>17</v>
      </c>
      <c r="AD29" s="142">
        <f t="shared" si="31"/>
        <v>1103160</v>
      </c>
      <c r="AE29" s="142">
        <f t="shared" si="8"/>
        <v>73440</v>
      </c>
      <c r="AF29" s="142">
        <f t="shared" si="9"/>
        <v>102000</v>
      </c>
      <c r="AG29" s="142">
        <f t="shared" si="10"/>
        <v>40800</v>
      </c>
      <c r="AH29" s="142">
        <f t="shared" si="32"/>
        <v>170000</v>
      </c>
      <c r="AI29" s="142">
        <f t="shared" si="12"/>
        <v>13600</v>
      </c>
      <c r="AJ29" s="142">
        <f t="shared" si="13"/>
        <v>10000</v>
      </c>
      <c r="AK29" s="142">
        <f t="shared" si="14"/>
        <v>11400</v>
      </c>
      <c r="AL29" s="142">
        <f t="shared" si="15"/>
        <v>16320</v>
      </c>
      <c r="AM29" s="142">
        <f t="shared" si="16"/>
        <v>520469.28</v>
      </c>
      <c r="AN29" s="142">
        <f t="shared" si="17"/>
        <v>2061189.28</v>
      </c>
      <c r="AO29" s="150"/>
      <c r="AP29" s="142">
        <f t="shared" si="34"/>
        <v>2061189.28</v>
      </c>
      <c r="AQ29" s="149">
        <f t="shared" si="19"/>
        <v>2023531.35</v>
      </c>
    </row>
    <row r="30" spans="1:43" ht="20.100000000000001" customHeight="1">
      <c r="A30" s="141" t="s">
        <v>32</v>
      </c>
      <c r="B30" s="143" t="s">
        <v>347</v>
      </c>
      <c r="C30" s="143" t="s">
        <v>65</v>
      </c>
      <c r="D30" s="144"/>
      <c r="E30" s="152">
        <v>37</v>
      </c>
      <c r="F30" s="152">
        <v>11</v>
      </c>
      <c r="G30" s="152">
        <v>0</v>
      </c>
      <c r="H30" s="152">
        <v>9</v>
      </c>
      <c r="I30" s="142">
        <f t="shared" si="0"/>
        <v>57</v>
      </c>
      <c r="J30" s="144">
        <v>2</v>
      </c>
      <c r="K30" s="144">
        <v>3</v>
      </c>
      <c r="L30" s="144"/>
      <c r="M30" s="144"/>
      <c r="N30" s="142">
        <f t="shared" si="2"/>
        <v>5</v>
      </c>
      <c r="O30" s="142">
        <f t="shared" si="33"/>
        <v>39</v>
      </c>
      <c r="P30" s="142">
        <f t="shared" si="30"/>
        <v>14</v>
      </c>
      <c r="Q30" s="142">
        <f t="shared" si="30"/>
        <v>0</v>
      </c>
      <c r="R30" s="142">
        <f t="shared" si="30"/>
        <v>9</v>
      </c>
      <c r="S30" s="147">
        <f t="shared" si="4"/>
        <v>62</v>
      </c>
      <c r="T30" s="144">
        <v>13</v>
      </c>
      <c r="U30" s="144">
        <v>9</v>
      </c>
      <c r="V30" s="144">
        <v>0</v>
      </c>
      <c r="W30" s="144">
        <v>8</v>
      </c>
      <c r="X30" s="147">
        <f t="shared" si="5"/>
        <v>30</v>
      </c>
      <c r="Y30" s="144">
        <v>13</v>
      </c>
      <c r="Z30" s="144">
        <v>9</v>
      </c>
      <c r="AA30" s="144">
        <v>0</v>
      </c>
      <c r="AB30" s="144">
        <v>8</v>
      </c>
      <c r="AC30" s="142">
        <f t="shared" si="6"/>
        <v>30</v>
      </c>
      <c r="AD30" s="142">
        <f>(Y30*7250+Z30*5950+AA30*5395+AB30*4500)*12</f>
        <v>2205600</v>
      </c>
      <c r="AE30" s="142">
        <f t="shared" si="8"/>
        <v>129600</v>
      </c>
      <c r="AF30" s="142">
        <f t="shared" si="9"/>
        <v>180000</v>
      </c>
      <c r="AG30" s="142">
        <f t="shared" si="10"/>
        <v>72000</v>
      </c>
      <c r="AH30" s="142">
        <f>(Y30*16000)+(Z30*10000+AA30*10000+AB30*10000)</f>
        <v>378000</v>
      </c>
      <c r="AI30" s="142">
        <f t="shared" si="12"/>
        <v>24000</v>
      </c>
      <c r="AJ30" s="142">
        <f t="shared" si="13"/>
        <v>0</v>
      </c>
      <c r="AK30" s="142">
        <f t="shared" si="14"/>
        <v>31200</v>
      </c>
      <c r="AL30" s="142">
        <f t="shared" si="15"/>
        <v>28800</v>
      </c>
      <c r="AM30" s="142">
        <f t="shared" si="16"/>
        <v>918475.2</v>
      </c>
      <c r="AN30" s="142">
        <f t="shared" si="17"/>
        <v>3967675.2</v>
      </c>
      <c r="AO30" s="148">
        <v>151084</v>
      </c>
      <c r="AP30" s="150">
        <f t="shared" si="34"/>
        <v>4118759.2</v>
      </c>
      <c r="AQ30" s="149">
        <f t="shared" si="19"/>
        <v>4046269.77</v>
      </c>
    </row>
    <row r="31" spans="1:43" ht="20.100000000000001" customHeight="1">
      <c r="A31" s="141" t="s">
        <v>32</v>
      </c>
      <c r="B31" s="143" t="s">
        <v>348</v>
      </c>
      <c r="C31" s="143" t="s">
        <v>37</v>
      </c>
      <c r="D31" s="144"/>
      <c r="E31" s="152">
        <v>8</v>
      </c>
      <c r="F31" s="152">
        <v>12</v>
      </c>
      <c r="G31" s="152">
        <v>0</v>
      </c>
      <c r="H31" s="152">
        <v>10</v>
      </c>
      <c r="I31" s="142">
        <f t="shared" si="0"/>
        <v>30</v>
      </c>
      <c r="J31" s="144">
        <v>7</v>
      </c>
      <c r="K31" s="144"/>
      <c r="L31" s="144"/>
      <c r="M31" s="144"/>
      <c r="N31" s="142">
        <f t="shared" si="2"/>
        <v>7</v>
      </c>
      <c r="O31" s="142">
        <f t="shared" si="33"/>
        <v>15</v>
      </c>
      <c r="P31" s="142">
        <f t="shared" si="30"/>
        <v>12</v>
      </c>
      <c r="Q31" s="142">
        <f t="shared" si="30"/>
        <v>0</v>
      </c>
      <c r="R31" s="142">
        <f t="shared" si="30"/>
        <v>10</v>
      </c>
      <c r="S31" s="147">
        <f t="shared" si="4"/>
        <v>37</v>
      </c>
      <c r="T31" s="144">
        <v>9</v>
      </c>
      <c r="U31" s="144">
        <v>9</v>
      </c>
      <c r="V31" s="144">
        <v>1</v>
      </c>
      <c r="W31" s="144">
        <v>8</v>
      </c>
      <c r="X31" s="147">
        <f t="shared" si="5"/>
        <v>27</v>
      </c>
      <c r="Y31" s="144">
        <v>9</v>
      </c>
      <c r="Z31" s="144">
        <v>9</v>
      </c>
      <c r="AA31" s="144">
        <v>1</v>
      </c>
      <c r="AB31" s="144">
        <v>8</v>
      </c>
      <c r="AC31" s="142">
        <f t="shared" si="6"/>
        <v>27</v>
      </c>
      <c r="AD31" s="142">
        <f>(Y31*6800+Z31*5950+AA31*5395+AB31*4500)*12</f>
        <v>1873740</v>
      </c>
      <c r="AE31" s="142">
        <f t="shared" si="8"/>
        <v>116640</v>
      </c>
      <c r="AF31" s="142">
        <f t="shared" si="9"/>
        <v>162000</v>
      </c>
      <c r="AG31" s="142">
        <f t="shared" si="10"/>
        <v>64800</v>
      </c>
      <c r="AH31" s="142">
        <f>AC31*10000</f>
        <v>270000</v>
      </c>
      <c r="AI31" s="142">
        <f t="shared" si="12"/>
        <v>21600</v>
      </c>
      <c r="AJ31" s="142">
        <f t="shared" si="13"/>
        <v>0</v>
      </c>
      <c r="AK31" s="142">
        <f t="shared" si="14"/>
        <v>27000</v>
      </c>
      <c r="AL31" s="142">
        <f t="shared" si="15"/>
        <v>25920</v>
      </c>
      <c r="AM31" s="142">
        <f t="shared" si="16"/>
        <v>826627.68</v>
      </c>
      <c r="AN31" s="142">
        <f t="shared" si="17"/>
        <v>3388327.68</v>
      </c>
      <c r="AO31" s="148">
        <v>44244.5</v>
      </c>
      <c r="AP31" s="150">
        <f t="shared" si="34"/>
        <v>3432572.18</v>
      </c>
      <c r="AQ31" s="149">
        <f t="shared" si="19"/>
        <v>3370667.43</v>
      </c>
    </row>
    <row r="32" spans="1:43" ht="20.100000000000001" customHeight="1">
      <c r="A32" s="141" t="s">
        <v>32</v>
      </c>
      <c r="B32" s="143" t="s">
        <v>349</v>
      </c>
      <c r="C32" s="143" t="s">
        <v>65</v>
      </c>
      <c r="D32" s="144"/>
      <c r="E32" s="152">
        <v>0</v>
      </c>
      <c r="F32" s="152">
        <v>10</v>
      </c>
      <c r="G32" s="152">
        <v>0</v>
      </c>
      <c r="H32" s="152">
        <v>9</v>
      </c>
      <c r="I32" s="142">
        <f t="shared" si="0"/>
        <v>19</v>
      </c>
      <c r="J32" s="144"/>
      <c r="K32" s="144"/>
      <c r="L32" s="144"/>
      <c r="M32" s="144"/>
      <c r="N32" s="142">
        <f t="shared" si="2"/>
        <v>0</v>
      </c>
      <c r="O32" s="142">
        <f t="shared" si="33"/>
        <v>0</v>
      </c>
      <c r="P32" s="142">
        <f t="shared" si="30"/>
        <v>10</v>
      </c>
      <c r="Q32" s="142">
        <f t="shared" si="30"/>
        <v>0</v>
      </c>
      <c r="R32" s="142">
        <f t="shared" si="30"/>
        <v>9</v>
      </c>
      <c r="S32" s="147">
        <f t="shared" si="4"/>
        <v>19</v>
      </c>
      <c r="T32" s="144">
        <v>0</v>
      </c>
      <c r="U32" s="144">
        <v>4</v>
      </c>
      <c r="V32" s="144">
        <v>0</v>
      </c>
      <c r="W32" s="144">
        <v>12</v>
      </c>
      <c r="X32" s="147">
        <f t="shared" si="5"/>
        <v>16</v>
      </c>
      <c r="Y32" s="144">
        <v>0</v>
      </c>
      <c r="Z32" s="144">
        <v>4</v>
      </c>
      <c r="AA32" s="144">
        <v>0</v>
      </c>
      <c r="AB32" s="144">
        <v>12</v>
      </c>
      <c r="AC32" s="142">
        <f t="shared" si="6"/>
        <v>16</v>
      </c>
      <c r="AD32" s="142">
        <f>(Y32*7250+Z32*5950+AA32*5395+AB32*4500)*12</f>
        <v>933600</v>
      </c>
      <c r="AE32" s="142">
        <f t="shared" si="8"/>
        <v>69120</v>
      </c>
      <c r="AF32" s="142">
        <f t="shared" si="9"/>
        <v>96000</v>
      </c>
      <c r="AG32" s="142">
        <f t="shared" si="10"/>
        <v>38400</v>
      </c>
      <c r="AH32" s="142">
        <f t="shared" ref="AH32:AH33" si="35">(Y32*16000)+(Z32*10000+AA32*10000+AB32*10000)</f>
        <v>160000</v>
      </c>
      <c r="AI32" s="142">
        <f t="shared" si="12"/>
        <v>12800</v>
      </c>
      <c r="AJ32" s="142">
        <f t="shared" si="13"/>
        <v>0</v>
      </c>
      <c r="AK32" s="142">
        <f t="shared" si="14"/>
        <v>12000</v>
      </c>
      <c r="AL32" s="142">
        <f t="shared" si="15"/>
        <v>15360</v>
      </c>
      <c r="AM32" s="142">
        <f t="shared" si="16"/>
        <v>489853.44</v>
      </c>
      <c r="AN32" s="142">
        <f t="shared" si="17"/>
        <v>1827133.4399999999</v>
      </c>
      <c r="AO32" s="148"/>
      <c r="AP32" s="150">
        <f t="shared" si="34"/>
        <v>1827133.4399999999</v>
      </c>
      <c r="AQ32" s="149">
        <f t="shared" si="19"/>
        <v>1793751.71</v>
      </c>
    </row>
    <row r="33" spans="1:43" ht="20.100000000000001" customHeight="1">
      <c r="A33" s="141" t="s">
        <v>32</v>
      </c>
      <c r="B33" s="143" t="s">
        <v>75</v>
      </c>
      <c r="C33" s="143" t="s">
        <v>66</v>
      </c>
      <c r="D33" s="144"/>
      <c r="E33" s="152">
        <v>33</v>
      </c>
      <c r="F33" s="152">
        <v>11</v>
      </c>
      <c r="G33" s="152">
        <v>0</v>
      </c>
      <c r="H33" s="152">
        <v>6</v>
      </c>
      <c r="I33" s="142">
        <f t="shared" si="0"/>
        <v>50</v>
      </c>
      <c r="J33" s="144">
        <v>5</v>
      </c>
      <c r="K33" s="144">
        <v>1</v>
      </c>
      <c r="L33" s="144"/>
      <c r="M33" s="144">
        <v>3</v>
      </c>
      <c r="N33" s="142">
        <f t="shared" si="2"/>
        <v>9</v>
      </c>
      <c r="O33" s="142">
        <f t="shared" si="33"/>
        <v>38</v>
      </c>
      <c r="P33" s="142">
        <f t="shared" si="30"/>
        <v>12</v>
      </c>
      <c r="Q33" s="142">
        <f t="shared" si="30"/>
        <v>0</v>
      </c>
      <c r="R33" s="142">
        <f t="shared" si="30"/>
        <v>9</v>
      </c>
      <c r="S33" s="147">
        <f t="shared" si="4"/>
        <v>59</v>
      </c>
      <c r="T33" s="144">
        <v>10</v>
      </c>
      <c r="U33" s="144">
        <v>11</v>
      </c>
      <c r="V33" s="144">
        <v>0</v>
      </c>
      <c r="W33" s="144">
        <v>9</v>
      </c>
      <c r="X33" s="147">
        <f t="shared" si="5"/>
        <v>30</v>
      </c>
      <c r="Y33" s="144">
        <v>10</v>
      </c>
      <c r="Z33" s="144">
        <v>11</v>
      </c>
      <c r="AA33" s="144">
        <v>0</v>
      </c>
      <c r="AB33" s="144">
        <v>9</v>
      </c>
      <c r="AC33" s="142">
        <f t="shared" si="6"/>
        <v>30</v>
      </c>
      <c r="AD33" s="142">
        <f>(Y33*7700+Z33*5950+AA33*5395+AB33*4500)*12</f>
        <v>2195400</v>
      </c>
      <c r="AE33" s="142">
        <f t="shared" si="8"/>
        <v>129600</v>
      </c>
      <c r="AF33" s="142">
        <f t="shared" si="9"/>
        <v>180000</v>
      </c>
      <c r="AG33" s="142">
        <f t="shared" si="10"/>
        <v>72000</v>
      </c>
      <c r="AH33" s="142">
        <f t="shared" si="35"/>
        <v>360000</v>
      </c>
      <c r="AI33" s="142">
        <f t="shared" si="12"/>
        <v>24000</v>
      </c>
      <c r="AJ33" s="142">
        <f t="shared" si="13"/>
        <v>0</v>
      </c>
      <c r="AK33" s="142">
        <f t="shared" si="14"/>
        <v>30600</v>
      </c>
      <c r="AL33" s="142">
        <f t="shared" si="15"/>
        <v>28800</v>
      </c>
      <c r="AM33" s="142">
        <f t="shared" si="16"/>
        <v>918475.2</v>
      </c>
      <c r="AN33" s="142">
        <f t="shared" si="17"/>
        <v>3938875.2</v>
      </c>
      <c r="AO33" s="148">
        <v>96231</v>
      </c>
      <c r="AP33" s="150">
        <f t="shared" si="34"/>
        <v>4035106.2</v>
      </c>
      <c r="AQ33" s="149">
        <f t="shared" si="19"/>
        <v>3963142.95</v>
      </c>
    </row>
    <row r="34" spans="1:43" s="61" customFormat="1" ht="20.100000000000001" customHeight="1">
      <c r="A34" s="141" t="s">
        <v>32</v>
      </c>
      <c r="B34" s="143" t="s">
        <v>350</v>
      </c>
      <c r="C34" s="143" t="s">
        <v>334</v>
      </c>
      <c r="D34" s="144">
        <v>1</v>
      </c>
      <c r="E34" s="152">
        <v>0</v>
      </c>
      <c r="F34" s="152">
        <v>2</v>
      </c>
      <c r="G34" s="152">
        <v>15</v>
      </c>
      <c r="H34" s="152">
        <v>3</v>
      </c>
      <c r="I34" s="142">
        <f t="shared" si="0"/>
        <v>20</v>
      </c>
      <c r="J34" s="144"/>
      <c r="K34" s="144"/>
      <c r="L34" s="144">
        <v>7</v>
      </c>
      <c r="M34" s="144"/>
      <c r="N34" s="142">
        <f t="shared" si="2"/>
        <v>7</v>
      </c>
      <c r="O34" s="142">
        <f t="shared" si="33"/>
        <v>0</v>
      </c>
      <c r="P34" s="142">
        <f t="shared" si="30"/>
        <v>2</v>
      </c>
      <c r="Q34" s="142">
        <f t="shared" si="30"/>
        <v>22</v>
      </c>
      <c r="R34" s="142">
        <f t="shared" si="30"/>
        <v>3</v>
      </c>
      <c r="S34" s="147">
        <f t="shared" si="4"/>
        <v>27</v>
      </c>
      <c r="T34" s="144">
        <v>0</v>
      </c>
      <c r="U34" s="144">
        <v>3</v>
      </c>
      <c r="V34" s="144">
        <v>20</v>
      </c>
      <c r="W34" s="144">
        <v>2</v>
      </c>
      <c r="X34" s="147">
        <f t="shared" si="5"/>
        <v>25</v>
      </c>
      <c r="Y34" s="144">
        <v>0</v>
      </c>
      <c r="Z34" s="144">
        <v>3</v>
      </c>
      <c r="AA34" s="144">
        <v>20</v>
      </c>
      <c r="AB34" s="144">
        <v>2</v>
      </c>
      <c r="AC34" s="142">
        <f t="shared" si="6"/>
        <v>25</v>
      </c>
      <c r="AD34" s="142">
        <f t="shared" ref="AD34:AD35" si="36">(Y34*6800+Z34*5950+AA34*5395+AB34*4500)*12</f>
        <v>1617000</v>
      </c>
      <c r="AE34" s="142">
        <f t="shared" si="8"/>
        <v>108000</v>
      </c>
      <c r="AF34" s="142">
        <f t="shared" si="9"/>
        <v>150000</v>
      </c>
      <c r="AG34" s="142">
        <f t="shared" si="10"/>
        <v>60000</v>
      </c>
      <c r="AH34" s="142">
        <f t="shared" ref="AH34:AH35" si="37">AC34*10000</f>
        <v>250000</v>
      </c>
      <c r="AI34" s="142">
        <f t="shared" si="12"/>
        <v>20000</v>
      </c>
      <c r="AJ34" s="142">
        <f t="shared" si="13"/>
        <v>10000</v>
      </c>
      <c r="AK34" s="142">
        <f t="shared" si="14"/>
        <v>16800</v>
      </c>
      <c r="AL34" s="142">
        <f t="shared" si="15"/>
        <v>24000</v>
      </c>
      <c r="AM34" s="142">
        <f t="shared" si="16"/>
        <v>765396</v>
      </c>
      <c r="AN34" s="142">
        <f t="shared" si="17"/>
        <v>3021196</v>
      </c>
      <c r="AO34" s="150"/>
      <c r="AP34" s="142">
        <f t="shared" si="34"/>
        <v>3021196</v>
      </c>
      <c r="AQ34" s="149">
        <f t="shared" si="19"/>
        <v>2965998.75</v>
      </c>
    </row>
    <row r="35" spans="1:43" ht="20.100000000000001" customHeight="1">
      <c r="A35" s="141" t="s">
        <v>32</v>
      </c>
      <c r="B35" s="143" t="s">
        <v>351</v>
      </c>
      <c r="C35" s="143" t="s">
        <v>334</v>
      </c>
      <c r="D35" s="144">
        <v>1</v>
      </c>
      <c r="E35" s="152">
        <v>12</v>
      </c>
      <c r="F35" s="152">
        <v>3</v>
      </c>
      <c r="G35" s="152">
        <v>22</v>
      </c>
      <c r="H35" s="152">
        <v>3</v>
      </c>
      <c r="I35" s="142">
        <f t="shared" si="0"/>
        <v>40</v>
      </c>
      <c r="J35" s="144"/>
      <c r="K35" s="144"/>
      <c r="L35" s="144"/>
      <c r="M35" s="144"/>
      <c r="N35" s="142">
        <f t="shared" si="2"/>
        <v>0</v>
      </c>
      <c r="O35" s="142">
        <f t="shared" si="33"/>
        <v>12</v>
      </c>
      <c r="P35" s="142">
        <f t="shared" si="30"/>
        <v>3</v>
      </c>
      <c r="Q35" s="142">
        <f t="shared" si="30"/>
        <v>22</v>
      </c>
      <c r="R35" s="142">
        <f t="shared" si="30"/>
        <v>3</v>
      </c>
      <c r="S35" s="147">
        <f t="shared" si="4"/>
        <v>40</v>
      </c>
      <c r="T35" s="144">
        <v>0</v>
      </c>
      <c r="U35" s="144">
        <v>4</v>
      </c>
      <c r="V35" s="144">
        <v>23</v>
      </c>
      <c r="W35" s="144">
        <v>3</v>
      </c>
      <c r="X35" s="147">
        <f t="shared" si="5"/>
        <v>30</v>
      </c>
      <c r="Y35" s="144">
        <v>0</v>
      </c>
      <c r="Z35" s="144">
        <v>4</v>
      </c>
      <c r="AA35" s="144">
        <v>23</v>
      </c>
      <c r="AB35" s="144">
        <v>3</v>
      </c>
      <c r="AC35" s="142">
        <f t="shared" si="6"/>
        <v>30</v>
      </c>
      <c r="AD35" s="142">
        <f t="shared" si="36"/>
        <v>1936620</v>
      </c>
      <c r="AE35" s="142">
        <f t="shared" si="8"/>
        <v>129600</v>
      </c>
      <c r="AF35" s="142">
        <f t="shared" si="9"/>
        <v>180000</v>
      </c>
      <c r="AG35" s="142">
        <f t="shared" si="10"/>
        <v>72000</v>
      </c>
      <c r="AH35" s="142">
        <f t="shared" si="37"/>
        <v>300000</v>
      </c>
      <c r="AI35" s="142">
        <f t="shared" si="12"/>
        <v>24000</v>
      </c>
      <c r="AJ35" s="142">
        <f t="shared" si="13"/>
        <v>10000</v>
      </c>
      <c r="AK35" s="142">
        <f t="shared" si="14"/>
        <v>20400</v>
      </c>
      <c r="AL35" s="142">
        <f t="shared" si="15"/>
        <v>28800</v>
      </c>
      <c r="AM35" s="142">
        <f t="shared" si="16"/>
        <v>918475.2</v>
      </c>
      <c r="AN35" s="142">
        <f t="shared" si="17"/>
        <v>3619895.2</v>
      </c>
      <c r="AO35" s="148"/>
      <c r="AP35" s="142">
        <f t="shared" si="34"/>
        <v>3619895.2</v>
      </c>
      <c r="AQ35" s="149">
        <f t="shared" si="19"/>
        <v>3553759.71</v>
      </c>
    </row>
    <row r="36" spans="1:43" ht="20.100000000000001" customHeight="1">
      <c r="A36" s="143"/>
      <c r="B36" s="254" t="s">
        <v>44</v>
      </c>
      <c r="C36" s="254"/>
      <c r="D36" s="253">
        <f>SUM(D25:D35)</f>
        <v>8</v>
      </c>
      <c r="E36" s="253">
        <f t="shared" ref="E36:AQ36" si="38">SUM(E25:E35)</f>
        <v>102</v>
      </c>
      <c r="F36" s="253">
        <f t="shared" si="38"/>
        <v>59</v>
      </c>
      <c r="G36" s="253">
        <f t="shared" si="38"/>
        <v>130</v>
      </c>
      <c r="H36" s="253">
        <f t="shared" si="38"/>
        <v>48</v>
      </c>
      <c r="I36" s="253">
        <f t="shared" si="38"/>
        <v>339</v>
      </c>
      <c r="J36" s="253">
        <f t="shared" si="38"/>
        <v>14</v>
      </c>
      <c r="K36" s="253">
        <f t="shared" si="38"/>
        <v>8</v>
      </c>
      <c r="L36" s="253">
        <f t="shared" si="38"/>
        <v>8</v>
      </c>
      <c r="M36" s="253">
        <f t="shared" si="38"/>
        <v>5</v>
      </c>
      <c r="N36" s="253">
        <f t="shared" si="38"/>
        <v>35</v>
      </c>
      <c r="O36" s="253">
        <f t="shared" si="38"/>
        <v>116</v>
      </c>
      <c r="P36" s="253">
        <f t="shared" si="38"/>
        <v>67</v>
      </c>
      <c r="Q36" s="253">
        <f t="shared" si="38"/>
        <v>138</v>
      </c>
      <c r="R36" s="253">
        <f t="shared" si="38"/>
        <v>53</v>
      </c>
      <c r="S36" s="253">
        <f t="shared" si="38"/>
        <v>374</v>
      </c>
      <c r="T36" s="253">
        <f t="shared" si="38"/>
        <v>32</v>
      </c>
      <c r="U36" s="253">
        <f t="shared" si="38"/>
        <v>56</v>
      </c>
      <c r="V36" s="253">
        <f t="shared" si="38"/>
        <v>141</v>
      </c>
      <c r="W36" s="253">
        <f t="shared" si="38"/>
        <v>50</v>
      </c>
      <c r="X36" s="253">
        <f t="shared" si="38"/>
        <v>279</v>
      </c>
      <c r="Y36" s="253">
        <f t="shared" si="38"/>
        <v>32</v>
      </c>
      <c r="Z36" s="253">
        <f t="shared" si="38"/>
        <v>56</v>
      </c>
      <c r="AA36" s="253">
        <f t="shared" si="38"/>
        <v>136</v>
      </c>
      <c r="AB36" s="253">
        <f t="shared" si="38"/>
        <v>50</v>
      </c>
      <c r="AC36" s="253">
        <f t="shared" si="38"/>
        <v>274</v>
      </c>
      <c r="AD36" s="253">
        <f t="shared" si="38"/>
        <v>18292440</v>
      </c>
      <c r="AE36" s="253">
        <f t="shared" si="38"/>
        <v>1183680</v>
      </c>
      <c r="AF36" s="253">
        <f t="shared" si="38"/>
        <v>1644000</v>
      </c>
      <c r="AG36" s="253">
        <f t="shared" si="38"/>
        <v>657600</v>
      </c>
      <c r="AH36" s="253">
        <f t="shared" si="38"/>
        <v>2878000</v>
      </c>
      <c r="AI36" s="253">
        <f t="shared" si="38"/>
        <v>219200</v>
      </c>
      <c r="AJ36" s="253">
        <f t="shared" si="38"/>
        <v>80000</v>
      </c>
      <c r="AK36" s="253">
        <f t="shared" si="38"/>
        <v>217200</v>
      </c>
      <c r="AL36" s="253">
        <f t="shared" si="38"/>
        <v>263040</v>
      </c>
      <c r="AM36" s="253">
        <f t="shared" si="38"/>
        <v>8388740.1600000001</v>
      </c>
      <c r="AN36" s="253">
        <f t="shared" si="38"/>
        <v>33823900.159999996</v>
      </c>
      <c r="AO36" s="253">
        <f t="shared" si="38"/>
        <v>291559.5</v>
      </c>
      <c r="AP36" s="253">
        <f t="shared" si="38"/>
        <v>34115459.659999996</v>
      </c>
      <c r="AQ36" s="253">
        <f t="shared" si="38"/>
        <v>33497496.990000002</v>
      </c>
    </row>
    <row r="37" spans="1:43" s="61" customFormat="1" ht="20.100000000000001" customHeight="1">
      <c r="A37" s="141" t="s">
        <v>30</v>
      </c>
      <c r="B37" s="143" t="s">
        <v>352</v>
      </c>
      <c r="C37" s="143" t="s">
        <v>334</v>
      </c>
      <c r="D37" s="144">
        <v>2</v>
      </c>
      <c r="E37" s="152">
        <v>0</v>
      </c>
      <c r="F37" s="152">
        <v>5</v>
      </c>
      <c r="G37" s="152">
        <v>26</v>
      </c>
      <c r="H37" s="152">
        <v>2</v>
      </c>
      <c r="I37" s="142">
        <f t="shared" si="0"/>
        <v>33</v>
      </c>
      <c r="J37" s="144"/>
      <c r="K37" s="144"/>
      <c r="L37" s="144"/>
      <c r="M37" s="144"/>
      <c r="N37" s="142">
        <f t="shared" si="2"/>
        <v>0</v>
      </c>
      <c r="O37" s="142">
        <f t="shared" ref="O37:R51" si="39">E37+J37</f>
        <v>0</v>
      </c>
      <c r="P37" s="142">
        <f t="shared" si="39"/>
        <v>5</v>
      </c>
      <c r="Q37" s="142">
        <f t="shared" si="39"/>
        <v>26</v>
      </c>
      <c r="R37" s="142">
        <f t="shared" si="39"/>
        <v>2</v>
      </c>
      <c r="S37" s="147">
        <f t="shared" si="4"/>
        <v>33</v>
      </c>
      <c r="T37" s="144">
        <v>0</v>
      </c>
      <c r="U37" s="144">
        <v>5</v>
      </c>
      <c r="V37" s="144">
        <v>25</v>
      </c>
      <c r="W37" s="144">
        <v>2</v>
      </c>
      <c r="X37" s="147">
        <f t="shared" si="5"/>
        <v>32</v>
      </c>
      <c r="Y37" s="144">
        <v>0</v>
      </c>
      <c r="Z37" s="144">
        <v>5</v>
      </c>
      <c r="AA37" s="144">
        <v>25</v>
      </c>
      <c r="AB37" s="144">
        <v>2</v>
      </c>
      <c r="AC37" s="142">
        <f t="shared" si="6"/>
        <v>32</v>
      </c>
      <c r="AD37" s="142">
        <f t="shared" ref="AD37:AD44" si="40">(Y37*6800+Z37*5950+AA37*5395+AB37*4500)*12</f>
        <v>2083500</v>
      </c>
      <c r="AE37" s="142">
        <f t="shared" si="8"/>
        <v>138240</v>
      </c>
      <c r="AF37" s="142">
        <f t="shared" si="9"/>
        <v>192000</v>
      </c>
      <c r="AG37" s="142">
        <f t="shared" si="10"/>
        <v>76800</v>
      </c>
      <c r="AH37" s="142">
        <f t="shared" ref="AH37:AH44" si="41">AC37*10000</f>
        <v>320000</v>
      </c>
      <c r="AI37" s="142">
        <f t="shared" si="12"/>
        <v>25600</v>
      </c>
      <c r="AJ37" s="142">
        <f t="shared" si="13"/>
        <v>20000</v>
      </c>
      <c r="AK37" s="142">
        <f t="shared" si="14"/>
        <v>22200</v>
      </c>
      <c r="AL37" s="142">
        <f t="shared" si="15"/>
        <v>30720</v>
      </c>
      <c r="AM37" s="142">
        <f t="shared" si="16"/>
        <v>979706.88</v>
      </c>
      <c r="AN37" s="142">
        <f t="shared" si="17"/>
        <v>3888766.88</v>
      </c>
      <c r="AO37" s="150"/>
      <c r="AP37" s="142">
        <f>AN37+AO37</f>
        <v>3888766.88</v>
      </c>
      <c r="AQ37" s="149">
        <f t="shared" si="19"/>
        <v>3817719.11</v>
      </c>
    </row>
    <row r="38" spans="1:43" ht="20.100000000000001" customHeight="1">
      <c r="A38" s="141" t="s">
        <v>30</v>
      </c>
      <c r="B38" s="143" t="s">
        <v>353</v>
      </c>
      <c r="C38" s="143" t="s">
        <v>334</v>
      </c>
      <c r="D38" s="144">
        <v>2</v>
      </c>
      <c r="E38" s="152">
        <v>0</v>
      </c>
      <c r="F38" s="152">
        <v>1</v>
      </c>
      <c r="G38" s="152">
        <v>24</v>
      </c>
      <c r="H38" s="152">
        <v>3</v>
      </c>
      <c r="I38" s="142">
        <f t="shared" si="0"/>
        <v>28</v>
      </c>
      <c r="J38" s="144"/>
      <c r="K38" s="144"/>
      <c r="L38" s="144"/>
      <c r="M38" s="144"/>
      <c r="N38" s="142">
        <f t="shared" si="2"/>
        <v>0</v>
      </c>
      <c r="O38" s="142">
        <f t="shared" si="39"/>
        <v>0</v>
      </c>
      <c r="P38" s="142">
        <f t="shared" si="39"/>
        <v>1</v>
      </c>
      <c r="Q38" s="142">
        <f t="shared" si="39"/>
        <v>24</v>
      </c>
      <c r="R38" s="142">
        <f t="shared" si="39"/>
        <v>3</v>
      </c>
      <c r="S38" s="147">
        <f t="shared" si="4"/>
        <v>28</v>
      </c>
      <c r="T38" s="144">
        <v>0</v>
      </c>
      <c r="U38" s="144">
        <v>1</v>
      </c>
      <c r="V38" s="144">
        <v>21</v>
      </c>
      <c r="W38" s="144">
        <v>2</v>
      </c>
      <c r="X38" s="147">
        <f t="shared" si="5"/>
        <v>24</v>
      </c>
      <c r="Y38" s="144">
        <v>0</v>
      </c>
      <c r="Z38" s="144">
        <v>1</v>
      </c>
      <c r="AA38" s="144">
        <v>21</v>
      </c>
      <c r="AB38" s="144">
        <v>2</v>
      </c>
      <c r="AC38" s="142">
        <f t="shared" si="6"/>
        <v>24</v>
      </c>
      <c r="AD38" s="142">
        <f t="shared" si="40"/>
        <v>1538940</v>
      </c>
      <c r="AE38" s="142">
        <f t="shared" si="8"/>
        <v>103680</v>
      </c>
      <c r="AF38" s="142">
        <f t="shared" si="9"/>
        <v>144000</v>
      </c>
      <c r="AG38" s="142">
        <f t="shared" si="10"/>
        <v>57600</v>
      </c>
      <c r="AH38" s="142">
        <f t="shared" si="41"/>
        <v>240000</v>
      </c>
      <c r="AI38" s="142">
        <f t="shared" si="12"/>
        <v>19200</v>
      </c>
      <c r="AJ38" s="142">
        <f t="shared" si="13"/>
        <v>20000</v>
      </c>
      <c r="AK38" s="142">
        <f t="shared" si="14"/>
        <v>15000</v>
      </c>
      <c r="AL38" s="142">
        <f t="shared" si="15"/>
        <v>23040</v>
      </c>
      <c r="AM38" s="142">
        <f t="shared" si="16"/>
        <v>734780.16</v>
      </c>
      <c r="AN38" s="142">
        <f t="shared" si="17"/>
        <v>2896240.16</v>
      </c>
      <c r="AO38" s="148"/>
      <c r="AP38" s="142">
        <f t="shared" ref="AP38:AP51" si="42">AN38+AO38</f>
        <v>2896240.16</v>
      </c>
      <c r="AQ38" s="149">
        <f t="shared" si="19"/>
        <v>2843325.85</v>
      </c>
    </row>
    <row r="39" spans="1:43" ht="20.100000000000001" customHeight="1">
      <c r="A39" s="141" t="s">
        <v>30</v>
      </c>
      <c r="B39" s="143" t="s">
        <v>354</v>
      </c>
      <c r="C39" s="143" t="s">
        <v>334</v>
      </c>
      <c r="D39" s="144">
        <v>4</v>
      </c>
      <c r="E39" s="152">
        <v>6</v>
      </c>
      <c r="F39" s="152">
        <v>6</v>
      </c>
      <c r="G39" s="152">
        <v>44</v>
      </c>
      <c r="H39" s="152">
        <v>6</v>
      </c>
      <c r="I39" s="142">
        <f t="shared" si="0"/>
        <v>62</v>
      </c>
      <c r="J39" s="144"/>
      <c r="K39" s="144"/>
      <c r="L39" s="144"/>
      <c r="M39" s="144"/>
      <c r="N39" s="142">
        <f t="shared" si="2"/>
        <v>0</v>
      </c>
      <c r="O39" s="142">
        <f t="shared" si="39"/>
        <v>6</v>
      </c>
      <c r="P39" s="142">
        <f t="shared" si="39"/>
        <v>6</v>
      </c>
      <c r="Q39" s="142">
        <f t="shared" si="39"/>
        <v>44</v>
      </c>
      <c r="R39" s="142">
        <f t="shared" si="39"/>
        <v>6</v>
      </c>
      <c r="S39" s="147">
        <f t="shared" si="4"/>
        <v>62</v>
      </c>
      <c r="T39" s="144">
        <v>0</v>
      </c>
      <c r="U39" s="144">
        <v>10</v>
      </c>
      <c r="V39" s="144">
        <v>48</v>
      </c>
      <c r="W39" s="144">
        <v>6</v>
      </c>
      <c r="X39" s="147">
        <f t="shared" si="5"/>
        <v>64</v>
      </c>
      <c r="Y39" s="144">
        <v>6</v>
      </c>
      <c r="Z39" s="144">
        <v>6</v>
      </c>
      <c r="AA39" s="144">
        <v>44</v>
      </c>
      <c r="AB39" s="144">
        <v>6</v>
      </c>
      <c r="AC39" s="142">
        <f t="shared" si="6"/>
        <v>62</v>
      </c>
      <c r="AD39" s="142">
        <f t="shared" si="40"/>
        <v>4090560</v>
      </c>
      <c r="AE39" s="142">
        <f t="shared" si="8"/>
        <v>267840</v>
      </c>
      <c r="AF39" s="142">
        <f t="shared" si="9"/>
        <v>372000</v>
      </c>
      <c r="AG39" s="142">
        <f t="shared" si="10"/>
        <v>148800</v>
      </c>
      <c r="AH39" s="142">
        <f t="shared" si="41"/>
        <v>620000</v>
      </c>
      <c r="AI39" s="142">
        <f t="shared" si="12"/>
        <v>49600</v>
      </c>
      <c r="AJ39" s="142">
        <f t="shared" si="13"/>
        <v>40000</v>
      </c>
      <c r="AK39" s="142">
        <f t="shared" si="14"/>
        <v>44400</v>
      </c>
      <c r="AL39" s="142">
        <f t="shared" si="15"/>
        <v>59520</v>
      </c>
      <c r="AM39" s="142">
        <f t="shared" si="16"/>
        <v>1898182.08</v>
      </c>
      <c r="AN39" s="142">
        <f t="shared" si="17"/>
        <v>7590902.0800000001</v>
      </c>
      <c r="AO39" s="148"/>
      <c r="AP39" s="142">
        <f t="shared" si="42"/>
        <v>7590902.0800000001</v>
      </c>
      <c r="AQ39" s="149">
        <f t="shared" si="19"/>
        <v>7452216.2999999998</v>
      </c>
    </row>
    <row r="40" spans="1:43" s="61" customFormat="1" ht="20.100000000000001" customHeight="1">
      <c r="A40" s="141" t="s">
        <v>30</v>
      </c>
      <c r="B40" s="143" t="s">
        <v>135</v>
      </c>
      <c r="C40" s="143" t="s">
        <v>334</v>
      </c>
      <c r="D40" s="144">
        <v>2</v>
      </c>
      <c r="E40" s="152">
        <v>0</v>
      </c>
      <c r="F40" s="152">
        <v>1</v>
      </c>
      <c r="G40" s="152">
        <v>23</v>
      </c>
      <c r="H40" s="152">
        <v>1</v>
      </c>
      <c r="I40" s="142">
        <f t="shared" si="0"/>
        <v>25</v>
      </c>
      <c r="J40" s="144"/>
      <c r="K40" s="144"/>
      <c r="L40" s="144"/>
      <c r="M40" s="144"/>
      <c r="N40" s="142">
        <f t="shared" si="2"/>
        <v>0</v>
      </c>
      <c r="O40" s="142">
        <f t="shared" si="39"/>
        <v>0</v>
      </c>
      <c r="P40" s="142">
        <f t="shared" si="39"/>
        <v>1</v>
      </c>
      <c r="Q40" s="142">
        <f t="shared" si="39"/>
        <v>23</v>
      </c>
      <c r="R40" s="142">
        <f t="shared" si="39"/>
        <v>1</v>
      </c>
      <c r="S40" s="147">
        <f t="shared" si="4"/>
        <v>25</v>
      </c>
      <c r="T40" s="144">
        <v>0</v>
      </c>
      <c r="U40" s="144">
        <v>2</v>
      </c>
      <c r="V40" s="144">
        <v>25</v>
      </c>
      <c r="W40" s="144">
        <v>1</v>
      </c>
      <c r="X40" s="147">
        <f t="shared" si="5"/>
        <v>28</v>
      </c>
      <c r="Y40" s="144">
        <v>0</v>
      </c>
      <c r="Z40" s="144">
        <v>1</v>
      </c>
      <c r="AA40" s="144">
        <v>23</v>
      </c>
      <c r="AB40" s="144">
        <v>1</v>
      </c>
      <c r="AC40" s="142">
        <f t="shared" si="6"/>
        <v>25</v>
      </c>
      <c r="AD40" s="142">
        <f t="shared" si="40"/>
        <v>1614420</v>
      </c>
      <c r="AE40" s="142">
        <f t="shared" si="8"/>
        <v>108000</v>
      </c>
      <c r="AF40" s="142">
        <f t="shared" si="9"/>
        <v>150000</v>
      </c>
      <c r="AG40" s="142">
        <f t="shared" si="10"/>
        <v>60000</v>
      </c>
      <c r="AH40" s="142">
        <f t="shared" si="41"/>
        <v>250000</v>
      </c>
      <c r="AI40" s="142">
        <f t="shared" si="12"/>
        <v>20000</v>
      </c>
      <c r="AJ40" s="142">
        <f t="shared" si="13"/>
        <v>20000</v>
      </c>
      <c r="AK40" s="142">
        <f t="shared" si="14"/>
        <v>15600</v>
      </c>
      <c r="AL40" s="142">
        <f t="shared" si="15"/>
        <v>24000</v>
      </c>
      <c r="AM40" s="142">
        <f t="shared" si="16"/>
        <v>765396</v>
      </c>
      <c r="AN40" s="142">
        <f t="shared" si="17"/>
        <v>3027416</v>
      </c>
      <c r="AO40" s="150"/>
      <c r="AP40" s="142">
        <f t="shared" si="42"/>
        <v>3027416</v>
      </c>
      <c r="AQ40" s="149">
        <f t="shared" si="19"/>
        <v>2972105.11</v>
      </c>
    </row>
    <row r="41" spans="1:43" s="61" customFormat="1" ht="20.100000000000001" customHeight="1">
      <c r="A41" s="141" t="s">
        <v>30</v>
      </c>
      <c r="B41" s="143" t="s">
        <v>134</v>
      </c>
      <c r="C41" s="143" t="s">
        <v>334</v>
      </c>
      <c r="D41" s="144">
        <v>3</v>
      </c>
      <c r="E41" s="152">
        <v>0</v>
      </c>
      <c r="F41" s="152">
        <v>2</v>
      </c>
      <c r="G41" s="152">
        <v>27</v>
      </c>
      <c r="H41" s="152">
        <v>4</v>
      </c>
      <c r="I41" s="142">
        <f t="shared" si="0"/>
        <v>33</v>
      </c>
      <c r="J41" s="144"/>
      <c r="K41" s="144"/>
      <c r="L41" s="144">
        <v>1</v>
      </c>
      <c r="M41" s="144"/>
      <c r="N41" s="142">
        <f t="shared" si="2"/>
        <v>1</v>
      </c>
      <c r="O41" s="142">
        <f t="shared" si="39"/>
        <v>0</v>
      </c>
      <c r="P41" s="142">
        <f t="shared" si="39"/>
        <v>2</v>
      </c>
      <c r="Q41" s="142">
        <f t="shared" si="39"/>
        <v>28</v>
      </c>
      <c r="R41" s="142">
        <f t="shared" si="39"/>
        <v>4</v>
      </c>
      <c r="S41" s="147">
        <f t="shared" si="4"/>
        <v>34</v>
      </c>
      <c r="T41" s="144">
        <v>0</v>
      </c>
      <c r="U41" s="144">
        <v>1</v>
      </c>
      <c r="V41" s="144">
        <v>26</v>
      </c>
      <c r="W41" s="144">
        <v>4</v>
      </c>
      <c r="X41" s="147">
        <f t="shared" si="5"/>
        <v>31</v>
      </c>
      <c r="Y41" s="144">
        <v>0</v>
      </c>
      <c r="Z41" s="144">
        <v>1</v>
      </c>
      <c r="AA41" s="144">
        <v>26</v>
      </c>
      <c r="AB41" s="144">
        <v>4</v>
      </c>
      <c r="AC41" s="142">
        <f t="shared" si="6"/>
        <v>31</v>
      </c>
      <c r="AD41" s="142">
        <f t="shared" si="40"/>
        <v>1970640</v>
      </c>
      <c r="AE41" s="142">
        <f t="shared" si="8"/>
        <v>133920</v>
      </c>
      <c r="AF41" s="142">
        <f t="shared" si="9"/>
        <v>186000</v>
      </c>
      <c r="AG41" s="142">
        <f t="shared" si="10"/>
        <v>74400</v>
      </c>
      <c r="AH41" s="142">
        <f t="shared" si="41"/>
        <v>310000</v>
      </c>
      <c r="AI41" s="142">
        <f t="shared" si="12"/>
        <v>24800</v>
      </c>
      <c r="AJ41" s="142">
        <f t="shared" si="13"/>
        <v>30000</v>
      </c>
      <c r="AK41" s="142">
        <f t="shared" si="14"/>
        <v>19200</v>
      </c>
      <c r="AL41" s="142">
        <f t="shared" si="15"/>
        <v>29760</v>
      </c>
      <c r="AM41" s="142">
        <f t="shared" si="16"/>
        <v>949091.04</v>
      </c>
      <c r="AN41" s="142">
        <f t="shared" si="17"/>
        <v>3727811.04</v>
      </c>
      <c r="AO41" s="150"/>
      <c r="AP41" s="142">
        <f t="shared" si="42"/>
        <v>3727811.04</v>
      </c>
      <c r="AQ41" s="149">
        <f t="shared" si="19"/>
        <v>3659703.93</v>
      </c>
    </row>
    <row r="42" spans="1:43" ht="20.100000000000001" customHeight="1">
      <c r="A42" s="141" t="s">
        <v>30</v>
      </c>
      <c r="B42" s="143" t="s">
        <v>100</v>
      </c>
      <c r="C42" s="143" t="s">
        <v>37</v>
      </c>
      <c r="D42" s="144"/>
      <c r="E42" s="152">
        <v>0</v>
      </c>
      <c r="F42" s="152">
        <v>9</v>
      </c>
      <c r="G42" s="152">
        <v>0</v>
      </c>
      <c r="H42" s="152">
        <v>6</v>
      </c>
      <c r="I42" s="142">
        <f t="shared" si="0"/>
        <v>15</v>
      </c>
      <c r="J42" s="144">
        <v>5</v>
      </c>
      <c r="K42" s="144"/>
      <c r="L42" s="144"/>
      <c r="M42" s="144">
        <v>1</v>
      </c>
      <c r="N42" s="142">
        <f t="shared" si="2"/>
        <v>6</v>
      </c>
      <c r="O42" s="142">
        <f t="shared" si="39"/>
        <v>5</v>
      </c>
      <c r="P42" s="142">
        <f t="shared" si="39"/>
        <v>9</v>
      </c>
      <c r="Q42" s="142">
        <f t="shared" si="39"/>
        <v>0</v>
      </c>
      <c r="R42" s="142">
        <f t="shared" si="39"/>
        <v>7</v>
      </c>
      <c r="S42" s="147">
        <f t="shared" si="4"/>
        <v>21</v>
      </c>
      <c r="T42" s="144">
        <v>7</v>
      </c>
      <c r="U42" s="144">
        <v>2</v>
      </c>
      <c r="V42" s="144">
        <v>0</v>
      </c>
      <c r="W42" s="144">
        <v>6</v>
      </c>
      <c r="X42" s="147">
        <f t="shared" si="5"/>
        <v>15</v>
      </c>
      <c r="Y42" s="144">
        <v>7</v>
      </c>
      <c r="Z42" s="144">
        <v>2</v>
      </c>
      <c r="AA42" s="144">
        <v>0</v>
      </c>
      <c r="AB42" s="144">
        <v>6</v>
      </c>
      <c r="AC42" s="142">
        <f t="shared" si="6"/>
        <v>15</v>
      </c>
      <c r="AD42" s="142">
        <f t="shared" si="40"/>
        <v>1038000</v>
      </c>
      <c r="AE42" s="142">
        <f t="shared" si="8"/>
        <v>64800</v>
      </c>
      <c r="AF42" s="142">
        <f t="shared" si="9"/>
        <v>90000</v>
      </c>
      <c r="AG42" s="142">
        <f t="shared" si="10"/>
        <v>36000</v>
      </c>
      <c r="AH42" s="142">
        <f t="shared" si="41"/>
        <v>150000</v>
      </c>
      <c r="AI42" s="142">
        <f t="shared" si="12"/>
        <v>12000</v>
      </c>
      <c r="AJ42" s="142">
        <f t="shared" si="13"/>
        <v>0</v>
      </c>
      <c r="AK42" s="142">
        <f t="shared" si="14"/>
        <v>14400</v>
      </c>
      <c r="AL42" s="142">
        <f t="shared" si="15"/>
        <v>14400</v>
      </c>
      <c r="AM42" s="142">
        <f t="shared" si="16"/>
        <v>459237.6</v>
      </c>
      <c r="AN42" s="142">
        <f t="shared" si="17"/>
        <v>1878837.6</v>
      </c>
      <c r="AO42" s="148">
        <v>31819.5</v>
      </c>
      <c r="AP42" s="150">
        <f t="shared" si="42"/>
        <v>1910657.1</v>
      </c>
      <c r="AQ42" s="149">
        <f t="shared" si="19"/>
        <v>1876330.74</v>
      </c>
    </row>
    <row r="43" spans="1:43" ht="20.100000000000001" customHeight="1">
      <c r="A43" s="141" t="s">
        <v>30</v>
      </c>
      <c r="B43" s="143" t="s">
        <v>355</v>
      </c>
      <c r="C43" s="143" t="s">
        <v>37</v>
      </c>
      <c r="D43" s="144"/>
      <c r="E43" s="152">
        <v>9</v>
      </c>
      <c r="F43" s="152">
        <v>14</v>
      </c>
      <c r="G43" s="152">
        <v>0</v>
      </c>
      <c r="H43" s="152">
        <v>8</v>
      </c>
      <c r="I43" s="142">
        <f t="shared" si="0"/>
        <v>31</v>
      </c>
      <c r="J43" s="144">
        <v>3</v>
      </c>
      <c r="K43" s="144"/>
      <c r="L43" s="144"/>
      <c r="M43" s="144"/>
      <c r="N43" s="142">
        <f t="shared" si="2"/>
        <v>3</v>
      </c>
      <c r="O43" s="142">
        <f t="shared" si="39"/>
        <v>12</v>
      </c>
      <c r="P43" s="142">
        <f t="shared" si="39"/>
        <v>14</v>
      </c>
      <c r="Q43" s="142">
        <f t="shared" si="39"/>
        <v>0</v>
      </c>
      <c r="R43" s="142">
        <f t="shared" si="39"/>
        <v>8</v>
      </c>
      <c r="S43" s="147">
        <f t="shared" si="4"/>
        <v>34</v>
      </c>
      <c r="T43" s="144">
        <v>9</v>
      </c>
      <c r="U43" s="144">
        <v>4</v>
      </c>
      <c r="V43" s="144">
        <v>0</v>
      </c>
      <c r="W43" s="144">
        <v>6</v>
      </c>
      <c r="X43" s="147">
        <f t="shared" si="5"/>
        <v>19</v>
      </c>
      <c r="Y43" s="144">
        <v>9</v>
      </c>
      <c r="Z43" s="144">
        <v>4</v>
      </c>
      <c r="AA43" s="144">
        <v>0</v>
      </c>
      <c r="AB43" s="144">
        <v>6</v>
      </c>
      <c r="AC43" s="142">
        <f t="shared" si="6"/>
        <v>19</v>
      </c>
      <c r="AD43" s="142">
        <f t="shared" si="40"/>
        <v>1344000</v>
      </c>
      <c r="AE43" s="142">
        <f t="shared" si="8"/>
        <v>82080</v>
      </c>
      <c r="AF43" s="142">
        <f t="shared" si="9"/>
        <v>114000</v>
      </c>
      <c r="AG43" s="142">
        <f t="shared" si="10"/>
        <v>45600</v>
      </c>
      <c r="AH43" s="142">
        <f t="shared" si="41"/>
        <v>190000</v>
      </c>
      <c r="AI43" s="142">
        <f t="shared" si="12"/>
        <v>15200</v>
      </c>
      <c r="AJ43" s="142">
        <f t="shared" si="13"/>
        <v>0</v>
      </c>
      <c r="AK43" s="142">
        <f t="shared" si="14"/>
        <v>19200</v>
      </c>
      <c r="AL43" s="142">
        <f t="shared" si="15"/>
        <v>18240</v>
      </c>
      <c r="AM43" s="142">
        <f t="shared" si="16"/>
        <v>581700.96</v>
      </c>
      <c r="AN43" s="142">
        <f t="shared" si="17"/>
        <v>2410020.96</v>
      </c>
      <c r="AO43" s="148">
        <v>82052.25</v>
      </c>
      <c r="AP43" s="150">
        <f t="shared" si="42"/>
        <v>2492073.21</v>
      </c>
      <c r="AQ43" s="149">
        <f t="shared" si="19"/>
        <v>2448042.13</v>
      </c>
    </row>
    <row r="44" spans="1:43" ht="20.100000000000001" customHeight="1">
      <c r="A44" s="141" t="s">
        <v>30</v>
      </c>
      <c r="B44" s="143" t="s">
        <v>99</v>
      </c>
      <c r="C44" s="143" t="s">
        <v>37</v>
      </c>
      <c r="D44" s="144"/>
      <c r="E44" s="152">
        <v>0</v>
      </c>
      <c r="F44" s="152">
        <v>8</v>
      </c>
      <c r="G44" s="152">
        <v>0</v>
      </c>
      <c r="H44" s="152">
        <v>5</v>
      </c>
      <c r="I44" s="142">
        <f t="shared" si="0"/>
        <v>13</v>
      </c>
      <c r="J44" s="144"/>
      <c r="K44" s="144"/>
      <c r="L44" s="144"/>
      <c r="M44" s="144"/>
      <c r="N44" s="142">
        <f t="shared" si="2"/>
        <v>0</v>
      </c>
      <c r="O44" s="142">
        <f t="shared" si="39"/>
        <v>0</v>
      </c>
      <c r="P44" s="142">
        <f t="shared" si="39"/>
        <v>8</v>
      </c>
      <c r="Q44" s="142">
        <f t="shared" si="39"/>
        <v>0</v>
      </c>
      <c r="R44" s="142">
        <f t="shared" si="39"/>
        <v>5</v>
      </c>
      <c r="S44" s="147">
        <f t="shared" si="4"/>
        <v>13</v>
      </c>
      <c r="T44" s="144">
        <v>0</v>
      </c>
      <c r="U44" s="144">
        <v>1</v>
      </c>
      <c r="V44" s="144">
        <v>2</v>
      </c>
      <c r="W44" s="144">
        <v>3</v>
      </c>
      <c r="X44" s="147">
        <f t="shared" si="5"/>
        <v>6</v>
      </c>
      <c r="Y44" s="144">
        <v>0</v>
      </c>
      <c r="Z44" s="144">
        <v>1</v>
      </c>
      <c r="AA44" s="144">
        <v>2</v>
      </c>
      <c r="AB44" s="144">
        <v>3</v>
      </c>
      <c r="AC44" s="142">
        <f t="shared" si="6"/>
        <v>6</v>
      </c>
      <c r="AD44" s="142">
        <f t="shared" si="40"/>
        <v>362880</v>
      </c>
      <c r="AE44" s="142">
        <f t="shared" si="8"/>
        <v>25920</v>
      </c>
      <c r="AF44" s="142">
        <f t="shared" si="9"/>
        <v>36000</v>
      </c>
      <c r="AG44" s="142">
        <f t="shared" si="10"/>
        <v>14400</v>
      </c>
      <c r="AH44" s="142">
        <f t="shared" si="41"/>
        <v>60000</v>
      </c>
      <c r="AI44" s="142">
        <f t="shared" si="12"/>
        <v>4800</v>
      </c>
      <c r="AJ44" s="142">
        <f t="shared" si="13"/>
        <v>0</v>
      </c>
      <c r="AK44" s="142">
        <f t="shared" si="14"/>
        <v>4200</v>
      </c>
      <c r="AL44" s="142">
        <f t="shared" si="15"/>
        <v>5760</v>
      </c>
      <c r="AM44" s="142">
        <f t="shared" si="16"/>
        <v>183695.04</v>
      </c>
      <c r="AN44" s="142">
        <f t="shared" si="17"/>
        <v>697655.04</v>
      </c>
      <c r="AO44" s="148"/>
      <c r="AP44" s="150">
        <f t="shared" si="42"/>
        <v>697655.04</v>
      </c>
      <c r="AQ44" s="149">
        <f t="shared" si="19"/>
        <v>684908.88</v>
      </c>
    </row>
    <row r="45" spans="1:43" ht="20.100000000000001" customHeight="1">
      <c r="A45" s="141"/>
      <c r="B45" s="143" t="s">
        <v>103</v>
      </c>
      <c r="C45" s="143" t="s">
        <v>66</v>
      </c>
      <c r="D45" s="144"/>
      <c r="E45" s="152">
        <v>12</v>
      </c>
      <c r="F45" s="152">
        <v>10</v>
      </c>
      <c r="G45" s="152">
        <v>0</v>
      </c>
      <c r="H45" s="152">
        <v>5</v>
      </c>
      <c r="I45" s="142">
        <f t="shared" si="0"/>
        <v>27</v>
      </c>
      <c r="J45" s="144">
        <v>4</v>
      </c>
      <c r="K45" s="144"/>
      <c r="L45" s="144"/>
      <c r="M45" s="144"/>
      <c r="N45" s="142">
        <f t="shared" si="2"/>
        <v>4</v>
      </c>
      <c r="O45" s="142">
        <f t="shared" si="39"/>
        <v>16</v>
      </c>
      <c r="P45" s="142">
        <f t="shared" si="39"/>
        <v>10</v>
      </c>
      <c r="Q45" s="142">
        <f t="shared" si="39"/>
        <v>0</v>
      </c>
      <c r="R45" s="142">
        <f t="shared" si="39"/>
        <v>5</v>
      </c>
      <c r="S45" s="147">
        <f t="shared" si="4"/>
        <v>31</v>
      </c>
      <c r="T45" s="144">
        <v>8</v>
      </c>
      <c r="U45" s="144">
        <v>5</v>
      </c>
      <c r="V45" s="144">
        <v>1</v>
      </c>
      <c r="W45" s="144">
        <v>7</v>
      </c>
      <c r="X45" s="147">
        <f t="shared" si="5"/>
        <v>21</v>
      </c>
      <c r="Y45" s="144">
        <v>8</v>
      </c>
      <c r="Z45" s="144">
        <v>5</v>
      </c>
      <c r="AA45" s="144">
        <v>1</v>
      </c>
      <c r="AB45" s="144">
        <v>7</v>
      </c>
      <c r="AC45" s="142">
        <f t="shared" si="6"/>
        <v>21</v>
      </c>
      <c r="AD45" s="142">
        <f t="shared" ref="AD45:AD46" si="43">(Y45*7700+Z45*5950+AA45*5395+AB45*4500)*12</f>
        <v>1538940</v>
      </c>
      <c r="AE45" s="142">
        <f t="shared" si="8"/>
        <v>90720</v>
      </c>
      <c r="AF45" s="142">
        <f t="shared" si="9"/>
        <v>126000</v>
      </c>
      <c r="AG45" s="142">
        <f t="shared" si="10"/>
        <v>50400</v>
      </c>
      <c r="AH45" s="142">
        <f t="shared" ref="AH45:AH48" si="44">(Y45*16000)+(Z45*10000+AA45*10000+AB45*10000)</f>
        <v>258000</v>
      </c>
      <c r="AI45" s="142">
        <f t="shared" si="12"/>
        <v>16800</v>
      </c>
      <c r="AJ45" s="142">
        <f t="shared" si="13"/>
        <v>0</v>
      </c>
      <c r="AK45" s="142">
        <f t="shared" si="14"/>
        <v>20400</v>
      </c>
      <c r="AL45" s="142">
        <f t="shared" si="15"/>
        <v>20160</v>
      </c>
      <c r="AM45" s="142">
        <f t="shared" si="16"/>
        <v>642932.64</v>
      </c>
      <c r="AN45" s="142">
        <f t="shared" si="17"/>
        <v>2764352.64</v>
      </c>
      <c r="AO45" s="148">
        <v>103008.5</v>
      </c>
      <c r="AP45" s="150">
        <f t="shared" si="42"/>
        <v>2867361.14</v>
      </c>
      <c r="AQ45" s="149">
        <f t="shared" si="19"/>
        <v>2816856.42</v>
      </c>
    </row>
    <row r="46" spans="1:43" ht="20.100000000000001" customHeight="1">
      <c r="A46" s="141" t="s">
        <v>30</v>
      </c>
      <c r="B46" s="143" t="s">
        <v>102</v>
      </c>
      <c r="C46" s="143" t="s">
        <v>66</v>
      </c>
      <c r="D46" s="144"/>
      <c r="E46" s="152">
        <v>12</v>
      </c>
      <c r="F46" s="152">
        <v>10</v>
      </c>
      <c r="G46" s="152">
        <v>0</v>
      </c>
      <c r="H46" s="152">
        <v>5</v>
      </c>
      <c r="I46" s="142">
        <f t="shared" si="0"/>
        <v>27</v>
      </c>
      <c r="J46" s="144">
        <v>2</v>
      </c>
      <c r="K46" s="144">
        <v>1</v>
      </c>
      <c r="L46" s="144"/>
      <c r="M46" s="144"/>
      <c r="N46" s="142">
        <f t="shared" si="2"/>
        <v>3</v>
      </c>
      <c r="O46" s="142">
        <f>E46+J46</f>
        <v>14</v>
      </c>
      <c r="P46" s="142">
        <f>F46+K46</f>
        <v>11</v>
      </c>
      <c r="Q46" s="142">
        <f>G46+L46</f>
        <v>0</v>
      </c>
      <c r="R46" s="142">
        <f>H46+M46</f>
        <v>5</v>
      </c>
      <c r="S46" s="147">
        <f t="shared" si="4"/>
        <v>30</v>
      </c>
      <c r="T46" s="144">
        <v>4</v>
      </c>
      <c r="U46" s="144">
        <v>9</v>
      </c>
      <c r="V46" s="144">
        <v>0</v>
      </c>
      <c r="W46" s="144">
        <v>5</v>
      </c>
      <c r="X46" s="147">
        <f t="shared" si="5"/>
        <v>18</v>
      </c>
      <c r="Y46" s="144">
        <v>4</v>
      </c>
      <c r="Z46" s="144">
        <v>9</v>
      </c>
      <c r="AA46" s="144">
        <v>0</v>
      </c>
      <c r="AB46" s="144">
        <v>5</v>
      </c>
      <c r="AC46" s="142">
        <f t="shared" si="6"/>
        <v>18</v>
      </c>
      <c r="AD46" s="142">
        <f t="shared" si="43"/>
        <v>1282200</v>
      </c>
      <c r="AE46" s="142">
        <f t="shared" si="8"/>
        <v>77760</v>
      </c>
      <c r="AF46" s="142">
        <f t="shared" si="9"/>
        <v>108000</v>
      </c>
      <c r="AG46" s="142">
        <f t="shared" si="10"/>
        <v>43200</v>
      </c>
      <c r="AH46" s="142">
        <f t="shared" si="44"/>
        <v>204000</v>
      </c>
      <c r="AI46" s="142">
        <f t="shared" si="12"/>
        <v>14400</v>
      </c>
      <c r="AJ46" s="142">
        <f t="shared" si="13"/>
        <v>0</v>
      </c>
      <c r="AK46" s="142">
        <f t="shared" si="14"/>
        <v>18600</v>
      </c>
      <c r="AL46" s="142">
        <f t="shared" si="15"/>
        <v>17280</v>
      </c>
      <c r="AM46" s="142">
        <f t="shared" si="16"/>
        <v>551085.12</v>
      </c>
      <c r="AN46" s="142">
        <f t="shared" si="17"/>
        <v>2316525.12</v>
      </c>
      <c r="AO46" s="148">
        <v>36420.5</v>
      </c>
      <c r="AP46" s="150">
        <f t="shared" si="42"/>
        <v>2352945.62</v>
      </c>
      <c r="AQ46" s="149">
        <f t="shared" si="19"/>
        <v>2310622.71</v>
      </c>
    </row>
    <row r="47" spans="1:43" ht="20.100000000000001" customHeight="1">
      <c r="A47" s="141" t="s">
        <v>30</v>
      </c>
      <c r="B47" s="143" t="s">
        <v>356</v>
      </c>
      <c r="C47" s="143" t="s">
        <v>65</v>
      </c>
      <c r="D47" s="144"/>
      <c r="E47" s="152">
        <v>0</v>
      </c>
      <c r="F47" s="152">
        <v>12</v>
      </c>
      <c r="G47" s="152">
        <v>0</v>
      </c>
      <c r="H47" s="152">
        <v>8</v>
      </c>
      <c r="I47" s="142">
        <f t="shared" si="0"/>
        <v>20</v>
      </c>
      <c r="J47" s="144"/>
      <c r="K47" s="144">
        <v>1</v>
      </c>
      <c r="L47" s="144"/>
      <c r="M47" s="144"/>
      <c r="N47" s="142">
        <f t="shared" si="2"/>
        <v>1</v>
      </c>
      <c r="O47" s="142">
        <f t="shared" si="39"/>
        <v>0</v>
      </c>
      <c r="P47" s="142">
        <f t="shared" si="39"/>
        <v>13</v>
      </c>
      <c r="Q47" s="142">
        <f t="shared" si="39"/>
        <v>0</v>
      </c>
      <c r="R47" s="142">
        <f t="shared" si="39"/>
        <v>8</v>
      </c>
      <c r="S47" s="147">
        <f t="shared" si="4"/>
        <v>21</v>
      </c>
      <c r="T47" s="144">
        <v>2</v>
      </c>
      <c r="U47" s="144">
        <v>9</v>
      </c>
      <c r="V47" s="144">
        <v>0</v>
      </c>
      <c r="W47" s="144">
        <v>7</v>
      </c>
      <c r="X47" s="147">
        <f t="shared" si="5"/>
        <v>18</v>
      </c>
      <c r="Y47" s="144">
        <v>2</v>
      </c>
      <c r="Z47" s="144">
        <v>9</v>
      </c>
      <c r="AA47" s="144">
        <v>0</v>
      </c>
      <c r="AB47" s="144">
        <v>7</v>
      </c>
      <c r="AC47" s="142">
        <f t="shared" si="6"/>
        <v>18</v>
      </c>
      <c r="AD47" s="142">
        <f>(Y47*7250+Z47*5950+AA47*5395+AB47*4500)*12</f>
        <v>1194600</v>
      </c>
      <c r="AE47" s="142">
        <f t="shared" si="8"/>
        <v>77760</v>
      </c>
      <c r="AF47" s="142">
        <f t="shared" si="9"/>
        <v>108000</v>
      </c>
      <c r="AG47" s="142">
        <f t="shared" si="10"/>
        <v>43200</v>
      </c>
      <c r="AH47" s="142">
        <f t="shared" si="44"/>
        <v>192000</v>
      </c>
      <c r="AI47" s="142">
        <f t="shared" si="12"/>
        <v>14400</v>
      </c>
      <c r="AJ47" s="142">
        <f t="shared" si="13"/>
        <v>0</v>
      </c>
      <c r="AK47" s="142">
        <f t="shared" si="14"/>
        <v>17400</v>
      </c>
      <c r="AL47" s="142">
        <f t="shared" si="15"/>
        <v>17280</v>
      </c>
      <c r="AM47" s="142">
        <f t="shared" si="16"/>
        <v>551085.12</v>
      </c>
      <c r="AN47" s="142">
        <f t="shared" si="17"/>
        <v>2215725.12</v>
      </c>
      <c r="AO47" s="148">
        <v>11730</v>
      </c>
      <c r="AP47" s="150">
        <f t="shared" si="42"/>
        <v>2227455.12</v>
      </c>
      <c r="AQ47" s="149">
        <f t="shared" si="19"/>
        <v>2186973.8199999998</v>
      </c>
    </row>
    <row r="48" spans="1:43" s="61" customFormat="1" ht="20.100000000000001" customHeight="1">
      <c r="A48" s="141" t="s">
        <v>30</v>
      </c>
      <c r="B48" s="143" t="s">
        <v>357</v>
      </c>
      <c r="C48" s="143" t="s">
        <v>66</v>
      </c>
      <c r="D48" s="144"/>
      <c r="E48" s="152">
        <v>26</v>
      </c>
      <c r="F48" s="152">
        <v>11</v>
      </c>
      <c r="G48" s="152">
        <v>0</v>
      </c>
      <c r="H48" s="152">
        <v>6</v>
      </c>
      <c r="I48" s="142">
        <f t="shared" si="0"/>
        <v>43</v>
      </c>
      <c r="J48" s="144">
        <v>2</v>
      </c>
      <c r="K48" s="144"/>
      <c r="L48" s="144"/>
      <c r="M48" s="144">
        <v>1</v>
      </c>
      <c r="N48" s="142">
        <f t="shared" si="2"/>
        <v>3</v>
      </c>
      <c r="O48" s="142">
        <f>E48+J48</f>
        <v>28</v>
      </c>
      <c r="P48" s="142">
        <f>F48+K48</f>
        <v>11</v>
      </c>
      <c r="Q48" s="142">
        <f>G48+L48</f>
        <v>0</v>
      </c>
      <c r="R48" s="142">
        <f>H48+M48</f>
        <v>7</v>
      </c>
      <c r="S48" s="147">
        <f t="shared" si="4"/>
        <v>46</v>
      </c>
      <c r="T48" s="144">
        <v>8</v>
      </c>
      <c r="U48" s="144">
        <v>8</v>
      </c>
      <c r="V48" s="144">
        <v>0</v>
      </c>
      <c r="W48" s="144">
        <v>8</v>
      </c>
      <c r="X48" s="147">
        <f t="shared" si="5"/>
        <v>24</v>
      </c>
      <c r="Y48" s="144">
        <v>8</v>
      </c>
      <c r="Z48" s="144">
        <v>8</v>
      </c>
      <c r="AA48" s="144">
        <v>0</v>
      </c>
      <c r="AB48" s="144">
        <v>8</v>
      </c>
      <c r="AC48" s="142">
        <f t="shared" si="6"/>
        <v>24</v>
      </c>
      <c r="AD48" s="142">
        <f>(Y48*7700+Z48*5950+AA48*5395+AB48*4500)*12</f>
        <v>1742400</v>
      </c>
      <c r="AE48" s="142">
        <f t="shared" si="8"/>
        <v>103680</v>
      </c>
      <c r="AF48" s="142">
        <f t="shared" si="9"/>
        <v>144000</v>
      </c>
      <c r="AG48" s="142">
        <f t="shared" si="10"/>
        <v>57600</v>
      </c>
      <c r="AH48" s="142">
        <f t="shared" si="44"/>
        <v>288000</v>
      </c>
      <c r="AI48" s="142">
        <f t="shared" si="12"/>
        <v>19200</v>
      </c>
      <c r="AJ48" s="142">
        <f t="shared" si="13"/>
        <v>0</v>
      </c>
      <c r="AK48" s="142">
        <f t="shared" si="14"/>
        <v>24000</v>
      </c>
      <c r="AL48" s="142">
        <f t="shared" si="15"/>
        <v>23040</v>
      </c>
      <c r="AM48" s="142">
        <f t="shared" si="16"/>
        <v>734780.16</v>
      </c>
      <c r="AN48" s="142">
        <f t="shared" si="17"/>
        <v>3136700.16</v>
      </c>
      <c r="AO48" s="150">
        <v>95148</v>
      </c>
      <c r="AP48" s="150">
        <f t="shared" si="42"/>
        <v>3231848.16</v>
      </c>
      <c r="AQ48" s="149">
        <f t="shared" si="19"/>
        <v>3174540.65</v>
      </c>
    </row>
    <row r="49" spans="1:43" ht="20.100000000000001" customHeight="1">
      <c r="A49" s="141" t="s">
        <v>30</v>
      </c>
      <c r="B49" s="143" t="s">
        <v>358</v>
      </c>
      <c r="C49" s="143" t="s">
        <v>334</v>
      </c>
      <c r="D49" s="144">
        <v>2</v>
      </c>
      <c r="E49" s="152">
        <v>3</v>
      </c>
      <c r="F49" s="152">
        <v>3</v>
      </c>
      <c r="G49" s="152">
        <v>23</v>
      </c>
      <c r="H49" s="152">
        <v>3</v>
      </c>
      <c r="I49" s="142">
        <f t="shared" si="0"/>
        <v>32</v>
      </c>
      <c r="J49" s="144"/>
      <c r="K49" s="144">
        <v>2</v>
      </c>
      <c r="L49" s="144">
        <v>3</v>
      </c>
      <c r="M49" s="144"/>
      <c r="N49" s="142">
        <f t="shared" si="2"/>
        <v>5</v>
      </c>
      <c r="O49" s="142">
        <f t="shared" si="39"/>
        <v>3</v>
      </c>
      <c r="P49" s="142">
        <f t="shared" si="39"/>
        <v>5</v>
      </c>
      <c r="Q49" s="142">
        <f t="shared" si="39"/>
        <v>26</v>
      </c>
      <c r="R49" s="142">
        <f t="shared" si="39"/>
        <v>3</v>
      </c>
      <c r="S49" s="147">
        <f t="shared" si="4"/>
        <v>37</v>
      </c>
      <c r="T49" s="144">
        <v>0</v>
      </c>
      <c r="U49" s="144">
        <v>3</v>
      </c>
      <c r="V49" s="144">
        <v>29</v>
      </c>
      <c r="W49" s="144">
        <v>2</v>
      </c>
      <c r="X49" s="147">
        <f t="shared" si="5"/>
        <v>34</v>
      </c>
      <c r="Y49" s="142">
        <v>0</v>
      </c>
      <c r="Z49" s="142">
        <v>3</v>
      </c>
      <c r="AA49" s="142">
        <v>29</v>
      </c>
      <c r="AB49" s="142">
        <v>2</v>
      </c>
      <c r="AC49" s="142">
        <f t="shared" si="6"/>
        <v>34</v>
      </c>
      <c r="AD49" s="142">
        <f t="shared" ref="AD49:AD51" si="45">(Y49*6800+Z49*5950+AA49*5395+AB49*4500)*12</f>
        <v>2199660</v>
      </c>
      <c r="AE49" s="142">
        <f t="shared" si="8"/>
        <v>146880</v>
      </c>
      <c r="AF49" s="142">
        <f t="shared" si="9"/>
        <v>204000</v>
      </c>
      <c r="AG49" s="142">
        <f t="shared" si="10"/>
        <v>81600</v>
      </c>
      <c r="AH49" s="142">
        <f t="shared" ref="AH49:AH51" si="46">AC49*10000</f>
        <v>340000</v>
      </c>
      <c r="AI49" s="142">
        <f t="shared" si="12"/>
        <v>27200</v>
      </c>
      <c r="AJ49" s="142">
        <f t="shared" si="13"/>
        <v>20000</v>
      </c>
      <c r="AK49" s="142">
        <f t="shared" si="14"/>
        <v>22200</v>
      </c>
      <c r="AL49" s="142">
        <f t="shared" si="15"/>
        <v>32640</v>
      </c>
      <c r="AM49" s="142">
        <f t="shared" si="16"/>
        <v>1040938.56</v>
      </c>
      <c r="AN49" s="142">
        <f t="shared" si="17"/>
        <v>4115118.56</v>
      </c>
      <c r="AO49" s="148"/>
      <c r="AP49" s="142">
        <f t="shared" si="42"/>
        <v>4115118.56</v>
      </c>
      <c r="AQ49" s="149">
        <f t="shared" si="19"/>
        <v>4039935.34</v>
      </c>
    </row>
    <row r="50" spans="1:43" s="61" customFormat="1" ht="20.100000000000001" customHeight="1">
      <c r="A50" s="141" t="s">
        <v>30</v>
      </c>
      <c r="B50" s="143" t="s">
        <v>359</v>
      </c>
      <c r="C50" s="143" t="s">
        <v>334</v>
      </c>
      <c r="D50" s="144">
        <v>1</v>
      </c>
      <c r="E50" s="152">
        <v>5</v>
      </c>
      <c r="F50" s="152">
        <v>1</v>
      </c>
      <c r="G50" s="152">
        <v>12</v>
      </c>
      <c r="H50" s="152">
        <v>1</v>
      </c>
      <c r="I50" s="142">
        <f t="shared" si="0"/>
        <v>19</v>
      </c>
      <c r="J50" s="144"/>
      <c r="K50" s="144"/>
      <c r="L50" s="144"/>
      <c r="M50" s="144"/>
      <c r="N50" s="142">
        <f t="shared" si="2"/>
        <v>0</v>
      </c>
      <c r="O50" s="142">
        <f t="shared" si="39"/>
        <v>5</v>
      </c>
      <c r="P50" s="142">
        <f t="shared" si="39"/>
        <v>1</v>
      </c>
      <c r="Q50" s="142">
        <f t="shared" si="39"/>
        <v>12</v>
      </c>
      <c r="R50" s="142">
        <f t="shared" si="39"/>
        <v>1</v>
      </c>
      <c r="S50" s="147">
        <f t="shared" si="4"/>
        <v>19</v>
      </c>
      <c r="T50" s="144">
        <v>0</v>
      </c>
      <c r="U50" s="144">
        <v>2</v>
      </c>
      <c r="V50" s="144">
        <v>14</v>
      </c>
      <c r="W50" s="144">
        <v>1</v>
      </c>
      <c r="X50" s="147">
        <f t="shared" si="5"/>
        <v>17</v>
      </c>
      <c r="Y50" s="142">
        <v>0</v>
      </c>
      <c r="Z50" s="142">
        <v>2</v>
      </c>
      <c r="AA50" s="142">
        <v>14</v>
      </c>
      <c r="AB50" s="142">
        <v>1</v>
      </c>
      <c r="AC50" s="142">
        <f t="shared" si="6"/>
        <v>17</v>
      </c>
      <c r="AD50" s="142">
        <f t="shared" si="45"/>
        <v>1103160</v>
      </c>
      <c r="AE50" s="142">
        <f t="shared" si="8"/>
        <v>73440</v>
      </c>
      <c r="AF50" s="142">
        <f t="shared" si="9"/>
        <v>102000</v>
      </c>
      <c r="AG50" s="142">
        <f t="shared" si="10"/>
        <v>40800</v>
      </c>
      <c r="AH50" s="142">
        <f t="shared" si="46"/>
        <v>170000</v>
      </c>
      <c r="AI50" s="142">
        <f t="shared" si="12"/>
        <v>13600</v>
      </c>
      <c r="AJ50" s="142">
        <f t="shared" si="13"/>
        <v>10000</v>
      </c>
      <c r="AK50" s="142">
        <f t="shared" si="14"/>
        <v>11400</v>
      </c>
      <c r="AL50" s="142">
        <f t="shared" si="15"/>
        <v>16320</v>
      </c>
      <c r="AM50" s="142">
        <f t="shared" si="16"/>
        <v>520469.28</v>
      </c>
      <c r="AN50" s="142">
        <f t="shared" si="17"/>
        <v>2061189.28</v>
      </c>
      <c r="AO50" s="150"/>
      <c r="AP50" s="142">
        <f t="shared" si="42"/>
        <v>2061189.28</v>
      </c>
      <c r="AQ50" s="149">
        <f t="shared" si="19"/>
        <v>2023531.35</v>
      </c>
    </row>
    <row r="51" spans="1:43" s="61" customFormat="1" ht="20.100000000000001" customHeight="1">
      <c r="A51" s="141" t="s">
        <v>30</v>
      </c>
      <c r="B51" s="143" t="s">
        <v>360</v>
      </c>
      <c r="C51" s="143" t="s">
        <v>334</v>
      </c>
      <c r="D51" s="144">
        <v>1</v>
      </c>
      <c r="E51" s="152">
        <v>3</v>
      </c>
      <c r="F51" s="152">
        <v>2</v>
      </c>
      <c r="G51" s="152">
        <v>17</v>
      </c>
      <c r="H51" s="152">
        <v>1</v>
      </c>
      <c r="I51" s="142">
        <f t="shared" si="0"/>
        <v>23</v>
      </c>
      <c r="J51" s="144"/>
      <c r="K51" s="144"/>
      <c r="L51" s="144"/>
      <c r="M51" s="144"/>
      <c r="N51" s="142">
        <f t="shared" si="2"/>
        <v>0</v>
      </c>
      <c r="O51" s="142">
        <f t="shared" si="39"/>
        <v>3</v>
      </c>
      <c r="P51" s="142">
        <f>F51+K51</f>
        <v>2</v>
      </c>
      <c r="Q51" s="142">
        <f>G51+L51</f>
        <v>17</v>
      </c>
      <c r="R51" s="142">
        <f>H51+M51</f>
        <v>1</v>
      </c>
      <c r="S51" s="147">
        <f t="shared" si="4"/>
        <v>23</v>
      </c>
      <c r="T51" s="144">
        <v>0</v>
      </c>
      <c r="U51" s="144">
        <v>1</v>
      </c>
      <c r="V51" s="144">
        <v>7</v>
      </c>
      <c r="W51" s="144">
        <v>1</v>
      </c>
      <c r="X51" s="147">
        <f t="shared" si="5"/>
        <v>9</v>
      </c>
      <c r="Y51" s="142">
        <v>0</v>
      </c>
      <c r="Z51" s="142">
        <v>1</v>
      </c>
      <c r="AA51" s="142">
        <v>7</v>
      </c>
      <c r="AB51" s="142">
        <v>1</v>
      </c>
      <c r="AC51" s="142">
        <f t="shared" si="6"/>
        <v>9</v>
      </c>
      <c r="AD51" s="142">
        <f t="shared" si="45"/>
        <v>578580</v>
      </c>
      <c r="AE51" s="142">
        <f t="shared" si="8"/>
        <v>38880</v>
      </c>
      <c r="AF51" s="142">
        <f t="shared" si="9"/>
        <v>54000</v>
      </c>
      <c r="AG51" s="142">
        <f t="shared" si="10"/>
        <v>21600</v>
      </c>
      <c r="AH51" s="142">
        <f t="shared" si="46"/>
        <v>90000</v>
      </c>
      <c r="AI51" s="142">
        <f t="shared" si="12"/>
        <v>7200</v>
      </c>
      <c r="AJ51" s="142">
        <f t="shared" si="13"/>
        <v>10000</v>
      </c>
      <c r="AK51" s="142">
        <f t="shared" si="14"/>
        <v>6000</v>
      </c>
      <c r="AL51" s="142">
        <f t="shared" si="15"/>
        <v>8640</v>
      </c>
      <c r="AM51" s="142">
        <f t="shared" si="16"/>
        <v>275542.56</v>
      </c>
      <c r="AN51" s="142">
        <f t="shared" si="17"/>
        <v>1090442.56</v>
      </c>
      <c r="AO51" s="150"/>
      <c r="AP51" s="142">
        <f t="shared" si="42"/>
        <v>1090442.56</v>
      </c>
      <c r="AQ51" s="149">
        <f t="shared" si="19"/>
        <v>1070520.17</v>
      </c>
    </row>
    <row r="52" spans="1:43" ht="20.100000000000001" customHeight="1">
      <c r="A52" s="143"/>
      <c r="B52" s="254" t="s">
        <v>43</v>
      </c>
      <c r="C52" s="254"/>
      <c r="D52" s="253">
        <f>SUM(D37:D51)</f>
        <v>17</v>
      </c>
      <c r="E52" s="253">
        <f t="shared" ref="E52:AQ52" si="47">SUM(E37:E51)</f>
        <v>76</v>
      </c>
      <c r="F52" s="253">
        <f t="shared" si="47"/>
        <v>95</v>
      </c>
      <c r="G52" s="253">
        <f t="shared" si="47"/>
        <v>196</v>
      </c>
      <c r="H52" s="253">
        <f t="shared" si="47"/>
        <v>64</v>
      </c>
      <c r="I52" s="253">
        <f t="shared" si="47"/>
        <v>431</v>
      </c>
      <c r="J52" s="253">
        <f t="shared" si="47"/>
        <v>16</v>
      </c>
      <c r="K52" s="253">
        <f t="shared" si="47"/>
        <v>4</v>
      </c>
      <c r="L52" s="253">
        <f t="shared" si="47"/>
        <v>4</v>
      </c>
      <c r="M52" s="253">
        <f t="shared" si="47"/>
        <v>2</v>
      </c>
      <c r="N52" s="253">
        <f t="shared" si="47"/>
        <v>26</v>
      </c>
      <c r="O52" s="253">
        <f t="shared" si="47"/>
        <v>92</v>
      </c>
      <c r="P52" s="253">
        <f t="shared" si="47"/>
        <v>99</v>
      </c>
      <c r="Q52" s="253">
        <f t="shared" si="47"/>
        <v>200</v>
      </c>
      <c r="R52" s="253">
        <f t="shared" si="47"/>
        <v>66</v>
      </c>
      <c r="S52" s="253">
        <f t="shared" si="47"/>
        <v>457</v>
      </c>
      <c r="T52" s="253">
        <f t="shared" si="47"/>
        <v>38</v>
      </c>
      <c r="U52" s="253">
        <f t="shared" si="47"/>
        <v>63</v>
      </c>
      <c r="V52" s="253">
        <f t="shared" si="47"/>
        <v>198</v>
      </c>
      <c r="W52" s="253">
        <f t="shared" si="47"/>
        <v>61</v>
      </c>
      <c r="X52" s="253">
        <f t="shared" si="47"/>
        <v>360</v>
      </c>
      <c r="Y52" s="253">
        <f t="shared" si="47"/>
        <v>44</v>
      </c>
      <c r="Z52" s="253">
        <f t="shared" si="47"/>
        <v>58</v>
      </c>
      <c r="AA52" s="253">
        <f t="shared" si="47"/>
        <v>192</v>
      </c>
      <c r="AB52" s="253">
        <f t="shared" si="47"/>
        <v>61</v>
      </c>
      <c r="AC52" s="253">
        <f t="shared" si="47"/>
        <v>355</v>
      </c>
      <c r="AD52" s="253">
        <f t="shared" si="47"/>
        <v>23682480</v>
      </c>
      <c r="AE52" s="253">
        <f t="shared" si="47"/>
        <v>1533600</v>
      </c>
      <c r="AF52" s="253">
        <f t="shared" si="47"/>
        <v>2130000</v>
      </c>
      <c r="AG52" s="253">
        <f t="shared" si="47"/>
        <v>852000</v>
      </c>
      <c r="AH52" s="253">
        <f t="shared" si="47"/>
        <v>3682000</v>
      </c>
      <c r="AI52" s="253">
        <f t="shared" si="47"/>
        <v>284000</v>
      </c>
      <c r="AJ52" s="253">
        <f t="shared" si="47"/>
        <v>170000</v>
      </c>
      <c r="AK52" s="253">
        <f t="shared" si="47"/>
        <v>274200</v>
      </c>
      <c r="AL52" s="253">
        <f t="shared" si="47"/>
        <v>340800</v>
      </c>
      <c r="AM52" s="253">
        <f t="shared" si="47"/>
        <v>10868623.199999999</v>
      </c>
      <c r="AN52" s="253">
        <f t="shared" si="47"/>
        <v>43817703.20000001</v>
      </c>
      <c r="AO52" s="253">
        <f t="shared" si="47"/>
        <v>360178.75</v>
      </c>
      <c r="AP52" s="253">
        <f t="shared" si="47"/>
        <v>44177881.950000003</v>
      </c>
      <c r="AQ52" s="253">
        <f t="shared" si="47"/>
        <v>43377332.509999998</v>
      </c>
    </row>
    <row r="53" spans="1:43" ht="20.100000000000001" customHeight="1">
      <c r="A53" s="141" t="s">
        <v>28</v>
      </c>
      <c r="B53" s="143" t="s">
        <v>361</v>
      </c>
      <c r="C53" s="143" t="s">
        <v>334</v>
      </c>
      <c r="D53" s="144">
        <v>2</v>
      </c>
      <c r="E53" s="152">
        <v>6</v>
      </c>
      <c r="F53" s="152">
        <v>4</v>
      </c>
      <c r="G53" s="152">
        <v>37</v>
      </c>
      <c r="H53" s="152">
        <v>2</v>
      </c>
      <c r="I53" s="142">
        <f t="shared" si="0"/>
        <v>49</v>
      </c>
      <c r="J53" s="144"/>
      <c r="K53" s="144"/>
      <c r="L53" s="144"/>
      <c r="M53" s="144">
        <v>1</v>
      </c>
      <c r="N53" s="142">
        <f t="shared" si="2"/>
        <v>1</v>
      </c>
      <c r="O53" s="142">
        <f t="shared" ref="O53:R70" si="48">E53+J53</f>
        <v>6</v>
      </c>
      <c r="P53" s="142">
        <f t="shared" si="48"/>
        <v>4</v>
      </c>
      <c r="Q53" s="142">
        <f t="shared" si="48"/>
        <v>37</v>
      </c>
      <c r="R53" s="142">
        <f t="shared" si="48"/>
        <v>3</v>
      </c>
      <c r="S53" s="147">
        <f t="shared" si="4"/>
        <v>50</v>
      </c>
      <c r="T53" s="144">
        <v>0</v>
      </c>
      <c r="U53" s="144">
        <v>4</v>
      </c>
      <c r="V53" s="144">
        <v>40</v>
      </c>
      <c r="W53" s="144">
        <v>2</v>
      </c>
      <c r="X53" s="147">
        <f t="shared" si="5"/>
        <v>46</v>
      </c>
      <c r="Y53" s="144">
        <v>0</v>
      </c>
      <c r="Z53" s="144">
        <v>4</v>
      </c>
      <c r="AA53" s="144">
        <v>40</v>
      </c>
      <c r="AB53" s="144">
        <v>2</v>
      </c>
      <c r="AC53" s="142">
        <f t="shared" si="6"/>
        <v>46</v>
      </c>
      <c r="AD53" s="142">
        <f t="shared" ref="AD53:AD60" si="49">(Y53*6800+Z53*5950+AA53*5395+AB53*4500)*12</f>
        <v>2983200</v>
      </c>
      <c r="AE53" s="142">
        <f t="shared" si="8"/>
        <v>198720</v>
      </c>
      <c r="AF53" s="142">
        <f t="shared" si="9"/>
        <v>276000</v>
      </c>
      <c r="AG53" s="142">
        <f t="shared" si="10"/>
        <v>110400</v>
      </c>
      <c r="AH53" s="142">
        <f t="shared" ref="AH53:AH60" si="50">AC53*10000</f>
        <v>460000</v>
      </c>
      <c r="AI53" s="142">
        <f t="shared" si="12"/>
        <v>36800</v>
      </c>
      <c r="AJ53" s="142">
        <f t="shared" si="13"/>
        <v>20000</v>
      </c>
      <c r="AK53" s="142">
        <f t="shared" si="14"/>
        <v>30000</v>
      </c>
      <c r="AL53" s="142">
        <f t="shared" si="15"/>
        <v>44160</v>
      </c>
      <c r="AM53" s="142">
        <f t="shared" si="16"/>
        <v>1408328.64</v>
      </c>
      <c r="AN53" s="142">
        <f t="shared" si="17"/>
        <v>5567608.6399999997</v>
      </c>
      <c r="AO53" s="148"/>
      <c r="AP53" s="149">
        <f>AN53+AO53</f>
        <v>5567608.6399999997</v>
      </c>
      <c r="AQ53" s="149">
        <f t="shared" si="19"/>
        <v>5465888.4299999997</v>
      </c>
    </row>
    <row r="54" spans="1:43" ht="20.100000000000001" customHeight="1">
      <c r="A54" s="141" t="s">
        <v>28</v>
      </c>
      <c r="B54" s="143" t="s">
        <v>362</v>
      </c>
      <c r="C54" s="143" t="s">
        <v>334</v>
      </c>
      <c r="D54" s="144">
        <v>2</v>
      </c>
      <c r="E54" s="152">
        <v>19</v>
      </c>
      <c r="F54" s="152">
        <v>2</v>
      </c>
      <c r="G54" s="152">
        <v>35</v>
      </c>
      <c r="H54" s="152">
        <v>3</v>
      </c>
      <c r="I54" s="142">
        <f t="shared" si="0"/>
        <v>59</v>
      </c>
      <c r="J54" s="144"/>
      <c r="K54" s="144"/>
      <c r="L54" s="144">
        <v>1</v>
      </c>
      <c r="M54" s="144"/>
      <c r="N54" s="142">
        <f t="shared" si="2"/>
        <v>1</v>
      </c>
      <c r="O54" s="142">
        <f t="shared" si="48"/>
        <v>19</v>
      </c>
      <c r="P54" s="142">
        <f t="shared" si="48"/>
        <v>2</v>
      </c>
      <c r="Q54" s="142">
        <f t="shared" si="48"/>
        <v>36</v>
      </c>
      <c r="R54" s="142">
        <f t="shared" si="48"/>
        <v>3</v>
      </c>
      <c r="S54" s="147">
        <f t="shared" si="4"/>
        <v>60</v>
      </c>
      <c r="T54" s="144">
        <v>0</v>
      </c>
      <c r="U54" s="144">
        <v>7</v>
      </c>
      <c r="V54" s="144">
        <v>42</v>
      </c>
      <c r="W54" s="144">
        <v>2</v>
      </c>
      <c r="X54" s="147">
        <f t="shared" si="5"/>
        <v>51</v>
      </c>
      <c r="Y54" s="144">
        <v>0</v>
      </c>
      <c r="Z54" s="144">
        <v>7</v>
      </c>
      <c r="AA54" s="144">
        <v>42</v>
      </c>
      <c r="AB54" s="144">
        <v>2</v>
      </c>
      <c r="AC54" s="142">
        <f t="shared" si="6"/>
        <v>51</v>
      </c>
      <c r="AD54" s="142">
        <f t="shared" si="49"/>
        <v>3326880</v>
      </c>
      <c r="AE54" s="142">
        <f t="shared" si="8"/>
        <v>220320</v>
      </c>
      <c r="AF54" s="142">
        <f t="shared" si="9"/>
        <v>306000</v>
      </c>
      <c r="AG54" s="142">
        <f t="shared" si="10"/>
        <v>122400</v>
      </c>
      <c r="AH54" s="142">
        <f t="shared" si="50"/>
        <v>510000</v>
      </c>
      <c r="AI54" s="142">
        <f t="shared" si="12"/>
        <v>40800</v>
      </c>
      <c r="AJ54" s="142">
        <f t="shared" si="13"/>
        <v>20000</v>
      </c>
      <c r="AK54" s="142">
        <f t="shared" si="14"/>
        <v>34800</v>
      </c>
      <c r="AL54" s="142">
        <f t="shared" si="15"/>
        <v>48960</v>
      </c>
      <c r="AM54" s="142">
        <f t="shared" si="16"/>
        <v>1561407.84</v>
      </c>
      <c r="AN54" s="142">
        <f t="shared" si="17"/>
        <v>6191567.8399999999</v>
      </c>
      <c r="AO54" s="148"/>
      <c r="AP54" s="149">
        <f t="shared" ref="AP54:AP70" si="51">AN54+AO54</f>
        <v>6191567.8399999999</v>
      </c>
      <c r="AQ54" s="149">
        <f t="shared" si="19"/>
        <v>6078447.9000000004</v>
      </c>
    </row>
    <row r="55" spans="1:43" ht="20.100000000000001" customHeight="1">
      <c r="A55" s="141" t="s">
        <v>28</v>
      </c>
      <c r="B55" s="143" t="s">
        <v>128</v>
      </c>
      <c r="C55" s="143" t="s">
        <v>334</v>
      </c>
      <c r="D55" s="144">
        <v>2</v>
      </c>
      <c r="E55" s="152">
        <v>16</v>
      </c>
      <c r="F55" s="152">
        <v>6</v>
      </c>
      <c r="G55" s="152">
        <v>45</v>
      </c>
      <c r="H55" s="152">
        <v>4</v>
      </c>
      <c r="I55" s="142">
        <f t="shared" si="0"/>
        <v>71</v>
      </c>
      <c r="J55" s="144"/>
      <c r="K55" s="144"/>
      <c r="L55" s="144"/>
      <c r="M55" s="144"/>
      <c r="N55" s="142">
        <f t="shared" si="2"/>
        <v>0</v>
      </c>
      <c r="O55" s="142">
        <f t="shared" si="48"/>
        <v>16</v>
      </c>
      <c r="P55" s="142">
        <f t="shared" si="48"/>
        <v>6</v>
      </c>
      <c r="Q55" s="142">
        <f t="shared" si="48"/>
        <v>45</v>
      </c>
      <c r="R55" s="142">
        <f t="shared" si="48"/>
        <v>4</v>
      </c>
      <c r="S55" s="147">
        <f t="shared" si="4"/>
        <v>71</v>
      </c>
      <c r="T55" s="144">
        <v>0</v>
      </c>
      <c r="U55" s="144">
        <v>9</v>
      </c>
      <c r="V55" s="144">
        <v>48</v>
      </c>
      <c r="W55" s="144">
        <v>3</v>
      </c>
      <c r="X55" s="147">
        <f t="shared" si="5"/>
        <v>60</v>
      </c>
      <c r="Y55" s="144">
        <v>0</v>
      </c>
      <c r="Z55" s="144">
        <v>9</v>
      </c>
      <c r="AA55" s="144">
        <v>48</v>
      </c>
      <c r="AB55" s="144">
        <v>3</v>
      </c>
      <c r="AC55" s="142">
        <f t="shared" si="6"/>
        <v>60</v>
      </c>
      <c r="AD55" s="142">
        <f t="shared" si="49"/>
        <v>3912120</v>
      </c>
      <c r="AE55" s="142">
        <f t="shared" si="8"/>
        <v>259200</v>
      </c>
      <c r="AF55" s="142">
        <f t="shared" si="9"/>
        <v>360000</v>
      </c>
      <c r="AG55" s="142">
        <f t="shared" si="10"/>
        <v>144000</v>
      </c>
      <c r="AH55" s="142">
        <f t="shared" si="50"/>
        <v>600000</v>
      </c>
      <c r="AI55" s="142">
        <f t="shared" si="12"/>
        <v>48000</v>
      </c>
      <c r="AJ55" s="142">
        <f t="shared" si="13"/>
        <v>20000</v>
      </c>
      <c r="AK55" s="142">
        <f t="shared" si="14"/>
        <v>41400</v>
      </c>
      <c r="AL55" s="142">
        <f t="shared" si="15"/>
        <v>57600</v>
      </c>
      <c r="AM55" s="142">
        <f t="shared" si="16"/>
        <v>1836950.4</v>
      </c>
      <c r="AN55" s="142">
        <f t="shared" si="17"/>
        <v>7279270.4000000004</v>
      </c>
      <c r="AO55" s="148"/>
      <c r="AP55" s="149">
        <f t="shared" si="51"/>
        <v>7279270.4000000004</v>
      </c>
      <c r="AQ55" s="149">
        <f t="shared" si="19"/>
        <v>7146278.1299999999</v>
      </c>
    </row>
    <row r="56" spans="1:43" ht="20.100000000000001" customHeight="1">
      <c r="A56" s="141" t="s">
        <v>28</v>
      </c>
      <c r="B56" s="143" t="s">
        <v>363</v>
      </c>
      <c r="C56" s="143" t="s">
        <v>334</v>
      </c>
      <c r="D56" s="144">
        <v>2</v>
      </c>
      <c r="E56" s="152">
        <v>3</v>
      </c>
      <c r="F56" s="152">
        <v>2</v>
      </c>
      <c r="G56" s="152">
        <v>34</v>
      </c>
      <c r="H56" s="152">
        <v>2</v>
      </c>
      <c r="I56" s="142">
        <f t="shared" si="0"/>
        <v>41</v>
      </c>
      <c r="J56" s="144"/>
      <c r="K56" s="144">
        <v>1</v>
      </c>
      <c r="L56" s="144">
        <v>3</v>
      </c>
      <c r="M56" s="144"/>
      <c r="N56" s="142">
        <f t="shared" si="2"/>
        <v>4</v>
      </c>
      <c r="O56" s="142">
        <f t="shared" si="48"/>
        <v>3</v>
      </c>
      <c r="P56" s="142">
        <f t="shared" si="48"/>
        <v>3</v>
      </c>
      <c r="Q56" s="142">
        <f t="shared" si="48"/>
        <v>37</v>
      </c>
      <c r="R56" s="142">
        <f t="shared" si="48"/>
        <v>2</v>
      </c>
      <c r="S56" s="147">
        <f t="shared" si="4"/>
        <v>45</v>
      </c>
      <c r="T56" s="144">
        <v>0</v>
      </c>
      <c r="U56" s="144">
        <v>2</v>
      </c>
      <c r="V56" s="144">
        <v>39</v>
      </c>
      <c r="W56" s="144">
        <v>5</v>
      </c>
      <c r="X56" s="147">
        <f t="shared" si="5"/>
        <v>46</v>
      </c>
      <c r="Y56" s="144">
        <v>3</v>
      </c>
      <c r="Z56" s="144">
        <v>3</v>
      </c>
      <c r="AA56" s="144">
        <v>37</v>
      </c>
      <c r="AB56" s="144">
        <v>2</v>
      </c>
      <c r="AC56" s="142">
        <f t="shared" si="6"/>
        <v>45</v>
      </c>
      <c r="AD56" s="142">
        <f t="shared" si="49"/>
        <v>2962380</v>
      </c>
      <c r="AE56" s="142">
        <f t="shared" si="8"/>
        <v>194400</v>
      </c>
      <c r="AF56" s="142">
        <f t="shared" si="9"/>
        <v>270000</v>
      </c>
      <c r="AG56" s="142">
        <f t="shared" si="10"/>
        <v>108000</v>
      </c>
      <c r="AH56" s="142">
        <f t="shared" si="50"/>
        <v>450000</v>
      </c>
      <c r="AI56" s="142">
        <f t="shared" si="12"/>
        <v>36000</v>
      </c>
      <c r="AJ56" s="142">
        <f t="shared" si="13"/>
        <v>20000</v>
      </c>
      <c r="AK56" s="142">
        <f t="shared" si="14"/>
        <v>30600</v>
      </c>
      <c r="AL56" s="142">
        <f t="shared" si="15"/>
        <v>43200</v>
      </c>
      <c r="AM56" s="142">
        <f t="shared" si="16"/>
        <v>1377712.8</v>
      </c>
      <c r="AN56" s="142">
        <f t="shared" si="17"/>
        <v>5492292.7999999998</v>
      </c>
      <c r="AO56" s="148"/>
      <c r="AP56" s="149">
        <f t="shared" si="51"/>
        <v>5492292.7999999998</v>
      </c>
      <c r="AQ56" s="149">
        <f t="shared" si="19"/>
        <v>5391948.6100000003</v>
      </c>
    </row>
    <row r="57" spans="1:43" ht="20.100000000000001" customHeight="1">
      <c r="A57" s="141" t="s">
        <v>28</v>
      </c>
      <c r="B57" s="143" t="s">
        <v>364</v>
      </c>
      <c r="C57" s="143" t="s">
        <v>37</v>
      </c>
      <c r="D57" s="144"/>
      <c r="E57" s="152">
        <v>7</v>
      </c>
      <c r="F57" s="152">
        <v>10</v>
      </c>
      <c r="G57" s="152">
        <v>0</v>
      </c>
      <c r="H57" s="152">
        <v>6</v>
      </c>
      <c r="I57" s="142">
        <f t="shared" si="0"/>
        <v>23</v>
      </c>
      <c r="J57" s="144">
        <v>6</v>
      </c>
      <c r="K57" s="144"/>
      <c r="L57" s="144"/>
      <c r="M57" s="144"/>
      <c r="N57" s="142">
        <f t="shared" si="2"/>
        <v>6</v>
      </c>
      <c r="O57" s="142">
        <f t="shared" si="48"/>
        <v>13</v>
      </c>
      <c r="P57" s="142">
        <f t="shared" si="48"/>
        <v>10</v>
      </c>
      <c r="Q57" s="142">
        <f t="shared" si="48"/>
        <v>0</v>
      </c>
      <c r="R57" s="142">
        <f t="shared" si="48"/>
        <v>6</v>
      </c>
      <c r="S57" s="147">
        <f t="shared" si="4"/>
        <v>29</v>
      </c>
      <c r="T57" s="144">
        <v>14</v>
      </c>
      <c r="U57" s="144">
        <v>3</v>
      </c>
      <c r="V57" s="144">
        <v>1</v>
      </c>
      <c r="W57" s="144">
        <v>6</v>
      </c>
      <c r="X57" s="147">
        <f t="shared" si="5"/>
        <v>24</v>
      </c>
      <c r="Y57" s="144">
        <v>14</v>
      </c>
      <c r="Z57" s="144">
        <v>3</v>
      </c>
      <c r="AA57" s="144">
        <v>1</v>
      </c>
      <c r="AB57" s="144">
        <v>6</v>
      </c>
      <c r="AC57" s="142">
        <f t="shared" si="6"/>
        <v>24</v>
      </c>
      <c r="AD57" s="142">
        <f t="shared" si="49"/>
        <v>1745340</v>
      </c>
      <c r="AE57" s="142">
        <f t="shared" si="8"/>
        <v>103680</v>
      </c>
      <c r="AF57" s="142">
        <f t="shared" si="9"/>
        <v>144000</v>
      </c>
      <c r="AG57" s="142">
        <f t="shared" si="10"/>
        <v>57600</v>
      </c>
      <c r="AH57" s="142">
        <f t="shared" si="50"/>
        <v>240000</v>
      </c>
      <c r="AI57" s="142">
        <f t="shared" si="12"/>
        <v>19200</v>
      </c>
      <c r="AJ57" s="142">
        <f t="shared" si="13"/>
        <v>0</v>
      </c>
      <c r="AK57" s="142">
        <f t="shared" si="14"/>
        <v>24600</v>
      </c>
      <c r="AL57" s="142">
        <f t="shared" si="15"/>
        <v>23040</v>
      </c>
      <c r="AM57" s="142">
        <f t="shared" si="16"/>
        <v>734780.16</v>
      </c>
      <c r="AN57" s="142">
        <f t="shared" si="17"/>
        <v>3092240.16</v>
      </c>
      <c r="AO57" s="148">
        <v>99554.880000000005</v>
      </c>
      <c r="AP57" s="148">
        <f t="shared" si="51"/>
        <v>3191795.04</v>
      </c>
      <c r="AQ57" s="149">
        <f t="shared" si="19"/>
        <v>3135299.81</v>
      </c>
    </row>
    <row r="58" spans="1:43" s="61" customFormat="1" ht="20.100000000000001" customHeight="1">
      <c r="A58" s="141" t="s">
        <v>28</v>
      </c>
      <c r="B58" s="143" t="s">
        <v>365</v>
      </c>
      <c r="C58" s="143" t="s">
        <v>37</v>
      </c>
      <c r="D58" s="144"/>
      <c r="E58" s="152">
        <v>47</v>
      </c>
      <c r="F58" s="152">
        <v>11</v>
      </c>
      <c r="G58" s="152">
        <v>0</v>
      </c>
      <c r="H58" s="152">
        <v>6</v>
      </c>
      <c r="I58" s="142">
        <f t="shared" si="0"/>
        <v>64</v>
      </c>
      <c r="J58" s="144">
        <v>14</v>
      </c>
      <c r="K58" s="144">
        <v>3</v>
      </c>
      <c r="L58" s="144"/>
      <c r="M58" s="144">
        <v>3</v>
      </c>
      <c r="N58" s="142">
        <f t="shared" si="2"/>
        <v>20</v>
      </c>
      <c r="O58" s="142">
        <f t="shared" si="48"/>
        <v>61</v>
      </c>
      <c r="P58" s="142">
        <f t="shared" si="48"/>
        <v>14</v>
      </c>
      <c r="Q58" s="142">
        <f t="shared" si="48"/>
        <v>0</v>
      </c>
      <c r="R58" s="142">
        <f t="shared" si="48"/>
        <v>9</v>
      </c>
      <c r="S58" s="147">
        <f t="shared" si="4"/>
        <v>84</v>
      </c>
      <c r="T58" s="144">
        <v>43</v>
      </c>
      <c r="U58" s="144">
        <v>6</v>
      </c>
      <c r="V58" s="144">
        <v>1</v>
      </c>
      <c r="W58" s="144">
        <v>9</v>
      </c>
      <c r="X58" s="147">
        <f t="shared" si="5"/>
        <v>59</v>
      </c>
      <c r="Y58" s="144">
        <v>43</v>
      </c>
      <c r="Z58" s="144">
        <v>6</v>
      </c>
      <c r="AA58" s="144">
        <v>1</v>
      </c>
      <c r="AB58" s="144">
        <v>9</v>
      </c>
      <c r="AC58" s="142">
        <f t="shared" si="6"/>
        <v>59</v>
      </c>
      <c r="AD58" s="142">
        <f t="shared" si="49"/>
        <v>4487940</v>
      </c>
      <c r="AE58" s="142">
        <f t="shared" si="8"/>
        <v>254880</v>
      </c>
      <c r="AF58" s="142">
        <f t="shared" si="9"/>
        <v>354000</v>
      </c>
      <c r="AG58" s="142">
        <f t="shared" si="10"/>
        <v>141600</v>
      </c>
      <c r="AH58" s="142">
        <f t="shared" si="50"/>
        <v>590000</v>
      </c>
      <c r="AI58" s="142">
        <f t="shared" si="12"/>
        <v>47200</v>
      </c>
      <c r="AJ58" s="142">
        <f t="shared" si="13"/>
        <v>0</v>
      </c>
      <c r="AK58" s="142">
        <f t="shared" si="14"/>
        <v>64800</v>
      </c>
      <c r="AL58" s="142">
        <f t="shared" si="15"/>
        <v>56640</v>
      </c>
      <c r="AM58" s="142">
        <f t="shared" si="16"/>
        <v>1806334.56</v>
      </c>
      <c r="AN58" s="142">
        <f t="shared" si="17"/>
        <v>7803394.5599999996</v>
      </c>
      <c r="AO58" s="150">
        <v>385827.75</v>
      </c>
      <c r="AP58" s="148">
        <f t="shared" si="51"/>
        <v>8189222.3099999996</v>
      </c>
      <c r="AQ58" s="149">
        <f t="shared" si="19"/>
        <v>8046654.29</v>
      </c>
    </row>
    <row r="59" spans="1:43" s="61" customFormat="1" ht="20.100000000000001" customHeight="1">
      <c r="A59" s="141" t="s">
        <v>28</v>
      </c>
      <c r="B59" s="143" t="s">
        <v>366</v>
      </c>
      <c r="C59" s="143" t="s">
        <v>37</v>
      </c>
      <c r="D59" s="144"/>
      <c r="E59" s="152">
        <v>7</v>
      </c>
      <c r="F59" s="152">
        <v>10</v>
      </c>
      <c r="G59" s="152">
        <v>0</v>
      </c>
      <c r="H59" s="152">
        <v>6</v>
      </c>
      <c r="I59" s="142">
        <f t="shared" si="0"/>
        <v>23</v>
      </c>
      <c r="J59" s="144">
        <v>3</v>
      </c>
      <c r="K59" s="144"/>
      <c r="L59" s="144"/>
      <c r="M59" s="144"/>
      <c r="N59" s="142">
        <f t="shared" si="2"/>
        <v>3</v>
      </c>
      <c r="O59" s="142">
        <f t="shared" si="48"/>
        <v>10</v>
      </c>
      <c r="P59" s="142">
        <f t="shared" si="48"/>
        <v>10</v>
      </c>
      <c r="Q59" s="142">
        <f t="shared" si="48"/>
        <v>0</v>
      </c>
      <c r="R59" s="142">
        <f t="shared" si="48"/>
        <v>6</v>
      </c>
      <c r="S59" s="147">
        <f t="shared" si="4"/>
        <v>26</v>
      </c>
      <c r="T59" s="144">
        <v>4</v>
      </c>
      <c r="U59" s="144">
        <v>5</v>
      </c>
      <c r="V59" s="144">
        <v>0</v>
      </c>
      <c r="W59" s="144">
        <v>8</v>
      </c>
      <c r="X59" s="147">
        <f t="shared" si="5"/>
        <v>17</v>
      </c>
      <c r="Y59" s="144">
        <v>4</v>
      </c>
      <c r="Z59" s="144">
        <v>5</v>
      </c>
      <c r="AA59" s="144">
        <v>0</v>
      </c>
      <c r="AB59" s="144">
        <v>8</v>
      </c>
      <c r="AC59" s="142">
        <f t="shared" si="6"/>
        <v>17</v>
      </c>
      <c r="AD59" s="142">
        <f t="shared" si="49"/>
        <v>1115400</v>
      </c>
      <c r="AE59" s="142">
        <f t="shared" si="8"/>
        <v>73440</v>
      </c>
      <c r="AF59" s="142">
        <f t="shared" si="9"/>
        <v>102000</v>
      </c>
      <c r="AG59" s="142">
        <f t="shared" si="10"/>
        <v>40800</v>
      </c>
      <c r="AH59" s="142">
        <f t="shared" si="50"/>
        <v>170000</v>
      </c>
      <c r="AI59" s="142">
        <f t="shared" si="12"/>
        <v>13600</v>
      </c>
      <c r="AJ59" s="142">
        <f t="shared" si="13"/>
        <v>0</v>
      </c>
      <c r="AK59" s="142">
        <f t="shared" si="14"/>
        <v>15600</v>
      </c>
      <c r="AL59" s="142">
        <f t="shared" si="15"/>
        <v>16320</v>
      </c>
      <c r="AM59" s="142">
        <f t="shared" si="16"/>
        <v>520469.28</v>
      </c>
      <c r="AN59" s="142">
        <f t="shared" si="17"/>
        <v>2067629.28</v>
      </c>
      <c r="AO59" s="150">
        <v>36787.5</v>
      </c>
      <c r="AP59" s="148">
        <f t="shared" si="51"/>
        <v>2104416.7800000003</v>
      </c>
      <c r="AQ59" s="149">
        <f t="shared" si="19"/>
        <v>2066641.19</v>
      </c>
    </row>
    <row r="60" spans="1:43" ht="20.100000000000001" customHeight="1">
      <c r="A60" s="141" t="s">
        <v>28</v>
      </c>
      <c r="B60" s="143" t="s">
        <v>367</v>
      </c>
      <c r="C60" s="143" t="s">
        <v>37</v>
      </c>
      <c r="D60" s="144"/>
      <c r="E60" s="152">
        <v>29</v>
      </c>
      <c r="F60" s="152">
        <v>12</v>
      </c>
      <c r="G60" s="152">
        <v>0</v>
      </c>
      <c r="H60" s="152">
        <v>8</v>
      </c>
      <c r="I60" s="142">
        <f t="shared" si="0"/>
        <v>49</v>
      </c>
      <c r="J60" s="144">
        <v>9</v>
      </c>
      <c r="K60" s="144">
        <v>2</v>
      </c>
      <c r="L60" s="144"/>
      <c r="M60" s="144">
        <v>5</v>
      </c>
      <c r="N60" s="142">
        <f t="shared" si="2"/>
        <v>16</v>
      </c>
      <c r="O60" s="142">
        <f t="shared" si="48"/>
        <v>38</v>
      </c>
      <c r="P60" s="142">
        <f t="shared" si="48"/>
        <v>14</v>
      </c>
      <c r="Q60" s="142">
        <f t="shared" si="48"/>
        <v>0</v>
      </c>
      <c r="R60" s="142">
        <f t="shared" si="48"/>
        <v>13</v>
      </c>
      <c r="S60" s="147">
        <f t="shared" si="4"/>
        <v>65</v>
      </c>
      <c r="T60" s="144">
        <v>17</v>
      </c>
      <c r="U60" s="144">
        <v>3</v>
      </c>
      <c r="V60" s="144">
        <v>0</v>
      </c>
      <c r="W60" s="144">
        <v>14</v>
      </c>
      <c r="X60" s="147">
        <f t="shared" si="5"/>
        <v>34</v>
      </c>
      <c r="Y60" s="144">
        <v>17</v>
      </c>
      <c r="Z60" s="144">
        <v>3</v>
      </c>
      <c r="AA60" s="144">
        <v>0</v>
      </c>
      <c r="AB60" s="144">
        <v>14</v>
      </c>
      <c r="AC60" s="142">
        <f t="shared" si="6"/>
        <v>34</v>
      </c>
      <c r="AD60" s="142">
        <f t="shared" si="49"/>
        <v>2357400</v>
      </c>
      <c r="AE60" s="142">
        <f t="shared" si="8"/>
        <v>146880</v>
      </c>
      <c r="AF60" s="142">
        <f t="shared" si="9"/>
        <v>204000</v>
      </c>
      <c r="AG60" s="142">
        <f t="shared" si="10"/>
        <v>81600</v>
      </c>
      <c r="AH60" s="142">
        <f t="shared" si="50"/>
        <v>340000</v>
      </c>
      <c r="AI60" s="142">
        <f t="shared" si="12"/>
        <v>27200</v>
      </c>
      <c r="AJ60" s="142">
        <f t="shared" si="13"/>
        <v>0</v>
      </c>
      <c r="AK60" s="142">
        <f t="shared" si="14"/>
        <v>32400</v>
      </c>
      <c r="AL60" s="142">
        <f t="shared" si="15"/>
        <v>32640</v>
      </c>
      <c r="AM60" s="142">
        <f t="shared" si="16"/>
        <v>1040938.56</v>
      </c>
      <c r="AN60" s="142">
        <f t="shared" si="17"/>
        <v>4263058.5599999996</v>
      </c>
      <c r="AO60" s="148">
        <v>150332.5</v>
      </c>
      <c r="AP60" s="148">
        <f t="shared" si="51"/>
        <v>4413391.0599999996</v>
      </c>
      <c r="AQ60" s="149">
        <f t="shared" si="19"/>
        <v>4335504.9800000004</v>
      </c>
    </row>
    <row r="61" spans="1:43" s="61" customFormat="1" ht="20.100000000000001" customHeight="1">
      <c r="A61" s="141" t="s">
        <v>28</v>
      </c>
      <c r="B61" s="143" t="s">
        <v>368</v>
      </c>
      <c r="C61" s="143" t="s">
        <v>66</v>
      </c>
      <c r="D61" s="144"/>
      <c r="E61" s="152">
        <v>15</v>
      </c>
      <c r="F61" s="152">
        <v>11</v>
      </c>
      <c r="G61" s="152">
        <v>0</v>
      </c>
      <c r="H61" s="152">
        <v>6</v>
      </c>
      <c r="I61" s="142">
        <f t="shared" si="0"/>
        <v>32</v>
      </c>
      <c r="J61" s="144">
        <v>9</v>
      </c>
      <c r="K61" s="144"/>
      <c r="L61" s="144"/>
      <c r="M61" s="144"/>
      <c r="N61" s="142">
        <f t="shared" si="2"/>
        <v>9</v>
      </c>
      <c r="O61" s="142">
        <f t="shared" si="48"/>
        <v>24</v>
      </c>
      <c r="P61" s="142">
        <f t="shared" si="48"/>
        <v>11</v>
      </c>
      <c r="Q61" s="142">
        <f t="shared" si="48"/>
        <v>0</v>
      </c>
      <c r="R61" s="142">
        <f t="shared" si="48"/>
        <v>6</v>
      </c>
      <c r="S61" s="147">
        <f t="shared" si="4"/>
        <v>41</v>
      </c>
      <c r="T61" s="144">
        <v>16</v>
      </c>
      <c r="U61" s="144">
        <v>3</v>
      </c>
      <c r="V61" s="144">
        <v>0</v>
      </c>
      <c r="W61" s="144">
        <v>6</v>
      </c>
      <c r="X61" s="147">
        <f t="shared" si="5"/>
        <v>25</v>
      </c>
      <c r="Y61" s="144">
        <v>16</v>
      </c>
      <c r="Z61" s="144">
        <v>3</v>
      </c>
      <c r="AA61" s="144">
        <v>0</v>
      </c>
      <c r="AB61" s="144">
        <v>6</v>
      </c>
      <c r="AC61" s="142">
        <f t="shared" si="6"/>
        <v>25</v>
      </c>
      <c r="AD61" s="142">
        <f t="shared" ref="AD61:AD63" si="52">(Y61*7700+Z61*5950+AA61*5395+AB61*4500)*12</f>
        <v>2016600</v>
      </c>
      <c r="AE61" s="142">
        <f t="shared" si="8"/>
        <v>108000</v>
      </c>
      <c r="AF61" s="142">
        <f t="shared" si="9"/>
        <v>150000</v>
      </c>
      <c r="AG61" s="142">
        <f t="shared" si="10"/>
        <v>60000</v>
      </c>
      <c r="AH61" s="142">
        <f t="shared" ref="AH61:AH63" si="53">(Y61*16000)+(Z61*10000+AA61*10000+AB61*10000)</f>
        <v>346000</v>
      </c>
      <c r="AI61" s="142">
        <f t="shared" si="12"/>
        <v>20000</v>
      </c>
      <c r="AJ61" s="142">
        <f t="shared" si="13"/>
        <v>0</v>
      </c>
      <c r="AK61" s="142">
        <f t="shared" si="14"/>
        <v>26400</v>
      </c>
      <c r="AL61" s="142">
        <f t="shared" si="15"/>
        <v>24000</v>
      </c>
      <c r="AM61" s="142">
        <f t="shared" si="16"/>
        <v>765396</v>
      </c>
      <c r="AN61" s="142">
        <f t="shared" si="17"/>
        <v>3516396</v>
      </c>
      <c r="AO61" s="150">
        <v>161890.5</v>
      </c>
      <c r="AP61" s="148">
        <f t="shared" si="51"/>
        <v>3678286.5</v>
      </c>
      <c r="AQ61" s="149">
        <f t="shared" si="19"/>
        <v>3614041.95</v>
      </c>
    </row>
    <row r="62" spans="1:43" ht="20.100000000000001" customHeight="1">
      <c r="A62" s="141" t="s">
        <v>28</v>
      </c>
      <c r="B62" s="143" t="s">
        <v>369</v>
      </c>
      <c r="C62" s="143" t="s">
        <v>66</v>
      </c>
      <c r="D62" s="144"/>
      <c r="E62" s="152">
        <v>12</v>
      </c>
      <c r="F62" s="152">
        <v>11</v>
      </c>
      <c r="G62" s="152">
        <v>0</v>
      </c>
      <c r="H62" s="152">
        <v>6</v>
      </c>
      <c r="I62" s="142">
        <f t="shared" si="0"/>
        <v>29</v>
      </c>
      <c r="J62" s="144">
        <v>9</v>
      </c>
      <c r="K62" s="144">
        <v>1</v>
      </c>
      <c r="L62" s="144"/>
      <c r="M62" s="144"/>
      <c r="N62" s="142">
        <f t="shared" si="2"/>
        <v>10</v>
      </c>
      <c r="O62" s="142">
        <f t="shared" si="48"/>
        <v>21</v>
      </c>
      <c r="P62" s="142">
        <f t="shared" si="48"/>
        <v>12</v>
      </c>
      <c r="Q62" s="142">
        <f t="shared" si="48"/>
        <v>0</v>
      </c>
      <c r="R62" s="142">
        <f t="shared" si="48"/>
        <v>6</v>
      </c>
      <c r="S62" s="147">
        <f t="shared" si="4"/>
        <v>39</v>
      </c>
      <c r="T62" s="144">
        <v>12</v>
      </c>
      <c r="U62" s="144">
        <v>3</v>
      </c>
      <c r="V62" s="144">
        <v>0</v>
      </c>
      <c r="W62" s="144">
        <v>9</v>
      </c>
      <c r="X62" s="147">
        <f t="shared" si="5"/>
        <v>24</v>
      </c>
      <c r="Y62" s="144">
        <v>12</v>
      </c>
      <c r="Z62" s="144">
        <v>3</v>
      </c>
      <c r="AA62" s="144">
        <v>0</v>
      </c>
      <c r="AB62" s="144">
        <v>9</v>
      </c>
      <c r="AC62" s="142">
        <f t="shared" si="6"/>
        <v>24</v>
      </c>
      <c r="AD62" s="142">
        <f t="shared" si="52"/>
        <v>1809000</v>
      </c>
      <c r="AE62" s="142">
        <f t="shared" si="8"/>
        <v>103680</v>
      </c>
      <c r="AF62" s="142">
        <f t="shared" si="9"/>
        <v>144000</v>
      </c>
      <c r="AG62" s="142">
        <f t="shared" si="10"/>
        <v>57600</v>
      </c>
      <c r="AH62" s="142">
        <f t="shared" si="53"/>
        <v>312000</v>
      </c>
      <c r="AI62" s="142">
        <f t="shared" si="12"/>
        <v>19200</v>
      </c>
      <c r="AJ62" s="142">
        <f t="shared" si="13"/>
        <v>0</v>
      </c>
      <c r="AK62" s="142">
        <f t="shared" si="14"/>
        <v>23400</v>
      </c>
      <c r="AL62" s="142">
        <f t="shared" si="15"/>
        <v>23040</v>
      </c>
      <c r="AM62" s="142">
        <f t="shared" si="16"/>
        <v>734780.16</v>
      </c>
      <c r="AN62" s="142">
        <f t="shared" si="17"/>
        <v>3226700.16</v>
      </c>
      <c r="AO62" s="148">
        <v>32659</v>
      </c>
      <c r="AP62" s="148">
        <f t="shared" si="51"/>
        <v>3259359.16</v>
      </c>
      <c r="AQ62" s="149">
        <f t="shared" si="19"/>
        <v>3200407.35</v>
      </c>
    </row>
    <row r="63" spans="1:43" s="61" customFormat="1" ht="20.100000000000001" customHeight="1">
      <c r="A63" s="141" t="s">
        <v>28</v>
      </c>
      <c r="B63" s="143" t="s">
        <v>370</v>
      </c>
      <c r="C63" s="143" t="s">
        <v>66</v>
      </c>
      <c r="D63" s="144"/>
      <c r="E63" s="152">
        <v>35</v>
      </c>
      <c r="F63" s="152">
        <v>11</v>
      </c>
      <c r="G63" s="152">
        <v>0</v>
      </c>
      <c r="H63" s="152">
        <v>6</v>
      </c>
      <c r="I63" s="142">
        <f t="shared" si="0"/>
        <v>52</v>
      </c>
      <c r="J63" s="144">
        <v>1</v>
      </c>
      <c r="K63" s="144">
        <v>1</v>
      </c>
      <c r="L63" s="144"/>
      <c r="M63" s="144">
        <v>1</v>
      </c>
      <c r="N63" s="142">
        <f t="shared" si="2"/>
        <v>3</v>
      </c>
      <c r="O63" s="142">
        <f t="shared" si="48"/>
        <v>36</v>
      </c>
      <c r="P63" s="142">
        <f t="shared" si="48"/>
        <v>12</v>
      </c>
      <c r="Q63" s="142">
        <f t="shared" si="48"/>
        <v>0</v>
      </c>
      <c r="R63" s="142">
        <f t="shared" si="48"/>
        <v>7</v>
      </c>
      <c r="S63" s="147">
        <f t="shared" si="4"/>
        <v>55</v>
      </c>
      <c r="T63" s="144">
        <v>6</v>
      </c>
      <c r="U63" s="144">
        <v>10</v>
      </c>
      <c r="V63" s="144">
        <v>0</v>
      </c>
      <c r="W63" s="144">
        <v>9</v>
      </c>
      <c r="X63" s="147">
        <f t="shared" si="5"/>
        <v>25</v>
      </c>
      <c r="Y63" s="144">
        <v>6</v>
      </c>
      <c r="Z63" s="144">
        <v>10</v>
      </c>
      <c r="AA63" s="144">
        <v>0</v>
      </c>
      <c r="AB63" s="144">
        <v>9</v>
      </c>
      <c r="AC63" s="142">
        <f t="shared" si="6"/>
        <v>25</v>
      </c>
      <c r="AD63" s="142">
        <f t="shared" si="52"/>
        <v>1754400</v>
      </c>
      <c r="AE63" s="142">
        <f t="shared" si="8"/>
        <v>108000</v>
      </c>
      <c r="AF63" s="142">
        <f t="shared" si="9"/>
        <v>150000</v>
      </c>
      <c r="AG63" s="142">
        <f t="shared" si="10"/>
        <v>60000</v>
      </c>
      <c r="AH63" s="142">
        <f t="shared" si="53"/>
        <v>286000</v>
      </c>
      <c r="AI63" s="142">
        <f t="shared" si="12"/>
        <v>20000</v>
      </c>
      <c r="AJ63" s="142">
        <f t="shared" si="13"/>
        <v>0</v>
      </c>
      <c r="AK63" s="142">
        <f t="shared" si="14"/>
        <v>24600</v>
      </c>
      <c r="AL63" s="142">
        <f t="shared" si="15"/>
        <v>24000</v>
      </c>
      <c r="AM63" s="142">
        <f t="shared" si="16"/>
        <v>765396</v>
      </c>
      <c r="AN63" s="142">
        <f t="shared" si="17"/>
        <v>3192396</v>
      </c>
      <c r="AO63" s="150">
        <v>86743</v>
      </c>
      <c r="AP63" s="148">
        <f t="shared" si="51"/>
        <v>3279139</v>
      </c>
      <c r="AQ63" s="149">
        <f t="shared" si="19"/>
        <v>3220813.93</v>
      </c>
    </row>
    <row r="64" spans="1:43" ht="20.100000000000001" customHeight="1">
      <c r="A64" s="141" t="s">
        <v>28</v>
      </c>
      <c r="B64" s="143" t="s">
        <v>371</v>
      </c>
      <c r="C64" s="143" t="s">
        <v>334</v>
      </c>
      <c r="D64" s="144">
        <v>2</v>
      </c>
      <c r="E64" s="152">
        <v>6</v>
      </c>
      <c r="F64" s="152">
        <v>3</v>
      </c>
      <c r="G64" s="152">
        <v>25</v>
      </c>
      <c r="H64" s="152">
        <v>2</v>
      </c>
      <c r="I64" s="142">
        <f t="shared" si="0"/>
        <v>36</v>
      </c>
      <c r="J64" s="144"/>
      <c r="K64" s="144"/>
      <c r="L64" s="144">
        <v>5</v>
      </c>
      <c r="M64" s="144"/>
      <c r="N64" s="142">
        <f t="shared" si="2"/>
        <v>5</v>
      </c>
      <c r="O64" s="142">
        <f t="shared" si="48"/>
        <v>6</v>
      </c>
      <c r="P64" s="142">
        <f t="shared" si="48"/>
        <v>3</v>
      </c>
      <c r="Q64" s="142">
        <f t="shared" si="48"/>
        <v>30</v>
      </c>
      <c r="R64" s="142">
        <f t="shared" si="48"/>
        <v>2</v>
      </c>
      <c r="S64" s="147">
        <f t="shared" si="4"/>
        <v>41</v>
      </c>
      <c r="T64" s="144">
        <v>0</v>
      </c>
      <c r="U64" s="144">
        <v>4</v>
      </c>
      <c r="V64" s="144">
        <v>33</v>
      </c>
      <c r="W64" s="144">
        <v>2</v>
      </c>
      <c r="X64" s="147">
        <f t="shared" si="5"/>
        <v>39</v>
      </c>
      <c r="Y64" s="144">
        <v>0</v>
      </c>
      <c r="Z64" s="144">
        <v>4</v>
      </c>
      <c r="AA64" s="144">
        <v>33</v>
      </c>
      <c r="AB64" s="144">
        <v>2</v>
      </c>
      <c r="AC64" s="142">
        <f t="shared" si="6"/>
        <v>39</v>
      </c>
      <c r="AD64" s="142">
        <f t="shared" ref="AD64:AD67" si="54">(Y64*6800+Z64*5950+AA64*5395+AB64*4500)*12</f>
        <v>2530020</v>
      </c>
      <c r="AE64" s="142">
        <f t="shared" si="8"/>
        <v>168480</v>
      </c>
      <c r="AF64" s="142">
        <f t="shared" si="9"/>
        <v>234000</v>
      </c>
      <c r="AG64" s="142">
        <f t="shared" si="10"/>
        <v>93600</v>
      </c>
      <c r="AH64" s="142">
        <f t="shared" ref="AH64:AH67" si="55">AC64*10000</f>
        <v>390000</v>
      </c>
      <c r="AI64" s="142">
        <f t="shared" si="12"/>
        <v>31200</v>
      </c>
      <c r="AJ64" s="142">
        <f t="shared" si="13"/>
        <v>20000</v>
      </c>
      <c r="AK64" s="142">
        <f t="shared" si="14"/>
        <v>25800</v>
      </c>
      <c r="AL64" s="142">
        <f t="shared" si="15"/>
        <v>37440</v>
      </c>
      <c r="AM64" s="142">
        <f t="shared" si="16"/>
        <v>1194017.76</v>
      </c>
      <c r="AN64" s="142">
        <f t="shared" si="17"/>
        <v>4724557.76</v>
      </c>
      <c r="AO64" s="148"/>
      <c r="AP64" s="149">
        <f t="shared" si="51"/>
        <v>4724557.76</v>
      </c>
      <c r="AQ64" s="149">
        <f t="shared" si="19"/>
        <v>4638240.09</v>
      </c>
    </row>
    <row r="65" spans="1:43" ht="20.100000000000001" customHeight="1">
      <c r="A65" s="141" t="s">
        <v>28</v>
      </c>
      <c r="B65" s="143" t="s">
        <v>69</v>
      </c>
      <c r="C65" s="143" t="s">
        <v>37</v>
      </c>
      <c r="D65" s="144"/>
      <c r="E65" s="152">
        <v>12</v>
      </c>
      <c r="F65" s="152">
        <v>10</v>
      </c>
      <c r="G65" s="152">
        <v>0</v>
      </c>
      <c r="H65" s="152">
        <v>6</v>
      </c>
      <c r="I65" s="142">
        <f t="shared" si="0"/>
        <v>28</v>
      </c>
      <c r="J65" s="144">
        <v>3</v>
      </c>
      <c r="K65" s="144"/>
      <c r="L65" s="144"/>
      <c r="M65" s="144"/>
      <c r="N65" s="142">
        <f t="shared" si="2"/>
        <v>3</v>
      </c>
      <c r="O65" s="142">
        <f t="shared" si="48"/>
        <v>15</v>
      </c>
      <c r="P65" s="142">
        <f t="shared" si="48"/>
        <v>10</v>
      </c>
      <c r="Q65" s="142">
        <f t="shared" si="48"/>
        <v>0</v>
      </c>
      <c r="R65" s="142">
        <f t="shared" si="48"/>
        <v>6</v>
      </c>
      <c r="S65" s="147">
        <f t="shared" si="4"/>
        <v>31</v>
      </c>
      <c r="T65" s="144">
        <v>4</v>
      </c>
      <c r="U65" s="144">
        <v>8</v>
      </c>
      <c r="V65" s="144">
        <v>0</v>
      </c>
      <c r="W65" s="144">
        <v>5</v>
      </c>
      <c r="X65" s="147">
        <f t="shared" si="5"/>
        <v>17</v>
      </c>
      <c r="Y65" s="144">
        <v>4</v>
      </c>
      <c r="Z65" s="144">
        <v>8</v>
      </c>
      <c r="AA65" s="144">
        <v>0</v>
      </c>
      <c r="AB65" s="144">
        <v>5</v>
      </c>
      <c r="AC65" s="142">
        <f t="shared" si="6"/>
        <v>17</v>
      </c>
      <c r="AD65" s="142">
        <f t="shared" si="54"/>
        <v>1167600</v>
      </c>
      <c r="AE65" s="142">
        <f t="shared" si="8"/>
        <v>73440</v>
      </c>
      <c r="AF65" s="142">
        <f t="shared" si="9"/>
        <v>102000</v>
      </c>
      <c r="AG65" s="142">
        <f t="shared" si="10"/>
        <v>40800</v>
      </c>
      <c r="AH65" s="142">
        <f t="shared" si="55"/>
        <v>170000</v>
      </c>
      <c r="AI65" s="142">
        <f t="shared" si="12"/>
        <v>13600</v>
      </c>
      <c r="AJ65" s="142">
        <f t="shared" si="13"/>
        <v>0</v>
      </c>
      <c r="AK65" s="142">
        <f t="shared" si="14"/>
        <v>17400</v>
      </c>
      <c r="AL65" s="142">
        <f t="shared" si="15"/>
        <v>16320</v>
      </c>
      <c r="AM65" s="142">
        <f t="shared" si="16"/>
        <v>520469.28</v>
      </c>
      <c r="AN65" s="142">
        <f t="shared" si="17"/>
        <v>2121629.2799999998</v>
      </c>
      <c r="AO65" s="148">
        <v>25757</v>
      </c>
      <c r="AP65" s="148">
        <f t="shared" si="51"/>
        <v>2147386.2799999998</v>
      </c>
      <c r="AQ65" s="149">
        <f t="shared" si="19"/>
        <v>2108624.11</v>
      </c>
    </row>
    <row r="66" spans="1:43" ht="20.100000000000001" customHeight="1">
      <c r="A66" s="141" t="s">
        <v>28</v>
      </c>
      <c r="B66" s="143" t="s">
        <v>372</v>
      </c>
      <c r="C66" s="143" t="s">
        <v>334</v>
      </c>
      <c r="D66" s="144">
        <v>2</v>
      </c>
      <c r="E66" s="152">
        <v>15</v>
      </c>
      <c r="F66" s="152">
        <v>4</v>
      </c>
      <c r="G66" s="152">
        <v>25</v>
      </c>
      <c r="H66" s="152">
        <v>3</v>
      </c>
      <c r="I66" s="142">
        <f t="shared" si="0"/>
        <v>47</v>
      </c>
      <c r="J66" s="144"/>
      <c r="K66" s="144"/>
      <c r="L66" s="144">
        <v>3</v>
      </c>
      <c r="M66" s="144"/>
      <c r="N66" s="142">
        <f t="shared" si="2"/>
        <v>3</v>
      </c>
      <c r="O66" s="142">
        <f t="shared" si="48"/>
        <v>15</v>
      </c>
      <c r="P66" s="142">
        <f t="shared" si="48"/>
        <v>4</v>
      </c>
      <c r="Q66" s="142">
        <f t="shared" si="48"/>
        <v>28</v>
      </c>
      <c r="R66" s="142">
        <f t="shared" si="48"/>
        <v>3</v>
      </c>
      <c r="S66" s="147">
        <f t="shared" si="4"/>
        <v>50</v>
      </c>
      <c r="T66" s="144">
        <v>0</v>
      </c>
      <c r="U66" s="144">
        <v>6</v>
      </c>
      <c r="V66" s="144">
        <v>34</v>
      </c>
      <c r="W66" s="144">
        <v>3</v>
      </c>
      <c r="X66" s="147">
        <f t="shared" si="5"/>
        <v>43</v>
      </c>
      <c r="Y66" s="144">
        <v>0</v>
      </c>
      <c r="Z66" s="144">
        <v>6</v>
      </c>
      <c r="AA66" s="144">
        <v>34</v>
      </c>
      <c r="AB66" s="144">
        <v>3</v>
      </c>
      <c r="AC66" s="142">
        <f t="shared" si="6"/>
        <v>43</v>
      </c>
      <c r="AD66" s="142">
        <f t="shared" si="54"/>
        <v>2791560</v>
      </c>
      <c r="AE66" s="142">
        <f t="shared" si="8"/>
        <v>185760</v>
      </c>
      <c r="AF66" s="142">
        <f t="shared" si="9"/>
        <v>258000</v>
      </c>
      <c r="AG66" s="142">
        <f t="shared" si="10"/>
        <v>103200</v>
      </c>
      <c r="AH66" s="142">
        <f t="shared" si="55"/>
        <v>430000</v>
      </c>
      <c r="AI66" s="142">
        <f t="shared" si="12"/>
        <v>34400</v>
      </c>
      <c r="AJ66" s="142">
        <f t="shared" si="13"/>
        <v>20000</v>
      </c>
      <c r="AK66" s="142">
        <f t="shared" si="14"/>
        <v>29400</v>
      </c>
      <c r="AL66" s="142">
        <f t="shared" si="15"/>
        <v>41280</v>
      </c>
      <c r="AM66" s="142">
        <f t="shared" si="16"/>
        <v>1316481.1200000001</v>
      </c>
      <c r="AN66" s="142">
        <f t="shared" si="17"/>
        <v>5210081.12</v>
      </c>
      <c r="AO66" s="148"/>
      <c r="AP66" s="149">
        <f t="shared" si="51"/>
        <v>5210081.12</v>
      </c>
      <c r="AQ66" s="149">
        <f t="shared" si="19"/>
        <v>5114892.9400000004</v>
      </c>
    </row>
    <row r="67" spans="1:43" s="61" customFormat="1" ht="20.100000000000001" customHeight="1">
      <c r="A67" s="141" t="s">
        <v>28</v>
      </c>
      <c r="B67" s="143" t="s">
        <v>373</v>
      </c>
      <c r="C67" s="143" t="s">
        <v>334</v>
      </c>
      <c r="D67" s="144">
        <v>1</v>
      </c>
      <c r="E67" s="152">
        <v>6</v>
      </c>
      <c r="F67" s="152">
        <v>3</v>
      </c>
      <c r="G67" s="152">
        <v>17</v>
      </c>
      <c r="H67" s="152">
        <v>2</v>
      </c>
      <c r="I67" s="142">
        <f t="shared" si="0"/>
        <v>28</v>
      </c>
      <c r="J67" s="144"/>
      <c r="K67" s="144"/>
      <c r="L67" s="144"/>
      <c r="M67" s="144"/>
      <c r="N67" s="142">
        <f t="shared" si="2"/>
        <v>0</v>
      </c>
      <c r="O67" s="142">
        <f t="shared" si="48"/>
        <v>6</v>
      </c>
      <c r="P67" s="142">
        <f t="shared" si="48"/>
        <v>3</v>
      </c>
      <c r="Q67" s="142">
        <f t="shared" si="48"/>
        <v>17</v>
      </c>
      <c r="R67" s="142">
        <f t="shared" si="48"/>
        <v>2</v>
      </c>
      <c r="S67" s="147">
        <f t="shared" si="4"/>
        <v>28</v>
      </c>
      <c r="T67" s="144">
        <v>0</v>
      </c>
      <c r="U67" s="144">
        <v>3</v>
      </c>
      <c r="V67" s="144">
        <v>21</v>
      </c>
      <c r="W67" s="144">
        <v>2</v>
      </c>
      <c r="X67" s="147">
        <f t="shared" si="5"/>
        <v>26</v>
      </c>
      <c r="Y67" s="144">
        <v>0</v>
      </c>
      <c r="Z67" s="144">
        <v>3</v>
      </c>
      <c r="AA67" s="144">
        <v>21</v>
      </c>
      <c r="AB67" s="144">
        <v>2</v>
      </c>
      <c r="AC67" s="142">
        <f t="shared" si="6"/>
        <v>26</v>
      </c>
      <c r="AD67" s="142">
        <f t="shared" si="54"/>
        <v>1681740</v>
      </c>
      <c r="AE67" s="142">
        <f t="shared" si="8"/>
        <v>112320</v>
      </c>
      <c r="AF67" s="142">
        <f t="shared" si="9"/>
        <v>156000</v>
      </c>
      <c r="AG67" s="142">
        <f t="shared" si="10"/>
        <v>62400</v>
      </c>
      <c r="AH67" s="142">
        <f t="shared" si="55"/>
        <v>260000</v>
      </c>
      <c r="AI67" s="142">
        <f t="shared" si="12"/>
        <v>20800</v>
      </c>
      <c r="AJ67" s="142">
        <f t="shared" si="13"/>
        <v>10000</v>
      </c>
      <c r="AK67" s="142">
        <f t="shared" si="14"/>
        <v>17400</v>
      </c>
      <c r="AL67" s="142">
        <f t="shared" si="15"/>
        <v>24960</v>
      </c>
      <c r="AM67" s="142">
        <f t="shared" si="16"/>
        <v>796011.84</v>
      </c>
      <c r="AN67" s="142">
        <f t="shared" si="17"/>
        <v>3141631.84</v>
      </c>
      <c r="AO67" s="150"/>
      <c r="AP67" s="149">
        <f t="shared" si="51"/>
        <v>3141631.84</v>
      </c>
      <c r="AQ67" s="149">
        <f t="shared" si="19"/>
        <v>3084234.23</v>
      </c>
    </row>
    <row r="68" spans="1:43" ht="20.100000000000001" customHeight="1">
      <c r="A68" s="141" t="s">
        <v>28</v>
      </c>
      <c r="B68" s="143" t="s">
        <v>374</v>
      </c>
      <c r="C68" s="143" t="s">
        <v>65</v>
      </c>
      <c r="D68" s="144"/>
      <c r="E68" s="152">
        <v>6</v>
      </c>
      <c r="F68" s="152">
        <v>11</v>
      </c>
      <c r="G68" s="152">
        <v>0</v>
      </c>
      <c r="H68" s="152">
        <v>8</v>
      </c>
      <c r="I68" s="142">
        <f t="shared" si="0"/>
        <v>25</v>
      </c>
      <c r="J68" s="144"/>
      <c r="K68" s="144"/>
      <c r="L68" s="144"/>
      <c r="M68" s="144"/>
      <c r="N68" s="142">
        <f t="shared" si="2"/>
        <v>0</v>
      </c>
      <c r="O68" s="142">
        <f t="shared" si="48"/>
        <v>6</v>
      </c>
      <c r="P68" s="142">
        <f t="shared" si="48"/>
        <v>11</v>
      </c>
      <c r="Q68" s="142">
        <f t="shared" si="48"/>
        <v>0</v>
      </c>
      <c r="R68" s="142">
        <f t="shared" si="48"/>
        <v>8</v>
      </c>
      <c r="S68" s="147">
        <f t="shared" si="4"/>
        <v>25</v>
      </c>
      <c r="T68" s="144">
        <v>3</v>
      </c>
      <c r="U68" s="144">
        <v>16</v>
      </c>
      <c r="V68" s="144">
        <v>0</v>
      </c>
      <c r="W68" s="144">
        <v>8</v>
      </c>
      <c r="X68" s="147">
        <f t="shared" si="5"/>
        <v>27</v>
      </c>
      <c r="Y68" s="144">
        <v>6</v>
      </c>
      <c r="Z68" s="144">
        <v>11</v>
      </c>
      <c r="AA68" s="144">
        <v>0</v>
      </c>
      <c r="AB68" s="144">
        <v>8</v>
      </c>
      <c r="AC68" s="142">
        <f t="shared" si="6"/>
        <v>25</v>
      </c>
      <c r="AD68" s="142">
        <f>(Y68*7250+Z68*5950+AA68*5395+AB68*4500)*12</f>
        <v>1739400</v>
      </c>
      <c r="AE68" s="142">
        <f t="shared" si="8"/>
        <v>108000</v>
      </c>
      <c r="AF68" s="142">
        <f t="shared" si="9"/>
        <v>150000</v>
      </c>
      <c r="AG68" s="142">
        <f t="shared" si="10"/>
        <v>60000</v>
      </c>
      <c r="AH68" s="142">
        <f>(Y68*16000)+(Z68*10000+AA68*10000+AB68*10000)</f>
        <v>286000</v>
      </c>
      <c r="AI68" s="142">
        <f t="shared" si="12"/>
        <v>20000</v>
      </c>
      <c r="AJ68" s="142">
        <f t="shared" si="13"/>
        <v>0</v>
      </c>
      <c r="AK68" s="142">
        <f t="shared" si="14"/>
        <v>25200</v>
      </c>
      <c r="AL68" s="142">
        <f t="shared" si="15"/>
        <v>24000</v>
      </c>
      <c r="AM68" s="142">
        <f t="shared" si="16"/>
        <v>765396</v>
      </c>
      <c r="AN68" s="142">
        <f t="shared" si="17"/>
        <v>3177996</v>
      </c>
      <c r="AO68" s="148">
        <v>28829.5</v>
      </c>
      <c r="AP68" s="148">
        <f t="shared" si="51"/>
        <v>3206825.5</v>
      </c>
      <c r="AQ68" s="149">
        <f t="shared" si="19"/>
        <v>3148763.51</v>
      </c>
    </row>
    <row r="69" spans="1:43" ht="20.100000000000001" customHeight="1">
      <c r="A69" s="141" t="s">
        <v>28</v>
      </c>
      <c r="B69" s="143" t="s">
        <v>375</v>
      </c>
      <c r="C69" s="143" t="s">
        <v>334</v>
      </c>
      <c r="D69" s="144">
        <v>2</v>
      </c>
      <c r="E69" s="152">
        <v>15</v>
      </c>
      <c r="F69" s="152">
        <v>6</v>
      </c>
      <c r="G69" s="152">
        <v>26</v>
      </c>
      <c r="H69" s="152">
        <v>2</v>
      </c>
      <c r="I69" s="142">
        <f t="shared" si="0"/>
        <v>49</v>
      </c>
      <c r="J69" s="144"/>
      <c r="K69" s="144"/>
      <c r="L69" s="144"/>
      <c r="M69" s="144"/>
      <c r="N69" s="142">
        <f t="shared" si="2"/>
        <v>0</v>
      </c>
      <c r="O69" s="142">
        <f>E69+J69</f>
        <v>15</v>
      </c>
      <c r="P69" s="142">
        <f>F69+K69</f>
        <v>6</v>
      </c>
      <c r="Q69" s="142">
        <f>G69+L69</f>
        <v>26</v>
      </c>
      <c r="R69" s="142">
        <f>H69+M69</f>
        <v>2</v>
      </c>
      <c r="S69" s="147">
        <f t="shared" si="4"/>
        <v>49</v>
      </c>
      <c r="T69" s="144">
        <v>0</v>
      </c>
      <c r="U69" s="144">
        <v>9</v>
      </c>
      <c r="V69" s="144">
        <v>31</v>
      </c>
      <c r="W69" s="144">
        <v>2</v>
      </c>
      <c r="X69" s="147">
        <f t="shared" si="5"/>
        <v>42</v>
      </c>
      <c r="Y69" s="144">
        <v>0</v>
      </c>
      <c r="Z69" s="144">
        <v>9</v>
      </c>
      <c r="AA69" s="144">
        <v>31</v>
      </c>
      <c r="AB69" s="144">
        <v>2</v>
      </c>
      <c r="AC69" s="142">
        <f t="shared" si="6"/>
        <v>42</v>
      </c>
      <c r="AD69" s="142">
        <f>(Y69*6800+Z69*5950+AA69*5395+AB69*4500)*12</f>
        <v>2757540</v>
      </c>
      <c r="AE69" s="142">
        <f t="shared" si="8"/>
        <v>181440</v>
      </c>
      <c r="AF69" s="142">
        <f t="shared" si="9"/>
        <v>252000</v>
      </c>
      <c r="AG69" s="142">
        <f t="shared" si="10"/>
        <v>100800</v>
      </c>
      <c r="AH69" s="142">
        <f>AC69*10000</f>
        <v>420000</v>
      </c>
      <c r="AI69" s="142">
        <f t="shared" si="12"/>
        <v>33600</v>
      </c>
      <c r="AJ69" s="142">
        <f t="shared" si="13"/>
        <v>20000</v>
      </c>
      <c r="AK69" s="142">
        <f t="shared" si="14"/>
        <v>30600</v>
      </c>
      <c r="AL69" s="142">
        <f t="shared" si="15"/>
        <v>40320</v>
      </c>
      <c r="AM69" s="142">
        <f t="shared" si="16"/>
        <v>1285865.28</v>
      </c>
      <c r="AN69" s="142">
        <f t="shared" si="17"/>
        <v>5122165.28</v>
      </c>
      <c r="AO69" s="148"/>
      <c r="AP69" s="149">
        <f t="shared" si="51"/>
        <v>5122165.28</v>
      </c>
      <c r="AQ69" s="149">
        <f t="shared" si="19"/>
        <v>5028583.32</v>
      </c>
    </row>
    <row r="70" spans="1:43" ht="20.100000000000001" customHeight="1">
      <c r="A70" s="141" t="s">
        <v>28</v>
      </c>
      <c r="B70" s="143" t="s">
        <v>376</v>
      </c>
      <c r="C70" s="143" t="s">
        <v>66</v>
      </c>
      <c r="D70" s="144"/>
      <c r="E70" s="152">
        <v>21</v>
      </c>
      <c r="F70" s="152">
        <v>9</v>
      </c>
      <c r="G70" s="152">
        <v>0</v>
      </c>
      <c r="H70" s="152">
        <v>5</v>
      </c>
      <c r="I70" s="142">
        <f t="shared" ref="I70:I112" si="56">SUM(E70:H70)</f>
        <v>35</v>
      </c>
      <c r="J70" s="144"/>
      <c r="K70" s="144">
        <v>1</v>
      </c>
      <c r="L70" s="144"/>
      <c r="M70" s="144">
        <v>1</v>
      </c>
      <c r="N70" s="142">
        <f t="shared" ref="N70:N112" si="57">SUM(J70:M70)</f>
        <v>2</v>
      </c>
      <c r="O70" s="142">
        <f t="shared" si="48"/>
        <v>21</v>
      </c>
      <c r="P70" s="142">
        <f t="shared" si="48"/>
        <v>10</v>
      </c>
      <c r="Q70" s="142">
        <f t="shared" si="48"/>
        <v>0</v>
      </c>
      <c r="R70" s="142">
        <f t="shared" si="48"/>
        <v>6</v>
      </c>
      <c r="S70" s="147">
        <f t="shared" ref="S70:S112" si="58">SUM(O70:R70)</f>
        <v>37</v>
      </c>
      <c r="T70" s="144">
        <v>10</v>
      </c>
      <c r="U70" s="144">
        <v>9</v>
      </c>
      <c r="V70" s="144">
        <v>1</v>
      </c>
      <c r="W70" s="144">
        <v>5</v>
      </c>
      <c r="X70" s="147">
        <f t="shared" ref="X70:X112" si="59">SUM(T70:W70)</f>
        <v>25</v>
      </c>
      <c r="Y70" s="144">
        <v>10</v>
      </c>
      <c r="Z70" s="144">
        <v>9</v>
      </c>
      <c r="AA70" s="144">
        <v>1</v>
      </c>
      <c r="AB70" s="144">
        <v>5</v>
      </c>
      <c r="AC70" s="142">
        <f t="shared" ref="AC70:AC112" si="60">SUM(Y70:AB70)</f>
        <v>25</v>
      </c>
      <c r="AD70" s="142">
        <f>(Y70*7700+Z70*5950+AA70*5395+AB70*4500)*12</f>
        <v>1901340</v>
      </c>
      <c r="AE70" s="142">
        <f t="shared" ref="AE70:AE112" si="61">AC70*4320</f>
        <v>108000</v>
      </c>
      <c r="AF70" s="142">
        <f t="shared" ref="AF70:AF112" si="62">AC70*6000</f>
        <v>150000</v>
      </c>
      <c r="AG70" s="142">
        <f t="shared" ref="AG70:AG112" si="63">AC70*2400</f>
        <v>60000</v>
      </c>
      <c r="AH70" s="142">
        <f>(Y70*16000)+(Z70*10000+AA70*10000+AB70*10000)</f>
        <v>310000</v>
      </c>
      <c r="AI70" s="142">
        <f t="shared" ref="AI70:AI112" si="64">AC70*800</f>
        <v>20000</v>
      </c>
      <c r="AJ70" s="142">
        <f t="shared" ref="AJ70:AJ112" si="65">D70*50*200</f>
        <v>0</v>
      </c>
      <c r="AK70" s="142">
        <f t="shared" ref="AK70:AK112" si="66">Y70*1200+Z70*1200+AA70*600+AB70*600</f>
        <v>26400</v>
      </c>
      <c r="AL70" s="142">
        <f t="shared" ref="AL70:AL112" si="67">AC70*960</f>
        <v>24000</v>
      </c>
      <c r="AM70" s="142">
        <f t="shared" ref="AM70:AM112" si="68">ROUND((7460*0.342*AC70*12),2)</f>
        <v>765396</v>
      </c>
      <c r="AN70" s="142">
        <f t="shared" ref="AN70:AN112" si="69">ROUND(SUM(AD70:AM70),2)</f>
        <v>3365136</v>
      </c>
      <c r="AO70" s="148">
        <v>96267.25</v>
      </c>
      <c r="AP70" s="148">
        <f t="shared" si="51"/>
        <v>3461403.25</v>
      </c>
      <c r="AQ70" s="149">
        <f t="shared" ref="AQ70:AQ112" si="70">ROUND((AN70*0.98173)+AO70,2)</f>
        <v>3399922.22</v>
      </c>
    </row>
    <row r="71" spans="1:43" ht="20.100000000000001" customHeight="1">
      <c r="A71" s="143"/>
      <c r="B71" s="254" t="s">
        <v>42</v>
      </c>
      <c r="C71" s="254"/>
      <c r="D71" s="253">
        <f>SUM(D53:D70)</f>
        <v>15</v>
      </c>
      <c r="E71" s="253">
        <f t="shared" ref="E71:AQ71" si="71">SUM(E53:E70)</f>
        <v>277</v>
      </c>
      <c r="F71" s="253">
        <f t="shared" si="71"/>
        <v>136</v>
      </c>
      <c r="G71" s="253">
        <f t="shared" si="71"/>
        <v>244</v>
      </c>
      <c r="H71" s="253">
        <f t="shared" si="71"/>
        <v>83</v>
      </c>
      <c r="I71" s="253">
        <f t="shared" si="71"/>
        <v>740</v>
      </c>
      <c r="J71" s="253">
        <f t="shared" si="71"/>
        <v>54</v>
      </c>
      <c r="K71" s="253">
        <f t="shared" si="71"/>
        <v>9</v>
      </c>
      <c r="L71" s="253">
        <f t="shared" si="71"/>
        <v>12</v>
      </c>
      <c r="M71" s="253">
        <f t="shared" si="71"/>
        <v>11</v>
      </c>
      <c r="N71" s="253">
        <f t="shared" si="71"/>
        <v>86</v>
      </c>
      <c r="O71" s="253">
        <f t="shared" si="71"/>
        <v>331</v>
      </c>
      <c r="P71" s="253">
        <f t="shared" si="71"/>
        <v>145</v>
      </c>
      <c r="Q71" s="253">
        <f t="shared" si="71"/>
        <v>256</v>
      </c>
      <c r="R71" s="253">
        <f t="shared" si="71"/>
        <v>94</v>
      </c>
      <c r="S71" s="253">
        <f t="shared" si="71"/>
        <v>826</v>
      </c>
      <c r="T71" s="253">
        <f t="shared" si="71"/>
        <v>129</v>
      </c>
      <c r="U71" s="253">
        <f t="shared" si="71"/>
        <v>110</v>
      </c>
      <c r="V71" s="253">
        <f t="shared" si="71"/>
        <v>291</v>
      </c>
      <c r="W71" s="253">
        <f t="shared" si="71"/>
        <v>100</v>
      </c>
      <c r="X71" s="253">
        <f t="shared" si="71"/>
        <v>630</v>
      </c>
      <c r="Y71" s="253">
        <f t="shared" si="71"/>
        <v>135</v>
      </c>
      <c r="Z71" s="253">
        <f t="shared" si="71"/>
        <v>106</v>
      </c>
      <c r="AA71" s="253">
        <f t="shared" si="71"/>
        <v>289</v>
      </c>
      <c r="AB71" s="253">
        <f t="shared" si="71"/>
        <v>97</v>
      </c>
      <c r="AC71" s="253">
        <f t="shared" si="71"/>
        <v>627</v>
      </c>
      <c r="AD71" s="253">
        <f t="shared" si="71"/>
        <v>43039860</v>
      </c>
      <c r="AE71" s="253">
        <f t="shared" si="71"/>
        <v>2708640</v>
      </c>
      <c r="AF71" s="253">
        <f t="shared" si="71"/>
        <v>3762000</v>
      </c>
      <c r="AG71" s="253">
        <f t="shared" si="71"/>
        <v>1504800</v>
      </c>
      <c r="AH71" s="253">
        <f t="shared" si="71"/>
        <v>6570000</v>
      </c>
      <c r="AI71" s="253">
        <f t="shared" si="71"/>
        <v>501600</v>
      </c>
      <c r="AJ71" s="253">
        <f t="shared" si="71"/>
        <v>150000</v>
      </c>
      <c r="AK71" s="253">
        <f t="shared" si="71"/>
        <v>520800</v>
      </c>
      <c r="AL71" s="253">
        <f t="shared" si="71"/>
        <v>601920</v>
      </c>
      <c r="AM71" s="253">
        <f t="shared" si="71"/>
        <v>19196131.68</v>
      </c>
      <c r="AN71" s="253">
        <f t="shared" si="71"/>
        <v>78555751.680000007</v>
      </c>
      <c r="AO71" s="253">
        <f t="shared" si="71"/>
        <v>1104648.8799999999</v>
      </c>
      <c r="AP71" s="253">
        <f t="shared" si="71"/>
        <v>79660400.560000002</v>
      </c>
      <c r="AQ71" s="253">
        <f t="shared" si="71"/>
        <v>78225186.99000001</v>
      </c>
    </row>
    <row r="72" spans="1:43" s="61" customFormat="1" ht="20.100000000000001" customHeight="1">
      <c r="A72" s="141" t="s">
        <v>27</v>
      </c>
      <c r="B72" s="143" t="s">
        <v>377</v>
      </c>
      <c r="C72" s="143" t="s">
        <v>334</v>
      </c>
      <c r="D72" s="144">
        <v>2</v>
      </c>
      <c r="E72" s="152">
        <v>2</v>
      </c>
      <c r="F72" s="152">
        <v>3</v>
      </c>
      <c r="G72" s="152">
        <v>30</v>
      </c>
      <c r="H72" s="152">
        <v>2</v>
      </c>
      <c r="I72" s="142">
        <f t="shared" si="56"/>
        <v>37</v>
      </c>
      <c r="J72" s="144"/>
      <c r="K72" s="144">
        <v>1</v>
      </c>
      <c r="L72" s="144">
        <v>4</v>
      </c>
      <c r="M72" s="144"/>
      <c r="N72" s="142">
        <f t="shared" si="57"/>
        <v>5</v>
      </c>
      <c r="O72" s="142">
        <f t="shared" ref="O72:R89" si="72">E72+J72</f>
        <v>2</v>
      </c>
      <c r="P72" s="142">
        <f t="shared" si="72"/>
        <v>4</v>
      </c>
      <c r="Q72" s="142">
        <f t="shared" si="72"/>
        <v>34</v>
      </c>
      <c r="R72" s="142">
        <f t="shared" si="72"/>
        <v>2</v>
      </c>
      <c r="S72" s="147">
        <f t="shared" si="58"/>
        <v>42</v>
      </c>
      <c r="T72" s="144">
        <v>0</v>
      </c>
      <c r="U72" s="144">
        <v>5</v>
      </c>
      <c r="V72" s="144">
        <v>33</v>
      </c>
      <c r="W72" s="144">
        <v>2</v>
      </c>
      <c r="X72" s="147">
        <f t="shared" si="59"/>
        <v>40</v>
      </c>
      <c r="Y72" s="144">
        <v>0</v>
      </c>
      <c r="Z72" s="144">
        <v>5</v>
      </c>
      <c r="AA72" s="144">
        <v>33</v>
      </c>
      <c r="AB72" s="144">
        <v>2</v>
      </c>
      <c r="AC72" s="142">
        <f t="shared" si="60"/>
        <v>40</v>
      </c>
      <c r="AD72" s="142">
        <f t="shared" ref="AD72:AD80" si="73">(Y72*6800+Z72*5950+AA72*5395+AB72*4500)*12</f>
        <v>2601420</v>
      </c>
      <c r="AE72" s="142">
        <f t="shared" si="61"/>
        <v>172800</v>
      </c>
      <c r="AF72" s="142">
        <f t="shared" si="62"/>
        <v>240000</v>
      </c>
      <c r="AG72" s="142">
        <f t="shared" si="63"/>
        <v>96000</v>
      </c>
      <c r="AH72" s="142">
        <f t="shared" ref="AH72:AH80" si="74">AC72*10000</f>
        <v>400000</v>
      </c>
      <c r="AI72" s="142">
        <f t="shared" si="64"/>
        <v>32000</v>
      </c>
      <c r="AJ72" s="142">
        <f t="shared" si="65"/>
        <v>20000</v>
      </c>
      <c r="AK72" s="142">
        <f t="shared" si="66"/>
        <v>27000</v>
      </c>
      <c r="AL72" s="142">
        <f t="shared" si="67"/>
        <v>38400</v>
      </c>
      <c r="AM72" s="142">
        <f t="shared" si="68"/>
        <v>1224633.6000000001</v>
      </c>
      <c r="AN72" s="142">
        <f t="shared" si="69"/>
        <v>4852253.5999999996</v>
      </c>
      <c r="AO72" s="150"/>
      <c r="AP72" s="142">
        <f>AN72+AO72</f>
        <v>4852253.5999999996</v>
      </c>
      <c r="AQ72" s="149">
        <f t="shared" si="70"/>
        <v>4763602.93</v>
      </c>
    </row>
    <row r="73" spans="1:43" ht="20.100000000000001" customHeight="1">
      <c r="A73" s="141" t="s">
        <v>27</v>
      </c>
      <c r="B73" s="143" t="s">
        <v>378</v>
      </c>
      <c r="C73" s="143" t="s">
        <v>334</v>
      </c>
      <c r="D73" s="144">
        <v>1</v>
      </c>
      <c r="E73" s="152">
        <v>0</v>
      </c>
      <c r="F73" s="152">
        <v>2</v>
      </c>
      <c r="G73" s="152">
        <v>18</v>
      </c>
      <c r="H73" s="152">
        <v>2</v>
      </c>
      <c r="I73" s="142">
        <f t="shared" si="56"/>
        <v>22</v>
      </c>
      <c r="J73" s="144"/>
      <c r="K73" s="144"/>
      <c r="L73" s="144"/>
      <c r="M73" s="144"/>
      <c r="N73" s="142">
        <f t="shared" si="57"/>
        <v>0</v>
      </c>
      <c r="O73" s="142">
        <f t="shared" si="72"/>
        <v>0</v>
      </c>
      <c r="P73" s="142">
        <f t="shared" si="72"/>
        <v>2</v>
      </c>
      <c r="Q73" s="142">
        <f t="shared" si="72"/>
        <v>18</v>
      </c>
      <c r="R73" s="142">
        <f t="shared" si="72"/>
        <v>2</v>
      </c>
      <c r="S73" s="147">
        <f t="shared" si="58"/>
        <v>22</v>
      </c>
      <c r="T73" s="144">
        <v>0</v>
      </c>
      <c r="U73" s="144">
        <v>3</v>
      </c>
      <c r="V73" s="144">
        <v>20</v>
      </c>
      <c r="W73" s="144">
        <v>1</v>
      </c>
      <c r="X73" s="147">
        <f t="shared" si="59"/>
        <v>24</v>
      </c>
      <c r="Y73" s="144">
        <v>0</v>
      </c>
      <c r="Z73" s="144">
        <v>2</v>
      </c>
      <c r="AA73" s="144">
        <v>18</v>
      </c>
      <c r="AB73" s="144">
        <v>2</v>
      </c>
      <c r="AC73" s="142">
        <f t="shared" si="60"/>
        <v>22</v>
      </c>
      <c r="AD73" s="142">
        <f t="shared" si="73"/>
        <v>1416120</v>
      </c>
      <c r="AE73" s="142">
        <f t="shared" si="61"/>
        <v>95040</v>
      </c>
      <c r="AF73" s="142">
        <f t="shared" si="62"/>
        <v>132000</v>
      </c>
      <c r="AG73" s="142">
        <f t="shared" si="63"/>
        <v>52800</v>
      </c>
      <c r="AH73" s="142">
        <f t="shared" si="74"/>
        <v>220000</v>
      </c>
      <c r="AI73" s="142">
        <f t="shared" si="64"/>
        <v>17600</v>
      </c>
      <c r="AJ73" s="142">
        <f t="shared" si="65"/>
        <v>10000</v>
      </c>
      <c r="AK73" s="142">
        <f t="shared" si="66"/>
        <v>14400</v>
      </c>
      <c r="AL73" s="142">
        <f t="shared" si="67"/>
        <v>21120</v>
      </c>
      <c r="AM73" s="142">
        <f t="shared" si="68"/>
        <v>673548.48</v>
      </c>
      <c r="AN73" s="142">
        <f t="shared" si="69"/>
        <v>2652628.48</v>
      </c>
      <c r="AO73" s="148"/>
      <c r="AP73" s="142">
        <f t="shared" ref="AP73:AP89" si="75">AN73+AO73</f>
        <v>2652628.48</v>
      </c>
      <c r="AQ73" s="149">
        <f t="shared" si="70"/>
        <v>2604164.96</v>
      </c>
    </row>
    <row r="74" spans="1:43" s="61" customFormat="1" ht="20.100000000000001" customHeight="1">
      <c r="A74" s="141" t="s">
        <v>27</v>
      </c>
      <c r="B74" s="143" t="s">
        <v>379</v>
      </c>
      <c r="C74" s="143" t="s">
        <v>334</v>
      </c>
      <c r="D74" s="144">
        <v>2</v>
      </c>
      <c r="E74" s="152">
        <v>0</v>
      </c>
      <c r="F74" s="152">
        <v>1</v>
      </c>
      <c r="G74" s="152">
        <v>21</v>
      </c>
      <c r="H74" s="152">
        <v>2</v>
      </c>
      <c r="I74" s="142">
        <f t="shared" si="56"/>
        <v>24</v>
      </c>
      <c r="J74" s="144"/>
      <c r="K74" s="144"/>
      <c r="L74" s="144"/>
      <c r="M74" s="144"/>
      <c r="N74" s="142">
        <f t="shared" si="57"/>
        <v>0</v>
      </c>
      <c r="O74" s="142">
        <f t="shared" si="72"/>
        <v>0</v>
      </c>
      <c r="P74" s="142">
        <f t="shared" si="72"/>
        <v>1</v>
      </c>
      <c r="Q74" s="142">
        <f t="shared" si="72"/>
        <v>21</v>
      </c>
      <c r="R74" s="142">
        <f t="shared" si="72"/>
        <v>2</v>
      </c>
      <c r="S74" s="147">
        <f t="shared" si="58"/>
        <v>24</v>
      </c>
      <c r="T74" s="144">
        <v>0</v>
      </c>
      <c r="U74" s="144">
        <v>1</v>
      </c>
      <c r="V74" s="144">
        <v>20</v>
      </c>
      <c r="W74" s="144">
        <v>2</v>
      </c>
      <c r="X74" s="147">
        <f t="shared" si="59"/>
        <v>23</v>
      </c>
      <c r="Y74" s="144">
        <v>0</v>
      </c>
      <c r="Z74" s="144">
        <v>1</v>
      </c>
      <c r="AA74" s="144">
        <v>20</v>
      </c>
      <c r="AB74" s="144">
        <v>2</v>
      </c>
      <c r="AC74" s="142">
        <f t="shared" si="60"/>
        <v>23</v>
      </c>
      <c r="AD74" s="142">
        <f t="shared" si="73"/>
        <v>1474200</v>
      </c>
      <c r="AE74" s="142">
        <f t="shared" si="61"/>
        <v>99360</v>
      </c>
      <c r="AF74" s="142">
        <f t="shared" si="62"/>
        <v>138000</v>
      </c>
      <c r="AG74" s="142">
        <f t="shared" si="63"/>
        <v>55200</v>
      </c>
      <c r="AH74" s="142">
        <f t="shared" si="74"/>
        <v>230000</v>
      </c>
      <c r="AI74" s="142">
        <f t="shared" si="64"/>
        <v>18400</v>
      </c>
      <c r="AJ74" s="142">
        <f t="shared" si="65"/>
        <v>20000</v>
      </c>
      <c r="AK74" s="142">
        <f t="shared" si="66"/>
        <v>14400</v>
      </c>
      <c r="AL74" s="142">
        <f t="shared" si="67"/>
        <v>22080</v>
      </c>
      <c r="AM74" s="142">
        <f t="shared" si="68"/>
        <v>704164.32</v>
      </c>
      <c r="AN74" s="142">
        <f t="shared" si="69"/>
        <v>2775804.32</v>
      </c>
      <c r="AO74" s="150"/>
      <c r="AP74" s="142">
        <f t="shared" si="75"/>
        <v>2775804.32</v>
      </c>
      <c r="AQ74" s="149">
        <f t="shared" si="70"/>
        <v>2725090.38</v>
      </c>
    </row>
    <row r="75" spans="1:43" s="61" customFormat="1" ht="20.100000000000001" customHeight="1">
      <c r="A75" s="141" t="s">
        <v>27</v>
      </c>
      <c r="B75" s="143" t="s">
        <v>380</v>
      </c>
      <c r="C75" s="143" t="s">
        <v>334</v>
      </c>
      <c r="D75" s="144">
        <v>2</v>
      </c>
      <c r="E75" s="152">
        <v>0</v>
      </c>
      <c r="F75" s="152">
        <v>0</v>
      </c>
      <c r="G75" s="152">
        <v>47</v>
      </c>
      <c r="H75" s="152">
        <v>3</v>
      </c>
      <c r="I75" s="142">
        <f t="shared" si="56"/>
        <v>50</v>
      </c>
      <c r="J75" s="144"/>
      <c r="K75" s="144"/>
      <c r="L75" s="144"/>
      <c r="M75" s="144"/>
      <c r="N75" s="142">
        <f t="shared" si="57"/>
        <v>0</v>
      </c>
      <c r="O75" s="142">
        <f t="shared" si="72"/>
        <v>0</v>
      </c>
      <c r="P75" s="142">
        <f t="shared" si="72"/>
        <v>0</v>
      </c>
      <c r="Q75" s="142">
        <f t="shared" si="72"/>
        <v>47</v>
      </c>
      <c r="R75" s="142">
        <f t="shared" si="72"/>
        <v>3</v>
      </c>
      <c r="S75" s="147">
        <f t="shared" si="58"/>
        <v>50</v>
      </c>
      <c r="T75" s="144">
        <v>0</v>
      </c>
      <c r="U75" s="144">
        <v>1</v>
      </c>
      <c r="V75" s="144">
        <v>21</v>
      </c>
      <c r="W75" s="144">
        <v>1</v>
      </c>
      <c r="X75" s="147">
        <f t="shared" si="59"/>
        <v>23</v>
      </c>
      <c r="Y75" s="144">
        <v>0</v>
      </c>
      <c r="Z75" s="144">
        <v>1</v>
      </c>
      <c r="AA75" s="144">
        <v>21</v>
      </c>
      <c r="AB75" s="144">
        <v>1</v>
      </c>
      <c r="AC75" s="142">
        <f t="shared" si="60"/>
        <v>23</v>
      </c>
      <c r="AD75" s="142">
        <f t="shared" si="73"/>
        <v>1484940</v>
      </c>
      <c r="AE75" s="142">
        <f t="shared" si="61"/>
        <v>99360</v>
      </c>
      <c r="AF75" s="142">
        <f t="shared" si="62"/>
        <v>138000</v>
      </c>
      <c r="AG75" s="142">
        <f t="shared" si="63"/>
        <v>55200</v>
      </c>
      <c r="AH75" s="142">
        <f t="shared" si="74"/>
        <v>230000</v>
      </c>
      <c r="AI75" s="142">
        <f t="shared" si="64"/>
        <v>18400</v>
      </c>
      <c r="AJ75" s="142">
        <f t="shared" si="65"/>
        <v>20000</v>
      </c>
      <c r="AK75" s="142">
        <f t="shared" si="66"/>
        <v>14400</v>
      </c>
      <c r="AL75" s="142">
        <f t="shared" si="67"/>
        <v>22080</v>
      </c>
      <c r="AM75" s="142">
        <f t="shared" si="68"/>
        <v>704164.32</v>
      </c>
      <c r="AN75" s="142">
        <f t="shared" si="69"/>
        <v>2786544.32</v>
      </c>
      <c r="AO75" s="150"/>
      <c r="AP75" s="142">
        <f t="shared" si="75"/>
        <v>2786544.32</v>
      </c>
      <c r="AQ75" s="149">
        <f t="shared" si="70"/>
        <v>2735634.16</v>
      </c>
    </row>
    <row r="76" spans="1:43" ht="20.100000000000001" customHeight="1">
      <c r="A76" s="141" t="s">
        <v>27</v>
      </c>
      <c r="B76" s="143" t="s">
        <v>83</v>
      </c>
      <c r="C76" s="143" t="s">
        <v>37</v>
      </c>
      <c r="D76" s="144"/>
      <c r="E76" s="152">
        <v>0</v>
      </c>
      <c r="F76" s="152">
        <v>1</v>
      </c>
      <c r="G76" s="152">
        <v>20</v>
      </c>
      <c r="H76" s="152">
        <v>1</v>
      </c>
      <c r="I76" s="142">
        <f t="shared" si="56"/>
        <v>22</v>
      </c>
      <c r="J76" s="144"/>
      <c r="K76" s="144"/>
      <c r="L76" s="144"/>
      <c r="M76" s="144"/>
      <c r="N76" s="142">
        <f t="shared" si="57"/>
        <v>0</v>
      </c>
      <c r="O76" s="142">
        <f t="shared" si="72"/>
        <v>0</v>
      </c>
      <c r="P76" s="142">
        <f t="shared" si="72"/>
        <v>1</v>
      </c>
      <c r="Q76" s="142">
        <f t="shared" si="72"/>
        <v>20</v>
      </c>
      <c r="R76" s="142">
        <f t="shared" si="72"/>
        <v>1</v>
      </c>
      <c r="S76" s="147">
        <f t="shared" si="58"/>
        <v>22</v>
      </c>
      <c r="T76" s="144">
        <v>7</v>
      </c>
      <c r="U76" s="144">
        <v>3</v>
      </c>
      <c r="V76" s="144">
        <v>0</v>
      </c>
      <c r="W76" s="144">
        <v>9</v>
      </c>
      <c r="X76" s="147">
        <f t="shared" si="59"/>
        <v>19</v>
      </c>
      <c r="Y76" s="144">
        <v>7</v>
      </c>
      <c r="Z76" s="144">
        <v>3</v>
      </c>
      <c r="AA76" s="144">
        <v>0</v>
      </c>
      <c r="AB76" s="144">
        <v>9</v>
      </c>
      <c r="AC76" s="142">
        <f t="shared" si="60"/>
        <v>19</v>
      </c>
      <c r="AD76" s="142">
        <f t="shared" si="73"/>
        <v>1271400</v>
      </c>
      <c r="AE76" s="142">
        <f t="shared" si="61"/>
        <v>82080</v>
      </c>
      <c r="AF76" s="142">
        <f t="shared" si="62"/>
        <v>114000</v>
      </c>
      <c r="AG76" s="142">
        <f t="shared" si="63"/>
        <v>45600</v>
      </c>
      <c r="AH76" s="142">
        <f t="shared" si="74"/>
        <v>190000</v>
      </c>
      <c r="AI76" s="142">
        <f t="shared" si="64"/>
        <v>15200</v>
      </c>
      <c r="AJ76" s="142">
        <f t="shared" si="65"/>
        <v>0</v>
      </c>
      <c r="AK76" s="142">
        <f t="shared" si="66"/>
        <v>17400</v>
      </c>
      <c r="AL76" s="142">
        <f t="shared" si="67"/>
        <v>18240</v>
      </c>
      <c r="AM76" s="142">
        <f t="shared" si="68"/>
        <v>581700.96</v>
      </c>
      <c r="AN76" s="142">
        <f t="shared" si="69"/>
        <v>2335620.96</v>
      </c>
      <c r="AO76" s="148">
        <v>48195</v>
      </c>
      <c r="AP76" s="150">
        <f t="shared" si="75"/>
        <v>2383815.96</v>
      </c>
      <c r="AQ76" s="149">
        <f t="shared" si="70"/>
        <v>2341144.17</v>
      </c>
    </row>
    <row r="77" spans="1:43" ht="20.100000000000001" customHeight="1">
      <c r="A77" s="141" t="s">
        <v>27</v>
      </c>
      <c r="B77" s="143" t="s">
        <v>80</v>
      </c>
      <c r="C77" s="143" t="s">
        <v>37</v>
      </c>
      <c r="D77" s="144"/>
      <c r="E77" s="152">
        <v>28</v>
      </c>
      <c r="F77" s="152">
        <v>14</v>
      </c>
      <c r="G77" s="152">
        <v>0</v>
      </c>
      <c r="H77" s="152">
        <v>8</v>
      </c>
      <c r="I77" s="142">
        <f t="shared" si="56"/>
        <v>50</v>
      </c>
      <c r="J77" s="144"/>
      <c r="K77" s="144"/>
      <c r="L77" s="144"/>
      <c r="M77" s="144"/>
      <c r="N77" s="142">
        <f t="shared" si="57"/>
        <v>0</v>
      </c>
      <c r="O77" s="142">
        <f t="shared" si="72"/>
        <v>28</v>
      </c>
      <c r="P77" s="142">
        <f t="shared" si="72"/>
        <v>14</v>
      </c>
      <c r="Q77" s="142">
        <f t="shared" si="72"/>
        <v>0</v>
      </c>
      <c r="R77" s="142">
        <f t="shared" si="72"/>
        <v>8</v>
      </c>
      <c r="S77" s="147">
        <f t="shared" si="58"/>
        <v>50</v>
      </c>
      <c r="T77" s="144">
        <v>5</v>
      </c>
      <c r="U77" s="144">
        <v>2</v>
      </c>
      <c r="V77" s="144">
        <v>0</v>
      </c>
      <c r="W77" s="144">
        <v>4</v>
      </c>
      <c r="X77" s="147">
        <f t="shared" si="59"/>
        <v>11</v>
      </c>
      <c r="Y77" s="144">
        <v>5</v>
      </c>
      <c r="Z77" s="144">
        <v>2</v>
      </c>
      <c r="AA77" s="144">
        <v>0</v>
      </c>
      <c r="AB77" s="144">
        <v>4</v>
      </c>
      <c r="AC77" s="142">
        <f t="shared" si="60"/>
        <v>11</v>
      </c>
      <c r="AD77" s="142">
        <f t="shared" si="73"/>
        <v>766800</v>
      </c>
      <c r="AE77" s="142">
        <f t="shared" si="61"/>
        <v>47520</v>
      </c>
      <c r="AF77" s="142">
        <f t="shared" si="62"/>
        <v>66000</v>
      </c>
      <c r="AG77" s="142">
        <f t="shared" si="63"/>
        <v>26400</v>
      </c>
      <c r="AH77" s="142">
        <f t="shared" si="74"/>
        <v>110000</v>
      </c>
      <c r="AI77" s="142">
        <f t="shared" si="64"/>
        <v>8800</v>
      </c>
      <c r="AJ77" s="142">
        <f t="shared" si="65"/>
        <v>0</v>
      </c>
      <c r="AK77" s="142">
        <f t="shared" si="66"/>
        <v>10800</v>
      </c>
      <c r="AL77" s="142">
        <f t="shared" si="67"/>
        <v>10560</v>
      </c>
      <c r="AM77" s="142">
        <f t="shared" si="68"/>
        <v>336774.24</v>
      </c>
      <c r="AN77" s="142">
        <f t="shared" si="69"/>
        <v>1383654.24</v>
      </c>
      <c r="AO77" s="148">
        <v>32133.5</v>
      </c>
      <c r="AP77" s="150">
        <f t="shared" si="75"/>
        <v>1415787.74</v>
      </c>
      <c r="AQ77" s="149">
        <f t="shared" si="70"/>
        <v>1390508.38</v>
      </c>
    </row>
    <row r="78" spans="1:43" ht="20.100000000000001" customHeight="1">
      <c r="A78" s="141" t="s">
        <v>27</v>
      </c>
      <c r="B78" s="143" t="s">
        <v>381</v>
      </c>
      <c r="C78" s="143" t="s">
        <v>37</v>
      </c>
      <c r="D78" s="144"/>
      <c r="E78" s="152">
        <v>0</v>
      </c>
      <c r="F78" s="152">
        <v>8</v>
      </c>
      <c r="G78" s="152">
        <v>0</v>
      </c>
      <c r="H78" s="152">
        <v>5</v>
      </c>
      <c r="I78" s="142">
        <f t="shared" si="56"/>
        <v>13</v>
      </c>
      <c r="J78" s="144"/>
      <c r="K78" s="144"/>
      <c r="L78" s="144"/>
      <c r="M78" s="144"/>
      <c r="N78" s="142">
        <f t="shared" si="57"/>
        <v>0</v>
      </c>
      <c r="O78" s="142">
        <f t="shared" si="72"/>
        <v>0</v>
      </c>
      <c r="P78" s="142">
        <f t="shared" si="72"/>
        <v>8</v>
      </c>
      <c r="Q78" s="142">
        <f t="shared" si="72"/>
        <v>0</v>
      </c>
      <c r="R78" s="142">
        <f t="shared" si="72"/>
        <v>5</v>
      </c>
      <c r="S78" s="147">
        <f t="shared" si="58"/>
        <v>13</v>
      </c>
      <c r="T78" s="144">
        <v>5</v>
      </c>
      <c r="U78" s="144">
        <v>9</v>
      </c>
      <c r="V78" s="144">
        <v>0</v>
      </c>
      <c r="W78" s="144">
        <v>8</v>
      </c>
      <c r="X78" s="147">
        <f t="shared" si="59"/>
        <v>22</v>
      </c>
      <c r="Y78" s="144">
        <v>0</v>
      </c>
      <c r="Z78" s="144">
        <v>8</v>
      </c>
      <c r="AA78" s="144">
        <v>0</v>
      </c>
      <c r="AB78" s="144">
        <v>5</v>
      </c>
      <c r="AC78" s="142">
        <f t="shared" si="60"/>
        <v>13</v>
      </c>
      <c r="AD78" s="142">
        <f t="shared" si="73"/>
        <v>841200</v>
      </c>
      <c r="AE78" s="142">
        <f t="shared" si="61"/>
        <v>56160</v>
      </c>
      <c r="AF78" s="142">
        <f t="shared" si="62"/>
        <v>78000</v>
      </c>
      <c r="AG78" s="142">
        <f t="shared" si="63"/>
        <v>31200</v>
      </c>
      <c r="AH78" s="142">
        <f t="shared" si="74"/>
        <v>130000</v>
      </c>
      <c r="AI78" s="142">
        <f t="shared" si="64"/>
        <v>10400</v>
      </c>
      <c r="AJ78" s="142">
        <f t="shared" si="65"/>
        <v>0</v>
      </c>
      <c r="AK78" s="142">
        <f t="shared" si="66"/>
        <v>12600</v>
      </c>
      <c r="AL78" s="142">
        <f t="shared" si="67"/>
        <v>12480</v>
      </c>
      <c r="AM78" s="142">
        <f t="shared" si="68"/>
        <v>398005.92</v>
      </c>
      <c r="AN78" s="142">
        <f t="shared" si="69"/>
        <v>1570045.92</v>
      </c>
      <c r="AO78" s="148">
        <v>32708</v>
      </c>
      <c r="AP78" s="150">
        <f t="shared" si="75"/>
        <v>1602753.92</v>
      </c>
      <c r="AQ78" s="149">
        <f t="shared" si="70"/>
        <v>1574069.18</v>
      </c>
    </row>
    <row r="79" spans="1:43" ht="20.100000000000001" customHeight="1">
      <c r="A79" s="141" t="s">
        <v>27</v>
      </c>
      <c r="B79" s="143" t="s">
        <v>82</v>
      </c>
      <c r="C79" s="143" t="s">
        <v>37</v>
      </c>
      <c r="D79" s="144"/>
      <c r="E79" s="152">
        <v>17</v>
      </c>
      <c r="F79" s="152">
        <v>14</v>
      </c>
      <c r="G79" s="152">
        <v>0</v>
      </c>
      <c r="H79" s="152">
        <v>8</v>
      </c>
      <c r="I79" s="142">
        <f t="shared" si="56"/>
        <v>39</v>
      </c>
      <c r="J79" s="144"/>
      <c r="K79" s="144"/>
      <c r="L79" s="144"/>
      <c r="M79" s="144"/>
      <c r="N79" s="142">
        <f t="shared" si="57"/>
        <v>0</v>
      </c>
      <c r="O79" s="142">
        <f t="shared" si="72"/>
        <v>17</v>
      </c>
      <c r="P79" s="142">
        <f t="shared" si="72"/>
        <v>14</v>
      </c>
      <c r="Q79" s="142">
        <f t="shared" si="72"/>
        <v>0</v>
      </c>
      <c r="R79" s="142">
        <f t="shared" si="72"/>
        <v>8</v>
      </c>
      <c r="S79" s="147">
        <f t="shared" si="58"/>
        <v>39</v>
      </c>
      <c r="T79" s="144">
        <v>7</v>
      </c>
      <c r="U79" s="144">
        <v>12</v>
      </c>
      <c r="V79" s="144">
        <v>0</v>
      </c>
      <c r="W79" s="144">
        <v>17</v>
      </c>
      <c r="X79" s="147">
        <f t="shared" si="59"/>
        <v>36</v>
      </c>
      <c r="Y79" s="144">
        <v>7</v>
      </c>
      <c r="Z79" s="144">
        <v>12</v>
      </c>
      <c r="AA79" s="144">
        <v>0</v>
      </c>
      <c r="AB79" s="144">
        <v>17</v>
      </c>
      <c r="AC79" s="142">
        <f t="shared" si="60"/>
        <v>36</v>
      </c>
      <c r="AD79" s="142">
        <f t="shared" si="73"/>
        <v>2346000</v>
      </c>
      <c r="AE79" s="142">
        <f t="shared" si="61"/>
        <v>155520</v>
      </c>
      <c r="AF79" s="142">
        <f t="shared" si="62"/>
        <v>216000</v>
      </c>
      <c r="AG79" s="142">
        <f t="shared" si="63"/>
        <v>86400</v>
      </c>
      <c r="AH79" s="142">
        <f t="shared" si="74"/>
        <v>360000</v>
      </c>
      <c r="AI79" s="142">
        <f t="shared" si="64"/>
        <v>28800</v>
      </c>
      <c r="AJ79" s="142">
        <f t="shared" si="65"/>
        <v>0</v>
      </c>
      <c r="AK79" s="142">
        <f t="shared" si="66"/>
        <v>33000</v>
      </c>
      <c r="AL79" s="142">
        <f t="shared" si="67"/>
        <v>34560</v>
      </c>
      <c r="AM79" s="142">
        <f t="shared" si="68"/>
        <v>1102170.24</v>
      </c>
      <c r="AN79" s="142">
        <f t="shared" si="69"/>
        <v>4362450.24</v>
      </c>
      <c r="AO79" s="148">
        <v>67174.5</v>
      </c>
      <c r="AP79" s="150">
        <f t="shared" si="75"/>
        <v>4429624.74</v>
      </c>
      <c r="AQ79" s="149">
        <f t="shared" si="70"/>
        <v>4349922.7699999996</v>
      </c>
    </row>
    <row r="80" spans="1:43" s="61" customFormat="1" ht="20.100000000000001" customHeight="1">
      <c r="A80" s="141" t="s">
        <v>27</v>
      </c>
      <c r="B80" s="143" t="s">
        <v>382</v>
      </c>
      <c r="C80" s="143" t="s">
        <v>37</v>
      </c>
      <c r="D80" s="144"/>
      <c r="E80" s="152">
        <v>45</v>
      </c>
      <c r="F80" s="152">
        <v>36</v>
      </c>
      <c r="G80" s="152">
        <v>0</v>
      </c>
      <c r="H80" s="152">
        <v>24</v>
      </c>
      <c r="I80" s="142">
        <f t="shared" si="56"/>
        <v>105</v>
      </c>
      <c r="J80" s="144"/>
      <c r="K80" s="144"/>
      <c r="L80" s="144"/>
      <c r="M80" s="144"/>
      <c r="N80" s="142">
        <f t="shared" si="57"/>
        <v>0</v>
      </c>
      <c r="O80" s="142">
        <f t="shared" si="72"/>
        <v>45</v>
      </c>
      <c r="P80" s="142">
        <f t="shared" si="72"/>
        <v>36</v>
      </c>
      <c r="Q80" s="142">
        <f t="shared" si="72"/>
        <v>0</v>
      </c>
      <c r="R80" s="142">
        <f t="shared" si="72"/>
        <v>24</v>
      </c>
      <c r="S80" s="147">
        <f t="shared" si="58"/>
        <v>105</v>
      </c>
      <c r="T80" s="144">
        <v>2</v>
      </c>
      <c r="U80" s="144">
        <v>4</v>
      </c>
      <c r="V80" s="144">
        <v>0</v>
      </c>
      <c r="W80" s="144">
        <v>5</v>
      </c>
      <c r="X80" s="147">
        <f t="shared" si="59"/>
        <v>11</v>
      </c>
      <c r="Y80" s="144">
        <v>2</v>
      </c>
      <c r="Z80" s="144">
        <v>4</v>
      </c>
      <c r="AA80" s="144">
        <v>0</v>
      </c>
      <c r="AB80" s="144">
        <v>5</v>
      </c>
      <c r="AC80" s="142">
        <f t="shared" si="60"/>
        <v>11</v>
      </c>
      <c r="AD80" s="142">
        <f t="shared" si="73"/>
        <v>718800</v>
      </c>
      <c r="AE80" s="142">
        <f t="shared" si="61"/>
        <v>47520</v>
      </c>
      <c r="AF80" s="142">
        <f t="shared" si="62"/>
        <v>66000</v>
      </c>
      <c r="AG80" s="142">
        <f t="shared" si="63"/>
        <v>26400</v>
      </c>
      <c r="AH80" s="142">
        <f t="shared" si="74"/>
        <v>110000</v>
      </c>
      <c r="AI80" s="142">
        <f t="shared" si="64"/>
        <v>8800</v>
      </c>
      <c r="AJ80" s="142">
        <f t="shared" si="65"/>
        <v>0</v>
      </c>
      <c r="AK80" s="142">
        <f t="shared" si="66"/>
        <v>10200</v>
      </c>
      <c r="AL80" s="142">
        <f t="shared" si="67"/>
        <v>10560</v>
      </c>
      <c r="AM80" s="142">
        <f t="shared" si="68"/>
        <v>336774.24</v>
      </c>
      <c r="AN80" s="142">
        <f t="shared" si="69"/>
        <v>1335054.24</v>
      </c>
      <c r="AO80" s="150">
        <v>17531.5</v>
      </c>
      <c r="AP80" s="150">
        <f t="shared" si="75"/>
        <v>1352585.74</v>
      </c>
      <c r="AQ80" s="149">
        <f t="shared" si="70"/>
        <v>1328194.3</v>
      </c>
    </row>
    <row r="81" spans="1:45" ht="20.100000000000001" customHeight="1">
      <c r="A81" s="141" t="s">
        <v>27</v>
      </c>
      <c r="B81" s="143" t="s">
        <v>87</v>
      </c>
      <c r="C81" s="143" t="s">
        <v>66</v>
      </c>
      <c r="D81" s="144"/>
      <c r="E81" s="152">
        <v>0</v>
      </c>
      <c r="F81" s="152">
        <v>8</v>
      </c>
      <c r="G81" s="152">
        <v>0</v>
      </c>
      <c r="H81" s="152">
        <v>5</v>
      </c>
      <c r="I81" s="142">
        <f t="shared" si="56"/>
        <v>13</v>
      </c>
      <c r="J81" s="144">
        <v>2</v>
      </c>
      <c r="K81" s="144"/>
      <c r="L81" s="144"/>
      <c r="M81" s="144"/>
      <c r="N81" s="142">
        <f t="shared" si="57"/>
        <v>2</v>
      </c>
      <c r="O81" s="142">
        <f t="shared" si="72"/>
        <v>2</v>
      </c>
      <c r="P81" s="142">
        <f t="shared" si="72"/>
        <v>8</v>
      </c>
      <c r="Q81" s="142">
        <f t="shared" si="72"/>
        <v>0</v>
      </c>
      <c r="R81" s="142">
        <f t="shared" si="72"/>
        <v>5</v>
      </c>
      <c r="S81" s="147">
        <f t="shared" si="58"/>
        <v>15</v>
      </c>
      <c r="T81" s="144">
        <v>4</v>
      </c>
      <c r="U81" s="144">
        <v>8</v>
      </c>
      <c r="V81" s="144">
        <v>2</v>
      </c>
      <c r="W81" s="144">
        <v>7</v>
      </c>
      <c r="X81" s="147">
        <f t="shared" si="59"/>
        <v>21</v>
      </c>
      <c r="Y81" s="144">
        <v>2</v>
      </c>
      <c r="Z81" s="144">
        <v>8</v>
      </c>
      <c r="AA81" s="144">
        <v>0</v>
      </c>
      <c r="AB81" s="144">
        <v>5</v>
      </c>
      <c r="AC81" s="142">
        <f t="shared" si="60"/>
        <v>15</v>
      </c>
      <c r="AD81" s="142">
        <f t="shared" ref="AD81:AD84" si="76">(Y81*7700+Z81*5950+AA81*5395+AB81*4500)*12</f>
        <v>1026000</v>
      </c>
      <c r="AE81" s="142">
        <f t="shared" si="61"/>
        <v>64800</v>
      </c>
      <c r="AF81" s="142">
        <f t="shared" si="62"/>
        <v>90000</v>
      </c>
      <c r="AG81" s="142">
        <f t="shared" si="63"/>
        <v>36000</v>
      </c>
      <c r="AH81" s="142">
        <f t="shared" ref="AH81:AH84" si="77">(Y81*16000)+(Z81*10000+AA81*10000+AB81*10000)</f>
        <v>162000</v>
      </c>
      <c r="AI81" s="142">
        <f t="shared" si="64"/>
        <v>12000</v>
      </c>
      <c r="AJ81" s="142">
        <f t="shared" si="65"/>
        <v>0</v>
      </c>
      <c r="AK81" s="142">
        <f t="shared" si="66"/>
        <v>15000</v>
      </c>
      <c r="AL81" s="142">
        <f t="shared" si="67"/>
        <v>14400</v>
      </c>
      <c r="AM81" s="142">
        <f t="shared" si="68"/>
        <v>459237.6</v>
      </c>
      <c r="AN81" s="142">
        <f t="shared" si="69"/>
        <v>1879437.6</v>
      </c>
      <c r="AO81" s="148">
        <v>19966.5</v>
      </c>
      <c r="AP81" s="150">
        <f t="shared" si="75"/>
        <v>1899404.1</v>
      </c>
      <c r="AQ81" s="149">
        <f t="shared" si="70"/>
        <v>1865066.78</v>
      </c>
    </row>
    <row r="82" spans="1:45" s="61" customFormat="1" ht="20.100000000000001" customHeight="1">
      <c r="A82" s="141" t="s">
        <v>27</v>
      </c>
      <c r="B82" s="143" t="s">
        <v>383</v>
      </c>
      <c r="C82" s="143" t="s">
        <v>66</v>
      </c>
      <c r="D82" s="144"/>
      <c r="E82" s="152">
        <v>22</v>
      </c>
      <c r="F82" s="152">
        <v>11</v>
      </c>
      <c r="G82" s="152">
        <v>0</v>
      </c>
      <c r="H82" s="152">
        <v>6</v>
      </c>
      <c r="I82" s="142">
        <f t="shared" si="56"/>
        <v>39</v>
      </c>
      <c r="J82" s="144"/>
      <c r="K82" s="144"/>
      <c r="L82" s="144"/>
      <c r="M82" s="144">
        <v>1</v>
      </c>
      <c r="N82" s="142">
        <f t="shared" si="57"/>
        <v>1</v>
      </c>
      <c r="O82" s="142">
        <f t="shared" si="72"/>
        <v>22</v>
      </c>
      <c r="P82" s="142">
        <f t="shared" si="72"/>
        <v>11</v>
      </c>
      <c r="Q82" s="142">
        <f t="shared" si="72"/>
        <v>0</v>
      </c>
      <c r="R82" s="142">
        <f t="shared" si="72"/>
        <v>7</v>
      </c>
      <c r="S82" s="147">
        <f t="shared" si="58"/>
        <v>40</v>
      </c>
      <c r="T82" s="144">
        <v>0</v>
      </c>
      <c r="U82" s="144">
        <v>14</v>
      </c>
      <c r="V82" s="144">
        <v>0</v>
      </c>
      <c r="W82" s="144">
        <v>9</v>
      </c>
      <c r="X82" s="147">
        <f t="shared" si="59"/>
        <v>23</v>
      </c>
      <c r="Y82" s="144">
        <v>0</v>
      </c>
      <c r="Z82" s="144">
        <v>14</v>
      </c>
      <c r="AA82" s="144">
        <v>0</v>
      </c>
      <c r="AB82" s="144">
        <v>9</v>
      </c>
      <c r="AC82" s="142">
        <f t="shared" si="60"/>
        <v>23</v>
      </c>
      <c r="AD82" s="142">
        <f t="shared" si="76"/>
        <v>1485600</v>
      </c>
      <c r="AE82" s="142">
        <f t="shared" si="61"/>
        <v>99360</v>
      </c>
      <c r="AF82" s="142">
        <f t="shared" si="62"/>
        <v>138000</v>
      </c>
      <c r="AG82" s="142">
        <f t="shared" si="63"/>
        <v>55200</v>
      </c>
      <c r="AH82" s="142">
        <f t="shared" si="77"/>
        <v>230000</v>
      </c>
      <c r="AI82" s="142">
        <f t="shared" si="64"/>
        <v>18400</v>
      </c>
      <c r="AJ82" s="142">
        <f t="shared" si="65"/>
        <v>0</v>
      </c>
      <c r="AK82" s="142">
        <f t="shared" si="66"/>
        <v>22200</v>
      </c>
      <c r="AL82" s="142">
        <f t="shared" si="67"/>
        <v>22080</v>
      </c>
      <c r="AM82" s="142">
        <f t="shared" si="68"/>
        <v>704164.32</v>
      </c>
      <c r="AN82" s="142">
        <f t="shared" si="69"/>
        <v>2775004.32</v>
      </c>
      <c r="AO82" s="150"/>
      <c r="AP82" s="150">
        <f t="shared" si="75"/>
        <v>2775004.32</v>
      </c>
      <c r="AQ82" s="149">
        <f t="shared" si="70"/>
        <v>2724304.99</v>
      </c>
    </row>
    <row r="83" spans="1:45" ht="20.100000000000001" customHeight="1">
      <c r="A83" s="141" t="s">
        <v>27</v>
      </c>
      <c r="B83" s="143" t="s">
        <v>384</v>
      </c>
      <c r="C83" s="143" t="s">
        <v>66</v>
      </c>
      <c r="D83" s="144"/>
      <c r="E83" s="152">
        <v>35</v>
      </c>
      <c r="F83" s="152">
        <v>10</v>
      </c>
      <c r="G83" s="152">
        <v>0</v>
      </c>
      <c r="H83" s="152">
        <v>9</v>
      </c>
      <c r="I83" s="142">
        <f t="shared" si="56"/>
        <v>54</v>
      </c>
      <c r="J83" s="144">
        <v>2</v>
      </c>
      <c r="K83" s="144">
        <v>2</v>
      </c>
      <c r="L83" s="144"/>
      <c r="M83" s="144"/>
      <c r="N83" s="142">
        <f t="shared" si="57"/>
        <v>4</v>
      </c>
      <c r="O83" s="142">
        <f t="shared" si="72"/>
        <v>37</v>
      </c>
      <c r="P83" s="142">
        <f t="shared" si="72"/>
        <v>12</v>
      </c>
      <c r="Q83" s="142">
        <f t="shared" si="72"/>
        <v>0</v>
      </c>
      <c r="R83" s="142">
        <f t="shared" si="72"/>
        <v>9</v>
      </c>
      <c r="S83" s="147">
        <f t="shared" si="58"/>
        <v>58</v>
      </c>
      <c r="T83" s="144">
        <v>10</v>
      </c>
      <c r="U83" s="144">
        <v>16</v>
      </c>
      <c r="V83" s="144">
        <v>0</v>
      </c>
      <c r="W83" s="144">
        <v>13</v>
      </c>
      <c r="X83" s="147">
        <f t="shared" si="59"/>
        <v>39</v>
      </c>
      <c r="Y83" s="144">
        <v>10</v>
      </c>
      <c r="Z83" s="144">
        <v>16</v>
      </c>
      <c r="AA83" s="144">
        <v>0</v>
      </c>
      <c r="AB83" s="144">
        <v>13</v>
      </c>
      <c r="AC83" s="142">
        <f t="shared" si="60"/>
        <v>39</v>
      </c>
      <c r="AD83" s="142">
        <f t="shared" si="76"/>
        <v>2768400</v>
      </c>
      <c r="AE83" s="142">
        <f t="shared" si="61"/>
        <v>168480</v>
      </c>
      <c r="AF83" s="142">
        <f t="shared" si="62"/>
        <v>234000</v>
      </c>
      <c r="AG83" s="142">
        <f t="shared" si="63"/>
        <v>93600</v>
      </c>
      <c r="AH83" s="142">
        <f t="shared" si="77"/>
        <v>450000</v>
      </c>
      <c r="AI83" s="142">
        <f t="shared" si="64"/>
        <v>31200</v>
      </c>
      <c r="AJ83" s="142">
        <f t="shared" si="65"/>
        <v>0</v>
      </c>
      <c r="AK83" s="142">
        <f t="shared" si="66"/>
        <v>39000</v>
      </c>
      <c r="AL83" s="142">
        <f t="shared" si="67"/>
        <v>37440</v>
      </c>
      <c r="AM83" s="142">
        <f t="shared" si="68"/>
        <v>1194017.76</v>
      </c>
      <c r="AN83" s="142">
        <f t="shared" si="69"/>
        <v>5016137.76</v>
      </c>
      <c r="AO83" s="148">
        <v>76245</v>
      </c>
      <c r="AP83" s="150">
        <f t="shared" si="75"/>
        <v>5092382.76</v>
      </c>
      <c r="AQ83" s="149">
        <f t="shared" si="70"/>
        <v>5000737.92</v>
      </c>
    </row>
    <row r="84" spans="1:45" ht="20.100000000000001" customHeight="1">
      <c r="A84" s="141" t="s">
        <v>27</v>
      </c>
      <c r="B84" s="143" t="s">
        <v>85</v>
      </c>
      <c r="C84" s="143" t="s">
        <v>66</v>
      </c>
      <c r="D84" s="144"/>
      <c r="E84" s="152">
        <v>44</v>
      </c>
      <c r="F84" s="152">
        <v>28</v>
      </c>
      <c r="G84" s="152">
        <v>0</v>
      </c>
      <c r="H84" s="152">
        <v>18</v>
      </c>
      <c r="I84" s="142">
        <f t="shared" si="56"/>
        <v>90</v>
      </c>
      <c r="J84" s="144"/>
      <c r="K84" s="144"/>
      <c r="L84" s="144"/>
      <c r="M84" s="144"/>
      <c r="N84" s="142">
        <f t="shared" si="57"/>
        <v>0</v>
      </c>
      <c r="O84" s="142">
        <f t="shared" si="72"/>
        <v>44</v>
      </c>
      <c r="P84" s="142">
        <f t="shared" si="72"/>
        <v>28</v>
      </c>
      <c r="Q84" s="142">
        <f t="shared" si="72"/>
        <v>0</v>
      </c>
      <c r="R84" s="142">
        <f t="shared" si="72"/>
        <v>18</v>
      </c>
      <c r="S84" s="147">
        <f t="shared" si="58"/>
        <v>90</v>
      </c>
      <c r="T84" s="144">
        <v>1</v>
      </c>
      <c r="U84" s="144">
        <v>7</v>
      </c>
      <c r="V84" s="144">
        <v>0</v>
      </c>
      <c r="W84" s="144">
        <v>9</v>
      </c>
      <c r="X84" s="147">
        <f t="shared" si="59"/>
        <v>17</v>
      </c>
      <c r="Y84" s="144">
        <v>1</v>
      </c>
      <c r="Z84" s="144">
        <v>7</v>
      </c>
      <c r="AA84" s="144">
        <v>0</v>
      </c>
      <c r="AB84" s="144">
        <v>9</v>
      </c>
      <c r="AC84" s="142">
        <f t="shared" si="60"/>
        <v>17</v>
      </c>
      <c r="AD84" s="142">
        <f t="shared" si="76"/>
        <v>1078200</v>
      </c>
      <c r="AE84" s="142">
        <f t="shared" si="61"/>
        <v>73440</v>
      </c>
      <c r="AF84" s="142">
        <f t="shared" si="62"/>
        <v>102000</v>
      </c>
      <c r="AG84" s="142">
        <f t="shared" si="63"/>
        <v>40800</v>
      </c>
      <c r="AH84" s="142">
        <f t="shared" si="77"/>
        <v>176000</v>
      </c>
      <c r="AI84" s="142">
        <f t="shared" si="64"/>
        <v>13600</v>
      </c>
      <c r="AJ84" s="142">
        <f t="shared" si="65"/>
        <v>0</v>
      </c>
      <c r="AK84" s="142">
        <f t="shared" si="66"/>
        <v>15000</v>
      </c>
      <c r="AL84" s="142">
        <f t="shared" si="67"/>
        <v>16320</v>
      </c>
      <c r="AM84" s="142">
        <f t="shared" si="68"/>
        <v>520469.28</v>
      </c>
      <c r="AN84" s="142">
        <f t="shared" si="69"/>
        <v>2035829.28</v>
      </c>
      <c r="AO84" s="148">
        <v>27030</v>
      </c>
      <c r="AP84" s="150">
        <f t="shared" si="75"/>
        <v>2062859.28</v>
      </c>
      <c r="AQ84" s="149">
        <f t="shared" si="70"/>
        <v>2025664.68</v>
      </c>
    </row>
    <row r="85" spans="1:45" s="61" customFormat="1" ht="20.100000000000001" customHeight="1">
      <c r="A85" s="141" t="s">
        <v>27</v>
      </c>
      <c r="B85" s="143" t="s">
        <v>385</v>
      </c>
      <c r="C85" s="143" t="s">
        <v>334</v>
      </c>
      <c r="D85" s="144">
        <v>1</v>
      </c>
      <c r="E85" s="152">
        <v>20</v>
      </c>
      <c r="F85" s="152">
        <v>11</v>
      </c>
      <c r="G85" s="152">
        <v>0</v>
      </c>
      <c r="H85" s="152">
        <v>6</v>
      </c>
      <c r="I85" s="142">
        <f t="shared" si="56"/>
        <v>37</v>
      </c>
      <c r="J85" s="144"/>
      <c r="K85" s="144"/>
      <c r="L85" s="144">
        <v>2</v>
      </c>
      <c r="M85" s="144">
        <v>1</v>
      </c>
      <c r="N85" s="142">
        <f t="shared" si="57"/>
        <v>3</v>
      </c>
      <c r="O85" s="142">
        <f t="shared" si="72"/>
        <v>20</v>
      </c>
      <c r="P85" s="142">
        <f t="shared" si="72"/>
        <v>11</v>
      </c>
      <c r="Q85" s="142">
        <f t="shared" si="72"/>
        <v>2</v>
      </c>
      <c r="R85" s="142">
        <f t="shared" si="72"/>
        <v>7</v>
      </c>
      <c r="S85" s="147">
        <f t="shared" si="58"/>
        <v>40</v>
      </c>
      <c r="T85" s="144">
        <v>0</v>
      </c>
      <c r="U85" s="144">
        <v>3</v>
      </c>
      <c r="V85" s="144">
        <v>17</v>
      </c>
      <c r="W85" s="144">
        <v>2</v>
      </c>
      <c r="X85" s="147">
        <f t="shared" si="59"/>
        <v>22</v>
      </c>
      <c r="Y85" s="144">
        <v>0</v>
      </c>
      <c r="Z85" s="144">
        <v>3</v>
      </c>
      <c r="AA85" s="144">
        <v>17</v>
      </c>
      <c r="AB85" s="144">
        <v>2</v>
      </c>
      <c r="AC85" s="142">
        <f t="shared" si="60"/>
        <v>22</v>
      </c>
      <c r="AD85" s="142">
        <f t="shared" ref="AD85:AD87" si="78">(Y85*6800+Z85*5950+AA85*5395+AB85*4500)*12</f>
        <v>1422780</v>
      </c>
      <c r="AE85" s="142">
        <f t="shared" si="61"/>
        <v>95040</v>
      </c>
      <c r="AF85" s="142">
        <f t="shared" si="62"/>
        <v>132000</v>
      </c>
      <c r="AG85" s="142">
        <f t="shared" si="63"/>
        <v>52800</v>
      </c>
      <c r="AH85" s="142">
        <f t="shared" ref="AH85:AH87" si="79">AC85*10000</f>
        <v>220000</v>
      </c>
      <c r="AI85" s="142">
        <f t="shared" si="64"/>
        <v>17600</v>
      </c>
      <c r="AJ85" s="142">
        <f t="shared" si="65"/>
        <v>10000</v>
      </c>
      <c r="AK85" s="142">
        <f t="shared" si="66"/>
        <v>15000</v>
      </c>
      <c r="AL85" s="142">
        <f t="shared" si="67"/>
        <v>21120</v>
      </c>
      <c r="AM85" s="142">
        <f t="shared" si="68"/>
        <v>673548.48</v>
      </c>
      <c r="AN85" s="142">
        <f t="shared" si="69"/>
        <v>2659888.48</v>
      </c>
      <c r="AO85" s="150"/>
      <c r="AP85" s="142">
        <f t="shared" si="75"/>
        <v>2659888.48</v>
      </c>
      <c r="AQ85" s="149">
        <f t="shared" si="70"/>
        <v>2611292.3199999998</v>
      </c>
    </row>
    <row r="86" spans="1:45" s="61" customFormat="1" ht="20.100000000000001" customHeight="1">
      <c r="A86" s="141" t="s">
        <v>27</v>
      </c>
      <c r="B86" s="143" t="s">
        <v>193</v>
      </c>
      <c r="C86" s="143" t="s">
        <v>334</v>
      </c>
      <c r="D86" s="144">
        <v>6</v>
      </c>
      <c r="E86" s="152">
        <v>0</v>
      </c>
      <c r="F86" s="152">
        <v>2</v>
      </c>
      <c r="G86" s="152">
        <v>76</v>
      </c>
      <c r="H86" s="152">
        <v>4</v>
      </c>
      <c r="I86" s="142">
        <f t="shared" si="56"/>
        <v>82</v>
      </c>
      <c r="J86" s="144"/>
      <c r="K86" s="144"/>
      <c r="L86" s="144"/>
      <c r="M86" s="144"/>
      <c r="N86" s="142">
        <f t="shared" si="57"/>
        <v>0</v>
      </c>
      <c r="O86" s="142">
        <f t="shared" si="72"/>
        <v>0</v>
      </c>
      <c r="P86" s="142">
        <f t="shared" si="72"/>
        <v>2</v>
      </c>
      <c r="Q86" s="142">
        <f t="shared" si="72"/>
        <v>76</v>
      </c>
      <c r="R86" s="142">
        <f t="shared" si="72"/>
        <v>4</v>
      </c>
      <c r="S86" s="147">
        <f t="shared" si="58"/>
        <v>82</v>
      </c>
      <c r="T86" s="144">
        <v>0</v>
      </c>
      <c r="U86" s="144">
        <v>0</v>
      </c>
      <c r="V86" s="144">
        <v>73</v>
      </c>
      <c r="W86" s="144">
        <v>5</v>
      </c>
      <c r="X86" s="147">
        <f t="shared" si="59"/>
        <v>78</v>
      </c>
      <c r="Y86" s="144">
        <v>0</v>
      </c>
      <c r="Z86" s="144">
        <v>0</v>
      </c>
      <c r="AA86" s="144">
        <v>73</v>
      </c>
      <c r="AB86" s="144">
        <v>5</v>
      </c>
      <c r="AC86" s="142">
        <f t="shared" si="60"/>
        <v>78</v>
      </c>
      <c r="AD86" s="142">
        <f t="shared" si="78"/>
        <v>4996020</v>
      </c>
      <c r="AE86" s="142">
        <f t="shared" si="61"/>
        <v>336960</v>
      </c>
      <c r="AF86" s="142">
        <f t="shared" si="62"/>
        <v>468000</v>
      </c>
      <c r="AG86" s="142">
        <f t="shared" si="63"/>
        <v>187200</v>
      </c>
      <c r="AH86" s="142">
        <f t="shared" si="79"/>
        <v>780000</v>
      </c>
      <c r="AI86" s="142">
        <f t="shared" si="64"/>
        <v>62400</v>
      </c>
      <c r="AJ86" s="142">
        <f t="shared" si="65"/>
        <v>60000</v>
      </c>
      <c r="AK86" s="142">
        <f t="shared" si="66"/>
        <v>46800</v>
      </c>
      <c r="AL86" s="142">
        <f t="shared" si="67"/>
        <v>74880</v>
      </c>
      <c r="AM86" s="142">
        <f t="shared" si="68"/>
        <v>2388035.52</v>
      </c>
      <c r="AN86" s="142">
        <f t="shared" si="69"/>
        <v>9400295.5199999996</v>
      </c>
      <c r="AO86" s="150"/>
      <c r="AP86" s="142">
        <f t="shared" si="75"/>
        <v>9400295.5199999996</v>
      </c>
      <c r="AQ86" s="149">
        <f t="shared" si="70"/>
        <v>9228552.1199999992</v>
      </c>
    </row>
    <row r="87" spans="1:45" s="61" customFormat="1" ht="20.100000000000001" customHeight="1">
      <c r="A87" s="141" t="s">
        <v>27</v>
      </c>
      <c r="B87" s="143" t="s">
        <v>386</v>
      </c>
      <c r="C87" s="143" t="s">
        <v>334</v>
      </c>
      <c r="D87" s="144">
        <v>1</v>
      </c>
      <c r="E87" s="152">
        <v>0</v>
      </c>
      <c r="F87" s="152">
        <v>2</v>
      </c>
      <c r="G87" s="152">
        <v>29</v>
      </c>
      <c r="H87" s="152">
        <v>1</v>
      </c>
      <c r="I87" s="142">
        <f t="shared" si="56"/>
        <v>32</v>
      </c>
      <c r="J87" s="144"/>
      <c r="K87" s="144">
        <v>1</v>
      </c>
      <c r="L87" s="144">
        <v>7</v>
      </c>
      <c r="M87" s="144">
        <v>2</v>
      </c>
      <c r="N87" s="142">
        <f t="shared" si="57"/>
        <v>10</v>
      </c>
      <c r="O87" s="142">
        <f t="shared" si="72"/>
        <v>0</v>
      </c>
      <c r="P87" s="142">
        <f t="shared" si="72"/>
        <v>3</v>
      </c>
      <c r="Q87" s="142">
        <f t="shared" si="72"/>
        <v>36</v>
      </c>
      <c r="R87" s="142">
        <f t="shared" si="72"/>
        <v>3</v>
      </c>
      <c r="S87" s="147">
        <f t="shared" si="58"/>
        <v>42</v>
      </c>
      <c r="T87" s="144">
        <v>0</v>
      </c>
      <c r="U87" s="144">
        <v>2</v>
      </c>
      <c r="V87" s="144">
        <v>17</v>
      </c>
      <c r="W87" s="144">
        <v>2</v>
      </c>
      <c r="X87" s="147">
        <f t="shared" si="59"/>
        <v>21</v>
      </c>
      <c r="Y87" s="144">
        <v>0</v>
      </c>
      <c r="Z87" s="144">
        <v>2</v>
      </c>
      <c r="AA87" s="144">
        <v>17</v>
      </c>
      <c r="AB87" s="144">
        <v>2</v>
      </c>
      <c r="AC87" s="142">
        <f t="shared" si="60"/>
        <v>21</v>
      </c>
      <c r="AD87" s="142">
        <f t="shared" si="78"/>
        <v>1351380</v>
      </c>
      <c r="AE87" s="142">
        <f t="shared" si="61"/>
        <v>90720</v>
      </c>
      <c r="AF87" s="142">
        <f t="shared" si="62"/>
        <v>126000</v>
      </c>
      <c r="AG87" s="142">
        <f t="shared" si="63"/>
        <v>50400</v>
      </c>
      <c r="AH87" s="142">
        <f t="shared" si="79"/>
        <v>210000</v>
      </c>
      <c r="AI87" s="142">
        <f t="shared" si="64"/>
        <v>16800</v>
      </c>
      <c r="AJ87" s="142">
        <f t="shared" si="65"/>
        <v>10000</v>
      </c>
      <c r="AK87" s="142">
        <f t="shared" si="66"/>
        <v>13800</v>
      </c>
      <c r="AL87" s="142">
        <f t="shared" si="67"/>
        <v>20160</v>
      </c>
      <c r="AM87" s="142">
        <f t="shared" si="68"/>
        <v>642932.64</v>
      </c>
      <c r="AN87" s="142">
        <f t="shared" si="69"/>
        <v>2532192.64</v>
      </c>
      <c r="AO87" s="150"/>
      <c r="AP87" s="142">
        <f t="shared" si="75"/>
        <v>2532192.64</v>
      </c>
      <c r="AQ87" s="149">
        <f t="shared" si="70"/>
        <v>2485929.48</v>
      </c>
    </row>
    <row r="88" spans="1:45" ht="20.100000000000001" customHeight="1">
      <c r="A88" s="141" t="s">
        <v>27</v>
      </c>
      <c r="B88" s="143" t="s">
        <v>387</v>
      </c>
      <c r="C88" s="143" t="s">
        <v>65</v>
      </c>
      <c r="D88" s="144"/>
      <c r="E88" s="152">
        <v>0</v>
      </c>
      <c r="F88" s="152">
        <v>2</v>
      </c>
      <c r="G88" s="152">
        <v>12</v>
      </c>
      <c r="H88" s="152">
        <v>2</v>
      </c>
      <c r="I88" s="142">
        <f t="shared" si="56"/>
        <v>16</v>
      </c>
      <c r="J88" s="144"/>
      <c r="K88" s="144"/>
      <c r="L88" s="144"/>
      <c r="M88" s="144"/>
      <c r="N88" s="142">
        <f t="shared" si="57"/>
        <v>0</v>
      </c>
      <c r="O88" s="142">
        <f t="shared" si="72"/>
        <v>0</v>
      </c>
      <c r="P88" s="142">
        <f t="shared" si="72"/>
        <v>2</v>
      </c>
      <c r="Q88" s="142">
        <f t="shared" si="72"/>
        <v>12</v>
      </c>
      <c r="R88" s="142">
        <f t="shared" si="72"/>
        <v>2</v>
      </c>
      <c r="S88" s="147">
        <f t="shared" si="58"/>
        <v>16</v>
      </c>
      <c r="T88" s="144">
        <v>17</v>
      </c>
      <c r="U88" s="144">
        <v>9</v>
      </c>
      <c r="V88" s="144">
        <v>0</v>
      </c>
      <c r="W88" s="144">
        <v>10</v>
      </c>
      <c r="X88" s="147">
        <f t="shared" si="59"/>
        <v>36</v>
      </c>
      <c r="Y88" s="144">
        <v>0</v>
      </c>
      <c r="Z88" s="144">
        <v>2</v>
      </c>
      <c r="AA88" s="144">
        <v>12</v>
      </c>
      <c r="AB88" s="144">
        <v>2</v>
      </c>
      <c r="AC88" s="142">
        <f t="shared" si="60"/>
        <v>16</v>
      </c>
      <c r="AD88" s="142">
        <f>(Y88*7250+Z88*5950+AA88*5395+AB88*4500)*12</f>
        <v>1027680</v>
      </c>
      <c r="AE88" s="142">
        <f t="shared" si="61"/>
        <v>69120</v>
      </c>
      <c r="AF88" s="142">
        <f t="shared" si="62"/>
        <v>96000</v>
      </c>
      <c r="AG88" s="142">
        <f t="shared" si="63"/>
        <v>38400</v>
      </c>
      <c r="AH88" s="142">
        <f>(Y88*16000)+(Z88*10000+AA88*10000+AB88*10000)</f>
        <v>160000</v>
      </c>
      <c r="AI88" s="142">
        <f t="shared" si="64"/>
        <v>12800</v>
      </c>
      <c r="AJ88" s="142">
        <f t="shared" si="65"/>
        <v>0</v>
      </c>
      <c r="AK88" s="142">
        <f t="shared" si="66"/>
        <v>10800</v>
      </c>
      <c r="AL88" s="142">
        <f t="shared" si="67"/>
        <v>15360</v>
      </c>
      <c r="AM88" s="142">
        <f t="shared" si="68"/>
        <v>489853.44</v>
      </c>
      <c r="AN88" s="142">
        <f t="shared" si="69"/>
        <v>1920013.44</v>
      </c>
      <c r="AO88" s="148">
        <v>132762.5</v>
      </c>
      <c r="AP88" s="150">
        <f t="shared" si="75"/>
        <v>2052775.94</v>
      </c>
      <c r="AQ88" s="149">
        <f t="shared" si="70"/>
        <v>2017697.29</v>
      </c>
    </row>
    <row r="89" spans="1:45" s="61" customFormat="1" ht="20.100000000000001" customHeight="1">
      <c r="A89" s="141" t="s">
        <v>27</v>
      </c>
      <c r="B89" s="143" t="s">
        <v>388</v>
      </c>
      <c r="C89" s="143" t="s">
        <v>334</v>
      </c>
      <c r="D89" s="144">
        <v>2</v>
      </c>
      <c r="E89" s="152">
        <v>39</v>
      </c>
      <c r="F89" s="152">
        <v>11</v>
      </c>
      <c r="G89" s="152">
        <v>0</v>
      </c>
      <c r="H89" s="152">
        <v>9</v>
      </c>
      <c r="I89" s="142">
        <f t="shared" si="56"/>
        <v>59</v>
      </c>
      <c r="J89" s="144"/>
      <c r="K89" s="144"/>
      <c r="L89" s="144">
        <v>3</v>
      </c>
      <c r="M89" s="144"/>
      <c r="N89" s="142">
        <f t="shared" si="57"/>
        <v>3</v>
      </c>
      <c r="O89" s="142">
        <f t="shared" si="72"/>
        <v>39</v>
      </c>
      <c r="P89" s="142">
        <f t="shared" si="72"/>
        <v>11</v>
      </c>
      <c r="Q89" s="142">
        <f t="shared" si="72"/>
        <v>3</v>
      </c>
      <c r="R89" s="142">
        <f t="shared" si="72"/>
        <v>9</v>
      </c>
      <c r="S89" s="147">
        <f t="shared" si="58"/>
        <v>62</v>
      </c>
      <c r="T89" s="144">
        <v>0</v>
      </c>
      <c r="U89" s="144">
        <v>4</v>
      </c>
      <c r="V89" s="144">
        <v>19</v>
      </c>
      <c r="W89" s="144">
        <v>1</v>
      </c>
      <c r="X89" s="147">
        <f t="shared" si="59"/>
        <v>24</v>
      </c>
      <c r="Y89" s="144">
        <v>0</v>
      </c>
      <c r="Z89" s="144">
        <v>4</v>
      </c>
      <c r="AA89" s="144">
        <v>19</v>
      </c>
      <c r="AB89" s="144">
        <v>1</v>
      </c>
      <c r="AC89" s="142">
        <f t="shared" si="60"/>
        <v>24</v>
      </c>
      <c r="AD89" s="142">
        <f>(Y89*6800+Z89*5950+AA89*5395+AB89*4500)*12</f>
        <v>1569660</v>
      </c>
      <c r="AE89" s="142">
        <f t="shared" si="61"/>
        <v>103680</v>
      </c>
      <c r="AF89" s="142">
        <f t="shared" si="62"/>
        <v>144000</v>
      </c>
      <c r="AG89" s="142">
        <f t="shared" si="63"/>
        <v>57600</v>
      </c>
      <c r="AH89" s="142">
        <f>AC89*10000</f>
        <v>240000</v>
      </c>
      <c r="AI89" s="142">
        <f t="shared" si="64"/>
        <v>19200</v>
      </c>
      <c r="AJ89" s="142">
        <f t="shared" si="65"/>
        <v>20000</v>
      </c>
      <c r="AK89" s="142">
        <f t="shared" si="66"/>
        <v>16800</v>
      </c>
      <c r="AL89" s="142">
        <f t="shared" si="67"/>
        <v>23040</v>
      </c>
      <c r="AM89" s="142">
        <f t="shared" si="68"/>
        <v>734780.16</v>
      </c>
      <c r="AN89" s="142">
        <f t="shared" si="69"/>
        <v>2928760.16</v>
      </c>
      <c r="AO89" s="150"/>
      <c r="AP89" s="142">
        <f t="shared" si="75"/>
        <v>2928760.16</v>
      </c>
      <c r="AQ89" s="149">
        <f t="shared" si="70"/>
        <v>2875251.71</v>
      </c>
    </row>
    <row r="90" spans="1:45" ht="20.100000000000001" customHeight="1">
      <c r="A90" s="143"/>
      <c r="B90" s="254" t="s">
        <v>41</v>
      </c>
      <c r="C90" s="254"/>
      <c r="D90" s="253">
        <f t="shared" ref="D90:AQ90" si="80">SUM(D72:D89)</f>
        <v>17</v>
      </c>
      <c r="E90" s="253">
        <f t="shared" si="80"/>
        <v>252</v>
      </c>
      <c r="F90" s="253">
        <f t="shared" si="80"/>
        <v>164</v>
      </c>
      <c r="G90" s="253">
        <f t="shared" si="80"/>
        <v>253</v>
      </c>
      <c r="H90" s="253">
        <f t="shared" si="80"/>
        <v>115</v>
      </c>
      <c r="I90" s="253">
        <f t="shared" si="80"/>
        <v>784</v>
      </c>
      <c r="J90" s="253">
        <f t="shared" si="80"/>
        <v>4</v>
      </c>
      <c r="K90" s="253">
        <f t="shared" si="80"/>
        <v>4</v>
      </c>
      <c r="L90" s="253">
        <f t="shared" si="80"/>
        <v>16</v>
      </c>
      <c r="M90" s="253">
        <f t="shared" si="80"/>
        <v>4</v>
      </c>
      <c r="N90" s="253">
        <f t="shared" si="80"/>
        <v>28</v>
      </c>
      <c r="O90" s="253">
        <f t="shared" si="80"/>
        <v>256</v>
      </c>
      <c r="P90" s="253">
        <f t="shared" si="80"/>
        <v>168</v>
      </c>
      <c r="Q90" s="253">
        <f t="shared" si="80"/>
        <v>269</v>
      </c>
      <c r="R90" s="253">
        <f t="shared" si="80"/>
        <v>119</v>
      </c>
      <c r="S90" s="253">
        <f t="shared" si="80"/>
        <v>812</v>
      </c>
      <c r="T90" s="253">
        <f t="shared" si="80"/>
        <v>58</v>
      </c>
      <c r="U90" s="253">
        <f t="shared" si="80"/>
        <v>103</v>
      </c>
      <c r="V90" s="253">
        <f t="shared" si="80"/>
        <v>222</v>
      </c>
      <c r="W90" s="253">
        <f t="shared" si="80"/>
        <v>107</v>
      </c>
      <c r="X90" s="253">
        <f t="shared" si="80"/>
        <v>490</v>
      </c>
      <c r="Y90" s="253">
        <f t="shared" si="80"/>
        <v>34</v>
      </c>
      <c r="Z90" s="253">
        <f t="shared" si="80"/>
        <v>94</v>
      </c>
      <c r="AA90" s="253">
        <f t="shared" si="80"/>
        <v>230</v>
      </c>
      <c r="AB90" s="253">
        <f t="shared" si="80"/>
        <v>95</v>
      </c>
      <c r="AC90" s="253">
        <f t="shared" si="80"/>
        <v>453</v>
      </c>
      <c r="AD90" s="253">
        <f t="shared" si="80"/>
        <v>29646600</v>
      </c>
      <c r="AE90" s="253">
        <f t="shared" si="80"/>
        <v>1956960</v>
      </c>
      <c r="AF90" s="253">
        <f t="shared" si="80"/>
        <v>2718000</v>
      </c>
      <c r="AG90" s="253">
        <f t="shared" si="80"/>
        <v>1087200</v>
      </c>
      <c r="AH90" s="253">
        <f t="shared" si="80"/>
        <v>4608000</v>
      </c>
      <c r="AI90" s="253">
        <f t="shared" si="80"/>
        <v>362400</v>
      </c>
      <c r="AJ90" s="253">
        <f t="shared" si="80"/>
        <v>170000</v>
      </c>
      <c r="AK90" s="253">
        <f t="shared" si="80"/>
        <v>348600</v>
      </c>
      <c r="AL90" s="253">
        <f t="shared" si="80"/>
        <v>434880</v>
      </c>
      <c r="AM90" s="253">
        <f t="shared" si="80"/>
        <v>13868975.52</v>
      </c>
      <c r="AN90" s="253">
        <f t="shared" si="80"/>
        <v>55201615.519999996</v>
      </c>
      <c r="AO90" s="253">
        <f t="shared" si="80"/>
        <v>453746.5</v>
      </c>
      <c r="AP90" s="253">
        <f t="shared" si="80"/>
        <v>55655362.019999996</v>
      </c>
      <c r="AQ90" s="253">
        <f t="shared" si="80"/>
        <v>54646828.519999996</v>
      </c>
    </row>
    <row r="91" spans="1:45" s="61" customFormat="1" ht="20.100000000000001" customHeight="1">
      <c r="A91" s="141" t="s">
        <v>26</v>
      </c>
      <c r="B91" s="143" t="s">
        <v>389</v>
      </c>
      <c r="C91" s="143" t="s">
        <v>334</v>
      </c>
      <c r="D91" s="144">
        <v>2</v>
      </c>
      <c r="E91" s="142">
        <v>3</v>
      </c>
      <c r="F91" s="142">
        <v>4</v>
      </c>
      <c r="G91" s="142">
        <v>27</v>
      </c>
      <c r="H91" s="142">
        <v>4</v>
      </c>
      <c r="I91" s="142">
        <f t="shared" si="56"/>
        <v>38</v>
      </c>
      <c r="J91" s="144"/>
      <c r="K91" s="144"/>
      <c r="L91" s="144">
        <v>3</v>
      </c>
      <c r="M91" s="144">
        <v>1</v>
      </c>
      <c r="N91" s="142">
        <f t="shared" si="57"/>
        <v>4</v>
      </c>
      <c r="O91" s="142">
        <f t="shared" ref="O91:R92" si="81">E91+J91</f>
        <v>3</v>
      </c>
      <c r="P91" s="142">
        <f t="shared" si="81"/>
        <v>4</v>
      </c>
      <c r="Q91" s="142">
        <f t="shared" si="81"/>
        <v>30</v>
      </c>
      <c r="R91" s="142">
        <f t="shared" si="81"/>
        <v>5</v>
      </c>
      <c r="S91" s="147">
        <f t="shared" si="58"/>
        <v>42</v>
      </c>
      <c r="T91" s="144">
        <v>0</v>
      </c>
      <c r="U91" s="144">
        <v>4</v>
      </c>
      <c r="V91" s="144">
        <v>31</v>
      </c>
      <c r="W91" s="144">
        <v>3</v>
      </c>
      <c r="X91" s="147">
        <f t="shared" si="59"/>
        <v>38</v>
      </c>
      <c r="Y91" s="144">
        <v>0</v>
      </c>
      <c r="Z91" s="144">
        <v>4</v>
      </c>
      <c r="AA91" s="144">
        <v>31</v>
      </c>
      <c r="AB91" s="144">
        <v>3</v>
      </c>
      <c r="AC91" s="142">
        <f t="shared" si="60"/>
        <v>38</v>
      </c>
      <c r="AD91" s="142">
        <f>(Y91*6800+Z91*5950+AA91*5395+AB91*4500)*12/2</f>
        <v>1227270</v>
      </c>
      <c r="AE91" s="142">
        <f>AC91*4320/2</f>
        <v>82080</v>
      </c>
      <c r="AF91" s="142">
        <f>AC91*6000/2</f>
        <v>114000</v>
      </c>
      <c r="AG91" s="142">
        <f>AC91*2400/2</f>
        <v>45600</v>
      </c>
      <c r="AH91" s="142">
        <f>AC91*10000/2</f>
        <v>190000</v>
      </c>
      <c r="AI91" s="142">
        <f>AC91*800/2</f>
        <v>15200</v>
      </c>
      <c r="AJ91" s="142">
        <f>D91*50*200/2</f>
        <v>10000</v>
      </c>
      <c r="AK91" s="142">
        <f>(Y91*1200+Z91*1200+AA91*600+AB91*600)/2</f>
        <v>12600</v>
      </c>
      <c r="AL91" s="142">
        <f>AC91*960/2</f>
        <v>18240</v>
      </c>
      <c r="AM91" s="142">
        <f>ROUND((7460*0.342*AC91*12)/2,2)</f>
        <v>581700.96</v>
      </c>
      <c r="AN91" s="142">
        <f>ROUND(SUM(AD91:AM91),2)</f>
        <v>2296690.96</v>
      </c>
      <c r="AO91" s="150"/>
      <c r="AP91" s="149">
        <f>AN91+AO91</f>
        <v>2296690.96</v>
      </c>
      <c r="AQ91" s="149">
        <f t="shared" si="70"/>
        <v>2254730.42</v>
      </c>
      <c r="AR91" s="62"/>
      <c r="AS91" s="60"/>
    </row>
    <row r="92" spans="1:45" ht="20.100000000000001" customHeight="1">
      <c r="A92" s="141" t="s">
        <v>26</v>
      </c>
      <c r="B92" s="143" t="s">
        <v>390</v>
      </c>
      <c r="C92" s="144" t="s">
        <v>37</v>
      </c>
      <c r="D92" s="144"/>
      <c r="E92" s="142">
        <v>6</v>
      </c>
      <c r="F92" s="142">
        <v>9</v>
      </c>
      <c r="G92" s="142">
        <v>0</v>
      </c>
      <c r="H92" s="142">
        <v>6</v>
      </c>
      <c r="I92" s="142">
        <f t="shared" si="56"/>
        <v>21</v>
      </c>
      <c r="J92" s="144">
        <v>12</v>
      </c>
      <c r="K92" s="144">
        <v>1</v>
      </c>
      <c r="L92" s="144"/>
      <c r="M92" s="144">
        <v>1</v>
      </c>
      <c r="N92" s="142">
        <f t="shared" si="57"/>
        <v>14</v>
      </c>
      <c r="O92" s="142">
        <f t="shared" si="81"/>
        <v>18</v>
      </c>
      <c r="P92" s="142">
        <f t="shared" si="81"/>
        <v>10</v>
      </c>
      <c r="Q92" s="142">
        <f t="shared" si="81"/>
        <v>0</v>
      </c>
      <c r="R92" s="142">
        <f t="shared" si="81"/>
        <v>7</v>
      </c>
      <c r="S92" s="147">
        <f t="shared" si="58"/>
        <v>35</v>
      </c>
      <c r="T92" s="144">
        <v>14</v>
      </c>
      <c r="U92" s="144">
        <v>3</v>
      </c>
      <c r="V92" s="144">
        <v>0</v>
      </c>
      <c r="W92" s="144">
        <v>7</v>
      </c>
      <c r="X92" s="147">
        <f t="shared" si="59"/>
        <v>24</v>
      </c>
      <c r="Y92" s="144">
        <v>14</v>
      </c>
      <c r="Z92" s="144">
        <v>3</v>
      </c>
      <c r="AA92" s="144">
        <v>0</v>
      </c>
      <c r="AB92" s="144">
        <v>7</v>
      </c>
      <c r="AC92" s="142">
        <f t="shared" si="60"/>
        <v>24</v>
      </c>
      <c r="AD92" s="142">
        <f>(Y92*6800+Z92*5950+AA92*5395+AB92*4500)*12/2</f>
        <v>867300</v>
      </c>
      <c r="AE92" s="142">
        <f>AC92*4320/2</f>
        <v>51840</v>
      </c>
      <c r="AF92" s="142">
        <f>AC92*6000/2</f>
        <v>72000</v>
      </c>
      <c r="AG92" s="142">
        <f>AC92*2400/2</f>
        <v>28800</v>
      </c>
      <c r="AH92" s="142">
        <f>AC92*10000/2</f>
        <v>120000</v>
      </c>
      <c r="AI92" s="142">
        <f>AC92*800/2</f>
        <v>9600</v>
      </c>
      <c r="AJ92" s="142">
        <f>D92*50*200/2</f>
        <v>0</v>
      </c>
      <c r="AK92" s="142">
        <f>(Y92*1200+Z92*1200+AA92*600+AB92*600)/2</f>
        <v>12300</v>
      </c>
      <c r="AL92" s="142">
        <f>AC92*960/2</f>
        <v>11520</v>
      </c>
      <c r="AM92" s="142">
        <f>ROUND((7460*0.342*AC92*12)/2,2)</f>
        <v>367390.08</v>
      </c>
      <c r="AN92" s="142">
        <f>ROUND(SUM(AD92:AM92),2)</f>
        <v>1540750.08</v>
      </c>
      <c r="AO92" s="148">
        <f>100917/2</f>
        <v>50458.5</v>
      </c>
      <c r="AP92" s="149">
        <f t="shared" ref="AP92:AP97" si="82">AN92+AO92</f>
        <v>1591208.58</v>
      </c>
      <c r="AQ92" s="149">
        <f t="shared" si="70"/>
        <v>1563059.08</v>
      </c>
      <c r="AR92" s="62"/>
    </row>
    <row r="93" spans="1:45" ht="20.100000000000001" customHeight="1">
      <c r="A93" s="143"/>
      <c r="B93" s="254" t="s">
        <v>40</v>
      </c>
      <c r="C93" s="254"/>
      <c r="D93" s="253">
        <f t="shared" ref="D93:AO93" si="83">SUM(D91:D92)</f>
        <v>2</v>
      </c>
      <c r="E93" s="253">
        <f t="shared" si="83"/>
        <v>9</v>
      </c>
      <c r="F93" s="253">
        <f t="shared" si="83"/>
        <v>13</v>
      </c>
      <c r="G93" s="253">
        <f t="shared" si="83"/>
        <v>27</v>
      </c>
      <c r="H93" s="253">
        <f t="shared" si="83"/>
        <v>10</v>
      </c>
      <c r="I93" s="253">
        <f t="shared" si="83"/>
        <v>59</v>
      </c>
      <c r="J93" s="253">
        <f t="shared" si="83"/>
        <v>12</v>
      </c>
      <c r="K93" s="253">
        <f t="shared" si="83"/>
        <v>1</v>
      </c>
      <c r="L93" s="253">
        <f t="shared" si="83"/>
        <v>3</v>
      </c>
      <c r="M93" s="253">
        <f t="shared" si="83"/>
        <v>2</v>
      </c>
      <c r="N93" s="253">
        <f t="shared" si="83"/>
        <v>18</v>
      </c>
      <c r="O93" s="253">
        <f t="shared" si="83"/>
        <v>21</v>
      </c>
      <c r="P93" s="253">
        <f t="shared" si="83"/>
        <v>14</v>
      </c>
      <c r="Q93" s="253">
        <f t="shared" si="83"/>
        <v>30</v>
      </c>
      <c r="R93" s="253">
        <f t="shared" si="83"/>
        <v>12</v>
      </c>
      <c r="S93" s="253">
        <f t="shared" si="83"/>
        <v>77</v>
      </c>
      <c r="T93" s="253">
        <f t="shared" si="83"/>
        <v>14</v>
      </c>
      <c r="U93" s="253">
        <f t="shared" si="83"/>
        <v>7</v>
      </c>
      <c r="V93" s="253">
        <f t="shared" si="83"/>
        <v>31</v>
      </c>
      <c r="W93" s="253">
        <f t="shared" si="83"/>
        <v>10</v>
      </c>
      <c r="X93" s="253">
        <f t="shared" si="83"/>
        <v>62</v>
      </c>
      <c r="Y93" s="253">
        <f t="shared" si="83"/>
        <v>14</v>
      </c>
      <c r="Z93" s="253">
        <f t="shared" si="83"/>
        <v>7</v>
      </c>
      <c r="AA93" s="253">
        <f t="shared" si="83"/>
        <v>31</v>
      </c>
      <c r="AB93" s="253">
        <f t="shared" si="83"/>
        <v>10</v>
      </c>
      <c r="AC93" s="253">
        <f t="shared" si="83"/>
        <v>62</v>
      </c>
      <c r="AD93" s="253">
        <f t="shared" si="83"/>
        <v>2094570</v>
      </c>
      <c r="AE93" s="253">
        <f t="shared" si="83"/>
        <v>133920</v>
      </c>
      <c r="AF93" s="253">
        <f t="shared" si="83"/>
        <v>186000</v>
      </c>
      <c r="AG93" s="253">
        <f t="shared" si="83"/>
        <v>74400</v>
      </c>
      <c r="AH93" s="253">
        <f t="shared" si="83"/>
        <v>310000</v>
      </c>
      <c r="AI93" s="253">
        <f t="shared" si="83"/>
        <v>24800</v>
      </c>
      <c r="AJ93" s="253">
        <f t="shared" si="83"/>
        <v>10000</v>
      </c>
      <c r="AK93" s="253">
        <f t="shared" si="83"/>
        <v>24900</v>
      </c>
      <c r="AL93" s="253">
        <f t="shared" si="83"/>
        <v>29760</v>
      </c>
      <c r="AM93" s="253">
        <f t="shared" si="83"/>
        <v>949091.04</v>
      </c>
      <c r="AN93" s="253">
        <f t="shared" si="83"/>
        <v>3837441.04</v>
      </c>
      <c r="AO93" s="253">
        <f t="shared" si="83"/>
        <v>50458.5</v>
      </c>
      <c r="AP93" s="253">
        <f t="shared" ref="AP93:AQ93" si="84">SUM(AP91:AP92)</f>
        <v>3887899.54</v>
      </c>
      <c r="AQ93" s="253">
        <f t="shared" si="84"/>
        <v>3817789.5</v>
      </c>
      <c r="AR93" s="246"/>
    </row>
    <row r="94" spans="1:45" ht="20.100000000000001" customHeight="1">
      <c r="A94" s="141" t="s">
        <v>25</v>
      </c>
      <c r="B94" s="140" t="s">
        <v>391</v>
      </c>
      <c r="C94" s="143" t="s">
        <v>334</v>
      </c>
      <c r="D94" s="144">
        <v>2</v>
      </c>
      <c r="E94" s="152">
        <v>0</v>
      </c>
      <c r="F94" s="152">
        <v>3</v>
      </c>
      <c r="G94" s="152">
        <v>28</v>
      </c>
      <c r="H94" s="152">
        <v>3</v>
      </c>
      <c r="I94" s="142">
        <f t="shared" si="56"/>
        <v>34</v>
      </c>
      <c r="J94" s="144"/>
      <c r="K94" s="144"/>
      <c r="L94" s="144"/>
      <c r="M94" s="144"/>
      <c r="N94" s="142">
        <f t="shared" si="57"/>
        <v>0</v>
      </c>
      <c r="O94" s="142">
        <f>E94+J94</f>
        <v>0</v>
      </c>
      <c r="P94" s="142">
        <f t="shared" ref="P94:R97" si="85">F94+K94</f>
        <v>3</v>
      </c>
      <c r="Q94" s="142">
        <f t="shared" si="85"/>
        <v>28</v>
      </c>
      <c r="R94" s="142">
        <f t="shared" si="85"/>
        <v>3</v>
      </c>
      <c r="S94" s="147">
        <f t="shared" si="58"/>
        <v>34</v>
      </c>
      <c r="T94" s="144">
        <v>0</v>
      </c>
      <c r="U94" s="144">
        <v>2</v>
      </c>
      <c r="V94" s="144">
        <v>26</v>
      </c>
      <c r="W94" s="144">
        <v>3</v>
      </c>
      <c r="X94" s="147">
        <f t="shared" si="59"/>
        <v>31</v>
      </c>
      <c r="Y94" s="144">
        <v>0</v>
      </c>
      <c r="Z94" s="144">
        <v>2</v>
      </c>
      <c r="AA94" s="144">
        <v>26</v>
      </c>
      <c r="AB94" s="144">
        <v>3</v>
      </c>
      <c r="AC94" s="142">
        <f t="shared" si="60"/>
        <v>31</v>
      </c>
      <c r="AD94" s="142">
        <f>(Y94*6800+Z94*5950+AA94*5395+AB94*4500)*12/2</f>
        <v>994020</v>
      </c>
      <c r="AE94" s="142">
        <f>AC94*4320/2</f>
        <v>66960</v>
      </c>
      <c r="AF94" s="142">
        <f>AC94*6000/2</f>
        <v>93000</v>
      </c>
      <c r="AG94" s="142">
        <f>AC94*2400/2</f>
        <v>37200</v>
      </c>
      <c r="AH94" s="142">
        <f>AC94*10000/2</f>
        <v>155000</v>
      </c>
      <c r="AI94" s="142">
        <f>AC94*800/2</f>
        <v>12400</v>
      </c>
      <c r="AJ94" s="142">
        <f>D94*50*200/2</f>
        <v>10000</v>
      </c>
      <c r="AK94" s="142">
        <f>(Y94*1200+Z94*1200+AA94*600+AB94*600)/2</f>
        <v>9900</v>
      </c>
      <c r="AL94" s="142">
        <f>AC94*960/2</f>
        <v>14880</v>
      </c>
      <c r="AM94" s="142">
        <f>ROUND((7460*0.342*AC94*12)/2,2)</f>
        <v>474545.52</v>
      </c>
      <c r="AN94" s="142">
        <f>ROUND(SUM(AD94:AM94),2)</f>
        <v>1867905.52</v>
      </c>
      <c r="AO94" s="148"/>
      <c r="AP94" s="149">
        <f t="shared" si="82"/>
        <v>1867905.52</v>
      </c>
      <c r="AQ94" s="149">
        <f t="shared" si="70"/>
        <v>1833778.89</v>
      </c>
      <c r="AR94" s="247"/>
    </row>
    <row r="95" spans="1:45" ht="20.100000000000001" customHeight="1">
      <c r="A95" s="141" t="s">
        <v>25</v>
      </c>
      <c r="B95" s="140" t="s">
        <v>124</v>
      </c>
      <c r="C95" s="143" t="s">
        <v>334</v>
      </c>
      <c r="D95" s="144">
        <v>3</v>
      </c>
      <c r="E95" s="152">
        <v>0</v>
      </c>
      <c r="F95" s="152">
        <v>2</v>
      </c>
      <c r="G95" s="152">
        <v>31</v>
      </c>
      <c r="H95" s="152">
        <v>4</v>
      </c>
      <c r="I95" s="142">
        <f t="shared" si="56"/>
        <v>37</v>
      </c>
      <c r="J95" s="144"/>
      <c r="K95" s="144"/>
      <c r="L95" s="144"/>
      <c r="M95" s="144"/>
      <c r="N95" s="142">
        <f t="shared" si="57"/>
        <v>0</v>
      </c>
      <c r="O95" s="142">
        <f>E95+J95</f>
        <v>0</v>
      </c>
      <c r="P95" s="142">
        <f t="shared" si="85"/>
        <v>2</v>
      </c>
      <c r="Q95" s="142">
        <f t="shared" si="85"/>
        <v>31</v>
      </c>
      <c r="R95" s="142">
        <f t="shared" si="85"/>
        <v>4</v>
      </c>
      <c r="S95" s="147">
        <f t="shared" si="58"/>
        <v>37</v>
      </c>
      <c r="T95" s="144">
        <v>0</v>
      </c>
      <c r="U95" s="144">
        <v>0</v>
      </c>
      <c r="V95" s="144">
        <v>29</v>
      </c>
      <c r="W95" s="144">
        <v>2</v>
      </c>
      <c r="X95" s="147">
        <f t="shared" si="59"/>
        <v>31</v>
      </c>
      <c r="Y95" s="142">
        <v>0</v>
      </c>
      <c r="Z95" s="142">
        <v>0</v>
      </c>
      <c r="AA95" s="142">
        <v>29</v>
      </c>
      <c r="AB95" s="142">
        <v>2</v>
      </c>
      <c r="AC95" s="142">
        <f t="shared" si="60"/>
        <v>31</v>
      </c>
      <c r="AD95" s="142">
        <f>(Y95*6800+Z95*5950+AA95*5395+AB95*4500)*12/2</f>
        <v>992730</v>
      </c>
      <c r="AE95" s="142">
        <f>AC95*4320/2</f>
        <v>66960</v>
      </c>
      <c r="AF95" s="142">
        <f>AC95*6000/2</f>
        <v>93000</v>
      </c>
      <c r="AG95" s="142">
        <f>AC95*2400/2</f>
        <v>37200</v>
      </c>
      <c r="AH95" s="142">
        <f>AC95*10000/2</f>
        <v>155000</v>
      </c>
      <c r="AI95" s="142">
        <f>AC95*800/2</f>
        <v>12400</v>
      </c>
      <c r="AJ95" s="142">
        <f>D95*50*200/2</f>
        <v>15000</v>
      </c>
      <c r="AK95" s="142">
        <f>(Y95*1200+Z95*1200+AA95*600+AB95*600)/2</f>
        <v>9300</v>
      </c>
      <c r="AL95" s="142">
        <f>AC95*960/2</f>
        <v>14880</v>
      </c>
      <c r="AM95" s="142">
        <f>ROUND((7460*0.342*AC95*12)/2,2)</f>
        <v>474545.52</v>
      </c>
      <c r="AN95" s="142">
        <f>ROUND(SUM(AD95:AM95),2)</f>
        <v>1871015.52</v>
      </c>
      <c r="AO95" s="148"/>
      <c r="AP95" s="149">
        <f t="shared" si="82"/>
        <v>1871015.52</v>
      </c>
      <c r="AQ95" s="149">
        <f t="shared" si="70"/>
        <v>1836832.07</v>
      </c>
      <c r="AR95" s="247"/>
    </row>
    <row r="96" spans="1:45" s="61" customFormat="1" ht="20.100000000000001" customHeight="1">
      <c r="A96" s="141" t="s">
        <v>25</v>
      </c>
      <c r="B96" s="143" t="s">
        <v>392</v>
      </c>
      <c r="C96" s="143" t="s">
        <v>65</v>
      </c>
      <c r="D96" s="144"/>
      <c r="E96" s="152">
        <v>10</v>
      </c>
      <c r="F96" s="152">
        <v>10</v>
      </c>
      <c r="G96" s="152">
        <v>0</v>
      </c>
      <c r="H96" s="152">
        <v>9</v>
      </c>
      <c r="I96" s="142">
        <f t="shared" si="56"/>
        <v>29</v>
      </c>
      <c r="J96" s="144"/>
      <c r="K96" s="144"/>
      <c r="L96" s="144"/>
      <c r="M96" s="144"/>
      <c r="N96" s="142">
        <f t="shared" si="57"/>
        <v>0</v>
      </c>
      <c r="O96" s="142">
        <f>E96+J96</f>
        <v>10</v>
      </c>
      <c r="P96" s="142">
        <f t="shared" si="85"/>
        <v>10</v>
      </c>
      <c r="Q96" s="142">
        <f t="shared" si="85"/>
        <v>0</v>
      </c>
      <c r="R96" s="142">
        <f t="shared" si="85"/>
        <v>9</v>
      </c>
      <c r="S96" s="147">
        <f t="shared" si="58"/>
        <v>29</v>
      </c>
      <c r="T96" s="144">
        <v>1</v>
      </c>
      <c r="U96" s="144">
        <v>7</v>
      </c>
      <c r="V96" s="144">
        <v>0</v>
      </c>
      <c r="W96" s="144">
        <v>0</v>
      </c>
      <c r="X96" s="147">
        <f t="shared" si="59"/>
        <v>8</v>
      </c>
      <c r="Y96" s="144">
        <v>1</v>
      </c>
      <c r="Z96" s="144">
        <v>7</v>
      </c>
      <c r="AA96" s="144">
        <v>0</v>
      </c>
      <c r="AB96" s="144">
        <v>0</v>
      </c>
      <c r="AC96" s="142">
        <f t="shared" si="60"/>
        <v>8</v>
      </c>
      <c r="AD96" s="142">
        <f>(Y96*7250+Z96*5950+AA96*5395+AB96*4500)*12/2</f>
        <v>293400</v>
      </c>
      <c r="AE96" s="142">
        <f>AC96*4320/2</f>
        <v>17280</v>
      </c>
      <c r="AF96" s="142">
        <f>AC96*6000/2</f>
        <v>24000</v>
      </c>
      <c r="AG96" s="142">
        <f>AC96*2400/2</f>
        <v>9600</v>
      </c>
      <c r="AH96" s="142">
        <f>((Y96*16000)+(Z96*10000+AA96*10000+AB96*10000))/2</f>
        <v>43000</v>
      </c>
      <c r="AI96" s="142">
        <f>AC96*800/2</f>
        <v>3200</v>
      </c>
      <c r="AJ96" s="142">
        <f>D96*50*200/2</f>
        <v>0</v>
      </c>
      <c r="AK96" s="142">
        <f>(Y96*1200+Z96*1200+AA96*600+AB96*600)/2</f>
        <v>4800</v>
      </c>
      <c r="AL96" s="142">
        <f>AC96*960/2</f>
        <v>3840</v>
      </c>
      <c r="AM96" s="142">
        <f>ROUND((7460*0.342*AC96*12)/2,2)</f>
        <v>122463.36</v>
      </c>
      <c r="AN96" s="142">
        <f>ROUND(SUM(AD96:AM96),2)</f>
        <v>521583.35999999999</v>
      </c>
      <c r="AO96" s="142">
        <f>127.5/2</f>
        <v>63.75</v>
      </c>
      <c r="AP96" s="149">
        <f t="shared" si="82"/>
        <v>521647.11</v>
      </c>
      <c r="AQ96" s="149">
        <f t="shared" si="70"/>
        <v>512117.78</v>
      </c>
      <c r="AR96" s="247"/>
      <c r="AS96" s="60"/>
    </row>
    <row r="97" spans="1:45" s="63" customFormat="1" ht="20.100000000000001" customHeight="1">
      <c r="A97" s="142" t="s">
        <v>25</v>
      </c>
      <c r="B97" s="144" t="s">
        <v>393</v>
      </c>
      <c r="C97" s="144" t="s">
        <v>334</v>
      </c>
      <c r="D97" s="144">
        <v>2</v>
      </c>
      <c r="E97" s="152">
        <v>0</v>
      </c>
      <c r="F97" s="152">
        <v>0</v>
      </c>
      <c r="G97" s="152">
        <v>15</v>
      </c>
      <c r="H97" s="152">
        <v>2</v>
      </c>
      <c r="I97" s="142">
        <f t="shared" si="56"/>
        <v>17</v>
      </c>
      <c r="J97" s="144"/>
      <c r="K97" s="144">
        <v>1</v>
      </c>
      <c r="L97" s="144">
        <v>15</v>
      </c>
      <c r="M97" s="144">
        <v>2</v>
      </c>
      <c r="N97" s="142">
        <f t="shared" si="57"/>
        <v>18</v>
      </c>
      <c r="O97" s="142">
        <f>E97+J97</f>
        <v>0</v>
      </c>
      <c r="P97" s="142">
        <f t="shared" si="85"/>
        <v>1</v>
      </c>
      <c r="Q97" s="142">
        <f t="shared" si="85"/>
        <v>30</v>
      </c>
      <c r="R97" s="142">
        <f t="shared" si="85"/>
        <v>4</v>
      </c>
      <c r="S97" s="147">
        <f t="shared" si="58"/>
        <v>35</v>
      </c>
      <c r="T97" s="144">
        <v>0</v>
      </c>
      <c r="U97" s="144">
        <v>2</v>
      </c>
      <c r="V97" s="144">
        <v>28</v>
      </c>
      <c r="W97" s="144">
        <v>2</v>
      </c>
      <c r="X97" s="147">
        <f t="shared" si="59"/>
        <v>32</v>
      </c>
      <c r="Y97" s="144">
        <v>0</v>
      </c>
      <c r="Z97" s="144">
        <v>2</v>
      </c>
      <c r="AA97" s="144">
        <v>28</v>
      </c>
      <c r="AB97" s="144">
        <v>2</v>
      </c>
      <c r="AC97" s="142">
        <f t="shared" si="60"/>
        <v>32</v>
      </c>
      <c r="AD97" s="142">
        <f>(Y97*6800+Z97*5950+AA97*5395+AB97*4500)*12/2</f>
        <v>1031760</v>
      </c>
      <c r="AE97" s="142">
        <f>AC97*4320/2</f>
        <v>69120</v>
      </c>
      <c r="AF97" s="142">
        <f>AC97*6000/2</f>
        <v>96000</v>
      </c>
      <c r="AG97" s="142">
        <f>AC97*2400/2</f>
        <v>38400</v>
      </c>
      <c r="AH97" s="142">
        <f>AC97*10000/2</f>
        <v>160000</v>
      </c>
      <c r="AI97" s="142">
        <f>AC97*800/2</f>
        <v>12800</v>
      </c>
      <c r="AJ97" s="142">
        <f>D97*50*200/2</f>
        <v>10000</v>
      </c>
      <c r="AK97" s="142">
        <f>(Y97*1200+Z97*1200+AA97*600+AB97*600)/2</f>
        <v>10200</v>
      </c>
      <c r="AL97" s="142">
        <f>AC97*960/2</f>
        <v>15360</v>
      </c>
      <c r="AM97" s="142">
        <f>ROUND((7460*0.342*AC97*12)/2,2)</f>
        <v>489853.44</v>
      </c>
      <c r="AN97" s="142">
        <f>ROUND(SUM(AD97:AM97),2)</f>
        <v>1933493.44</v>
      </c>
      <c r="AO97" s="149"/>
      <c r="AP97" s="149">
        <f t="shared" si="82"/>
        <v>1933493.44</v>
      </c>
      <c r="AQ97" s="149">
        <f t="shared" si="70"/>
        <v>1898168.51</v>
      </c>
      <c r="AR97" s="247"/>
      <c r="AS97" s="60"/>
    </row>
    <row r="98" spans="1:45" ht="20.100000000000001" customHeight="1">
      <c r="A98" s="143"/>
      <c r="B98" s="254" t="s">
        <v>74</v>
      </c>
      <c r="C98" s="254"/>
      <c r="D98" s="253">
        <f>SUM(D94:D97)</f>
        <v>7</v>
      </c>
      <c r="E98" s="253">
        <f t="shared" ref="E98:AQ98" si="86">SUM(E94:E97)</f>
        <v>10</v>
      </c>
      <c r="F98" s="253">
        <f t="shared" si="86"/>
        <v>15</v>
      </c>
      <c r="G98" s="253">
        <f t="shared" si="86"/>
        <v>74</v>
      </c>
      <c r="H98" s="253">
        <f t="shared" si="86"/>
        <v>18</v>
      </c>
      <c r="I98" s="253">
        <f t="shared" si="86"/>
        <v>117</v>
      </c>
      <c r="J98" s="253">
        <f t="shared" si="86"/>
        <v>0</v>
      </c>
      <c r="K98" s="253">
        <f t="shared" si="86"/>
        <v>1</v>
      </c>
      <c r="L98" s="253">
        <f t="shared" si="86"/>
        <v>15</v>
      </c>
      <c r="M98" s="253">
        <f t="shared" si="86"/>
        <v>2</v>
      </c>
      <c r="N98" s="253">
        <f t="shared" si="86"/>
        <v>18</v>
      </c>
      <c r="O98" s="253">
        <f t="shared" si="86"/>
        <v>10</v>
      </c>
      <c r="P98" s="253">
        <f t="shared" si="86"/>
        <v>16</v>
      </c>
      <c r="Q98" s="253">
        <f t="shared" si="86"/>
        <v>89</v>
      </c>
      <c r="R98" s="253">
        <f t="shared" si="86"/>
        <v>20</v>
      </c>
      <c r="S98" s="253">
        <f t="shared" si="86"/>
        <v>135</v>
      </c>
      <c r="T98" s="253">
        <f t="shared" si="86"/>
        <v>1</v>
      </c>
      <c r="U98" s="253">
        <f t="shared" si="86"/>
        <v>11</v>
      </c>
      <c r="V98" s="253">
        <f t="shared" si="86"/>
        <v>83</v>
      </c>
      <c r="W98" s="253">
        <f t="shared" si="86"/>
        <v>7</v>
      </c>
      <c r="X98" s="253">
        <f t="shared" si="86"/>
        <v>102</v>
      </c>
      <c r="Y98" s="253">
        <f t="shared" si="86"/>
        <v>1</v>
      </c>
      <c r="Z98" s="253">
        <f t="shared" si="86"/>
        <v>11</v>
      </c>
      <c r="AA98" s="253">
        <f t="shared" si="86"/>
        <v>83</v>
      </c>
      <c r="AB98" s="253">
        <f t="shared" si="86"/>
        <v>7</v>
      </c>
      <c r="AC98" s="253">
        <f t="shared" si="86"/>
        <v>102</v>
      </c>
      <c r="AD98" s="253">
        <f t="shared" si="86"/>
        <v>3311910</v>
      </c>
      <c r="AE98" s="253">
        <f t="shared" si="86"/>
        <v>220320</v>
      </c>
      <c r="AF98" s="253">
        <f t="shared" si="86"/>
        <v>306000</v>
      </c>
      <c r="AG98" s="253">
        <f t="shared" si="86"/>
        <v>122400</v>
      </c>
      <c r="AH98" s="253">
        <f t="shared" si="86"/>
        <v>513000</v>
      </c>
      <c r="AI98" s="253">
        <f t="shared" si="86"/>
        <v>40800</v>
      </c>
      <c r="AJ98" s="253">
        <f t="shared" si="86"/>
        <v>35000</v>
      </c>
      <c r="AK98" s="253">
        <f t="shared" si="86"/>
        <v>34200</v>
      </c>
      <c r="AL98" s="253">
        <f t="shared" si="86"/>
        <v>48960</v>
      </c>
      <c r="AM98" s="253">
        <f t="shared" si="86"/>
        <v>1561407.84</v>
      </c>
      <c r="AN98" s="253">
        <f t="shared" si="86"/>
        <v>6193997.8399999999</v>
      </c>
      <c r="AO98" s="253">
        <f t="shared" si="86"/>
        <v>63.75</v>
      </c>
      <c r="AP98" s="253">
        <f t="shared" si="86"/>
        <v>6194061.5899999999</v>
      </c>
      <c r="AQ98" s="253">
        <f t="shared" si="86"/>
        <v>6080897.25</v>
      </c>
      <c r="AR98" s="246"/>
    </row>
    <row r="99" spans="1:45" ht="20.100000000000001" customHeight="1">
      <c r="A99" s="141" t="s">
        <v>35</v>
      </c>
      <c r="B99" s="143" t="s">
        <v>147</v>
      </c>
      <c r="C99" s="143" t="s">
        <v>334</v>
      </c>
      <c r="D99" s="144">
        <v>2</v>
      </c>
      <c r="E99" s="153">
        <v>4</v>
      </c>
      <c r="F99" s="154">
        <v>3</v>
      </c>
      <c r="G99" s="153">
        <v>27</v>
      </c>
      <c r="H99" s="154">
        <v>2</v>
      </c>
      <c r="I99" s="142">
        <f t="shared" si="56"/>
        <v>36</v>
      </c>
      <c r="J99" s="144"/>
      <c r="K99" s="144"/>
      <c r="L99" s="144"/>
      <c r="M99" s="144"/>
      <c r="N99" s="142">
        <f t="shared" si="57"/>
        <v>0</v>
      </c>
      <c r="O99" s="142">
        <f>E99+J99</f>
        <v>4</v>
      </c>
      <c r="P99" s="142">
        <f t="shared" ref="P99:R112" si="87">F99+K99</f>
        <v>3</v>
      </c>
      <c r="Q99" s="142">
        <f t="shared" si="87"/>
        <v>27</v>
      </c>
      <c r="R99" s="142">
        <f t="shared" si="87"/>
        <v>2</v>
      </c>
      <c r="S99" s="147">
        <f t="shared" si="58"/>
        <v>36</v>
      </c>
      <c r="T99" s="142">
        <v>0</v>
      </c>
      <c r="U99" s="142">
        <v>3</v>
      </c>
      <c r="V99" s="142">
        <v>30</v>
      </c>
      <c r="W99" s="142">
        <v>2</v>
      </c>
      <c r="X99" s="147">
        <f t="shared" si="59"/>
        <v>35</v>
      </c>
      <c r="Y99" s="144">
        <v>0</v>
      </c>
      <c r="Z99" s="144">
        <v>3</v>
      </c>
      <c r="AA99" s="144">
        <v>30</v>
      </c>
      <c r="AB99" s="144">
        <v>2</v>
      </c>
      <c r="AC99" s="142">
        <f t="shared" si="60"/>
        <v>35</v>
      </c>
      <c r="AD99" s="142">
        <f t="shared" ref="AD99:AD106" si="88">(Y99*6800+Z99*5950+AA99*5395+AB99*4500)*12</f>
        <v>2264400</v>
      </c>
      <c r="AE99" s="142">
        <f t="shared" si="61"/>
        <v>151200</v>
      </c>
      <c r="AF99" s="142">
        <f t="shared" si="62"/>
        <v>210000</v>
      </c>
      <c r="AG99" s="142">
        <f t="shared" si="63"/>
        <v>84000</v>
      </c>
      <c r="AH99" s="142">
        <f t="shared" ref="AH99:AH106" si="89">AC99*10000</f>
        <v>350000</v>
      </c>
      <c r="AI99" s="142">
        <f t="shared" si="64"/>
        <v>28000</v>
      </c>
      <c r="AJ99" s="142">
        <f t="shared" si="65"/>
        <v>20000</v>
      </c>
      <c r="AK99" s="142">
        <f t="shared" si="66"/>
        <v>22800</v>
      </c>
      <c r="AL99" s="142">
        <f t="shared" si="67"/>
        <v>33600</v>
      </c>
      <c r="AM99" s="142">
        <f t="shared" si="68"/>
        <v>1071554.3999999999</v>
      </c>
      <c r="AN99" s="142">
        <f t="shared" si="69"/>
        <v>4235554.4000000004</v>
      </c>
      <c r="AO99" s="148"/>
      <c r="AP99" s="149">
        <f>AN99+AO99</f>
        <v>4235554.4000000004</v>
      </c>
      <c r="AQ99" s="149">
        <f t="shared" si="70"/>
        <v>4158170.82</v>
      </c>
    </row>
    <row r="100" spans="1:45" ht="20.100000000000001" customHeight="1">
      <c r="A100" s="141" t="s">
        <v>35</v>
      </c>
      <c r="B100" s="143" t="s">
        <v>394</v>
      </c>
      <c r="C100" s="143" t="s">
        <v>334</v>
      </c>
      <c r="D100" s="144">
        <v>2</v>
      </c>
      <c r="E100" s="153">
        <v>4</v>
      </c>
      <c r="F100" s="154">
        <v>2</v>
      </c>
      <c r="G100" s="153">
        <v>26</v>
      </c>
      <c r="H100" s="154">
        <v>2</v>
      </c>
      <c r="I100" s="142">
        <f t="shared" si="56"/>
        <v>34</v>
      </c>
      <c r="J100" s="144"/>
      <c r="K100" s="144"/>
      <c r="L100" s="144"/>
      <c r="M100" s="144"/>
      <c r="N100" s="142">
        <f t="shared" si="57"/>
        <v>0</v>
      </c>
      <c r="O100" s="142">
        <f t="shared" ref="O100:O112" si="90">E100+J100</f>
        <v>4</v>
      </c>
      <c r="P100" s="142">
        <f t="shared" si="87"/>
        <v>2</v>
      </c>
      <c r="Q100" s="142">
        <f t="shared" si="87"/>
        <v>26</v>
      </c>
      <c r="R100" s="142">
        <f t="shared" si="87"/>
        <v>2</v>
      </c>
      <c r="S100" s="147">
        <f t="shared" si="58"/>
        <v>34</v>
      </c>
      <c r="T100" s="144">
        <v>0</v>
      </c>
      <c r="U100" s="144">
        <v>6</v>
      </c>
      <c r="V100" s="144">
        <v>28</v>
      </c>
      <c r="W100" s="144">
        <v>2</v>
      </c>
      <c r="X100" s="147">
        <f t="shared" si="59"/>
        <v>36</v>
      </c>
      <c r="Y100" s="142">
        <v>4</v>
      </c>
      <c r="Z100" s="142">
        <v>2</v>
      </c>
      <c r="AA100" s="142">
        <v>26</v>
      </c>
      <c r="AB100" s="142">
        <v>2</v>
      </c>
      <c r="AC100" s="142">
        <f t="shared" si="60"/>
        <v>34</v>
      </c>
      <c r="AD100" s="142">
        <f t="shared" si="88"/>
        <v>2260440</v>
      </c>
      <c r="AE100" s="142">
        <f t="shared" si="61"/>
        <v>146880</v>
      </c>
      <c r="AF100" s="142">
        <f t="shared" si="62"/>
        <v>204000</v>
      </c>
      <c r="AG100" s="142">
        <f t="shared" si="63"/>
        <v>81600</v>
      </c>
      <c r="AH100" s="142">
        <f t="shared" si="89"/>
        <v>340000</v>
      </c>
      <c r="AI100" s="142">
        <f t="shared" si="64"/>
        <v>27200</v>
      </c>
      <c r="AJ100" s="142">
        <f t="shared" si="65"/>
        <v>20000</v>
      </c>
      <c r="AK100" s="142">
        <f t="shared" si="66"/>
        <v>24000</v>
      </c>
      <c r="AL100" s="142">
        <f t="shared" si="67"/>
        <v>32640</v>
      </c>
      <c r="AM100" s="142">
        <f t="shared" si="68"/>
        <v>1040938.56</v>
      </c>
      <c r="AN100" s="142">
        <f t="shared" si="69"/>
        <v>4177698.56</v>
      </c>
      <c r="AO100" s="148"/>
      <c r="AP100" s="149">
        <f t="shared" ref="AP100:AP112" si="91">AN100+AO100</f>
        <v>4177698.56</v>
      </c>
      <c r="AQ100" s="149">
        <f t="shared" si="70"/>
        <v>4101372.01</v>
      </c>
    </row>
    <row r="101" spans="1:45" ht="20.100000000000001" customHeight="1">
      <c r="A101" s="141" t="s">
        <v>35</v>
      </c>
      <c r="B101" s="143" t="s">
        <v>395</v>
      </c>
      <c r="C101" s="143" t="s">
        <v>334</v>
      </c>
      <c r="D101" s="144">
        <v>2</v>
      </c>
      <c r="E101" s="153">
        <v>3</v>
      </c>
      <c r="F101" s="154">
        <v>3</v>
      </c>
      <c r="G101" s="153">
        <v>33</v>
      </c>
      <c r="H101" s="154">
        <v>5</v>
      </c>
      <c r="I101" s="142">
        <f t="shared" si="56"/>
        <v>44</v>
      </c>
      <c r="J101" s="144"/>
      <c r="K101" s="144"/>
      <c r="L101" s="144"/>
      <c r="M101" s="144"/>
      <c r="N101" s="142">
        <f t="shared" si="57"/>
        <v>0</v>
      </c>
      <c r="O101" s="142">
        <f t="shared" si="90"/>
        <v>3</v>
      </c>
      <c r="P101" s="142">
        <f t="shared" si="87"/>
        <v>3</v>
      </c>
      <c r="Q101" s="142">
        <f t="shared" si="87"/>
        <v>33</v>
      </c>
      <c r="R101" s="142">
        <f t="shared" si="87"/>
        <v>5</v>
      </c>
      <c r="S101" s="147">
        <f t="shared" si="58"/>
        <v>44</v>
      </c>
      <c r="T101" s="144">
        <v>0</v>
      </c>
      <c r="U101" s="144">
        <v>5</v>
      </c>
      <c r="V101" s="144">
        <v>29</v>
      </c>
      <c r="W101" s="144">
        <v>5</v>
      </c>
      <c r="X101" s="147">
        <f t="shared" si="59"/>
        <v>39</v>
      </c>
      <c r="Y101" s="142">
        <v>0</v>
      </c>
      <c r="Z101" s="142">
        <v>5</v>
      </c>
      <c r="AA101" s="142">
        <v>29</v>
      </c>
      <c r="AB101" s="142">
        <v>5</v>
      </c>
      <c r="AC101" s="142">
        <f t="shared" si="60"/>
        <v>39</v>
      </c>
      <c r="AD101" s="142">
        <f t="shared" si="88"/>
        <v>2504460</v>
      </c>
      <c r="AE101" s="142">
        <f t="shared" si="61"/>
        <v>168480</v>
      </c>
      <c r="AF101" s="142">
        <f t="shared" si="62"/>
        <v>234000</v>
      </c>
      <c r="AG101" s="142">
        <f t="shared" si="63"/>
        <v>93600</v>
      </c>
      <c r="AH101" s="142">
        <f t="shared" si="89"/>
        <v>390000</v>
      </c>
      <c r="AI101" s="142">
        <f t="shared" si="64"/>
        <v>31200</v>
      </c>
      <c r="AJ101" s="142">
        <f t="shared" si="65"/>
        <v>20000</v>
      </c>
      <c r="AK101" s="142">
        <f t="shared" si="66"/>
        <v>26400</v>
      </c>
      <c r="AL101" s="142">
        <f t="shared" si="67"/>
        <v>37440</v>
      </c>
      <c r="AM101" s="142">
        <f t="shared" si="68"/>
        <v>1194017.76</v>
      </c>
      <c r="AN101" s="142">
        <f t="shared" si="69"/>
        <v>4699597.76</v>
      </c>
      <c r="AO101" s="148"/>
      <c r="AP101" s="149">
        <f t="shared" si="91"/>
        <v>4699597.76</v>
      </c>
      <c r="AQ101" s="149">
        <f t="shared" si="70"/>
        <v>4613736.1100000003</v>
      </c>
    </row>
    <row r="102" spans="1:45" ht="20.100000000000001" customHeight="1">
      <c r="A102" s="141" t="s">
        <v>35</v>
      </c>
      <c r="B102" s="143" t="s">
        <v>396</v>
      </c>
      <c r="C102" s="143" t="s">
        <v>334</v>
      </c>
      <c r="D102" s="144">
        <v>3</v>
      </c>
      <c r="E102" s="153">
        <v>2</v>
      </c>
      <c r="F102" s="154">
        <v>3</v>
      </c>
      <c r="G102" s="153">
        <v>25</v>
      </c>
      <c r="H102" s="154">
        <v>3</v>
      </c>
      <c r="I102" s="142">
        <f t="shared" si="56"/>
        <v>33</v>
      </c>
      <c r="J102" s="144"/>
      <c r="K102" s="144">
        <v>2</v>
      </c>
      <c r="L102" s="144">
        <v>8</v>
      </c>
      <c r="M102" s="144">
        <v>2</v>
      </c>
      <c r="N102" s="142">
        <f t="shared" si="57"/>
        <v>12</v>
      </c>
      <c r="O102" s="142">
        <f t="shared" si="90"/>
        <v>2</v>
      </c>
      <c r="P102" s="142">
        <f t="shared" si="87"/>
        <v>5</v>
      </c>
      <c r="Q102" s="142">
        <f t="shared" si="87"/>
        <v>33</v>
      </c>
      <c r="R102" s="142">
        <f t="shared" si="87"/>
        <v>5</v>
      </c>
      <c r="S102" s="147">
        <f t="shared" si="58"/>
        <v>45</v>
      </c>
      <c r="T102" s="144">
        <v>0</v>
      </c>
      <c r="U102" s="144">
        <v>4</v>
      </c>
      <c r="V102" s="144">
        <v>32</v>
      </c>
      <c r="W102" s="144">
        <v>10</v>
      </c>
      <c r="X102" s="147">
        <f t="shared" si="59"/>
        <v>46</v>
      </c>
      <c r="Y102" s="142">
        <v>2</v>
      </c>
      <c r="Z102" s="142">
        <v>5</v>
      </c>
      <c r="AA102" s="142">
        <v>33</v>
      </c>
      <c r="AB102" s="142">
        <v>5</v>
      </c>
      <c r="AC102" s="142">
        <f t="shared" si="60"/>
        <v>45</v>
      </c>
      <c r="AD102" s="142">
        <f t="shared" si="88"/>
        <v>2926620</v>
      </c>
      <c r="AE102" s="142">
        <f t="shared" si="61"/>
        <v>194400</v>
      </c>
      <c r="AF102" s="142">
        <f t="shared" si="62"/>
        <v>270000</v>
      </c>
      <c r="AG102" s="142">
        <f t="shared" si="63"/>
        <v>108000</v>
      </c>
      <c r="AH102" s="142">
        <f t="shared" si="89"/>
        <v>450000</v>
      </c>
      <c r="AI102" s="142">
        <f t="shared" si="64"/>
        <v>36000</v>
      </c>
      <c r="AJ102" s="142">
        <f t="shared" si="65"/>
        <v>30000</v>
      </c>
      <c r="AK102" s="142">
        <f t="shared" si="66"/>
        <v>31200</v>
      </c>
      <c r="AL102" s="142">
        <f t="shared" si="67"/>
        <v>43200</v>
      </c>
      <c r="AM102" s="142">
        <f t="shared" si="68"/>
        <v>1377712.8</v>
      </c>
      <c r="AN102" s="142">
        <f t="shared" si="69"/>
        <v>5467132.7999999998</v>
      </c>
      <c r="AO102" s="148"/>
      <c r="AP102" s="149">
        <f t="shared" si="91"/>
        <v>5467132.7999999998</v>
      </c>
      <c r="AQ102" s="149">
        <f t="shared" si="70"/>
        <v>5367248.28</v>
      </c>
    </row>
    <row r="103" spans="1:45" ht="20.100000000000001" customHeight="1">
      <c r="A103" s="141" t="s">
        <v>35</v>
      </c>
      <c r="B103" s="143" t="s">
        <v>112</v>
      </c>
      <c r="C103" s="143" t="s">
        <v>37</v>
      </c>
      <c r="D103" s="144"/>
      <c r="E103" s="153">
        <v>0</v>
      </c>
      <c r="F103" s="154">
        <v>9</v>
      </c>
      <c r="G103" s="153">
        <v>0</v>
      </c>
      <c r="H103" s="154">
        <v>6</v>
      </c>
      <c r="I103" s="142">
        <f t="shared" si="56"/>
        <v>15</v>
      </c>
      <c r="J103" s="144"/>
      <c r="K103" s="144"/>
      <c r="L103" s="144"/>
      <c r="M103" s="144"/>
      <c r="N103" s="142">
        <f t="shared" si="57"/>
        <v>0</v>
      </c>
      <c r="O103" s="142">
        <f t="shared" si="90"/>
        <v>0</v>
      </c>
      <c r="P103" s="142">
        <f t="shared" si="87"/>
        <v>9</v>
      </c>
      <c r="Q103" s="142">
        <f t="shared" si="87"/>
        <v>0</v>
      </c>
      <c r="R103" s="142">
        <f t="shared" si="87"/>
        <v>6</v>
      </c>
      <c r="S103" s="147">
        <f t="shared" si="58"/>
        <v>15</v>
      </c>
      <c r="T103" s="144">
        <v>0</v>
      </c>
      <c r="U103" s="144">
        <v>0</v>
      </c>
      <c r="V103" s="144">
        <v>0</v>
      </c>
      <c r="W103" s="144">
        <v>8</v>
      </c>
      <c r="X103" s="147">
        <f t="shared" si="59"/>
        <v>8</v>
      </c>
      <c r="Y103" s="142">
        <v>0</v>
      </c>
      <c r="Z103" s="142">
        <v>0</v>
      </c>
      <c r="AA103" s="142">
        <v>0</v>
      </c>
      <c r="AB103" s="142">
        <v>8</v>
      </c>
      <c r="AC103" s="142">
        <f t="shared" si="60"/>
        <v>8</v>
      </c>
      <c r="AD103" s="142">
        <f t="shared" si="88"/>
        <v>432000</v>
      </c>
      <c r="AE103" s="142">
        <f t="shared" si="61"/>
        <v>34560</v>
      </c>
      <c r="AF103" s="142">
        <f t="shared" si="62"/>
        <v>48000</v>
      </c>
      <c r="AG103" s="142">
        <f t="shared" si="63"/>
        <v>19200</v>
      </c>
      <c r="AH103" s="142">
        <f t="shared" si="89"/>
        <v>80000</v>
      </c>
      <c r="AI103" s="142">
        <f t="shared" si="64"/>
        <v>6400</v>
      </c>
      <c r="AJ103" s="142">
        <f t="shared" si="65"/>
        <v>0</v>
      </c>
      <c r="AK103" s="142">
        <f t="shared" si="66"/>
        <v>4800</v>
      </c>
      <c r="AL103" s="142">
        <f t="shared" si="67"/>
        <v>7680</v>
      </c>
      <c r="AM103" s="142">
        <f t="shared" si="68"/>
        <v>244926.72</v>
      </c>
      <c r="AN103" s="142">
        <f t="shared" si="69"/>
        <v>877566.72</v>
      </c>
      <c r="AO103" s="148"/>
      <c r="AP103" s="148">
        <f t="shared" si="91"/>
        <v>877566.72</v>
      </c>
      <c r="AQ103" s="149">
        <f t="shared" si="70"/>
        <v>861533.58</v>
      </c>
    </row>
    <row r="104" spans="1:45" ht="20.100000000000001" customHeight="1">
      <c r="A104" s="141" t="s">
        <v>35</v>
      </c>
      <c r="B104" s="143" t="s">
        <v>397</v>
      </c>
      <c r="C104" s="143" t="s">
        <v>37</v>
      </c>
      <c r="D104" s="144"/>
      <c r="E104" s="153">
        <v>34</v>
      </c>
      <c r="F104" s="154">
        <v>24</v>
      </c>
      <c r="G104" s="153">
        <v>0</v>
      </c>
      <c r="H104" s="154">
        <v>12</v>
      </c>
      <c r="I104" s="142">
        <f t="shared" si="56"/>
        <v>70</v>
      </c>
      <c r="J104" s="144"/>
      <c r="K104" s="144"/>
      <c r="L104" s="144"/>
      <c r="M104" s="144">
        <v>1</v>
      </c>
      <c r="N104" s="142">
        <f t="shared" si="57"/>
        <v>1</v>
      </c>
      <c r="O104" s="142">
        <f t="shared" si="90"/>
        <v>34</v>
      </c>
      <c r="P104" s="142">
        <f t="shared" si="87"/>
        <v>24</v>
      </c>
      <c r="Q104" s="142">
        <f t="shared" si="87"/>
        <v>0</v>
      </c>
      <c r="R104" s="142">
        <f t="shared" si="87"/>
        <v>13</v>
      </c>
      <c r="S104" s="147">
        <f t="shared" si="58"/>
        <v>71</v>
      </c>
      <c r="T104" s="144">
        <v>9</v>
      </c>
      <c r="U104" s="144">
        <v>16</v>
      </c>
      <c r="V104" s="144">
        <v>0</v>
      </c>
      <c r="W104" s="144">
        <v>5</v>
      </c>
      <c r="X104" s="147">
        <f t="shared" si="59"/>
        <v>30</v>
      </c>
      <c r="Y104" s="142">
        <v>9</v>
      </c>
      <c r="Z104" s="142">
        <v>16</v>
      </c>
      <c r="AA104" s="142">
        <v>0</v>
      </c>
      <c r="AB104" s="142">
        <v>5</v>
      </c>
      <c r="AC104" s="142">
        <f t="shared" si="60"/>
        <v>30</v>
      </c>
      <c r="AD104" s="142">
        <f t="shared" si="88"/>
        <v>2146800</v>
      </c>
      <c r="AE104" s="142">
        <f t="shared" si="61"/>
        <v>129600</v>
      </c>
      <c r="AF104" s="142">
        <f t="shared" si="62"/>
        <v>180000</v>
      </c>
      <c r="AG104" s="142">
        <f t="shared" si="63"/>
        <v>72000</v>
      </c>
      <c r="AH104" s="142">
        <f t="shared" si="89"/>
        <v>300000</v>
      </c>
      <c r="AI104" s="142">
        <f t="shared" si="64"/>
        <v>24000</v>
      </c>
      <c r="AJ104" s="142">
        <f t="shared" si="65"/>
        <v>0</v>
      </c>
      <c r="AK104" s="142">
        <f t="shared" si="66"/>
        <v>33000</v>
      </c>
      <c r="AL104" s="142">
        <f t="shared" si="67"/>
        <v>28800</v>
      </c>
      <c r="AM104" s="142">
        <f t="shared" si="68"/>
        <v>918475.2</v>
      </c>
      <c r="AN104" s="142">
        <f t="shared" si="69"/>
        <v>3832675.2</v>
      </c>
      <c r="AO104" s="148">
        <v>171104.5</v>
      </c>
      <c r="AP104" s="148">
        <f t="shared" si="91"/>
        <v>4003779.7</v>
      </c>
      <c r="AQ104" s="149">
        <f t="shared" si="70"/>
        <v>3933756.72</v>
      </c>
    </row>
    <row r="105" spans="1:45" ht="20.100000000000001" customHeight="1">
      <c r="A105" s="141" t="s">
        <v>35</v>
      </c>
      <c r="B105" s="143" t="s">
        <v>398</v>
      </c>
      <c r="C105" s="143" t="s">
        <v>37</v>
      </c>
      <c r="D105" s="144"/>
      <c r="E105" s="153">
        <v>3</v>
      </c>
      <c r="F105" s="154">
        <v>8</v>
      </c>
      <c r="G105" s="153">
        <v>0</v>
      </c>
      <c r="H105" s="154">
        <v>5</v>
      </c>
      <c r="I105" s="142">
        <f t="shared" si="56"/>
        <v>16</v>
      </c>
      <c r="J105" s="144"/>
      <c r="K105" s="144"/>
      <c r="L105" s="144"/>
      <c r="M105" s="144"/>
      <c r="N105" s="142">
        <f t="shared" si="57"/>
        <v>0</v>
      </c>
      <c r="O105" s="142">
        <f t="shared" si="90"/>
        <v>3</v>
      </c>
      <c r="P105" s="142">
        <f t="shared" si="87"/>
        <v>8</v>
      </c>
      <c r="Q105" s="142">
        <f t="shared" si="87"/>
        <v>0</v>
      </c>
      <c r="R105" s="142">
        <f t="shared" si="87"/>
        <v>5</v>
      </c>
      <c r="S105" s="147">
        <f t="shared" si="58"/>
        <v>16</v>
      </c>
      <c r="T105" s="144">
        <v>6</v>
      </c>
      <c r="U105" s="144">
        <v>4</v>
      </c>
      <c r="V105" s="144">
        <v>0</v>
      </c>
      <c r="W105" s="144">
        <v>3</v>
      </c>
      <c r="X105" s="147">
        <f t="shared" si="59"/>
        <v>13</v>
      </c>
      <c r="Y105" s="142">
        <v>6</v>
      </c>
      <c r="Z105" s="142">
        <v>4</v>
      </c>
      <c r="AA105" s="142">
        <v>0</v>
      </c>
      <c r="AB105" s="142">
        <v>3</v>
      </c>
      <c r="AC105" s="142">
        <f t="shared" si="60"/>
        <v>13</v>
      </c>
      <c r="AD105" s="142">
        <f t="shared" si="88"/>
        <v>937200</v>
      </c>
      <c r="AE105" s="142">
        <f t="shared" si="61"/>
        <v>56160</v>
      </c>
      <c r="AF105" s="142">
        <f t="shared" si="62"/>
        <v>78000</v>
      </c>
      <c r="AG105" s="142">
        <f t="shared" si="63"/>
        <v>31200</v>
      </c>
      <c r="AH105" s="142">
        <f t="shared" si="89"/>
        <v>130000</v>
      </c>
      <c r="AI105" s="142">
        <f t="shared" si="64"/>
        <v>10400</v>
      </c>
      <c r="AJ105" s="142">
        <f t="shared" si="65"/>
        <v>0</v>
      </c>
      <c r="AK105" s="142">
        <f t="shared" si="66"/>
        <v>13800</v>
      </c>
      <c r="AL105" s="142">
        <f t="shared" si="67"/>
        <v>12480</v>
      </c>
      <c r="AM105" s="142">
        <f t="shared" si="68"/>
        <v>398005.92</v>
      </c>
      <c r="AN105" s="142">
        <f t="shared" si="69"/>
        <v>1667245.92</v>
      </c>
      <c r="AO105" s="148">
        <v>42461</v>
      </c>
      <c r="AP105" s="148">
        <f t="shared" si="91"/>
        <v>1709706.92</v>
      </c>
      <c r="AQ105" s="149">
        <f t="shared" si="70"/>
        <v>1679246.34</v>
      </c>
    </row>
    <row r="106" spans="1:45" s="61" customFormat="1" ht="20.100000000000001" customHeight="1">
      <c r="A106" s="141" t="s">
        <v>35</v>
      </c>
      <c r="B106" s="143" t="s">
        <v>113</v>
      </c>
      <c r="C106" s="143" t="s">
        <v>37</v>
      </c>
      <c r="D106" s="144"/>
      <c r="E106" s="153">
        <v>1</v>
      </c>
      <c r="F106" s="154">
        <v>9</v>
      </c>
      <c r="G106" s="153">
        <v>0</v>
      </c>
      <c r="H106" s="154">
        <v>6</v>
      </c>
      <c r="I106" s="142">
        <f t="shared" si="56"/>
        <v>16</v>
      </c>
      <c r="J106" s="144"/>
      <c r="K106" s="144"/>
      <c r="L106" s="144"/>
      <c r="M106" s="144">
        <v>1</v>
      </c>
      <c r="N106" s="142">
        <f t="shared" si="57"/>
        <v>1</v>
      </c>
      <c r="O106" s="142">
        <f t="shared" si="90"/>
        <v>1</v>
      </c>
      <c r="P106" s="142">
        <f t="shared" si="87"/>
        <v>9</v>
      </c>
      <c r="Q106" s="142">
        <f t="shared" si="87"/>
        <v>0</v>
      </c>
      <c r="R106" s="142">
        <f t="shared" si="87"/>
        <v>7</v>
      </c>
      <c r="S106" s="147">
        <f t="shared" si="58"/>
        <v>17</v>
      </c>
      <c r="T106" s="144">
        <v>9</v>
      </c>
      <c r="U106" s="144">
        <v>3</v>
      </c>
      <c r="V106" s="144">
        <v>0</v>
      </c>
      <c r="W106" s="144">
        <v>6</v>
      </c>
      <c r="X106" s="147">
        <f t="shared" si="59"/>
        <v>18</v>
      </c>
      <c r="Y106" s="142">
        <v>1</v>
      </c>
      <c r="Z106" s="142">
        <v>9</v>
      </c>
      <c r="AA106" s="142">
        <v>0</v>
      </c>
      <c r="AB106" s="142">
        <v>7</v>
      </c>
      <c r="AC106" s="142">
        <f t="shared" si="60"/>
        <v>17</v>
      </c>
      <c r="AD106" s="142">
        <f t="shared" si="88"/>
        <v>1102200</v>
      </c>
      <c r="AE106" s="142">
        <f t="shared" si="61"/>
        <v>73440</v>
      </c>
      <c r="AF106" s="142">
        <f t="shared" si="62"/>
        <v>102000</v>
      </c>
      <c r="AG106" s="142">
        <f t="shared" si="63"/>
        <v>40800</v>
      </c>
      <c r="AH106" s="142">
        <f t="shared" si="89"/>
        <v>170000</v>
      </c>
      <c r="AI106" s="142">
        <f t="shared" si="64"/>
        <v>13600</v>
      </c>
      <c r="AJ106" s="142">
        <f t="shared" si="65"/>
        <v>0</v>
      </c>
      <c r="AK106" s="142">
        <f t="shared" si="66"/>
        <v>16200</v>
      </c>
      <c r="AL106" s="142">
        <f t="shared" si="67"/>
        <v>16320</v>
      </c>
      <c r="AM106" s="142">
        <f t="shared" si="68"/>
        <v>520469.28</v>
      </c>
      <c r="AN106" s="142">
        <f t="shared" si="69"/>
        <v>2055029.28</v>
      </c>
      <c r="AO106" s="150">
        <v>37234</v>
      </c>
      <c r="AP106" s="148">
        <f t="shared" si="91"/>
        <v>2092263.28</v>
      </c>
      <c r="AQ106" s="149">
        <f t="shared" si="70"/>
        <v>2054717.9</v>
      </c>
    </row>
    <row r="107" spans="1:45" ht="20.100000000000001" customHeight="1">
      <c r="A107" s="141" t="s">
        <v>35</v>
      </c>
      <c r="B107" s="143" t="s">
        <v>399</v>
      </c>
      <c r="C107" s="143" t="s">
        <v>66</v>
      </c>
      <c r="D107" s="144"/>
      <c r="E107" s="153">
        <v>10</v>
      </c>
      <c r="F107" s="154">
        <v>11</v>
      </c>
      <c r="G107" s="153">
        <v>0</v>
      </c>
      <c r="H107" s="154">
        <v>6</v>
      </c>
      <c r="I107" s="142">
        <f t="shared" si="56"/>
        <v>27</v>
      </c>
      <c r="J107" s="144">
        <v>2</v>
      </c>
      <c r="K107" s="144">
        <v>2</v>
      </c>
      <c r="L107" s="144"/>
      <c r="M107" s="144"/>
      <c r="N107" s="142">
        <f t="shared" si="57"/>
        <v>4</v>
      </c>
      <c r="O107" s="142">
        <f t="shared" si="90"/>
        <v>12</v>
      </c>
      <c r="P107" s="142">
        <f t="shared" si="87"/>
        <v>13</v>
      </c>
      <c r="Q107" s="142">
        <f t="shared" si="87"/>
        <v>0</v>
      </c>
      <c r="R107" s="142">
        <f t="shared" si="87"/>
        <v>6</v>
      </c>
      <c r="S107" s="147">
        <f t="shared" si="58"/>
        <v>31</v>
      </c>
      <c r="T107" s="144">
        <v>6</v>
      </c>
      <c r="U107" s="144">
        <v>7</v>
      </c>
      <c r="V107" s="144">
        <v>0</v>
      </c>
      <c r="W107" s="144">
        <v>4</v>
      </c>
      <c r="X107" s="147">
        <f t="shared" si="59"/>
        <v>17</v>
      </c>
      <c r="Y107" s="142">
        <v>6</v>
      </c>
      <c r="Z107" s="142">
        <v>7</v>
      </c>
      <c r="AA107" s="142">
        <v>0</v>
      </c>
      <c r="AB107" s="142">
        <v>4</v>
      </c>
      <c r="AC107" s="142">
        <f t="shared" si="60"/>
        <v>17</v>
      </c>
      <c r="AD107" s="142">
        <f t="shared" ref="AD107:AD108" si="92">(Y107*7700+Z107*5950+AA107*5395+AB107*4500)*12</f>
        <v>1270200</v>
      </c>
      <c r="AE107" s="142">
        <f t="shared" si="61"/>
        <v>73440</v>
      </c>
      <c r="AF107" s="142">
        <f t="shared" si="62"/>
        <v>102000</v>
      </c>
      <c r="AG107" s="142">
        <f t="shared" si="63"/>
        <v>40800</v>
      </c>
      <c r="AH107" s="142">
        <f t="shared" ref="AH107:AH110" si="93">(Y107*16000)+(Z107*10000+AA107*10000+AB107*10000)</f>
        <v>206000</v>
      </c>
      <c r="AI107" s="142">
        <f t="shared" si="64"/>
        <v>13600</v>
      </c>
      <c r="AJ107" s="142">
        <f t="shared" si="65"/>
        <v>0</v>
      </c>
      <c r="AK107" s="142">
        <f t="shared" si="66"/>
        <v>18000</v>
      </c>
      <c r="AL107" s="142">
        <f t="shared" si="67"/>
        <v>16320</v>
      </c>
      <c r="AM107" s="142">
        <f t="shared" si="68"/>
        <v>520469.28</v>
      </c>
      <c r="AN107" s="142">
        <f t="shared" si="69"/>
        <v>2260829.2799999998</v>
      </c>
      <c r="AO107" s="148">
        <v>76819</v>
      </c>
      <c r="AP107" s="148">
        <f t="shared" si="91"/>
        <v>2337648.2799999998</v>
      </c>
      <c r="AQ107" s="149">
        <f t="shared" si="70"/>
        <v>2296342.9300000002</v>
      </c>
    </row>
    <row r="108" spans="1:45" ht="20.100000000000001" customHeight="1">
      <c r="A108" s="141" t="s">
        <v>35</v>
      </c>
      <c r="B108" s="143" t="s">
        <v>400</v>
      </c>
      <c r="C108" s="143" t="s">
        <v>66</v>
      </c>
      <c r="D108" s="144"/>
      <c r="E108" s="153">
        <v>16</v>
      </c>
      <c r="F108" s="154">
        <v>10</v>
      </c>
      <c r="G108" s="153">
        <v>0</v>
      </c>
      <c r="H108" s="154">
        <v>9</v>
      </c>
      <c r="I108" s="142">
        <f t="shared" si="56"/>
        <v>35</v>
      </c>
      <c r="J108" s="144">
        <v>5</v>
      </c>
      <c r="K108" s="144"/>
      <c r="L108" s="144"/>
      <c r="M108" s="144"/>
      <c r="N108" s="142">
        <f t="shared" si="57"/>
        <v>5</v>
      </c>
      <c r="O108" s="142">
        <f t="shared" si="90"/>
        <v>21</v>
      </c>
      <c r="P108" s="142">
        <f t="shared" si="87"/>
        <v>10</v>
      </c>
      <c r="Q108" s="142">
        <f t="shared" si="87"/>
        <v>0</v>
      </c>
      <c r="R108" s="142">
        <f t="shared" si="87"/>
        <v>9</v>
      </c>
      <c r="S108" s="147">
        <f t="shared" si="58"/>
        <v>40</v>
      </c>
      <c r="T108" s="144">
        <v>11</v>
      </c>
      <c r="U108" s="144">
        <v>9</v>
      </c>
      <c r="V108" s="144">
        <v>0</v>
      </c>
      <c r="W108" s="144">
        <v>7</v>
      </c>
      <c r="X108" s="147">
        <f t="shared" si="59"/>
        <v>27</v>
      </c>
      <c r="Y108" s="142">
        <v>11</v>
      </c>
      <c r="Z108" s="142">
        <v>9</v>
      </c>
      <c r="AA108" s="142">
        <v>0</v>
      </c>
      <c r="AB108" s="142">
        <v>7</v>
      </c>
      <c r="AC108" s="142">
        <f t="shared" si="60"/>
        <v>27</v>
      </c>
      <c r="AD108" s="142">
        <f t="shared" si="92"/>
        <v>2037000</v>
      </c>
      <c r="AE108" s="142">
        <f t="shared" si="61"/>
        <v>116640</v>
      </c>
      <c r="AF108" s="142">
        <f t="shared" si="62"/>
        <v>162000</v>
      </c>
      <c r="AG108" s="142">
        <f t="shared" si="63"/>
        <v>64800</v>
      </c>
      <c r="AH108" s="142">
        <f t="shared" si="93"/>
        <v>336000</v>
      </c>
      <c r="AI108" s="142">
        <f t="shared" si="64"/>
        <v>21600</v>
      </c>
      <c r="AJ108" s="142">
        <f t="shared" si="65"/>
        <v>0</v>
      </c>
      <c r="AK108" s="142">
        <f t="shared" si="66"/>
        <v>28200</v>
      </c>
      <c r="AL108" s="142">
        <f t="shared" si="67"/>
        <v>25920</v>
      </c>
      <c r="AM108" s="142">
        <f t="shared" si="68"/>
        <v>826627.68</v>
      </c>
      <c r="AN108" s="142">
        <f t="shared" si="69"/>
        <v>3618787.68</v>
      </c>
      <c r="AO108" s="148">
        <v>121172</v>
      </c>
      <c r="AP108" s="148">
        <f t="shared" si="91"/>
        <v>3739959.68</v>
      </c>
      <c r="AQ108" s="149">
        <f t="shared" si="70"/>
        <v>3673844.43</v>
      </c>
    </row>
    <row r="109" spans="1:45" ht="20.100000000000001" customHeight="1">
      <c r="A109" s="141" t="s">
        <v>35</v>
      </c>
      <c r="B109" s="143" t="s">
        <v>401</v>
      </c>
      <c r="C109" s="143" t="s">
        <v>65</v>
      </c>
      <c r="D109" s="144"/>
      <c r="E109" s="153">
        <v>13</v>
      </c>
      <c r="F109" s="154">
        <v>12</v>
      </c>
      <c r="G109" s="153">
        <v>0</v>
      </c>
      <c r="H109" s="154">
        <v>10</v>
      </c>
      <c r="I109" s="142">
        <f t="shared" si="56"/>
        <v>35</v>
      </c>
      <c r="J109" s="144">
        <v>4</v>
      </c>
      <c r="K109" s="144">
        <v>1</v>
      </c>
      <c r="L109" s="144"/>
      <c r="M109" s="144"/>
      <c r="N109" s="142">
        <f t="shared" si="57"/>
        <v>5</v>
      </c>
      <c r="O109" s="142">
        <f t="shared" si="90"/>
        <v>17</v>
      </c>
      <c r="P109" s="142">
        <f t="shared" si="87"/>
        <v>13</v>
      </c>
      <c r="Q109" s="142">
        <f t="shared" si="87"/>
        <v>0</v>
      </c>
      <c r="R109" s="142">
        <f t="shared" si="87"/>
        <v>10</v>
      </c>
      <c r="S109" s="147">
        <f t="shared" si="58"/>
        <v>40</v>
      </c>
      <c r="T109" s="144">
        <v>10</v>
      </c>
      <c r="U109" s="144">
        <v>10</v>
      </c>
      <c r="V109" s="144">
        <v>0</v>
      </c>
      <c r="W109" s="144">
        <v>7</v>
      </c>
      <c r="X109" s="147">
        <f t="shared" si="59"/>
        <v>27</v>
      </c>
      <c r="Y109" s="142">
        <v>10</v>
      </c>
      <c r="Z109" s="142">
        <v>10</v>
      </c>
      <c r="AA109" s="142">
        <v>0</v>
      </c>
      <c r="AB109" s="142">
        <v>7</v>
      </c>
      <c r="AC109" s="142">
        <f t="shared" si="60"/>
        <v>27</v>
      </c>
      <c r="AD109" s="142">
        <f>(Y109*7250+Z109*5950+AA109*5395+AB109*4500)*12</f>
        <v>1962000</v>
      </c>
      <c r="AE109" s="142">
        <f t="shared" si="61"/>
        <v>116640</v>
      </c>
      <c r="AF109" s="142">
        <f t="shared" si="62"/>
        <v>162000</v>
      </c>
      <c r="AG109" s="142">
        <f t="shared" si="63"/>
        <v>64800</v>
      </c>
      <c r="AH109" s="142">
        <f t="shared" si="93"/>
        <v>330000</v>
      </c>
      <c r="AI109" s="142">
        <f t="shared" si="64"/>
        <v>21600</v>
      </c>
      <c r="AJ109" s="142">
        <f t="shared" si="65"/>
        <v>0</v>
      </c>
      <c r="AK109" s="142">
        <f t="shared" si="66"/>
        <v>28200</v>
      </c>
      <c r="AL109" s="142">
        <f t="shared" si="67"/>
        <v>25920</v>
      </c>
      <c r="AM109" s="142">
        <f t="shared" si="68"/>
        <v>826627.68</v>
      </c>
      <c r="AN109" s="142">
        <f t="shared" si="69"/>
        <v>3537787.68</v>
      </c>
      <c r="AO109" s="148">
        <v>118714</v>
      </c>
      <c r="AP109" s="148">
        <f t="shared" si="91"/>
        <v>3656501.68</v>
      </c>
      <c r="AQ109" s="149">
        <f t="shared" si="70"/>
        <v>3591866.3</v>
      </c>
    </row>
    <row r="110" spans="1:45" ht="20.100000000000001" customHeight="1">
      <c r="A110" s="141" t="s">
        <v>35</v>
      </c>
      <c r="B110" s="143" t="s">
        <v>76</v>
      </c>
      <c r="C110" s="143" t="s">
        <v>66</v>
      </c>
      <c r="D110" s="144"/>
      <c r="E110" s="153">
        <v>24</v>
      </c>
      <c r="F110" s="154">
        <v>11</v>
      </c>
      <c r="G110" s="153">
        <v>0</v>
      </c>
      <c r="H110" s="154">
        <v>6</v>
      </c>
      <c r="I110" s="142">
        <f t="shared" si="56"/>
        <v>41</v>
      </c>
      <c r="J110" s="144"/>
      <c r="K110" s="144"/>
      <c r="L110" s="144"/>
      <c r="M110" s="144"/>
      <c r="N110" s="142">
        <f t="shared" si="57"/>
        <v>0</v>
      </c>
      <c r="O110" s="142">
        <f t="shared" si="90"/>
        <v>24</v>
      </c>
      <c r="P110" s="142">
        <f t="shared" si="87"/>
        <v>11</v>
      </c>
      <c r="Q110" s="142">
        <f t="shared" si="87"/>
        <v>0</v>
      </c>
      <c r="R110" s="142">
        <f t="shared" si="87"/>
        <v>6</v>
      </c>
      <c r="S110" s="147">
        <f t="shared" si="58"/>
        <v>41</v>
      </c>
      <c r="T110" s="144">
        <v>4</v>
      </c>
      <c r="U110" s="144">
        <v>6</v>
      </c>
      <c r="V110" s="144">
        <v>0</v>
      </c>
      <c r="W110" s="144">
        <v>5</v>
      </c>
      <c r="X110" s="147">
        <f t="shared" si="59"/>
        <v>15</v>
      </c>
      <c r="Y110" s="142">
        <v>4</v>
      </c>
      <c r="Z110" s="142">
        <v>6</v>
      </c>
      <c r="AA110" s="142">
        <v>0</v>
      </c>
      <c r="AB110" s="142">
        <v>5</v>
      </c>
      <c r="AC110" s="142">
        <f t="shared" si="60"/>
        <v>15</v>
      </c>
      <c r="AD110" s="142">
        <f>(Y110*7700+Z110*5950+AA110*5395+AB110*4500)*12</f>
        <v>1068000</v>
      </c>
      <c r="AE110" s="142">
        <f t="shared" si="61"/>
        <v>64800</v>
      </c>
      <c r="AF110" s="142">
        <f t="shared" si="62"/>
        <v>90000</v>
      </c>
      <c r="AG110" s="142">
        <f t="shared" si="63"/>
        <v>36000</v>
      </c>
      <c r="AH110" s="142">
        <f t="shared" si="93"/>
        <v>174000</v>
      </c>
      <c r="AI110" s="142">
        <f t="shared" si="64"/>
        <v>12000</v>
      </c>
      <c r="AJ110" s="142">
        <f t="shared" si="65"/>
        <v>0</v>
      </c>
      <c r="AK110" s="142">
        <f t="shared" si="66"/>
        <v>15000</v>
      </c>
      <c r="AL110" s="142">
        <f t="shared" si="67"/>
        <v>14400</v>
      </c>
      <c r="AM110" s="142">
        <f t="shared" si="68"/>
        <v>459237.6</v>
      </c>
      <c r="AN110" s="142">
        <f t="shared" si="69"/>
        <v>1933437.6</v>
      </c>
      <c r="AO110" s="148">
        <v>15825</v>
      </c>
      <c r="AP110" s="148">
        <f t="shared" si="91"/>
        <v>1949262.6</v>
      </c>
      <c r="AQ110" s="149">
        <f t="shared" si="70"/>
        <v>1913938.7</v>
      </c>
    </row>
    <row r="111" spans="1:45" s="61" customFormat="1" ht="20.100000000000001" customHeight="1">
      <c r="A111" s="141" t="s">
        <v>35</v>
      </c>
      <c r="B111" s="143" t="s">
        <v>402</v>
      </c>
      <c r="C111" s="143" t="s">
        <v>334</v>
      </c>
      <c r="D111" s="144">
        <v>2</v>
      </c>
      <c r="E111" s="153">
        <v>1</v>
      </c>
      <c r="F111" s="154">
        <v>3</v>
      </c>
      <c r="G111" s="153">
        <v>20</v>
      </c>
      <c r="H111" s="154">
        <v>2</v>
      </c>
      <c r="I111" s="142">
        <f t="shared" si="56"/>
        <v>26</v>
      </c>
      <c r="J111" s="144"/>
      <c r="K111" s="144"/>
      <c r="L111" s="144"/>
      <c r="M111" s="144"/>
      <c r="N111" s="142">
        <f t="shared" si="57"/>
        <v>0</v>
      </c>
      <c r="O111" s="142">
        <f t="shared" si="90"/>
        <v>1</v>
      </c>
      <c r="P111" s="142">
        <f t="shared" si="87"/>
        <v>3</v>
      </c>
      <c r="Q111" s="142">
        <f t="shared" si="87"/>
        <v>20</v>
      </c>
      <c r="R111" s="142">
        <f t="shared" si="87"/>
        <v>2</v>
      </c>
      <c r="S111" s="147">
        <f t="shared" si="58"/>
        <v>26</v>
      </c>
      <c r="T111" s="144">
        <v>0</v>
      </c>
      <c r="U111" s="144">
        <v>4</v>
      </c>
      <c r="V111" s="144">
        <v>20</v>
      </c>
      <c r="W111" s="144">
        <v>2</v>
      </c>
      <c r="X111" s="147">
        <f t="shared" si="59"/>
        <v>26</v>
      </c>
      <c r="Y111" s="142">
        <v>0</v>
      </c>
      <c r="Z111" s="142">
        <v>4</v>
      </c>
      <c r="AA111" s="142">
        <v>20</v>
      </c>
      <c r="AB111" s="142">
        <v>2</v>
      </c>
      <c r="AC111" s="142">
        <f t="shared" si="60"/>
        <v>26</v>
      </c>
      <c r="AD111" s="142">
        <f t="shared" ref="AD111:AD112" si="94">(Y111*6800+Z111*5950+AA111*5395+AB111*4500)*12</f>
        <v>1688400</v>
      </c>
      <c r="AE111" s="142">
        <f t="shared" si="61"/>
        <v>112320</v>
      </c>
      <c r="AF111" s="142">
        <f t="shared" si="62"/>
        <v>156000</v>
      </c>
      <c r="AG111" s="142">
        <f t="shared" si="63"/>
        <v>62400</v>
      </c>
      <c r="AH111" s="142">
        <f t="shared" ref="AH111:AH112" si="95">AC111*10000</f>
        <v>260000</v>
      </c>
      <c r="AI111" s="142">
        <f t="shared" si="64"/>
        <v>20800</v>
      </c>
      <c r="AJ111" s="142">
        <f t="shared" si="65"/>
        <v>20000</v>
      </c>
      <c r="AK111" s="142">
        <f t="shared" si="66"/>
        <v>18000</v>
      </c>
      <c r="AL111" s="142">
        <f t="shared" si="67"/>
        <v>24960</v>
      </c>
      <c r="AM111" s="142">
        <f t="shared" si="68"/>
        <v>796011.84</v>
      </c>
      <c r="AN111" s="142">
        <f t="shared" si="69"/>
        <v>3158891.84</v>
      </c>
      <c r="AO111" s="150"/>
      <c r="AP111" s="149">
        <f t="shared" si="91"/>
        <v>3158891.84</v>
      </c>
      <c r="AQ111" s="149">
        <f t="shared" si="70"/>
        <v>3101178.89</v>
      </c>
    </row>
    <row r="112" spans="1:45" s="61" customFormat="1" ht="20.100000000000001" customHeight="1">
      <c r="A112" s="141" t="s">
        <v>35</v>
      </c>
      <c r="B112" s="143" t="s">
        <v>403</v>
      </c>
      <c r="C112" s="143" t="s">
        <v>334</v>
      </c>
      <c r="D112" s="144">
        <v>1</v>
      </c>
      <c r="E112" s="153">
        <v>4</v>
      </c>
      <c r="F112" s="154">
        <v>2</v>
      </c>
      <c r="G112" s="153">
        <v>12</v>
      </c>
      <c r="H112" s="154">
        <v>1</v>
      </c>
      <c r="I112" s="142">
        <f t="shared" si="56"/>
        <v>19</v>
      </c>
      <c r="J112" s="144"/>
      <c r="K112" s="144"/>
      <c r="L112" s="144"/>
      <c r="M112" s="144"/>
      <c r="N112" s="142">
        <f t="shared" si="57"/>
        <v>0</v>
      </c>
      <c r="O112" s="142">
        <f t="shared" si="90"/>
        <v>4</v>
      </c>
      <c r="P112" s="142">
        <f t="shared" si="87"/>
        <v>2</v>
      </c>
      <c r="Q112" s="142">
        <f t="shared" si="87"/>
        <v>12</v>
      </c>
      <c r="R112" s="142">
        <f t="shared" si="87"/>
        <v>1</v>
      </c>
      <c r="S112" s="147">
        <f t="shared" si="58"/>
        <v>19</v>
      </c>
      <c r="T112" s="144">
        <v>0</v>
      </c>
      <c r="U112" s="144">
        <v>3</v>
      </c>
      <c r="V112" s="144">
        <v>12</v>
      </c>
      <c r="W112" s="144">
        <v>1</v>
      </c>
      <c r="X112" s="147">
        <f t="shared" si="59"/>
        <v>16</v>
      </c>
      <c r="Y112" s="142">
        <v>0</v>
      </c>
      <c r="Z112" s="142">
        <v>3</v>
      </c>
      <c r="AA112" s="142">
        <v>12</v>
      </c>
      <c r="AB112" s="142">
        <v>1</v>
      </c>
      <c r="AC112" s="142">
        <f t="shared" si="60"/>
        <v>16</v>
      </c>
      <c r="AD112" s="142">
        <f t="shared" si="94"/>
        <v>1045080</v>
      </c>
      <c r="AE112" s="142">
        <f t="shared" si="61"/>
        <v>69120</v>
      </c>
      <c r="AF112" s="142">
        <f t="shared" si="62"/>
        <v>96000</v>
      </c>
      <c r="AG112" s="142">
        <f t="shared" si="63"/>
        <v>38400</v>
      </c>
      <c r="AH112" s="142">
        <f t="shared" si="95"/>
        <v>160000</v>
      </c>
      <c r="AI112" s="142">
        <f t="shared" si="64"/>
        <v>12800</v>
      </c>
      <c r="AJ112" s="142">
        <f t="shared" si="65"/>
        <v>10000</v>
      </c>
      <c r="AK112" s="142">
        <f t="shared" si="66"/>
        <v>11400</v>
      </c>
      <c r="AL112" s="142">
        <f t="shared" si="67"/>
        <v>15360</v>
      </c>
      <c r="AM112" s="142">
        <f t="shared" si="68"/>
        <v>489853.44</v>
      </c>
      <c r="AN112" s="142">
        <f t="shared" si="69"/>
        <v>1948013.44</v>
      </c>
      <c r="AO112" s="150"/>
      <c r="AP112" s="149">
        <f t="shared" si="91"/>
        <v>1948013.44</v>
      </c>
      <c r="AQ112" s="149">
        <f t="shared" si="70"/>
        <v>1912423.23</v>
      </c>
    </row>
    <row r="113" spans="1:43" ht="20.100000000000001" customHeight="1">
      <c r="A113" s="143"/>
      <c r="B113" s="254" t="s">
        <v>46</v>
      </c>
      <c r="C113" s="254"/>
      <c r="D113" s="253">
        <f>SUM(D99:D112)</f>
        <v>12</v>
      </c>
      <c r="E113" s="253">
        <f t="shared" ref="E113:AQ113" si="96">SUM(E99:E112)</f>
        <v>119</v>
      </c>
      <c r="F113" s="253">
        <f t="shared" si="96"/>
        <v>110</v>
      </c>
      <c r="G113" s="253">
        <f t="shared" si="96"/>
        <v>143</v>
      </c>
      <c r="H113" s="253">
        <f t="shared" si="96"/>
        <v>75</v>
      </c>
      <c r="I113" s="253">
        <f t="shared" si="96"/>
        <v>447</v>
      </c>
      <c r="J113" s="253">
        <f t="shared" si="96"/>
        <v>11</v>
      </c>
      <c r="K113" s="253">
        <f t="shared" si="96"/>
        <v>5</v>
      </c>
      <c r="L113" s="253">
        <f t="shared" si="96"/>
        <v>8</v>
      </c>
      <c r="M113" s="253">
        <f t="shared" si="96"/>
        <v>4</v>
      </c>
      <c r="N113" s="253">
        <f t="shared" si="96"/>
        <v>28</v>
      </c>
      <c r="O113" s="253">
        <f t="shared" si="96"/>
        <v>130</v>
      </c>
      <c r="P113" s="253">
        <f t="shared" si="96"/>
        <v>115</v>
      </c>
      <c r="Q113" s="253">
        <f t="shared" si="96"/>
        <v>151</v>
      </c>
      <c r="R113" s="253">
        <f t="shared" si="96"/>
        <v>79</v>
      </c>
      <c r="S113" s="253">
        <f t="shared" si="96"/>
        <v>475</v>
      </c>
      <c r="T113" s="253">
        <f t="shared" si="96"/>
        <v>55</v>
      </c>
      <c r="U113" s="253">
        <f t="shared" si="96"/>
        <v>80</v>
      </c>
      <c r="V113" s="253">
        <f t="shared" si="96"/>
        <v>151</v>
      </c>
      <c r="W113" s="253">
        <f t="shared" si="96"/>
        <v>67</v>
      </c>
      <c r="X113" s="253">
        <f t="shared" si="96"/>
        <v>353</v>
      </c>
      <c r="Y113" s="253">
        <f t="shared" si="96"/>
        <v>53</v>
      </c>
      <c r="Z113" s="253">
        <f t="shared" si="96"/>
        <v>83</v>
      </c>
      <c r="AA113" s="253">
        <f t="shared" si="96"/>
        <v>150</v>
      </c>
      <c r="AB113" s="253">
        <f t="shared" si="96"/>
        <v>63</v>
      </c>
      <c r="AC113" s="253">
        <f t="shared" si="96"/>
        <v>349</v>
      </c>
      <c r="AD113" s="253">
        <f t="shared" si="96"/>
        <v>23644800</v>
      </c>
      <c r="AE113" s="253">
        <f t="shared" si="96"/>
        <v>1507680</v>
      </c>
      <c r="AF113" s="253">
        <f t="shared" si="96"/>
        <v>2094000</v>
      </c>
      <c r="AG113" s="253">
        <f t="shared" si="96"/>
        <v>837600</v>
      </c>
      <c r="AH113" s="253">
        <f t="shared" si="96"/>
        <v>3676000</v>
      </c>
      <c r="AI113" s="253">
        <f t="shared" si="96"/>
        <v>279200</v>
      </c>
      <c r="AJ113" s="253">
        <f t="shared" si="96"/>
        <v>120000</v>
      </c>
      <c r="AK113" s="253">
        <f t="shared" si="96"/>
        <v>291000</v>
      </c>
      <c r="AL113" s="253">
        <f t="shared" si="96"/>
        <v>335040</v>
      </c>
      <c r="AM113" s="253">
        <f t="shared" si="96"/>
        <v>10684928.159999998</v>
      </c>
      <c r="AN113" s="253">
        <f t="shared" si="96"/>
        <v>43470248.159999996</v>
      </c>
      <c r="AO113" s="253">
        <f t="shared" si="96"/>
        <v>583329.5</v>
      </c>
      <c r="AP113" s="253">
        <f t="shared" si="96"/>
        <v>44053577.659999996</v>
      </c>
      <c r="AQ113" s="253">
        <f t="shared" si="96"/>
        <v>43259376.239999995</v>
      </c>
    </row>
    <row r="114" spans="1:43" ht="20.100000000000001" customHeight="1">
      <c r="A114" s="143"/>
      <c r="B114" s="254" t="s">
        <v>21</v>
      </c>
      <c r="C114" s="254"/>
      <c r="D114" s="253">
        <f t="shared" ref="D114:AO114" si="97">SUM(D113,D98,D93,D90,D71,D52,D36,D24,D15)</f>
        <v>97</v>
      </c>
      <c r="E114" s="253">
        <f t="shared" si="97"/>
        <v>944</v>
      </c>
      <c r="F114" s="253">
        <f t="shared" si="97"/>
        <v>689</v>
      </c>
      <c r="G114" s="253">
        <f t="shared" si="97"/>
        <v>1261</v>
      </c>
      <c r="H114" s="253">
        <f t="shared" si="97"/>
        <v>494</v>
      </c>
      <c r="I114" s="253">
        <f t="shared" si="97"/>
        <v>3388</v>
      </c>
      <c r="J114" s="253">
        <f t="shared" si="97"/>
        <v>131</v>
      </c>
      <c r="K114" s="253">
        <f t="shared" si="97"/>
        <v>36</v>
      </c>
      <c r="L114" s="253">
        <f t="shared" si="97"/>
        <v>90</v>
      </c>
      <c r="M114" s="253">
        <f t="shared" si="97"/>
        <v>35</v>
      </c>
      <c r="N114" s="253">
        <f t="shared" si="97"/>
        <v>292</v>
      </c>
      <c r="O114" s="253">
        <f t="shared" si="97"/>
        <v>1075</v>
      </c>
      <c r="P114" s="253">
        <f t="shared" si="97"/>
        <v>725</v>
      </c>
      <c r="Q114" s="253">
        <f t="shared" si="97"/>
        <v>1351</v>
      </c>
      <c r="R114" s="253">
        <f t="shared" si="97"/>
        <v>529</v>
      </c>
      <c r="S114" s="253">
        <f t="shared" si="97"/>
        <v>3680</v>
      </c>
      <c r="T114" s="253">
        <f t="shared" si="97"/>
        <v>384</v>
      </c>
      <c r="U114" s="253">
        <f t="shared" si="97"/>
        <v>498</v>
      </c>
      <c r="V114" s="253">
        <f t="shared" si="97"/>
        <v>1329</v>
      </c>
      <c r="W114" s="253">
        <f t="shared" si="97"/>
        <v>476</v>
      </c>
      <c r="X114" s="253">
        <f t="shared" si="97"/>
        <v>2687</v>
      </c>
      <c r="Y114" s="253">
        <f t="shared" si="97"/>
        <v>368</v>
      </c>
      <c r="Z114" s="253">
        <f t="shared" si="97"/>
        <v>483</v>
      </c>
      <c r="AA114" s="253">
        <f t="shared" si="97"/>
        <v>1321</v>
      </c>
      <c r="AB114" s="253">
        <f t="shared" si="97"/>
        <v>458</v>
      </c>
      <c r="AC114" s="253">
        <f t="shared" si="97"/>
        <v>2630</v>
      </c>
      <c r="AD114" s="253">
        <f t="shared" si="97"/>
        <v>170965860</v>
      </c>
      <c r="AE114" s="253">
        <f t="shared" si="97"/>
        <v>11007360</v>
      </c>
      <c r="AF114" s="253">
        <f t="shared" si="97"/>
        <v>15288000</v>
      </c>
      <c r="AG114" s="253">
        <f t="shared" si="97"/>
        <v>6115200</v>
      </c>
      <c r="AH114" s="253">
        <f t="shared" si="97"/>
        <v>26569000</v>
      </c>
      <c r="AI114" s="253">
        <f t="shared" si="97"/>
        <v>2038400</v>
      </c>
      <c r="AJ114" s="253">
        <f t="shared" si="97"/>
        <v>925000</v>
      </c>
      <c r="AK114" s="253">
        <f t="shared" si="97"/>
        <v>2029500</v>
      </c>
      <c r="AL114" s="253">
        <f t="shared" si="97"/>
        <v>2446080</v>
      </c>
      <c r="AM114" s="253">
        <f t="shared" si="97"/>
        <v>78009160.319999993</v>
      </c>
      <c r="AN114" s="253">
        <f t="shared" si="97"/>
        <v>315393560.31999999</v>
      </c>
      <c r="AO114" s="253">
        <f t="shared" si="97"/>
        <v>3397955.73</v>
      </c>
      <c r="AP114" s="253">
        <f t="shared" ref="AP114:AQ114" si="98">SUM(AP113,AP98,AP93,AP90,AP71,AP52,AP36,AP24,AP15)</f>
        <v>318791516.04999995</v>
      </c>
      <c r="AQ114" s="253">
        <f t="shared" si="98"/>
        <v>313029275.73000002</v>
      </c>
    </row>
    <row r="115" spans="1:43">
      <c r="AQ115" s="211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3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3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9" customFormat="1" ht="30" customHeight="1">
      <c r="A1" s="360" t="s">
        <v>672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</row>
    <row r="2" spans="1:43" s="279" customFormat="1" ht="30" customHeight="1">
      <c r="A2" s="361" t="s">
        <v>660</v>
      </c>
      <c r="B2" s="361"/>
      <c r="C2" s="361"/>
      <c r="D2" s="361"/>
      <c r="E2" s="361"/>
      <c r="F2" s="361"/>
      <c r="G2" s="361"/>
      <c r="H2" s="361"/>
      <c r="I2" s="361"/>
      <c r="J2" s="361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</row>
    <row r="3" spans="1:43" s="8" customFormat="1" ht="38.1" customHeight="1">
      <c r="A3" s="34" t="s">
        <v>154</v>
      </c>
      <c r="B3" s="35" t="s">
        <v>155</v>
      </c>
      <c r="C3" s="35" t="s">
        <v>190</v>
      </c>
      <c r="D3" s="35" t="s">
        <v>191</v>
      </c>
      <c r="E3" s="34" t="s">
        <v>60</v>
      </c>
      <c r="F3" s="34" t="s">
        <v>61</v>
      </c>
      <c r="G3" s="36" t="s">
        <v>62</v>
      </c>
      <c r="H3" s="34" t="s">
        <v>63</v>
      </c>
      <c r="I3" s="34" t="s">
        <v>64</v>
      </c>
      <c r="J3" s="34" t="s">
        <v>48</v>
      </c>
      <c r="K3" s="3" t="s">
        <v>156</v>
      </c>
      <c r="L3" s="4" t="s">
        <v>157</v>
      </c>
      <c r="M3" s="4" t="s">
        <v>158</v>
      </c>
      <c r="N3" s="4" t="s">
        <v>159</v>
      </c>
      <c r="O3" s="4" t="s">
        <v>160</v>
      </c>
      <c r="P3" s="4" t="s">
        <v>161</v>
      </c>
      <c r="Q3" s="4" t="s">
        <v>162</v>
      </c>
      <c r="R3" s="4" t="s">
        <v>163</v>
      </c>
      <c r="S3" s="4" t="s">
        <v>164</v>
      </c>
      <c r="T3" s="4" t="s">
        <v>165</v>
      </c>
      <c r="U3" s="4" t="s">
        <v>166</v>
      </c>
      <c r="V3" s="4" t="s">
        <v>167</v>
      </c>
      <c r="W3" s="4" t="s">
        <v>168</v>
      </c>
      <c r="X3" s="4" t="s">
        <v>169</v>
      </c>
      <c r="Y3" s="4" t="s">
        <v>170</v>
      </c>
      <c r="Z3" s="4" t="s">
        <v>171</v>
      </c>
      <c r="AA3" s="4" t="s">
        <v>172</v>
      </c>
      <c r="AB3" s="5" t="s">
        <v>173</v>
      </c>
      <c r="AC3" s="6" t="s">
        <v>174</v>
      </c>
      <c r="AD3" s="7" t="s">
        <v>175</v>
      </c>
      <c r="AE3" s="7" t="s">
        <v>176</v>
      </c>
      <c r="AF3" s="7" t="s">
        <v>177</v>
      </c>
      <c r="AG3" s="7" t="s">
        <v>157</v>
      </c>
      <c r="AH3" s="7" t="s">
        <v>178</v>
      </c>
      <c r="AI3" s="7" t="s">
        <v>179</v>
      </c>
      <c r="AJ3" s="7" t="s">
        <v>180</v>
      </c>
      <c r="AK3" s="7" t="s">
        <v>181</v>
      </c>
      <c r="AL3" s="7" t="s">
        <v>182</v>
      </c>
      <c r="AM3" s="7" t="s">
        <v>183</v>
      </c>
      <c r="AN3" s="7" t="s">
        <v>184</v>
      </c>
      <c r="AO3" s="7" t="s">
        <v>185</v>
      </c>
      <c r="AP3" s="7" t="s">
        <v>186</v>
      </c>
      <c r="AQ3" s="7" t="s">
        <v>187</v>
      </c>
    </row>
    <row r="4" spans="1:43" s="8" customFormat="1" ht="38.1" customHeight="1" outlineLevel="2">
      <c r="A4" s="26" t="s">
        <v>153</v>
      </c>
      <c r="B4" s="27" t="s">
        <v>199</v>
      </c>
      <c r="C4" s="28" t="s">
        <v>200</v>
      </c>
      <c r="D4" s="28" t="s">
        <v>201</v>
      </c>
      <c r="E4" s="29" t="s">
        <v>202</v>
      </c>
      <c r="F4" s="29" t="s">
        <v>202</v>
      </c>
      <c r="G4" s="29" t="s">
        <v>202</v>
      </c>
      <c r="H4" s="30">
        <v>1</v>
      </c>
      <c r="I4" s="31">
        <v>741400</v>
      </c>
      <c r="J4" s="32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188</v>
      </c>
      <c r="AB4" s="5" t="s">
        <v>189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6"/>
      <c r="B5" s="33" t="s">
        <v>31</v>
      </c>
      <c r="C5" s="28"/>
      <c r="D5" s="28"/>
      <c r="E5" s="29"/>
      <c r="F5" s="29"/>
      <c r="G5" s="29"/>
      <c r="H5" s="30"/>
      <c r="I5" s="31"/>
      <c r="J5" s="32">
        <f>SUBTOTAL(9,J4:J4)</f>
        <v>741400</v>
      </c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9"/>
      <c r="AA5" s="19"/>
      <c r="AB5" s="20"/>
      <c r="AC5" s="21"/>
      <c r="AD5" s="21"/>
      <c r="AE5" s="21"/>
      <c r="AF5" s="21"/>
      <c r="AG5" s="21"/>
      <c r="AH5" s="21"/>
      <c r="AI5" s="22"/>
      <c r="AJ5" s="22"/>
      <c r="AK5" s="22"/>
      <c r="AL5" s="22"/>
      <c r="AM5" s="22"/>
      <c r="AN5" s="22"/>
      <c r="AO5" s="22"/>
      <c r="AP5" s="22"/>
      <c r="AQ5" s="22"/>
    </row>
    <row r="6" spans="1:43" s="8" customFormat="1" ht="38.1" customHeight="1" outlineLevel="2">
      <c r="A6" s="26" t="s">
        <v>109</v>
      </c>
      <c r="B6" s="27" t="s">
        <v>203</v>
      </c>
      <c r="C6" s="28" t="s">
        <v>204</v>
      </c>
      <c r="D6" s="28" t="s">
        <v>201</v>
      </c>
      <c r="E6" s="29" t="s">
        <v>205</v>
      </c>
      <c r="F6" s="29" t="s">
        <v>205</v>
      </c>
      <c r="G6" s="29" t="s">
        <v>205</v>
      </c>
      <c r="H6" s="28">
        <v>1</v>
      </c>
      <c r="I6" s="28">
        <v>1226577</v>
      </c>
      <c r="J6" s="32">
        <f>H6*I6</f>
        <v>1226577</v>
      </c>
      <c r="AB6" s="16"/>
    </row>
    <row r="7" spans="1:43" s="8" customFormat="1" ht="38.1" customHeight="1" outlineLevel="1">
      <c r="A7" s="26"/>
      <c r="B7" s="33" t="s">
        <v>34</v>
      </c>
      <c r="C7" s="28"/>
      <c r="D7" s="28"/>
      <c r="E7" s="29"/>
      <c r="F7" s="29"/>
      <c r="G7" s="29"/>
      <c r="H7" s="28"/>
      <c r="I7" s="28"/>
      <c r="J7" s="32">
        <f>SUBTOTAL(9,J6:J6)</f>
        <v>1226577</v>
      </c>
      <c r="AB7" s="16"/>
    </row>
    <row r="8" spans="1:43" s="8" customFormat="1" ht="38.1" customHeight="1" outlineLevel="2">
      <c r="A8" s="26" t="s">
        <v>77</v>
      </c>
      <c r="B8" s="27" t="s">
        <v>206</v>
      </c>
      <c r="C8" s="28" t="s">
        <v>204</v>
      </c>
      <c r="D8" s="28" t="s">
        <v>201</v>
      </c>
      <c r="E8" s="29" t="s">
        <v>207</v>
      </c>
      <c r="F8" s="29" t="s">
        <v>207</v>
      </c>
      <c r="G8" s="29" t="s">
        <v>207</v>
      </c>
      <c r="H8" s="30">
        <v>1</v>
      </c>
      <c r="I8" s="31">
        <v>2336646</v>
      </c>
      <c r="J8" s="32">
        <f>H8*I8</f>
        <v>2336646</v>
      </c>
      <c r="K8" s="9"/>
      <c r="L8" s="10"/>
      <c r="M8" s="10"/>
      <c r="N8" s="10"/>
      <c r="O8" s="10"/>
      <c r="P8" s="10"/>
      <c r="Q8" s="10"/>
      <c r="R8" s="11"/>
      <c r="S8" s="10"/>
      <c r="T8" s="10"/>
      <c r="U8" s="10"/>
      <c r="V8" s="10"/>
      <c r="W8" s="10"/>
      <c r="X8" s="10"/>
      <c r="Y8" s="10"/>
      <c r="Z8" s="12"/>
      <c r="AA8" s="12" t="s">
        <v>188</v>
      </c>
      <c r="AB8" s="5" t="s">
        <v>189</v>
      </c>
      <c r="AC8" s="13"/>
      <c r="AD8" s="14"/>
      <c r="AE8" s="14"/>
      <c r="AF8" s="14"/>
      <c r="AG8" s="14"/>
      <c r="AH8" s="14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8" customFormat="1" ht="38.1" customHeight="1" outlineLevel="1">
      <c r="A9" s="26"/>
      <c r="B9" s="33" t="s">
        <v>68</v>
      </c>
      <c r="C9" s="28"/>
      <c r="D9" s="28"/>
      <c r="E9" s="29"/>
      <c r="F9" s="29"/>
      <c r="G9" s="29"/>
      <c r="H9" s="30"/>
      <c r="I9" s="31"/>
      <c r="J9" s="32">
        <f>SUBTOTAL(9,J8:J8)</f>
        <v>2336646</v>
      </c>
      <c r="K9" s="17"/>
      <c r="L9" s="17"/>
      <c r="M9" s="17"/>
      <c r="N9" s="17"/>
      <c r="O9" s="17"/>
      <c r="P9" s="17"/>
      <c r="Q9" s="17"/>
      <c r="R9" s="18"/>
      <c r="S9" s="17"/>
      <c r="T9" s="17"/>
      <c r="U9" s="17"/>
      <c r="V9" s="17"/>
      <c r="W9" s="17"/>
      <c r="X9" s="17"/>
      <c r="Y9" s="17"/>
      <c r="Z9" s="19"/>
      <c r="AA9" s="19"/>
      <c r="AB9" s="20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</row>
    <row r="10" spans="1:43" s="8" customFormat="1" ht="38.1" customHeight="1" outlineLevel="2">
      <c r="A10" s="26" t="s">
        <v>98</v>
      </c>
      <c r="B10" s="27" t="s">
        <v>208</v>
      </c>
      <c r="C10" s="28" t="s">
        <v>204</v>
      </c>
      <c r="D10" s="28" t="s">
        <v>201</v>
      </c>
      <c r="E10" s="29" t="s">
        <v>209</v>
      </c>
      <c r="F10" s="29" t="s">
        <v>209</v>
      </c>
      <c r="G10" s="29" t="s">
        <v>209</v>
      </c>
      <c r="H10" s="28">
        <v>1</v>
      </c>
      <c r="I10" s="28">
        <v>1990977</v>
      </c>
      <c r="J10" s="32">
        <f>H10*I10</f>
        <v>1990977</v>
      </c>
      <c r="AB10" s="16"/>
    </row>
    <row r="11" spans="1:43" s="8" customFormat="1" ht="38.1" customHeight="1" outlineLevel="1">
      <c r="A11" s="26"/>
      <c r="B11" s="33" t="s">
        <v>29</v>
      </c>
      <c r="C11" s="28"/>
      <c r="D11" s="28"/>
      <c r="E11" s="29"/>
      <c r="F11" s="29"/>
      <c r="G11" s="29"/>
      <c r="H11" s="28"/>
      <c r="I11" s="28"/>
      <c r="J11" s="32">
        <f>SUBTOTAL(9,J10:J10)</f>
        <v>1990977</v>
      </c>
      <c r="AB11" s="16"/>
    </row>
    <row r="12" spans="1:43" s="8" customFormat="1" ht="38.1" customHeight="1">
      <c r="A12" s="26"/>
      <c r="B12" s="33" t="s">
        <v>21</v>
      </c>
      <c r="C12" s="28"/>
      <c r="D12" s="28"/>
      <c r="E12" s="29"/>
      <c r="F12" s="29"/>
      <c r="G12" s="29"/>
      <c r="H12" s="28"/>
      <c r="I12" s="28"/>
      <c r="J12" s="32">
        <f>SUBTOTAL(9,J4:J10)</f>
        <v>6295600</v>
      </c>
      <c r="AB12" s="16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7" customWidth="1"/>
    <col min="2" max="2" width="8.75" style="37" customWidth="1"/>
    <col min="3" max="3" width="34.375" style="37" customWidth="1"/>
    <col min="4" max="4" width="10" style="37" customWidth="1"/>
    <col min="5" max="5" width="15.5" style="37" customWidth="1"/>
    <col min="6" max="6" width="13.875" style="37" customWidth="1"/>
    <col min="7" max="7" width="8.5" style="1" bestFit="1" customWidth="1"/>
    <col min="8" max="8" width="10.875" style="37" bestFit="1" customWidth="1"/>
    <col min="9" max="9" width="5.25" style="37" bestFit="1" customWidth="1"/>
    <col min="10" max="10" width="11.75" style="37" bestFit="1" customWidth="1"/>
    <col min="11" max="11" width="31" style="37" customWidth="1"/>
    <col min="12" max="12" width="9" style="37"/>
    <col min="13" max="13" width="11.625" style="37" bestFit="1" customWidth="1"/>
    <col min="14" max="16384" width="9" style="37"/>
  </cols>
  <sheetData>
    <row r="1" spans="1:11" ht="30" customHeight="1">
      <c r="A1" s="362" t="s">
        <v>665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s="43" customFormat="1" ht="30" customHeight="1">
      <c r="A2" s="364" t="s">
        <v>660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s="1" customFormat="1" ht="38.1" customHeight="1">
      <c r="A3" s="38" t="s">
        <v>220</v>
      </c>
      <c r="B3" s="38" t="s">
        <v>0</v>
      </c>
      <c r="C3" s="38" t="s">
        <v>12</v>
      </c>
      <c r="D3" s="38" t="s">
        <v>60</v>
      </c>
      <c r="E3" s="38" t="s">
        <v>61</v>
      </c>
      <c r="F3" s="38" t="s">
        <v>62</v>
      </c>
      <c r="G3" s="38" t="s">
        <v>221</v>
      </c>
      <c r="H3" s="38" t="s">
        <v>64</v>
      </c>
      <c r="I3" s="38" t="s">
        <v>63</v>
      </c>
      <c r="J3" s="38" t="s">
        <v>48</v>
      </c>
      <c r="K3" s="38" t="s">
        <v>222</v>
      </c>
    </row>
    <row r="4" spans="1:11" s="1" customFormat="1" ht="38.1" customHeight="1">
      <c r="A4" s="39" t="s">
        <v>210</v>
      </c>
      <c r="B4" s="39" t="s">
        <v>219</v>
      </c>
      <c r="C4" s="40" t="s">
        <v>211</v>
      </c>
      <c r="D4" s="40" t="s">
        <v>212</v>
      </c>
      <c r="E4" s="40" t="s">
        <v>212</v>
      </c>
      <c r="F4" s="40" t="s">
        <v>214</v>
      </c>
      <c r="G4" s="39" t="s">
        <v>213</v>
      </c>
      <c r="H4" s="44">
        <v>263500</v>
      </c>
      <c r="I4" s="44">
        <v>1</v>
      </c>
      <c r="J4" s="44">
        <v>263500</v>
      </c>
      <c r="K4" s="39" t="s">
        <v>215</v>
      </c>
    </row>
    <row r="5" spans="1:11" s="1" customFormat="1" ht="38.1" customHeight="1">
      <c r="A5" s="39"/>
      <c r="B5" s="39"/>
      <c r="C5" s="40" t="s">
        <v>307</v>
      </c>
      <c r="D5" s="40"/>
      <c r="E5" s="40"/>
      <c r="F5" s="40"/>
      <c r="G5" s="39"/>
      <c r="H5" s="44"/>
      <c r="I5" s="44"/>
      <c r="J5" s="44">
        <f>SUM(J4)</f>
        <v>263500</v>
      </c>
      <c r="K5" s="39"/>
    </row>
    <row r="6" spans="1:11" s="1" customFormat="1" ht="38.1" customHeight="1">
      <c r="A6" s="41" t="s">
        <v>37</v>
      </c>
      <c r="B6" s="41" t="s">
        <v>8</v>
      </c>
      <c r="C6" s="41" t="s">
        <v>113</v>
      </c>
      <c r="D6" s="40" t="s">
        <v>212</v>
      </c>
      <c r="E6" s="40" t="s">
        <v>212</v>
      </c>
      <c r="F6" s="40" t="s">
        <v>214</v>
      </c>
      <c r="G6" s="39" t="s">
        <v>213</v>
      </c>
      <c r="H6" s="45">
        <v>263500</v>
      </c>
      <c r="I6" s="45">
        <v>1</v>
      </c>
      <c r="J6" s="45">
        <v>263500</v>
      </c>
      <c r="K6" s="39" t="s">
        <v>215</v>
      </c>
    </row>
    <row r="7" spans="1:11" s="1" customFormat="1" ht="38.1" customHeight="1">
      <c r="A7" s="41"/>
      <c r="B7" s="41"/>
      <c r="C7" s="41" t="s">
        <v>308</v>
      </c>
      <c r="D7" s="40"/>
      <c r="E7" s="40"/>
      <c r="F7" s="40"/>
      <c r="G7" s="39"/>
      <c r="H7" s="45"/>
      <c r="I7" s="45"/>
      <c r="J7" s="45">
        <f>SUM(J6)</f>
        <v>263500</v>
      </c>
      <c r="K7" s="39"/>
    </row>
    <row r="8" spans="1:11" s="1" customFormat="1" ht="38.1" customHeight="1">
      <c r="A8" s="41" t="s">
        <v>65</v>
      </c>
      <c r="B8" s="41" t="s">
        <v>5</v>
      </c>
      <c r="C8" s="41" t="s">
        <v>101</v>
      </c>
      <c r="D8" s="40" t="s">
        <v>212</v>
      </c>
      <c r="E8" s="40" t="s">
        <v>212</v>
      </c>
      <c r="F8" s="40" t="s">
        <v>216</v>
      </c>
      <c r="G8" s="39" t="s">
        <v>213</v>
      </c>
      <c r="H8" s="45">
        <v>190000</v>
      </c>
      <c r="I8" s="45">
        <v>1</v>
      </c>
      <c r="J8" s="45">
        <v>190000</v>
      </c>
      <c r="K8" s="39" t="s">
        <v>217</v>
      </c>
    </row>
    <row r="9" spans="1:11" s="1" customFormat="1" ht="38.1" customHeight="1">
      <c r="A9" s="41" t="s">
        <v>152</v>
      </c>
      <c r="B9" s="41" t="s">
        <v>5</v>
      </c>
      <c r="C9" s="41" t="s">
        <v>134</v>
      </c>
      <c r="D9" s="40" t="s">
        <v>212</v>
      </c>
      <c r="E9" s="40" t="s">
        <v>212</v>
      </c>
      <c r="F9" s="40" t="s">
        <v>216</v>
      </c>
      <c r="G9" s="39" t="s">
        <v>213</v>
      </c>
      <c r="H9" s="46">
        <v>190000</v>
      </c>
      <c r="I9" s="46">
        <v>1</v>
      </c>
      <c r="J9" s="46">
        <v>190000</v>
      </c>
      <c r="K9" s="39" t="s">
        <v>217</v>
      </c>
    </row>
    <row r="10" spans="1:11" s="1" customFormat="1" ht="38.1" customHeight="1">
      <c r="A10" s="41" t="s">
        <v>37</v>
      </c>
      <c r="B10" s="41" t="s">
        <v>5</v>
      </c>
      <c r="C10" s="42" t="s">
        <v>100</v>
      </c>
      <c r="D10" s="40" t="s">
        <v>212</v>
      </c>
      <c r="E10" s="40" t="s">
        <v>212</v>
      </c>
      <c r="F10" s="40" t="s">
        <v>214</v>
      </c>
      <c r="G10" s="39" t="s">
        <v>213</v>
      </c>
      <c r="H10" s="45">
        <v>263500</v>
      </c>
      <c r="I10" s="45">
        <v>1</v>
      </c>
      <c r="J10" s="45">
        <v>263500</v>
      </c>
      <c r="K10" s="39" t="s">
        <v>215</v>
      </c>
    </row>
    <row r="11" spans="1:11" s="1" customFormat="1" ht="38.1" customHeight="1">
      <c r="A11" s="41"/>
      <c r="B11" s="41"/>
      <c r="C11" s="42" t="s">
        <v>309</v>
      </c>
      <c r="D11" s="40"/>
      <c r="E11" s="40"/>
      <c r="F11" s="40"/>
      <c r="G11" s="39"/>
      <c r="H11" s="45"/>
      <c r="I11" s="45"/>
      <c r="J11" s="45">
        <f>SUM(J8:J10)</f>
        <v>643500</v>
      </c>
      <c r="K11" s="39"/>
    </row>
    <row r="12" spans="1:11" s="1" customFormat="1" ht="38.1" customHeight="1">
      <c r="A12" s="41" t="s">
        <v>65</v>
      </c>
      <c r="B12" s="41" t="s">
        <v>4</v>
      </c>
      <c r="C12" s="41" t="s">
        <v>98</v>
      </c>
      <c r="D12" s="40" t="s">
        <v>212</v>
      </c>
      <c r="E12" s="40" t="s">
        <v>212</v>
      </c>
      <c r="F12" s="40" t="s">
        <v>216</v>
      </c>
      <c r="G12" s="39" t="s">
        <v>213</v>
      </c>
      <c r="H12" s="46">
        <v>155245</v>
      </c>
      <c r="I12" s="46">
        <v>1</v>
      </c>
      <c r="J12" s="46">
        <v>155245</v>
      </c>
      <c r="K12" s="39" t="s">
        <v>218</v>
      </c>
    </row>
    <row r="13" spans="1:11" ht="38.1" customHeight="1">
      <c r="A13" s="56"/>
      <c r="B13" s="56"/>
      <c r="C13" s="57" t="s">
        <v>310</v>
      </c>
      <c r="D13" s="56"/>
      <c r="E13" s="56"/>
      <c r="F13" s="56"/>
      <c r="G13" s="58"/>
      <c r="H13" s="56"/>
      <c r="I13" s="56"/>
      <c r="J13" s="46">
        <f>SUM(J12)</f>
        <v>155245</v>
      </c>
      <c r="K13" s="56"/>
    </row>
    <row r="14" spans="1:11" ht="38.1" customHeight="1">
      <c r="A14" s="56"/>
      <c r="B14" s="56"/>
      <c r="C14" s="57" t="s">
        <v>311</v>
      </c>
      <c r="D14" s="56"/>
      <c r="E14" s="56"/>
      <c r="F14" s="56"/>
      <c r="G14" s="58"/>
      <c r="H14" s="56"/>
      <c r="I14" s="56"/>
      <c r="J14" s="46">
        <f>J5+J7+J11+J13</f>
        <v>1325745</v>
      </c>
      <c r="K14" s="56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3" customWidth="1"/>
    <col min="2" max="2" width="9" style="183" customWidth="1"/>
    <col min="3" max="3" width="7.875" style="183" customWidth="1"/>
    <col min="4" max="4" width="25.875" style="184" customWidth="1"/>
    <col min="5" max="5" width="35.625" style="184" customWidth="1"/>
    <col min="6" max="6" width="27.25" style="184" customWidth="1"/>
    <col min="7" max="7" width="6.375" style="184" customWidth="1"/>
    <col min="8" max="8" width="11.375" style="184" customWidth="1"/>
    <col min="9" max="9" width="11.25" style="184" customWidth="1"/>
    <col min="10" max="10" width="12.75" style="185" bestFit="1" customWidth="1"/>
    <col min="11" max="16384" width="9" style="182"/>
  </cols>
  <sheetData>
    <row r="1" spans="1:10" s="222" customFormat="1" ht="30" customHeight="1">
      <c r="A1" s="365" t="s">
        <v>668</v>
      </c>
      <c r="B1" s="366"/>
      <c r="C1" s="366"/>
      <c r="D1" s="365"/>
      <c r="E1" s="365"/>
      <c r="F1" s="365"/>
      <c r="G1" s="365"/>
      <c r="H1" s="365"/>
      <c r="I1" s="365"/>
    </row>
    <row r="2" spans="1:10" s="281" customFormat="1" ht="30" customHeight="1">
      <c r="A2" s="280"/>
      <c r="B2" s="277"/>
      <c r="C2" s="277"/>
      <c r="D2" s="277"/>
      <c r="E2" s="277"/>
      <c r="F2" s="277"/>
      <c r="G2" s="277"/>
      <c r="H2" s="277"/>
      <c r="I2" s="280" t="s">
        <v>660</v>
      </c>
    </row>
    <row r="3" spans="1:10" s="194" customFormat="1" ht="30" customHeight="1">
      <c r="A3" s="192" t="s">
        <v>59</v>
      </c>
      <c r="B3" s="192" t="s">
        <v>22</v>
      </c>
      <c r="C3" s="192" t="s">
        <v>582</v>
      </c>
      <c r="D3" s="193" t="s">
        <v>60</v>
      </c>
      <c r="E3" s="193" t="s">
        <v>61</v>
      </c>
      <c r="F3" s="193" t="s">
        <v>62</v>
      </c>
      <c r="G3" s="192" t="s">
        <v>63</v>
      </c>
      <c r="H3" s="192" t="s">
        <v>64</v>
      </c>
      <c r="I3" s="192" t="s">
        <v>48</v>
      </c>
    </row>
    <row r="4" spans="1:10" s="197" customFormat="1" ht="24.95" customHeight="1" outlineLevel="2">
      <c r="A4" s="188" t="s">
        <v>151</v>
      </c>
      <c r="B4" s="195" t="s">
        <v>299</v>
      </c>
      <c r="C4" s="195" t="s">
        <v>583</v>
      </c>
      <c r="D4" s="188" t="s">
        <v>569</v>
      </c>
      <c r="E4" s="188" t="s">
        <v>572</v>
      </c>
      <c r="F4" s="188" t="s">
        <v>572</v>
      </c>
      <c r="G4" s="195">
        <v>1</v>
      </c>
      <c r="H4" s="195">
        <v>600000</v>
      </c>
      <c r="I4" s="196">
        <f>G4*H4</f>
        <v>600000</v>
      </c>
    </row>
    <row r="5" spans="1:10" s="197" customFormat="1" ht="24.95" customHeight="1" outlineLevel="2">
      <c r="A5" s="198" t="s">
        <v>557</v>
      </c>
      <c r="B5" s="195" t="s">
        <v>299</v>
      </c>
      <c r="C5" s="195" t="s">
        <v>583</v>
      </c>
      <c r="D5" s="188" t="s">
        <v>558</v>
      </c>
      <c r="E5" s="188" t="s">
        <v>559</v>
      </c>
      <c r="F5" s="188" t="s">
        <v>560</v>
      </c>
      <c r="G5" s="195">
        <v>8</v>
      </c>
      <c r="H5" s="195">
        <v>1300</v>
      </c>
      <c r="I5" s="196">
        <f>G5*H5</f>
        <v>10400</v>
      </c>
    </row>
    <row r="6" spans="1:10" s="197" customFormat="1" ht="24.95" customHeight="1" outlineLevel="2">
      <c r="A6" s="198" t="s">
        <v>557</v>
      </c>
      <c r="B6" s="195" t="s">
        <v>299</v>
      </c>
      <c r="C6" s="195" t="s">
        <v>583</v>
      </c>
      <c r="D6" s="188" t="s">
        <v>576</v>
      </c>
      <c r="E6" s="189" t="s">
        <v>577</v>
      </c>
      <c r="F6" s="189" t="s">
        <v>577</v>
      </c>
      <c r="G6" s="199">
        <v>1</v>
      </c>
      <c r="H6" s="195">
        <v>100000</v>
      </c>
      <c r="I6" s="196">
        <f>G6*H6</f>
        <v>100000</v>
      </c>
    </row>
    <row r="7" spans="1:10" s="197" customFormat="1" ht="24.95" customHeight="1" outlineLevel="2">
      <c r="A7" s="198" t="s">
        <v>557</v>
      </c>
      <c r="B7" s="195" t="s">
        <v>299</v>
      </c>
      <c r="C7" s="195" t="s">
        <v>583</v>
      </c>
      <c r="D7" s="188" t="s">
        <v>561</v>
      </c>
      <c r="E7" s="189" t="s">
        <v>562</v>
      </c>
      <c r="F7" s="189" t="s">
        <v>563</v>
      </c>
      <c r="G7" s="199">
        <v>1</v>
      </c>
      <c r="H7" s="195">
        <v>50000</v>
      </c>
      <c r="I7" s="196">
        <f>G7*H7</f>
        <v>50000</v>
      </c>
    </row>
    <row r="8" spans="1:10" s="197" customFormat="1" ht="24.95" customHeight="1" outlineLevel="2">
      <c r="A8" s="198" t="s">
        <v>557</v>
      </c>
      <c r="B8" s="195" t="s">
        <v>299</v>
      </c>
      <c r="C8" s="195" t="s">
        <v>583</v>
      </c>
      <c r="D8" s="188" t="s">
        <v>561</v>
      </c>
      <c r="E8" s="189" t="s">
        <v>562</v>
      </c>
      <c r="F8" s="189" t="s">
        <v>563</v>
      </c>
      <c r="G8" s="199">
        <v>1</v>
      </c>
      <c r="H8" s="195">
        <v>50000</v>
      </c>
      <c r="I8" s="196">
        <f>G8*H8</f>
        <v>50000</v>
      </c>
      <c r="J8" s="200"/>
    </row>
    <row r="9" spans="1:10" s="197" customFormat="1" ht="24.95" customHeight="1" outlineLevel="1">
      <c r="A9" s="198"/>
      <c r="B9" s="201" t="s">
        <v>504</v>
      </c>
      <c r="C9" s="195"/>
      <c r="D9" s="188"/>
      <c r="E9" s="189"/>
      <c r="F9" s="189"/>
      <c r="G9" s="199"/>
      <c r="H9" s="195"/>
      <c r="I9" s="196">
        <f>SUBTOTAL(9,I4:I8)</f>
        <v>810400</v>
      </c>
      <c r="J9" s="200"/>
    </row>
    <row r="10" spans="1:10" s="197" customFormat="1" ht="24.95" customHeight="1" outlineLevel="2">
      <c r="A10" s="188" t="s">
        <v>568</v>
      </c>
      <c r="B10" s="195" t="s">
        <v>203</v>
      </c>
      <c r="C10" s="195" t="s">
        <v>583</v>
      </c>
      <c r="D10" s="188" t="s">
        <v>569</v>
      </c>
      <c r="E10" s="188" t="s">
        <v>570</v>
      </c>
      <c r="F10" s="190" t="s">
        <v>570</v>
      </c>
      <c r="G10" s="195">
        <v>2</v>
      </c>
      <c r="H10" s="195">
        <v>600000</v>
      </c>
      <c r="I10" s="196">
        <f>G10*H10</f>
        <v>1200000</v>
      </c>
      <c r="J10" s="197" t="s">
        <v>571</v>
      </c>
    </row>
    <row r="11" spans="1:10" s="197" customFormat="1" ht="24.95" customHeight="1" outlineLevel="2">
      <c r="A11" s="198" t="s">
        <v>141</v>
      </c>
      <c r="B11" s="195" t="s">
        <v>203</v>
      </c>
      <c r="C11" s="195" t="s">
        <v>583</v>
      </c>
      <c r="D11" s="188" t="s">
        <v>558</v>
      </c>
      <c r="E11" s="188" t="s">
        <v>559</v>
      </c>
      <c r="F11" s="188" t="s">
        <v>560</v>
      </c>
      <c r="G11" s="195">
        <v>2</v>
      </c>
      <c r="H11" s="195">
        <v>1300</v>
      </c>
      <c r="I11" s="196">
        <f>G11*H11</f>
        <v>2600</v>
      </c>
    </row>
    <row r="12" spans="1:10" s="197" customFormat="1" ht="24.95" customHeight="1" outlineLevel="2">
      <c r="A12" s="198" t="s">
        <v>141</v>
      </c>
      <c r="B12" s="195" t="s">
        <v>203</v>
      </c>
      <c r="C12" s="195" t="s">
        <v>583</v>
      </c>
      <c r="D12" s="188" t="s">
        <v>561</v>
      </c>
      <c r="E12" s="189" t="s">
        <v>562</v>
      </c>
      <c r="F12" s="189" t="s">
        <v>563</v>
      </c>
      <c r="G12" s="199">
        <v>1</v>
      </c>
      <c r="H12" s="195">
        <v>50000</v>
      </c>
      <c r="I12" s="196">
        <f>G12*H12</f>
        <v>50000</v>
      </c>
      <c r="J12" s="200"/>
    </row>
    <row r="13" spans="1:10" s="197" customFormat="1" ht="24.95" customHeight="1" outlineLevel="1">
      <c r="A13" s="198"/>
      <c r="B13" s="202" t="s">
        <v>34</v>
      </c>
      <c r="C13" s="195"/>
      <c r="D13" s="188"/>
      <c r="E13" s="189"/>
      <c r="F13" s="189"/>
      <c r="G13" s="199"/>
      <c r="H13" s="195"/>
      <c r="I13" s="196">
        <f>SUBTOTAL(9,I10:I12)</f>
        <v>1252600</v>
      </c>
      <c r="J13" s="200"/>
    </row>
    <row r="14" spans="1:10" s="197" customFormat="1" ht="24.95" customHeight="1" outlineLevel="2">
      <c r="A14" s="198" t="s">
        <v>578</v>
      </c>
      <c r="B14" s="195" t="s">
        <v>197</v>
      </c>
      <c r="C14" s="195" t="s">
        <v>583</v>
      </c>
      <c r="D14" s="188" t="s">
        <v>561</v>
      </c>
      <c r="E14" s="189" t="s">
        <v>562</v>
      </c>
      <c r="F14" s="189" t="s">
        <v>563</v>
      </c>
      <c r="G14" s="199">
        <v>1</v>
      </c>
      <c r="H14" s="195">
        <v>50000</v>
      </c>
      <c r="I14" s="196">
        <f>G14*H14</f>
        <v>50000</v>
      </c>
    </row>
    <row r="15" spans="1:10" s="197" customFormat="1" ht="24.95" customHeight="1" outlineLevel="1">
      <c r="A15" s="198"/>
      <c r="B15" s="202" t="s">
        <v>487</v>
      </c>
      <c r="C15" s="195"/>
      <c r="D15" s="188"/>
      <c r="E15" s="189"/>
      <c r="F15" s="189"/>
      <c r="G15" s="199"/>
      <c r="H15" s="195"/>
      <c r="I15" s="196">
        <f>SUBTOTAL(9,I14:I14)</f>
        <v>50000</v>
      </c>
    </row>
    <row r="16" spans="1:10" s="197" customFormat="1" ht="24.95" customHeight="1" outlineLevel="2">
      <c r="A16" s="198" t="s">
        <v>134</v>
      </c>
      <c r="B16" s="195" t="s">
        <v>198</v>
      </c>
      <c r="C16" s="195" t="s">
        <v>583</v>
      </c>
      <c r="D16" s="188" t="s">
        <v>558</v>
      </c>
      <c r="E16" s="188" t="s">
        <v>559</v>
      </c>
      <c r="F16" s="188" t="s">
        <v>560</v>
      </c>
      <c r="G16" s="195">
        <v>6</v>
      </c>
      <c r="H16" s="195">
        <v>1300</v>
      </c>
      <c r="I16" s="196">
        <f>G16*H16</f>
        <v>7800</v>
      </c>
    </row>
    <row r="17" spans="1:9" s="197" customFormat="1" ht="24.95" customHeight="1" outlineLevel="2">
      <c r="A17" s="198" t="s">
        <v>137</v>
      </c>
      <c r="B17" s="195" t="s">
        <v>198</v>
      </c>
      <c r="C17" s="195" t="s">
        <v>583</v>
      </c>
      <c r="D17" s="188" t="s">
        <v>561</v>
      </c>
      <c r="E17" s="189" t="s">
        <v>562</v>
      </c>
      <c r="F17" s="189" t="s">
        <v>563</v>
      </c>
      <c r="G17" s="199">
        <v>1</v>
      </c>
      <c r="H17" s="195">
        <v>50000</v>
      </c>
      <c r="I17" s="196">
        <f>G17*H17</f>
        <v>50000</v>
      </c>
    </row>
    <row r="18" spans="1:9" s="197" customFormat="1" ht="24.95" customHeight="1" outlineLevel="2">
      <c r="A18" s="198" t="s">
        <v>133</v>
      </c>
      <c r="B18" s="195" t="s">
        <v>198</v>
      </c>
      <c r="C18" s="195" t="s">
        <v>583</v>
      </c>
      <c r="D18" s="188" t="s">
        <v>561</v>
      </c>
      <c r="E18" s="189" t="s">
        <v>562</v>
      </c>
      <c r="F18" s="189" t="s">
        <v>563</v>
      </c>
      <c r="G18" s="199">
        <v>1</v>
      </c>
      <c r="H18" s="195">
        <v>50000</v>
      </c>
      <c r="I18" s="196">
        <f>G18*H18</f>
        <v>50000</v>
      </c>
    </row>
    <row r="19" spans="1:9" s="197" customFormat="1" ht="24.95" customHeight="1" outlineLevel="1">
      <c r="A19" s="198"/>
      <c r="B19" s="202" t="s">
        <v>31</v>
      </c>
      <c r="C19" s="195"/>
      <c r="D19" s="188"/>
      <c r="E19" s="189"/>
      <c r="F19" s="189"/>
      <c r="G19" s="199"/>
      <c r="H19" s="195"/>
      <c r="I19" s="196">
        <f>SUBTOTAL(9,I16:I18)</f>
        <v>107800</v>
      </c>
    </row>
    <row r="20" spans="1:9" s="197" customFormat="1" ht="24.95" customHeight="1" outlineLevel="2">
      <c r="A20" s="198" t="s">
        <v>565</v>
      </c>
      <c r="B20" s="195" t="s">
        <v>208</v>
      </c>
      <c r="C20" s="195" t="s">
        <v>583</v>
      </c>
      <c r="D20" s="188" t="s">
        <v>558</v>
      </c>
      <c r="E20" s="188" t="s">
        <v>559</v>
      </c>
      <c r="F20" s="188" t="s">
        <v>560</v>
      </c>
      <c r="G20" s="195">
        <v>2</v>
      </c>
      <c r="H20" s="195">
        <v>1300</v>
      </c>
      <c r="I20" s="196">
        <f>G20*H20</f>
        <v>2600</v>
      </c>
    </row>
    <row r="21" spans="1:9" s="197" customFormat="1" ht="24.95" customHeight="1" outlineLevel="2">
      <c r="A21" s="198" t="s">
        <v>565</v>
      </c>
      <c r="B21" s="195" t="s">
        <v>208</v>
      </c>
      <c r="C21" s="195" t="s">
        <v>583</v>
      </c>
      <c r="D21" s="188" t="s">
        <v>576</v>
      </c>
      <c r="E21" s="189" t="s">
        <v>577</v>
      </c>
      <c r="F21" s="189" t="s">
        <v>577</v>
      </c>
      <c r="G21" s="199">
        <v>1</v>
      </c>
      <c r="H21" s="195">
        <v>100000</v>
      </c>
      <c r="I21" s="196">
        <f>G21*H21</f>
        <v>100000</v>
      </c>
    </row>
    <row r="22" spans="1:9" s="197" customFormat="1" ht="24.95" customHeight="1" outlineLevel="2">
      <c r="A22" s="198" t="s">
        <v>565</v>
      </c>
      <c r="B22" s="195" t="s">
        <v>208</v>
      </c>
      <c r="C22" s="195" t="s">
        <v>583</v>
      </c>
      <c r="D22" s="188" t="s">
        <v>561</v>
      </c>
      <c r="E22" s="189" t="s">
        <v>562</v>
      </c>
      <c r="F22" s="189" t="s">
        <v>563</v>
      </c>
      <c r="G22" s="199">
        <v>1</v>
      </c>
      <c r="H22" s="195">
        <v>50000</v>
      </c>
      <c r="I22" s="196">
        <f>G22*H22</f>
        <v>50000</v>
      </c>
    </row>
    <row r="23" spans="1:9" s="197" customFormat="1" ht="24.95" customHeight="1" outlineLevel="1">
      <c r="A23" s="198"/>
      <c r="B23" s="202" t="s">
        <v>29</v>
      </c>
      <c r="C23" s="195"/>
      <c r="D23" s="188"/>
      <c r="E23" s="189"/>
      <c r="F23" s="189"/>
      <c r="G23" s="199"/>
      <c r="H23" s="195"/>
      <c r="I23" s="196">
        <f>SUBTOTAL(9,I20:I22)</f>
        <v>152600</v>
      </c>
    </row>
    <row r="24" spans="1:9" s="197" customFormat="1" ht="24.95" customHeight="1" outlineLevel="2">
      <c r="A24" s="203" t="s">
        <v>581</v>
      </c>
      <c r="B24" s="195" t="s">
        <v>238</v>
      </c>
      <c r="C24" s="195" t="s">
        <v>584</v>
      </c>
      <c r="D24" s="188" t="s">
        <v>558</v>
      </c>
      <c r="E24" s="188" t="s">
        <v>559</v>
      </c>
      <c r="F24" s="188" t="s">
        <v>560</v>
      </c>
      <c r="G24" s="195">
        <v>7</v>
      </c>
      <c r="H24" s="195">
        <v>1300</v>
      </c>
      <c r="I24" s="196">
        <f>G24*H24</f>
        <v>9100</v>
      </c>
    </row>
    <row r="25" spans="1:9" s="197" customFormat="1" ht="24.95" customHeight="1" outlineLevel="2">
      <c r="A25" s="198" t="s">
        <v>564</v>
      </c>
      <c r="B25" s="195" t="s">
        <v>238</v>
      </c>
      <c r="C25" s="195" t="s">
        <v>583</v>
      </c>
      <c r="D25" s="188" t="s">
        <v>576</v>
      </c>
      <c r="E25" s="189" t="s">
        <v>577</v>
      </c>
      <c r="F25" s="189" t="s">
        <v>577</v>
      </c>
      <c r="G25" s="199">
        <v>1</v>
      </c>
      <c r="H25" s="195">
        <v>100000</v>
      </c>
      <c r="I25" s="196">
        <f>G25*H25</f>
        <v>100000</v>
      </c>
    </row>
    <row r="26" spans="1:9" s="197" customFormat="1" ht="24.95" customHeight="1" outlineLevel="2">
      <c r="A26" s="198" t="s">
        <v>575</v>
      </c>
      <c r="B26" s="195" t="s">
        <v>238</v>
      </c>
      <c r="C26" s="195" t="s">
        <v>583</v>
      </c>
      <c r="D26" s="188" t="s">
        <v>576</v>
      </c>
      <c r="E26" s="189" t="s">
        <v>577</v>
      </c>
      <c r="F26" s="189" t="s">
        <v>577</v>
      </c>
      <c r="G26" s="199">
        <v>1</v>
      </c>
      <c r="H26" s="195">
        <v>100000</v>
      </c>
      <c r="I26" s="196">
        <f>G26*H26</f>
        <v>100000</v>
      </c>
    </row>
    <row r="27" spans="1:9" s="197" customFormat="1" ht="24.95" customHeight="1" outlineLevel="2">
      <c r="A27" s="203" t="s">
        <v>581</v>
      </c>
      <c r="B27" s="195" t="s">
        <v>238</v>
      </c>
      <c r="C27" s="195" t="s">
        <v>584</v>
      </c>
      <c r="D27" s="188" t="s">
        <v>561</v>
      </c>
      <c r="E27" s="189" t="s">
        <v>562</v>
      </c>
      <c r="F27" s="189" t="s">
        <v>563</v>
      </c>
      <c r="G27" s="199">
        <v>1</v>
      </c>
      <c r="H27" s="195">
        <v>50000</v>
      </c>
      <c r="I27" s="196">
        <f>G27*H27</f>
        <v>50000</v>
      </c>
    </row>
    <row r="28" spans="1:9" s="197" customFormat="1" ht="24.95" customHeight="1" outlineLevel="2">
      <c r="A28" s="198" t="s">
        <v>564</v>
      </c>
      <c r="B28" s="199" t="s">
        <v>238</v>
      </c>
      <c r="C28" s="195" t="s">
        <v>583</v>
      </c>
      <c r="D28" s="188" t="s">
        <v>561</v>
      </c>
      <c r="E28" s="189" t="s">
        <v>562</v>
      </c>
      <c r="F28" s="189" t="s">
        <v>563</v>
      </c>
      <c r="G28" s="199">
        <v>1</v>
      </c>
      <c r="H28" s="195">
        <v>50000</v>
      </c>
      <c r="I28" s="196">
        <f>G28*H28</f>
        <v>50000</v>
      </c>
    </row>
    <row r="29" spans="1:9" s="197" customFormat="1" ht="24.95" customHeight="1" outlineLevel="1">
      <c r="A29" s="198"/>
      <c r="B29" s="204" t="s">
        <v>468</v>
      </c>
      <c r="C29" s="195"/>
      <c r="D29" s="188"/>
      <c r="E29" s="189"/>
      <c r="F29" s="189"/>
      <c r="G29" s="199"/>
      <c r="H29" s="195"/>
      <c r="I29" s="196">
        <f>SUBTOTAL(9,I24:I28)</f>
        <v>309100</v>
      </c>
    </row>
    <row r="30" spans="1:9" s="197" customFormat="1" ht="24.95" customHeight="1" outlineLevel="2">
      <c r="A30" s="198" t="s">
        <v>124</v>
      </c>
      <c r="B30" s="195" t="s">
        <v>194</v>
      </c>
      <c r="C30" s="195" t="s">
        <v>583</v>
      </c>
      <c r="D30" s="188" t="s">
        <v>576</v>
      </c>
      <c r="E30" s="189" t="s">
        <v>577</v>
      </c>
      <c r="F30" s="189" t="s">
        <v>577</v>
      </c>
      <c r="G30" s="199">
        <v>1</v>
      </c>
      <c r="H30" s="195">
        <v>100000</v>
      </c>
      <c r="I30" s="196">
        <f>G30*H30</f>
        <v>100000</v>
      </c>
    </row>
    <row r="31" spans="1:9" s="197" customFormat="1" ht="24.95" customHeight="1" outlineLevel="2">
      <c r="A31" s="198" t="s">
        <v>567</v>
      </c>
      <c r="B31" s="195" t="s">
        <v>194</v>
      </c>
      <c r="C31" s="195" t="s">
        <v>583</v>
      </c>
      <c r="D31" s="188" t="s">
        <v>561</v>
      </c>
      <c r="E31" s="189" t="s">
        <v>562</v>
      </c>
      <c r="F31" s="189" t="s">
        <v>563</v>
      </c>
      <c r="G31" s="199">
        <v>1</v>
      </c>
      <c r="H31" s="195">
        <v>50000</v>
      </c>
      <c r="I31" s="196">
        <f>G31*H31</f>
        <v>50000</v>
      </c>
    </row>
    <row r="32" spans="1:9" s="197" customFormat="1" ht="24.95" customHeight="1" outlineLevel="1">
      <c r="A32" s="198"/>
      <c r="B32" s="202" t="s">
        <v>68</v>
      </c>
      <c r="C32" s="195"/>
      <c r="D32" s="188"/>
      <c r="E32" s="189"/>
      <c r="F32" s="189"/>
      <c r="G32" s="199"/>
      <c r="H32" s="195"/>
      <c r="I32" s="196">
        <f>SUBTOTAL(9,I30:I31)</f>
        <v>150000</v>
      </c>
    </row>
    <row r="33" spans="1:10" s="197" customFormat="1" ht="24.95" customHeight="1" outlineLevel="2">
      <c r="A33" s="191" t="s">
        <v>580</v>
      </c>
      <c r="B33" s="195" t="s">
        <v>234</v>
      </c>
      <c r="C33" s="195" t="s">
        <v>583</v>
      </c>
      <c r="D33" s="188" t="s">
        <v>576</v>
      </c>
      <c r="E33" s="189" t="s">
        <v>577</v>
      </c>
      <c r="F33" s="189" t="s">
        <v>577</v>
      </c>
      <c r="G33" s="195">
        <v>1</v>
      </c>
      <c r="H33" s="195">
        <v>100000</v>
      </c>
      <c r="I33" s="196">
        <f>G33*H33</f>
        <v>100000</v>
      </c>
    </row>
    <row r="34" spans="1:10" s="200" customFormat="1" ht="24.95" customHeight="1" outlineLevel="2">
      <c r="A34" s="198" t="s">
        <v>579</v>
      </c>
      <c r="B34" s="195" t="s">
        <v>234</v>
      </c>
      <c r="C34" s="195" t="s">
        <v>583</v>
      </c>
      <c r="D34" s="188" t="s">
        <v>561</v>
      </c>
      <c r="E34" s="189" t="s">
        <v>562</v>
      </c>
      <c r="F34" s="189" t="s">
        <v>563</v>
      </c>
      <c r="G34" s="199">
        <v>1</v>
      </c>
      <c r="H34" s="195">
        <v>50000</v>
      </c>
      <c r="I34" s="196">
        <f>G34*H34</f>
        <v>50000</v>
      </c>
      <c r="J34" s="197"/>
    </row>
    <row r="35" spans="1:10" s="200" customFormat="1" ht="24.95" customHeight="1" outlineLevel="1">
      <c r="A35" s="198"/>
      <c r="B35" s="202" t="s">
        <v>456</v>
      </c>
      <c r="C35" s="195"/>
      <c r="D35" s="188"/>
      <c r="E35" s="189"/>
      <c r="F35" s="189"/>
      <c r="G35" s="199"/>
      <c r="H35" s="195"/>
      <c r="I35" s="196">
        <f>SUBTOTAL(9,I33:I34)</f>
        <v>150000</v>
      </c>
      <c r="J35" s="197"/>
    </row>
    <row r="36" spans="1:10" s="200" customFormat="1" ht="24.95" customHeight="1" outlineLevel="2">
      <c r="A36" s="248" t="s">
        <v>574</v>
      </c>
      <c r="B36" s="191" t="s">
        <v>195</v>
      </c>
      <c r="C36" s="191" t="s">
        <v>583</v>
      </c>
      <c r="D36" s="248" t="s">
        <v>573</v>
      </c>
      <c r="E36" s="248" t="s">
        <v>573</v>
      </c>
      <c r="F36" s="248" t="s">
        <v>573</v>
      </c>
      <c r="G36" s="191">
        <v>1</v>
      </c>
      <c r="H36" s="191">
        <v>500000</v>
      </c>
      <c r="I36" s="249">
        <f>G36*H36</f>
        <v>500000</v>
      </c>
      <c r="J36" s="197"/>
    </row>
    <row r="37" spans="1:10" s="197" customFormat="1" ht="24.95" customHeight="1" outlineLevel="2">
      <c r="A37" s="198" t="s">
        <v>566</v>
      </c>
      <c r="B37" s="195" t="s">
        <v>195</v>
      </c>
      <c r="C37" s="195" t="s">
        <v>583</v>
      </c>
      <c r="D37" s="188" t="s">
        <v>558</v>
      </c>
      <c r="E37" s="188" t="s">
        <v>559</v>
      </c>
      <c r="F37" s="188" t="s">
        <v>560</v>
      </c>
      <c r="G37" s="195">
        <v>8</v>
      </c>
      <c r="H37" s="195">
        <v>1300</v>
      </c>
      <c r="I37" s="196">
        <f>G37*H37</f>
        <v>10400</v>
      </c>
    </row>
    <row r="38" spans="1:10" s="197" customFormat="1" ht="24.95" customHeight="1" outlineLevel="2">
      <c r="A38" s="198" t="s">
        <v>566</v>
      </c>
      <c r="B38" s="195" t="s">
        <v>195</v>
      </c>
      <c r="C38" s="195" t="s">
        <v>583</v>
      </c>
      <c r="D38" s="188" t="s">
        <v>561</v>
      </c>
      <c r="E38" s="189" t="s">
        <v>562</v>
      </c>
      <c r="F38" s="189" t="s">
        <v>563</v>
      </c>
      <c r="G38" s="199">
        <v>1</v>
      </c>
      <c r="H38" s="195">
        <v>50000</v>
      </c>
      <c r="I38" s="196">
        <f>G38*H38</f>
        <v>50000</v>
      </c>
    </row>
    <row r="39" spans="1:10" s="197" customFormat="1" ht="24.95" customHeight="1" outlineLevel="1">
      <c r="A39" s="198"/>
      <c r="B39" s="202" t="s">
        <v>498</v>
      </c>
      <c r="C39" s="195"/>
      <c r="D39" s="188"/>
      <c r="E39" s="189"/>
      <c r="F39" s="189"/>
      <c r="G39" s="199"/>
      <c r="H39" s="195"/>
      <c r="I39" s="196">
        <f>SUBTOTAL(9,I36:I38)</f>
        <v>560400</v>
      </c>
    </row>
    <row r="40" spans="1:10" s="197" customFormat="1" ht="24.95" customHeight="1">
      <c r="A40" s="198"/>
      <c r="B40" s="202" t="s">
        <v>21</v>
      </c>
      <c r="C40" s="195"/>
      <c r="D40" s="188"/>
      <c r="E40" s="189"/>
      <c r="F40" s="189"/>
      <c r="G40" s="199"/>
      <c r="H40" s="195"/>
      <c r="I40" s="196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19.375" style="172" customWidth="1"/>
    <col min="6" max="6" width="20.5" style="172" customWidth="1"/>
    <col min="7" max="7" width="30" style="238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67" t="s">
        <v>666</v>
      </c>
      <c r="B1" s="367"/>
      <c r="C1" s="367"/>
      <c r="D1" s="367"/>
      <c r="E1" s="367"/>
      <c r="F1" s="367"/>
      <c r="G1" s="367"/>
      <c r="H1" s="367"/>
      <c r="I1" s="367"/>
      <c r="J1" s="367"/>
      <c r="K1" s="225"/>
      <c r="L1" s="225"/>
    </row>
    <row r="2" spans="1:12" s="224" customFormat="1" ht="30" customHeight="1">
      <c r="A2" s="368" t="s">
        <v>223</v>
      </c>
      <c r="B2" s="368"/>
      <c r="C2" s="368"/>
      <c r="D2" s="368"/>
      <c r="E2" s="368"/>
      <c r="F2" s="368"/>
      <c r="G2" s="368"/>
      <c r="H2" s="368"/>
      <c r="I2" s="368"/>
      <c r="J2" s="368"/>
      <c r="K2" s="223"/>
      <c r="L2" s="223"/>
    </row>
    <row r="3" spans="1:12" s="176" customFormat="1" ht="39.950000000000003" customHeight="1">
      <c r="A3" s="179" t="s">
        <v>59</v>
      </c>
      <c r="B3" s="179" t="s">
        <v>506</v>
      </c>
      <c r="C3" s="179" t="s">
        <v>226</v>
      </c>
      <c r="D3" s="179" t="s">
        <v>191</v>
      </c>
      <c r="E3" s="179" t="s">
        <v>60</v>
      </c>
      <c r="F3" s="179" t="s">
        <v>61</v>
      </c>
      <c r="G3" s="237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38.1" customHeight="1" outlineLevel="2">
      <c r="A4" s="232" t="s">
        <v>120</v>
      </c>
      <c r="B4" s="233" t="s">
        <v>9</v>
      </c>
      <c r="C4" s="52" t="s">
        <v>37</v>
      </c>
      <c r="D4" s="233" t="s">
        <v>201</v>
      </c>
      <c r="E4" s="234" t="s">
        <v>609</v>
      </c>
      <c r="F4" s="234" t="s">
        <v>610</v>
      </c>
      <c r="G4" s="234" t="s">
        <v>611</v>
      </c>
      <c r="H4" s="233">
        <v>1</v>
      </c>
      <c r="I4" s="235">
        <v>30000</v>
      </c>
      <c r="J4" s="235">
        <f t="shared" ref="J4:J12" si="0">I4*H4</f>
        <v>30000</v>
      </c>
      <c r="K4" s="175"/>
      <c r="L4" s="175"/>
    </row>
    <row r="5" spans="1:12" s="176" customFormat="1" ht="38.1" customHeight="1" outlineLevel="2">
      <c r="A5" s="232" t="s">
        <v>121</v>
      </c>
      <c r="B5" s="233" t="s">
        <v>9</v>
      </c>
      <c r="C5" s="233" t="s">
        <v>65</v>
      </c>
      <c r="D5" s="233" t="s">
        <v>201</v>
      </c>
      <c r="E5" s="234" t="s">
        <v>609</v>
      </c>
      <c r="F5" s="234" t="s">
        <v>610</v>
      </c>
      <c r="G5" s="234" t="s">
        <v>611</v>
      </c>
      <c r="H5" s="233">
        <v>1</v>
      </c>
      <c r="I5" s="235">
        <v>30000</v>
      </c>
      <c r="J5" s="235">
        <f t="shared" si="0"/>
        <v>30000</v>
      </c>
      <c r="K5" s="175"/>
      <c r="L5" s="175"/>
    </row>
    <row r="6" spans="1:12" s="176" customFormat="1" ht="38.1" customHeight="1" outlineLevel="2">
      <c r="A6" s="232" t="s">
        <v>121</v>
      </c>
      <c r="B6" s="233" t="s">
        <v>9</v>
      </c>
      <c r="C6" s="233" t="s">
        <v>65</v>
      </c>
      <c r="D6" s="233" t="s">
        <v>201</v>
      </c>
      <c r="E6" s="236" t="s">
        <v>614</v>
      </c>
      <c r="F6" s="236" t="s">
        <v>619</v>
      </c>
      <c r="G6" s="236" t="s">
        <v>620</v>
      </c>
      <c r="H6" s="233">
        <v>1</v>
      </c>
      <c r="I6" s="235">
        <v>70000</v>
      </c>
      <c r="J6" s="235">
        <f t="shared" si="0"/>
        <v>70000</v>
      </c>
      <c r="K6" s="175"/>
      <c r="L6" s="175"/>
    </row>
    <row r="7" spans="1:12" s="176" customFormat="1" ht="38.1" customHeight="1" outlineLevel="2">
      <c r="A7" s="232" t="s">
        <v>119</v>
      </c>
      <c r="B7" s="233" t="s">
        <v>9</v>
      </c>
      <c r="C7" s="233" t="s">
        <v>37</v>
      </c>
      <c r="D7" s="233" t="s">
        <v>201</v>
      </c>
      <c r="E7" s="236" t="s">
        <v>633</v>
      </c>
      <c r="F7" s="236" t="s">
        <v>637</v>
      </c>
      <c r="G7" s="236" t="s">
        <v>638</v>
      </c>
      <c r="H7" s="233">
        <v>1</v>
      </c>
      <c r="I7" s="235">
        <v>100000</v>
      </c>
      <c r="J7" s="235">
        <f t="shared" si="0"/>
        <v>100000</v>
      </c>
      <c r="K7" s="175"/>
      <c r="L7" s="175"/>
    </row>
    <row r="8" spans="1:12" s="176" customFormat="1" ht="38.1" customHeight="1" outlineLevel="2">
      <c r="A8" s="232" t="s">
        <v>119</v>
      </c>
      <c r="B8" s="233" t="s">
        <v>9</v>
      </c>
      <c r="C8" s="233" t="s">
        <v>37</v>
      </c>
      <c r="D8" s="233" t="s">
        <v>201</v>
      </c>
      <c r="E8" s="236" t="s">
        <v>633</v>
      </c>
      <c r="F8" s="236" t="s">
        <v>639</v>
      </c>
      <c r="G8" s="236" t="s">
        <v>640</v>
      </c>
      <c r="H8" s="233">
        <v>208</v>
      </c>
      <c r="I8" s="235">
        <v>46</v>
      </c>
      <c r="J8" s="235">
        <f t="shared" si="0"/>
        <v>9568</v>
      </c>
      <c r="K8" s="175"/>
      <c r="L8" s="175"/>
    </row>
    <row r="9" spans="1:12" s="176" customFormat="1" ht="38.1" customHeight="1" outlineLevel="2">
      <c r="A9" s="232" t="s">
        <v>120</v>
      </c>
      <c r="B9" s="233" t="s">
        <v>9</v>
      </c>
      <c r="C9" s="233" t="s">
        <v>37</v>
      </c>
      <c r="D9" s="233" t="s">
        <v>201</v>
      </c>
      <c r="E9" s="236" t="s">
        <v>633</v>
      </c>
      <c r="F9" s="236" t="s">
        <v>639</v>
      </c>
      <c r="G9" s="236" t="s">
        <v>640</v>
      </c>
      <c r="H9" s="233">
        <v>210</v>
      </c>
      <c r="I9" s="235">
        <v>46</v>
      </c>
      <c r="J9" s="235">
        <f t="shared" si="0"/>
        <v>9660</v>
      </c>
      <c r="K9" s="175"/>
      <c r="L9" s="175"/>
    </row>
    <row r="10" spans="1:12" s="176" customFormat="1" ht="38.1" customHeight="1" outlineLevel="2">
      <c r="A10" s="232" t="s">
        <v>122</v>
      </c>
      <c r="B10" s="233" t="s">
        <v>9</v>
      </c>
      <c r="C10" s="233" t="s">
        <v>66</v>
      </c>
      <c r="D10" s="233" t="s">
        <v>201</v>
      </c>
      <c r="E10" s="236" t="s">
        <v>633</v>
      </c>
      <c r="F10" s="236" t="s">
        <v>639</v>
      </c>
      <c r="G10" s="236" t="s">
        <v>640</v>
      </c>
      <c r="H10" s="233">
        <v>205</v>
      </c>
      <c r="I10" s="235">
        <v>46</v>
      </c>
      <c r="J10" s="235">
        <f t="shared" si="0"/>
        <v>9430</v>
      </c>
      <c r="K10" s="175"/>
      <c r="L10" s="175"/>
    </row>
    <row r="11" spans="1:12" s="176" customFormat="1" ht="38.1" customHeight="1" outlineLevel="2">
      <c r="A11" s="232" t="s">
        <v>123</v>
      </c>
      <c r="B11" s="233" t="s">
        <v>9</v>
      </c>
      <c r="C11" s="233" t="s">
        <v>66</v>
      </c>
      <c r="D11" s="233" t="s">
        <v>201</v>
      </c>
      <c r="E11" s="236" t="s">
        <v>633</v>
      </c>
      <c r="F11" s="236" t="s">
        <v>639</v>
      </c>
      <c r="G11" s="236" t="s">
        <v>640</v>
      </c>
      <c r="H11" s="233">
        <v>254</v>
      </c>
      <c r="I11" s="235">
        <v>46</v>
      </c>
      <c r="J11" s="235">
        <f t="shared" si="0"/>
        <v>11684</v>
      </c>
      <c r="K11" s="175"/>
      <c r="L11" s="175"/>
    </row>
    <row r="12" spans="1:12" s="176" customFormat="1" ht="38.1" customHeight="1" outlineLevel="2">
      <c r="A12" s="232" t="s">
        <v>121</v>
      </c>
      <c r="B12" s="233" t="s">
        <v>9</v>
      </c>
      <c r="C12" s="233" t="s">
        <v>65</v>
      </c>
      <c r="D12" s="233" t="s">
        <v>201</v>
      </c>
      <c r="E12" s="236" t="s">
        <v>633</v>
      </c>
      <c r="F12" s="236" t="s">
        <v>639</v>
      </c>
      <c r="G12" s="236" t="s">
        <v>640</v>
      </c>
      <c r="H12" s="233">
        <v>293</v>
      </c>
      <c r="I12" s="235">
        <v>46</v>
      </c>
      <c r="J12" s="235">
        <f t="shared" si="0"/>
        <v>13478</v>
      </c>
      <c r="K12" s="175"/>
      <c r="L12" s="175"/>
    </row>
    <row r="13" spans="1:12" s="176" customFormat="1" ht="38.1" customHeight="1" outlineLevel="1">
      <c r="A13" s="232"/>
      <c r="B13" s="239" t="s">
        <v>504</v>
      </c>
      <c r="C13" s="233"/>
      <c r="D13" s="233"/>
      <c r="E13" s="236"/>
      <c r="F13" s="236"/>
      <c r="G13" s="236"/>
      <c r="H13" s="233"/>
      <c r="I13" s="235"/>
      <c r="J13" s="235">
        <f>SUBTOTAL(9,J4:J12)</f>
        <v>283820</v>
      </c>
      <c r="K13" s="175"/>
      <c r="L13" s="175"/>
    </row>
    <row r="14" spans="1:12" s="176" customFormat="1" ht="38.1" customHeight="1" outlineLevel="2">
      <c r="A14" s="232" t="s">
        <v>110</v>
      </c>
      <c r="B14" s="233" t="s">
        <v>7</v>
      </c>
      <c r="C14" s="233" t="s">
        <v>65</v>
      </c>
      <c r="D14" s="233" t="s">
        <v>201</v>
      </c>
      <c r="E14" s="234" t="s">
        <v>606</v>
      </c>
      <c r="F14" s="234" t="s">
        <v>607</v>
      </c>
      <c r="G14" s="234" t="s">
        <v>608</v>
      </c>
      <c r="H14" s="233">
        <v>1</v>
      </c>
      <c r="I14" s="235">
        <v>30000</v>
      </c>
      <c r="J14" s="235">
        <f t="shared" ref="J14:J23" si="1">I14*H14</f>
        <v>30000</v>
      </c>
      <c r="K14" s="175"/>
      <c r="L14" s="175"/>
    </row>
    <row r="15" spans="1:12" s="176" customFormat="1" ht="38.1" customHeight="1" outlineLevel="2">
      <c r="A15" s="232" t="s">
        <v>109</v>
      </c>
      <c r="B15" s="233" t="s">
        <v>7</v>
      </c>
      <c r="C15" s="233" t="s">
        <v>65</v>
      </c>
      <c r="D15" s="233" t="s">
        <v>201</v>
      </c>
      <c r="E15" s="234" t="s">
        <v>609</v>
      </c>
      <c r="F15" s="234" t="s">
        <v>610</v>
      </c>
      <c r="G15" s="234" t="s">
        <v>611</v>
      </c>
      <c r="H15" s="233">
        <v>1</v>
      </c>
      <c r="I15" s="235">
        <v>30000</v>
      </c>
      <c r="J15" s="235">
        <f t="shared" si="1"/>
        <v>30000</v>
      </c>
      <c r="K15" s="175"/>
      <c r="L15" s="175"/>
    </row>
    <row r="16" spans="1:12" s="176" customFormat="1" ht="38.1" customHeight="1" outlineLevel="2">
      <c r="A16" s="232" t="s">
        <v>110</v>
      </c>
      <c r="B16" s="233" t="s">
        <v>7</v>
      </c>
      <c r="C16" s="233" t="s">
        <v>65</v>
      </c>
      <c r="D16" s="233" t="s">
        <v>201</v>
      </c>
      <c r="E16" s="234" t="s">
        <v>609</v>
      </c>
      <c r="F16" s="234" t="s">
        <v>610</v>
      </c>
      <c r="G16" s="234" t="s">
        <v>611</v>
      </c>
      <c r="H16" s="233">
        <v>1</v>
      </c>
      <c r="I16" s="235">
        <v>30000</v>
      </c>
      <c r="J16" s="235">
        <f t="shared" si="1"/>
        <v>30000</v>
      </c>
      <c r="K16" s="175"/>
      <c r="L16" s="175"/>
    </row>
    <row r="17" spans="1:12" s="176" customFormat="1" ht="38.1" customHeight="1" outlineLevel="2">
      <c r="A17" s="232" t="s">
        <v>108</v>
      </c>
      <c r="B17" s="233" t="s">
        <v>7</v>
      </c>
      <c r="C17" s="233" t="s">
        <v>65</v>
      </c>
      <c r="D17" s="233" t="s">
        <v>201</v>
      </c>
      <c r="E17" s="234" t="s">
        <v>609</v>
      </c>
      <c r="F17" s="234" t="s">
        <v>610</v>
      </c>
      <c r="G17" s="234" t="s">
        <v>611</v>
      </c>
      <c r="H17" s="233">
        <v>1</v>
      </c>
      <c r="I17" s="235">
        <v>30000</v>
      </c>
      <c r="J17" s="235">
        <f t="shared" si="1"/>
        <v>30000</v>
      </c>
      <c r="K17" s="175"/>
      <c r="L17" s="175"/>
    </row>
    <row r="18" spans="1:12" s="176" customFormat="1" ht="38.1" customHeight="1" outlineLevel="2">
      <c r="A18" s="232" t="s">
        <v>618</v>
      </c>
      <c r="B18" s="233" t="s">
        <v>7</v>
      </c>
      <c r="C18" s="233" t="s">
        <v>66</v>
      </c>
      <c r="D18" s="233" t="s">
        <v>584</v>
      </c>
      <c r="E18" s="236" t="s">
        <v>614</v>
      </c>
      <c r="F18" s="236" t="s">
        <v>619</v>
      </c>
      <c r="G18" s="236" t="s">
        <v>620</v>
      </c>
      <c r="H18" s="233">
        <v>1</v>
      </c>
      <c r="I18" s="235">
        <v>70000</v>
      </c>
      <c r="J18" s="235">
        <f t="shared" si="1"/>
        <v>70000</v>
      </c>
      <c r="K18" s="175"/>
      <c r="L18" s="175"/>
    </row>
    <row r="19" spans="1:12" s="176" customFormat="1" ht="38.1" customHeight="1" outlineLevel="2">
      <c r="A19" s="232" t="s">
        <v>109</v>
      </c>
      <c r="B19" s="233" t="s">
        <v>7</v>
      </c>
      <c r="C19" s="233" t="s">
        <v>65</v>
      </c>
      <c r="D19" s="233" t="s">
        <v>201</v>
      </c>
      <c r="E19" s="236" t="s">
        <v>614</v>
      </c>
      <c r="F19" s="236" t="s">
        <v>621</v>
      </c>
      <c r="G19" s="236" t="s">
        <v>622</v>
      </c>
      <c r="H19" s="233">
        <v>1</v>
      </c>
      <c r="I19" s="235">
        <v>50000</v>
      </c>
      <c r="J19" s="235">
        <f t="shared" si="1"/>
        <v>50000</v>
      </c>
      <c r="K19" s="175"/>
      <c r="L19" s="175"/>
    </row>
    <row r="20" spans="1:12" s="176" customFormat="1" ht="38.1" customHeight="1" outlineLevel="2">
      <c r="A20" s="232" t="s">
        <v>110</v>
      </c>
      <c r="B20" s="233" t="s">
        <v>7</v>
      </c>
      <c r="C20" s="233" t="s">
        <v>65</v>
      </c>
      <c r="D20" s="233" t="s">
        <v>201</v>
      </c>
      <c r="E20" s="236" t="s">
        <v>626</v>
      </c>
      <c r="F20" s="236" t="s">
        <v>627</v>
      </c>
      <c r="G20" s="236" t="s">
        <v>628</v>
      </c>
      <c r="H20" s="233">
        <v>1</v>
      </c>
      <c r="I20" s="235">
        <v>50000</v>
      </c>
      <c r="J20" s="235">
        <f t="shared" si="1"/>
        <v>50000</v>
      </c>
      <c r="K20" s="175"/>
      <c r="L20" s="175"/>
    </row>
    <row r="21" spans="1:12" s="176" customFormat="1" ht="38.1" customHeight="1" outlineLevel="2">
      <c r="A21" s="232" t="s">
        <v>108</v>
      </c>
      <c r="B21" s="233" t="s">
        <v>7</v>
      </c>
      <c r="C21" s="233" t="s">
        <v>65</v>
      </c>
      <c r="D21" s="233" t="s">
        <v>201</v>
      </c>
      <c r="E21" s="236" t="s">
        <v>633</v>
      </c>
      <c r="F21" s="236" t="s">
        <v>639</v>
      </c>
      <c r="G21" s="236" t="s">
        <v>640</v>
      </c>
      <c r="H21" s="233">
        <v>511</v>
      </c>
      <c r="I21" s="235">
        <v>46</v>
      </c>
      <c r="J21" s="235">
        <f t="shared" si="1"/>
        <v>23506</v>
      </c>
      <c r="K21" s="175"/>
      <c r="L21" s="175"/>
    </row>
    <row r="22" spans="1:12" s="176" customFormat="1" ht="38.1" customHeight="1" outlineLevel="2">
      <c r="A22" s="232" t="s">
        <v>109</v>
      </c>
      <c r="B22" s="233" t="s">
        <v>7</v>
      </c>
      <c r="C22" s="233" t="s">
        <v>65</v>
      </c>
      <c r="D22" s="233" t="s">
        <v>201</v>
      </c>
      <c r="E22" s="236" t="s">
        <v>633</v>
      </c>
      <c r="F22" s="236" t="s">
        <v>639</v>
      </c>
      <c r="G22" s="236" t="s">
        <v>640</v>
      </c>
      <c r="H22" s="233">
        <v>454</v>
      </c>
      <c r="I22" s="235">
        <v>46</v>
      </c>
      <c r="J22" s="235">
        <f t="shared" si="1"/>
        <v>20884</v>
      </c>
      <c r="K22" s="209"/>
      <c r="L22" s="175"/>
    </row>
    <row r="23" spans="1:12" s="176" customFormat="1" ht="38.1" customHeight="1" outlineLevel="2">
      <c r="A23" s="232" t="s">
        <v>110</v>
      </c>
      <c r="B23" s="233" t="s">
        <v>7</v>
      </c>
      <c r="C23" s="233" t="s">
        <v>65</v>
      </c>
      <c r="D23" s="233" t="s">
        <v>201</v>
      </c>
      <c r="E23" s="236" t="s">
        <v>633</v>
      </c>
      <c r="F23" s="236" t="s">
        <v>639</v>
      </c>
      <c r="G23" s="236" t="s">
        <v>640</v>
      </c>
      <c r="H23" s="233">
        <v>304</v>
      </c>
      <c r="I23" s="235">
        <v>46</v>
      </c>
      <c r="J23" s="235">
        <f t="shared" si="1"/>
        <v>13984</v>
      </c>
      <c r="K23" s="175"/>
      <c r="L23" s="175"/>
    </row>
    <row r="24" spans="1:12" s="176" customFormat="1" ht="38.1" customHeight="1" outlineLevel="1">
      <c r="A24" s="232"/>
      <c r="B24" s="239" t="s">
        <v>34</v>
      </c>
      <c r="C24" s="233"/>
      <c r="D24" s="233"/>
      <c r="E24" s="236"/>
      <c r="F24" s="236"/>
      <c r="G24" s="236"/>
      <c r="H24" s="233"/>
      <c r="I24" s="235"/>
      <c r="J24" s="235">
        <f>SUBTOTAL(9,J14:J23)</f>
        <v>348374</v>
      </c>
      <c r="K24" s="175"/>
      <c r="L24" s="175"/>
    </row>
    <row r="25" spans="1:12" s="176" customFormat="1" ht="38.1" customHeight="1" outlineLevel="2">
      <c r="A25" s="232" t="s">
        <v>106</v>
      </c>
      <c r="B25" s="233" t="s">
        <v>6</v>
      </c>
      <c r="C25" s="233" t="s">
        <v>65</v>
      </c>
      <c r="D25" s="233" t="s">
        <v>201</v>
      </c>
      <c r="E25" s="234" t="s">
        <v>609</v>
      </c>
      <c r="F25" s="234" t="s">
        <v>610</v>
      </c>
      <c r="G25" s="234" t="s">
        <v>611</v>
      </c>
      <c r="H25" s="233">
        <v>1</v>
      </c>
      <c r="I25" s="235">
        <v>30000</v>
      </c>
      <c r="J25" s="235">
        <f t="shared" ref="J25:J33" si="2">I25*H25</f>
        <v>30000</v>
      </c>
      <c r="K25" s="175"/>
      <c r="L25" s="175"/>
    </row>
    <row r="26" spans="1:12" s="176" customFormat="1" ht="38.1" customHeight="1" outlineLevel="2">
      <c r="A26" s="232" t="s">
        <v>105</v>
      </c>
      <c r="B26" s="233" t="s">
        <v>6</v>
      </c>
      <c r="C26" s="233" t="s">
        <v>37</v>
      </c>
      <c r="D26" s="233" t="s">
        <v>201</v>
      </c>
      <c r="E26" s="234" t="s">
        <v>609</v>
      </c>
      <c r="F26" s="234" t="s">
        <v>610</v>
      </c>
      <c r="G26" s="234" t="s">
        <v>611</v>
      </c>
      <c r="H26" s="233">
        <v>1</v>
      </c>
      <c r="I26" s="235">
        <v>30000</v>
      </c>
      <c r="J26" s="235">
        <f t="shared" si="2"/>
        <v>30000</v>
      </c>
      <c r="K26" s="175"/>
      <c r="L26" s="175"/>
    </row>
    <row r="27" spans="1:12" s="176" customFormat="1" ht="38.1" customHeight="1" outlineLevel="2">
      <c r="A27" s="232" t="s">
        <v>105</v>
      </c>
      <c r="B27" s="233" t="s">
        <v>6</v>
      </c>
      <c r="C27" s="233" t="s">
        <v>37</v>
      </c>
      <c r="D27" s="233" t="s">
        <v>201</v>
      </c>
      <c r="E27" s="236" t="s">
        <v>626</v>
      </c>
      <c r="F27" s="236" t="s">
        <v>627</v>
      </c>
      <c r="G27" s="236" t="s">
        <v>628</v>
      </c>
      <c r="H27" s="233">
        <v>1</v>
      </c>
      <c r="I27" s="235">
        <v>50000</v>
      </c>
      <c r="J27" s="235">
        <f t="shared" si="2"/>
        <v>50000</v>
      </c>
      <c r="K27" s="175"/>
      <c r="L27" s="175"/>
    </row>
    <row r="28" spans="1:12" s="176" customFormat="1" ht="38.1" customHeight="1" outlineLevel="2">
      <c r="A28" s="232" t="s">
        <v>624</v>
      </c>
      <c r="B28" s="233" t="s">
        <v>6</v>
      </c>
      <c r="C28" s="233" t="s">
        <v>66</v>
      </c>
      <c r="D28" s="233" t="s">
        <v>201</v>
      </c>
      <c r="E28" s="236" t="s">
        <v>626</v>
      </c>
      <c r="F28" s="236" t="s">
        <v>627</v>
      </c>
      <c r="G28" s="236" t="s">
        <v>628</v>
      </c>
      <c r="H28" s="233">
        <v>1</v>
      </c>
      <c r="I28" s="235">
        <v>50000</v>
      </c>
      <c r="J28" s="235">
        <f t="shared" si="2"/>
        <v>50000</v>
      </c>
      <c r="K28" s="175"/>
      <c r="L28" s="175"/>
    </row>
    <row r="29" spans="1:12" s="176" customFormat="1" ht="38.1" customHeight="1" outlineLevel="2">
      <c r="A29" s="232" t="s">
        <v>348</v>
      </c>
      <c r="B29" s="233" t="s">
        <v>6</v>
      </c>
      <c r="C29" s="233" t="s">
        <v>37</v>
      </c>
      <c r="D29" s="233" t="s">
        <v>201</v>
      </c>
      <c r="E29" s="236" t="s">
        <v>633</v>
      </c>
      <c r="F29" s="236" t="s">
        <v>637</v>
      </c>
      <c r="G29" s="236" t="s">
        <v>638</v>
      </c>
      <c r="H29" s="233">
        <v>1</v>
      </c>
      <c r="I29" s="235">
        <v>70000</v>
      </c>
      <c r="J29" s="235">
        <f t="shared" si="2"/>
        <v>70000</v>
      </c>
      <c r="K29" s="175"/>
      <c r="L29" s="175"/>
    </row>
    <row r="30" spans="1:12" s="176" customFormat="1" ht="38.1" customHeight="1" outlineLevel="2">
      <c r="A30" s="232" t="s">
        <v>67</v>
      </c>
      <c r="B30" s="233" t="s">
        <v>6</v>
      </c>
      <c r="C30" s="233" t="s">
        <v>65</v>
      </c>
      <c r="D30" s="233" t="s">
        <v>201</v>
      </c>
      <c r="E30" s="236" t="s">
        <v>633</v>
      </c>
      <c r="F30" s="236" t="s">
        <v>639</v>
      </c>
      <c r="G30" s="236" t="s">
        <v>640</v>
      </c>
      <c r="H30" s="233">
        <v>437</v>
      </c>
      <c r="I30" s="235">
        <v>46</v>
      </c>
      <c r="J30" s="235">
        <f t="shared" si="2"/>
        <v>20102</v>
      </c>
      <c r="K30" s="175"/>
      <c r="L30" s="175"/>
    </row>
    <row r="31" spans="1:12" s="176" customFormat="1" ht="38.1" customHeight="1" outlineLevel="2">
      <c r="A31" s="232" t="s">
        <v>105</v>
      </c>
      <c r="B31" s="233" t="s">
        <v>6</v>
      </c>
      <c r="C31" s="233" t="s">
        <v>37</v>
      </c>
      <c r="D31" s="233" t="s">
        <v>201</v>
      </c>
      <c r="E31" s="236" t="s">
        <v>633</v>
      </c>
      <c r="F31" s="236" t="s">
        <v>639</v>
      </c>
      <c r="G31" s="236" t="s">
        <v>640</v>
      </c>
      <c r="H31" s="233">
        <v>477</v>
      </c>
      <c r="I31" s="235">
        <v>46</v>
      </c>
      <c r="J31" s="235">
        <f t="shared" si="2"/>
        <v>21942</v>
      </c>
      <c r="K31" s="175"/>
      <c r="L31" s="175"/>
    </row>
    <row r="32" spans="1:12" s="176" customFormat="1" ht="38.1" customHeight="1" outlineLevel="2">
      <c r="A32" s="232" t="s">
        <v>106</v>
      </c>
      <c r="B32" s="233" t="s">
        <v>6</v>
      </c>
      <c r="C32" s="233" t="s">
        <v>65</v>
      </c>
      <c r="D32" s="233" t="s">
        <v>201</v>
      </c>
      <c r="E32" s="236" t="s">
        <v>633</v>
      </c>
      <c r="F32" s="236" t="s">
        <v>639</v>
      </c>
      <c r="G32" s="236" t="s">
        <v>640</v>
      </c>
      <c r="H32" s="233">
        <v>403</v>
      </c>
      <c r="I32" s="235">
        <v>46</v>
      </c>
      <c r="J32" s="235">
        <f t="shared" si="2"/>
        <v>18538</v>
      </c>
      <c r="K32" s="175"/>
      <c r="L32" s="175"/>
    </row>
    <row r="33" spans="1:12" s="176" customFormat="1" ht="38.1" customHeight="1" outlineLevel="2">
      <c r="A33" s="232" t="s">
        <v>107</v>
      </c>
      <c r="B33" s="233" t="s">
        <v>6</v>
      </c>
      <c r="C33" s="233" t="s">
        <v>66</v>
      </c>
      <c r="D33" s="233" t="s">
        <v>201</v>
      </c>
      <c r="E33" s="236" t="s">
        <v>633</v>
      </c>
      <c r="F33" s="236" t="s">
        <v>639</v>
      </c>
      <c r="G33" s="236" t="s">
        <v>640</v>
      </c>
      <c r="H33" s="233">
        <v>387</v>
      </c>
      <c r="I33" s="235">
        <v>46</v>
      </c>
      <c r="J33" s="235">
        <f t="shared" si="2"/>
        <v>17802</v>
      </c>
      <c r="K33" s="175"/>
      <c r="L33" s="175"/>
    </row>
    <row r="34" spans="1:12" s="176" customFormat="1" ht="38.1" customHeight="1" outlineLevel="1">
      <c r="A34" s="232"/>
      <c r="B34" s="239" t="s">
        <v>487</v>
      </c>
      <c r="C34" s="233"/>
      <c r="D34" s="233"/>
      <c r="E34" s="236"/>
      <c r="F34" s="236"/>
      <c r="G34" s="236"/>
      <c r="H34" s="233"/>
      <c r="I34" s="235"/>
      <c r="J34" s="235">
        <f>SUBTOTAL(9,J25:J33)</f>
        <v>308384</v>
      </c>
      <c r="K34" s="175"/>
      <c r="L34" s="175"/>
    </row>
    <row r="35" spans="1:12" s="176" customFormat="1" ht="38.1" customHeight="1" outlineLevel="2">
      <c r="A35" s="232" t="s">
        <v>101</v>
      </c>
      <c r="B35" s="52" t="s">
        <v>5</v>
      </c>
      <c r="C35" s="52" t="s">
        <v>65</v>
      </c>
      <c r="D35" s="233" t="s">
        <v>201</v>
      </c>
      <c r="E35" s="234" t="s">
        <v>609</v>
      </c>
      <c r="F35" s="234" t="s">
        <v>610</v>
      </c>
      <c r="G35" s="234" t="s">
        <v>611</v>
      </c>
      <c r="H35" s="233">
        <v>1</v>
      </c>
      <c r="I35" s="235">
        <v>30000</v>
      </c>
      <c r="J35" s="235">
        <f t="shared" ref="J35:J47" si="3">I35*H35</f>
        <v>30000</v>
      </c>
      <c r="K35" s="175"/>
      <c r="L35" s="175"/>
    </row>
    <row r="36" spans="1:12" s="176" customFormat="1" ht="38.1" customHeight="1" outlineLevel="2">
      <c r="A36" s="232" t="s">
        <v>99</v>
      </c>
      <c r="B36" s="233" t="s">
        <v>5</v>
      </c>
      <c r="C36" s="233" t="s">
        <v>37</v>
      </c>
      <c r="D36" s="233" t="s">
        <v>201</v>
      </c>
      <c r="E36" s="234" t="s">
        <v>609</v>
      </c>
      <c r="F36" s="234" t="s">
        <v>610</v>
      </c>
      <c r="G36" s="234" t="s">
        <v>611</v>
      </c>
      <c r="H36" s="233">
        <v>1</v>
      </c>
      <c r="I36" s="235">
        <v>30000</v>
      </c>
      <c r="J36" s="235">
        <f t="shared" si="3"/>
        <v>30000</v>
      </c>
      <c r="K36" s="175"/>
      <c r="L36" s="175"/>
    </row>
    <row r="37" spans="1:12" s="176" customFormat="1" ht="38.1" customHeight="1" outlineLevel="2">
      <c r="A37" s="232" t="s">
        <v>104</v>
      </c>
      <c r="B37" s="233" t="s">
        <v>5</v>
      </c>
      <c r="C37" s="233" t="s">
        <v>66</v>
      </c>
      <c r="D37" s="233" t="s">
        <v>201</v>
      </c>
      <c r="E37" s="234" t="s">
        <v>609</v>
      </c>
      <c r="F37" s="234" t="s">
        <v>610</v>
      </c>
      <c r="G37" s="234" t="s">
        <v>611</v>
      </c>
      <c r="H37" s="233">
        <v>1</v>
      </c>
      <c r="I37" s="235">
        <v>30000</v>
      </c>
      <c r="J37" s="235">
        <f t="shared" si="3"/>
        <v>30000</v>
      </c>
      <c r="K37" s="175"/>
      <c r="L37" s="175"/>
    </row>
    <row r="38" spans="1:12" s="176" customFormat="1" ht="38.1" customHeight="1" outlineLevel="2">
      <c r="A38" s="232" t="s">
        <v>101</v>
      </c>
      <c r="B38" s="233" t="s">
        <v>5</v>
      </c>
      <c r="C38" s="233" t="s">
        <v>65</v>
      </c>
      <c r="D38" s="233" t="s">
        <v>201</v>
      </c>
      <c r="E38" s="236" t="s">
        <v>614</v>
      </c>
      <c r="F38" s="236" t="s">
        <v>621</v>
      </c>
      <c r="G38" s="236" t="s">
        <v>622</v>
      </c>
      <c r="H38" s="233">
        <v>1</v>
      </c>
      <c r="I38" s="235">
        <v>50000</v>
      </c>
      <c r="J38" s="235">
        <f t="shared" si="3"/>
        <v>50000</v>
      </c>
      <c r="K38" s="175"/>
      <c r="L38" s="175"/>
    </row>
    <row r="39" spans="1:12" s="176" customFormat="1" ht="38.1" customHeight="1" outlineLevel="2">
      <c r="A39" s="232" t="s">
        <v>99</v>
      </c>
      <c r="B39" s="233" t="s">
        <v>5</v>
      </c>
      <c r="C39" s="233" t="s">
        <v>37</v>
      </c>
      <c r="D39" s="233" t="s">
        <v>201</v>
      </c>
      <c r="E39" s="236" t="s">
        <v>626</v>
      </c>
      <c r="F39" s="236" t="s">
        <v>627</v>
      </c>
      <c r="G39" s="236" t="s">
        <v>628</v>
      </c>
      <c r="H39" s="233">
        <v>1</v>
      </c>
      <c r="I39" s="235">
        <v>50000</v>
      </c>
      <c r="J39" s="235">
        <f t="shared" si="3"/>
        <v>50000</v>
      </c>
      <c r="K39" s="175"/>
      <c r="L39" s="175"/>
    </row>
    <row r="40" spans="1:12" s="176" customFormat="1" ht="38.1" customHeight="1" outlineLevel="2">
      <c r="A40" s="232" t="s">
        <v>625</v>
      </c>
      <c r="B40" s="233" t="s">
        <v>5</v>
      </c>
      <c r="C40" s="233" t="s">
        <v>66</v>
      </c>
      <c r="D40" s="233" t="s">
        <v>201</v>
      </c>
      <c r="E40" s="236" t="s">
        <v>626</v>
      </c>
      <c r="F40" s="236" t="s">
        <v>627</v>
      </c>
      <c r="G40" s="236" t="s">
        <v>628</v>
      </c>
      <c r="H40" s="233">
        <v>1</v>
      </c>
      <c r="I40" s="235">
        <v>50000</v>
      </c>
      <c r="J40" s="235">
        <f t="shared" si="3"/>
        <v>50000</v>
      </c>
      <c r="K40" s="175"/>
      <c r="L40" s="175"/>
    </row>
    <row r="41" spans="1:12" s="176" customFormat="1" ht="38.1" customHeight="1" outlineLevel="2">
      <c r="A41" s="232" t="s">
        <v>100</v>
      </c>
      <c r="B41" s="233" t="s">
        <v>5</v>
      </c>
      <c r="C41" s="233" t="s">
        <v>37</v>
      </c>
      <c r="D41" s="233" t="s">
        <v>201</v>
      </c>
      <c r="E41" s="236" t="s">
        <v>633</v>
      </c>
      <c r="F41" s="236" t="s">
        <v>639</v>
      </c>
      <c r="G41" s="236" t="s">
        <v>640</v>
      </c>
      <c r="H41" s="233">
        <v>185</v>
      </c>
      <c r="I41" s="235">
        <v>46</v>
      </c>
      <c r="J41" s="235">
        <f t="shared" si="3"/>
        <v>8510</v>
      </c>
      <c r="K41" s="175"/>
      <c r="L41" s="175"/>
    </row>
    <row r="42" spans="1:12" s="176" customFormat="1" ht="38.1" customHeight="1" outlineLevel="2">
      <c r="A42" s="232" t="s">
        <v>153</v>
      </c>
      <c r="B42" s="233" t="s">
        <v>5</v>
      </c>
      <c r="C42" s="233" t="s">
        <v>37</v>
      </c>
      <c r="D42" s="233" t="s">
        <v>201</v>
      </c>
      <c r="E42" s="236" t="s">
        <v>633</v>
      </c>
      <c r="F42" s="236" t="s">
        <v>639</v>
      </c>
      <c r="G42" s="236" t="s">
        <v>640</v>
      </c>
      <c r="H42" s="233">
        <v>340</v>
      </c>
      <c r="I42" s="235">
        <v>46</v>
      </c>
      <c r="J42" s="235">
        <f t="shared" si="3"/>
        <v>15640</v>
      </c>
      <c r="K42" s="175"/>
      <c r="L42" s="175"/>
    </row>
    <row r="43" spans="1:12" s="176" customFormat="1" ht="38.1" customHeight="1" outlineLevel="2">
      <c r="A43" s="232" t="s">
        <v>99</v>
      </c>
      <c r="B43" s="233" t="s">
        <v>5</v>
      </c>
      <c r="C43" s="233" t="s">
        <v>37</v>
      </c>
      <c r="D43" s="233" t="s">
        <v>201</v>
      </c>
      <c r="E43" s="236" t="s">
        <v>633</v>
      </c>
      <c r="F43" s="236" t="s">
        <v>639</v>
      </c>
      <c r="G43" s="236" t="s">
        <v>640</v>
      </c>
      <c r="H43" s="233">
        <v>152</v>
      </c>
      <c r="I43" s="235">
        <v>46</v>
      </c>
      <c r="J43" s="235">
        <f t="shared" si="3"/>
        <v>6992</v>
      </c>
      <c r="K43" s="175"/>
      <c r="L43" s="175"/>
    </row>
    <row r="44" spans="1:12" s="176" customFormat="1" ht="38.1" customHeight="1" outlineLevel="2">
      <c r="A44" s="232" t="s">
        <v>101</v>
      </c>
      <c r="B44" s="233" t="s">
        <v>5</v>
      </c>
      <c r="C44" s="233" t="s">
        <v>65</v>
      </c>
      <c r="D44" s="233" t="s">
        <v>201</v>
      </c>
      <c r="E44" s="236" t="s">
        <v>633</v>
      </c>
      <c r="F44" s="236" t="s">
        <v>639</v>
      </c>
      <c r="G44" s="236" t="s">
        <v>640</v>
      </c>
      <c r="H44" s="233">
        <v>302</v>
      </c>
      <c r="I44" s="235">
        <v>46</v>
      </c>
      <c r="J44" s="235">
        <f t="shared" si="3"/>
        <v>13892</v>
      </c>
      <c r="K44" s="175"/>
      <c r="L44" s="175"/>
    </row>
    <row r="45" spans="1:12" s="176" customFormat="1" ht="38.1" customHeight="1" outlineLevel="2">
      <c r="A45" s="232" t="s">
        <v>103</v>
      </c>
      <c r="B45" s="233" t="s">
        <v>5</v>
      </c>
      <c r="C45" s="233" t="s">
        <v>66</v>
      </c>
      <c r="D45" s="233" t="s">
        <v>201</v>
      </c>
      <c r="E45" s="236" t="s">
        <v>633</v>
      </c>
      <c r="F45" s="236" t="s">
        <v>639</v>
      </c>
      <c r="G45" s="236" t="s">
        <v>640</v>
      </c>
      <c r="H45" s="233">
        <v>258</v>
      </c>
      <c r="I45" s="235">
        <v>46</v>
      </c>
      <c r="J45" s="235">
        <f t="shared" si="3"/>
        <v>11868</v>
      </c>
      <c r="K45" s="175"/>
      <c r="L45" s="175"/>
    </row>
    <row r="46" spans="1:12" s="176" customFormat="1" ht="38.1" customHeight="1" outlineLevel="2">
      <c r="A46" s="232" t="s">
        <v>102</v>
      </c>
      <c r="B46" s="233" t="s">
        <v>5</v>
      </c>
      <c r="C46" s="233" t="s">
        <v>66</v>
      </c>
      <c r="D46" s="233" t="s">
        <v>201</v>
      </c>
      <c r="E46" s="236" t="s">
        <v>633</v>
      </c>
      <c r="F46" s="236" t="s">
        <v>639</v>
      </c>
      <c r="G46" s="236" t="s">
        <v>640</v>
      </c>
      <c r="H46" s="233">
        <v>329</v>
      </c>
      <c r="I46" s="235">
        <v>46</v>
      </c>
      <c r="J46" s="235">
        <f t="shared" si="3"/>
        <v>15134</v>
      </c>
      <c r="K46" s="175"/>
      <c r="L46" s="175"/>
    </row>
    <row r="47" spans="1:12" s="176" customFormat="1" ht="38.1" customHeight="1" outlineLevel="2">
      <c r="A47" s="232" t="s">
        <v>104</v>
      </c>
      <c r="B47" s="233" t="s">
        <v>5</v>
      </c>
      <c r="C47" s="233" t="s">
        <v>66</v>
      </c>
      <c r="D47" s="233" t="s">
        <v>201</v>
      </c>
      <c r="E47" s="236" t="s">
        <v>633</v>
      </c>
      <c r="F47" s="236" t="s">
        <v>639</v>
      </c>
      <c r="G47" s="236" t="s">
        <v>640</v>
      </c>
      <c r="H47" s="233">
        <v>379</v>
      </c>
      <c r="I47" s="235">
        <v>46</v>
      </c>
      <c r="J47" s="235">
        <f t="shared" si="3"/>
        <v>17434</v>
      </c>
      <c r="K47" s="175"/>
      <c r="L47" s="175"/>
    </row>
    <row r="48" spans="1:12" s="176" customFormat="1" ht="38.1" customHeight="1" outlineLevel="1">
      <c r="A48" s="232"/>
      <c r="B48" s="239" t="s">
        <v>31</v>
      </c>
      <c r="C48" s="233"/>
      <c r="D48" s="233"/>
      <c r="E48" s="236"/>
      <c r="F48" s="236"/>
      <c r="G48" s="236"/>
      <c r="H48" s="233"/>
      <c r="I48" s="235"/>
      <c r="J48" s="235">
        <f>SUBTOTAL(9,J35:J47)</f>
        <v>329470</v>
      </c>
      <c r="K48" s="175"/>
      <c r="L48" s="175"/>
    </row>
    <row r="49" spans="1:12" s="176" customFormat="1" ht="38.1" customHeight="1" outlineLevel="2">
      <c r="A49" s="232" t="s">
        <v>95</v>
      </c>
      <c r="B49" s="233" t="s">
        <v>4</v>
      </c>
      <c r="C49" s="52" t="s">
        <v>66</v>
      </c>
      <c r="D49" s="233" t="s">
        <v>201</v>
      </c>
      <c r="E49" s="234" t="s">
        <v>606</v>
      </c>
      <c r="F49" s="234" t="s">
        <v>607</v>
      </c>
      <c r="G49" s="234" t="s">
        <v>608</v>
      </c>
      <c r="H49" s="233">
        <v>1</v>
      </c>
      <c r="I49" s="235">
        <v>30000</v>
      </c>
      <c r="J49" s="235">
        <f t="shared" ref="J49:J65" si="4">I49*H49</f>
        <v>30000</v>
      </c>
      <c r="K49" s="175"/>
      <c r="L49" s="175"/>
    </row>
    <row r="50" spans="1:12" s="176" customFormat="1" ht="38.1" customHeight="1" outlineLevel="2">
      <c r="A50" s="232" t="s">
        <v>91</v>
      </c>
      <c r="B50" s="233" t="s">
        <v>4</v>
      </c>
      <c r="C50" s="233" t="s">
        <v>37</v>
      </c>
      <c r="D50" s="233" t="s">
        <v>201</v>
      </c>
      <c r="E50" s="234" t="s">
        <v>606</v>
      </c>
      <c r="F50" s="234" t="s">
        <v>607</v>
      </c>
      <c r="G50" s="234" t="s">
        <v>608</v>
      </c>
      <c r="H50" s="233">
        <v>1</v>
      </c>
      <c r="I50" s="235">
        <v>30000</v>
      </c>
      <c r="J50" s="235">
        <f t="shared" si="4"/>
        <v>30000</v>
      </c>
      <c r="K50" s="175"/>
      <c r="L50" s="175"/>
    </row>
    <row r="51" spans="1:12" s="176" customFormat="1" ht="38.1" customHeight="1" outlineLevel="2">
      <c r="A51" s="232" t="s">
        <v>96</v>
      </c>
      <c r="B51" s="233" t="s">
        <v>4</v>
      </c>
      <c r="C51" s="233" t="s">
        <v>66</v>
      </c>
      <c r="D51" s="233" t="s">
        <v>201</v>
      </c>
      <c r="E51" s="234" t="s">
        <v>609</v>
      </c>
      <c r="F51" s="234" t="s">
        <v>610</v>
      </c>
      <c r="G51" s="234" t="s">
        <v>611</v>
      </c>
      <c r="H51" s="233">
        <v>1</v>
      </c>
      <c r="I51" s="235">
        <v>30000</v>
      </c>
      <c r="J51" s="235">
        <f t="shared" si="4"/>
        <v>30000</v>
      </c>
      <c r="K51" s="175"/>
      <c r="L51" s="175"/>
    </row>
    <row r="52" spans="1:12" s="176" customFormat="1" ht="38.1" customHeight="1" outlineLevel="2">
      <c r="A52" s="232" t="s">
        <v>91</v>
      </c>
      <c r="B52" s="233" t="s">
        <v>4</v>
      </c>
      <c r="C52" s="233" t="s">
        <v>37</v>
      </c>
      <c r="D52" s="233" t="s">
        <v>201</v>
      </c>
      <c r="E52" s="234" t="s">
        <v>609</v>
      </c>
      <c r="F52" s="234" t="s">
        <v>610</v>
      </c>
      <c r="G52" s="234" t="s">
        <v>611</v>
      </c>
      <c r="H52" s="233">
        <v>1</v>
      </c>
      <c r="I52" s="235">
        <v>30000</v>
      </c>
      <c r="J52" s="235">
        <f t="shared" si="4"/>
        <v>30000</v>
      </c>
      <c r="K52" s="175"/>
      <c r="L52" s="175"/>
    </row>
    <row r="53" spans="1:12" s="176" customFormat="1" ht="38.1" customHeight="1" outlineLevel="2">
      <c r="A53" s="232" t="s">
        <v>92</v>
      </c>
      <c r="B53" s="233" t="s">
        <v>4</v>
      </c>
      <c r="C53" s="233" t="s">
        <v>37</v>
      </c>
      <c r="D53" s="233" t="s">
        <v>201</v>
      </c>
      <c r="E53" s="236" t="s">
        <v>614</v>
      </c>
      <c r="F53" s="236" t="s">
        <v>619</v>
      </c>
      <c r="G53" s="236" t="s">
        <v>620</v>
      </c>
      <c r="H53" s="233">
        <v>1</v>
      </c>
      <c r="I53" s="235">
        <v>70000</v>
      </c>
      <c r="J53" s="235">
        <f t="shared" si="4"/>
        <v>70000</v>
      </c>
      <c r="K53" s="175"/>
      <c r="L53" s="175"/>
    </row>
    <row r="54" spans="1:12" s="176" customFormat="1" ht="38.1" customHeight="1" outlineLevel="2">
      <c r="A54" s="232" t="s">
        <v>92</v>
      </c>
      <c r="B54" s="233" t="s">
        <v>4</v>
      </c>
      <c r="C54" s="233" t="s">
        <v>37</v>
      </c>
      <c r="D54" s="233" t="s">
        <v>201</v>
      </c>
      <c r="E54" s="236" t="s">
        <v>626</v>
      </c>
      <c r="F54" s="236" t="s">
        <v>627</v>
      </c>
      <c r="G54" s="236" t="s">
        <v>628</v>
      </c>
      <c r="H54" s="233">
        <v>1</v>
      </c>
      <c r="I54" s="235">
        <v>50000</v>
      </c>
      <c r="J54" s="235">
        <f t="shared" si="4"/>
        <v>50000</v>
      </c>
      <c r="K54" s="175"/>
      <c r="L54" s="175"/>
    </row>
    <row r="55" spans="1:12" s="176" customFormat="1" ht="38.1" customHeight="1" outlineLevel="2">
      <c r="A55" s="232" t="s">
        <v>91</v>
      </c>
      <c r="B55" s="233" t="s">
        <v>4</v>
      </c>
      <c r="C55" s="233" t="s">
        <v>37</v>
      </c>
      <c r="D55" s="233" t="s">
        <v>201</v>
      </c>
      <c r="E55" s="236" t="s">
        <v>629</v>
      </c>
      <c r="F55" s="236" t="s">
        <v>630</v>
      </c>
      <c r="G55" s="236" t="s">
        <v>631</v>
      </c>
      <c r="H55" s="233">
        <v>1</v>
      </c>
      <c r="I55" s="235">
        <v>100000</v>
      </c>
      <c r="J55" s="235">
        <f t="shared" si="4"/>
        <v>100000</v>
      </c>
      <c r="K55" s="175"/>
      <c r="L55" s="175"/>
    </row>
    <row r="56" spans="1:12" s="176" customFormat="1" ht="38.1" customHeight="1" outlineLevel="2">
      <c r="A56" s="232" t="s">
        <v>92</v>
      </c>
      <c r="B56" s="233" t="s">
        <v>4</v>
      </c>
      <c r="C56" s="233" t="s">
        <v>37</v>
      </c>
      <c r="D56" s="233" t="s">
        <v>201</v>
      </c>
      <c r="E56" s="236" t="s">
        <v>633</v>
      </c>
      <c r="F56" s="236" t="s">
        <v>639</v>
      </c>
      <c r="G56" s="236" t="s">
        <v>640</v>
      </c>
      <c r="H56" s="233">
        <v>258</v>
      </c>
      <c r="I56" s="235">
        <v>46</v>
      </c>
      <c r="J56" s="235">
        <f t="shared" si="4"/>
        <v>11868</v>
      </c>
      <c r="K56" s="175"/>
      <c r="L56" s="175"/>
    </row>
    <row r="57" spans="1:12" s="176" customFormat="1" ht="38.1" customHeight="1" outlineLevel="2">
      <c r="A57" s="232" t="s">
        <v>91</v>
      </c>
      <c r="B57" s="233" t="s">
        <v>4</v>
      </c>
      <c r="C57" s="233" t="s">
        <v>37</v>
      </c>
      <c r="D57" s="233" t="s">
        <v>201</v>
      </c>
      <c r="E57" s="236" t="s">
        <v>633</v>
      </c>
      <c r="F57" s="236" t="s">
        <v>639</v>
      </c>
      <c r="G57" s="236" t="s">
        <v>640</v>
      </c>
      <c r="H57" s="233">
        <v>180</v>
      </c>
      <c r="I57" s="235">
        <v>46</v>
      </c>
      <c r="J57" s="235">
        <f t="shared" si="4"/>
        <v>8280</v>
      </c>
      <c r="K57" s="175"/>
      <c r="L57" s="175"/>
    </row>
    <row r="58" spans="1:12" s="176" customFormat="1" ht="38.1" customHeight="1" outlineLevel="2">
      <c r="A58" s="232" t="s">
        <v>89</v>
      </c>
      <c r="B58" s="233" t="s">
        <v>4</v>
      </c>
      <c r="C58" s="233" t="s">
        <v>37</v>
      </c>
      <c r="D58" s="233" t="s">
        <v>201</v>
      </c>
      <c r="E58" s="236" t="s">
        <v>633</v>
      </c>
      <c r="F58" s="236" t="s">
        <v>639</v>
      </c>
      <c r="G58" s="236" t="s">
        <v>640</v>
      </c>
      <c r="H58" s="233">
        <v>258</v>
      </c>
      <c r="I58" s="235">
        <v>46</v>
      </c>
      <c r="J58" s="235">
        <f t="shared" si="4"/>
        <v>11868</v>
      </c>
      <c r="K58" s="175"/>
      <c r="L58" s="175"/>
    </row>
    <row r="59" spans="1:12" s="176" customFormat="1" ht="38.1" customHeight="1" outlineLevel="2">
      <c r="A59" s="232" t="s">
        <v>90</v>
      </c>
      <c r="B59" s="233" t="s">
        <v>4</v>
      </c>
      <c r="C59" s="233" t="s">
        <v>37</v>
      </c>
      <c r="D59" s="233" t="s">
        <v>201</v>
      </c>
      <c r="E59" s="236" t="s">
        <v>633</v>
      </c>
      <c r="F59" s="236" t="s">
        <v>639</v>
      </c>
      <c r="G59" s="236" t="s">
        <v>640</v>
      </c>
      <c r="H59" s="233">
        <v>327</v>
      </c>
      <c r="I59" s="235">
        <v>46</v>
      </c>
      <c r="J59" s="235">
        <f t="shared" si="4"/>
        <v>15042</v>
      </c>
      <c r="K59" s="175"/>
      <c r="L59" s="175"/>
    </row>
    <row r="60" spans="1:12" s="176" customFormat="1" ht="38.1" customHeight="1" outlineLevel="2">
      <c r="A60" s="232" t="s">
        <v>96</v>
      </c>
      <c r="B60" s="233" t="s">
        <v>4</v>
      </c>
      <c r="C60" s="233" t="s">
        <v>66</v>
      </c>
      <c r="D60" s="233" t="s">
        <v>201</v>
      </c>
      <c r="E60" s="236" t="s">
        <v>633</v>
      </c>
      <c r="F60" s="236" t="s">
        <v>639</v>
      </c>
      <c r="G60" s="236" t="s">
        <v>640</v>
      </c>
      <c r="H60" s="233">
        <v>315</v>
      </c>
      <c r="I60" s="235">
        <v>46</v>
      </c>
      <c r="J60" s="235">
        <f t="shared" si="4"/>
        <v>14490</v>
      </c>
      <c r="K60" s="175"/>
      <c r="L60" s="175"/>
    </row>
    <row r="61" spans="1:12" s="176" customFormat="1" ht="38.1" customHeight="1" outlineLevel="2">
      <c r="A61" s="232" t="s">
        <v>94</v>
      </c>
      <c r="B61" s="233" t="s">
        <v>4</v>
      </c>
      <c r="C61" s="233" t="s">
        <v>66</v>
      </c>
      <c r="D61" s="233" t="s">
        <v>201</v>
      </c>
      <c r="E61" s="236" t="s">
        <v>633</v>
      </c>
      <c r="F61" s="236" t="s">
        <v>639</v>
      </c>
      <c r="G61" s="236" t="s">
        <v>640</v>
      </c>
      <c r="H61" s="233">
        <v>298</v>
      </c>
      <c r="I61" s="235">
        <v>46</v>
      </c>
      <c r="J61" s="235">
        <f t="shared" si="4"/>
        <v>13708</v>
      </c>
      <c r="K61" s="175"/>
      <c r="L61" s="175"/>
    </row>
    <row r="62" spans="1:12" s="176" customFormat="1" ht="38.1" customHeight="1" outlineLevel="2">
      <c r="A62" s="232" t="s">
        <v>95</v>
      </c>
      <c r="B62" s="233" t="s">
        <v>4</v>
      </c>
      <c r="C62" s="233" t="s">
        <v>66</v>
      </c>
      <c r="D62" s="233" t="s">
        <v>201</v>
      </c>
      <c r="E62" s="236" t="s">
        <v>633</v>
      </c>
      <c r="F62" s="236" t="s">
        <v>639</v>
      </c>
      <c r="G62" s="236" t="s">
        <v>640</v>
      </c>
      <c r="H62" s="233">
        <v>361</v>
      </c>
      <c r="I62" s="235">
        <v>46</v>
      </c>
      <c r="J62" s="235">
        <f t="shared" si="4"/>
        <v>16606</v>
      </c>
      <c r="K62" s="175"/>
      <c r="L62" s="175"/>
    </row>
    <row r="63" spans="1:12" s="176" customFormat="1" ht="38.1" customHeight="1" outlineLevel="2">
      <c r="A63" s="232" t="s">
        <v>93</v>
      </c>
      <c r="B63" s="233" t="s">
        <v>4</v>
      </c>
      <c r="C63" s="233" t="s">
        <v>37</v>
      </c>
      <c r="D63" s="233" t="s">
        <v>201</v>
      </c>
      <c r="E63" s="236" t="s">
        <v>633</v>
      </c>
      <c r="F63" s="236" t="s">
        <v>639</v>
      </c>
      <c r="G63" s="236" t="s">
        <v>640</v>
      </c>
      <c r="H63" s="233">
        <v>210</v>
      </c>
      <c r="I63" s="235">
        <v>46</v>
      </c>
      <c r="J63" s="235">
        <f t="shared" si="4"/>
        <v>9660</v>
      </c>
      <c r="K63" s="175"/>
      <c r="L63" s="175"/>
    </row>
    <row r="64" spans="1:12" s="176" customFormat="1" ht="38.1" customHeight="1" outlineLevel="2">
      <c r="A64" s="232" t="s">
        <v>97</v>
      </c>
      <c r="B64" s="233" t="s">
        <v>4</v>
      </c>
      <c r="C64" s="233" t="s">
        <v>65</v>
      </c>
      <c r="D64" s="233" t="s">
        <v>201</v>
      </c>
      <c r="E64" s="236" t="s">
        <v>633</v>
      </c>
      <c r="F64" s="236" t="s">
        <v>639</v>
      </c>
      <c r="G64" s="236" t="s">
        <v>640</v>
      </c>
      <c r="H64" s="233">
        <v>301</v>
      </c>
      <c r="I64" s="235">
        <v>46</v>
      </c>
      <c r="J64" s="235">
        <f t="shared" si="4"/>
        <v>13846</v>
      </c>
      <c r="K64" s="175"/>
      <c r="L64" s="175"/>
    </row>
    <row r="65" spans="1:12" s="176" customFormat="1" ht="38.1" customHeight="1" outlineLevel="2">
      <c r="A65" s="232" t="s">
        <v>98</v>
      </c>
      <c r="B65" s="233" t="s">
        <v>4</v>
      </c>
      <c r="C65" s="233" t="s">
        <v>65</v>
      </c>
      <c r="D65" s="233" t="s">
        <v>201</v>
      </c>
      <c r="E65" s="236" t="s">
        <v>633</v>
      </c>
      <c r="F65" s="236" t="s">
        <v>639</v>
      </c>
      <c r="G65" s="236" t="s">
        <v>640</v>
      </c>
      <c r="H65" s="233">
        <v>255</v>
      </c>
      <c r="I65" s="235">
        <v>46</v>
      </c>
      <c r="J65" s="235">
        <f t="shared" si="4"/>
        <v>11730</v>
      </c>
      <c r="K65" s="175"/>
      <c r="L65" s="175"/>
    </row>
    <row r="66" spans="1:12" s="176" customFormat="1" ht="38.1" customHeight="1" outlineLevel="1">
      <c r="A66" s="232"/>
      <c r="B66" s="239" t="s">
        <v>29</v>
      </c>
      <c r="C66" s="233"/>
      <c r="D66" s="233"/>
      <c r="E66" s="236"/>
      <c r="F66" s="236"/>
      <c r="G66" s="236"/>
      <c r="H66" s="233"/>
      <c r="I66" s="235"/>
      <c r="J66" s="235">
        <f>SUBTOTAL(9,J49:J65)</f>
        <v>467098</v>
      </c>
      <c r="K66" s="175"/>
      <c r="L66" s="175"/>
    </row>
    <row r="67" spans="1:12" s="176" customFormat="1" ht="38.1" customHeight="1" outlineLevel="2">
      <c r="A67" s="232" t="s">
        <v>84</v>
      </c>
      <c r="B67" s="233" t="s">
        <v>3</v>
      </c>
      <c r="C67" s="233" t="s">
        <v>66</v>
      </c>
      <c r="D67" s="233" t="s">
        <v>201</v>
      </c>
      <c r="E67" s="234" t="s">
        <v>606</v>
      </c>
      <c r="F67" s="234" t="s">
        <v>607</v>
      </c>
      <c r="G67" s="234" t="s">
        <v>608</v>
      </c>
      <c r="H67" s="233">
        <v>1</v>
      </c>
      <c r="I67" s="235">
        <v>30000</v>
      </c>
      <c r="J67" s="235">
        <f t="shared" ref="J67:J95" si="5">I67*H67</f>
        <v>30000</v>
      </c>
      <c r="K67" s="175"/>
      <c r="L67" s="175"/>
    </row>
    <row r="68" spans="1:12" s="176" customFormat="1" ht="38.1" customHeight="1" outlineLevel="2">
      <c r="A68" s="232" t="s">
        <v>82</v>
      </c>
      <c r="B68" s="233" t="s">
        <v>3</v>
      </c>
      <c r="C68" s="52" t="s">
        <v>37</v>
      </c>
      <c r="D68" s="233" t="s">
        <v>201</v>
      </c>
      <c r="E68" s="234" t="s">
        <v>609</v>
      </c>
      <c r="F68" s="234" t="s">
        <v>610</v>
      </c>
      <c r="G68" s="234" t="s">
        <v>611</v>
      </c>
      <c r="H68" s="233">
        <v>1</v>
      </c>
      <c r="I68" s="235">
        <v>30000</v>
      </c>
      <c r="J68" s="235">
        <f t="shared" si="5"/>
        <v>30000</v>
      </c>
      <c r="K68" s="175"/>
      <c r="L68" s="175"/>
    </row>
    <row r="69" spans="1:12" s="176" customFormat="1" ht="38.1" customHeight="1" outlineLevel="2">
      <c r="A69" s="232" t="s">
        <v>80</v>
      </c>
      <c r="B69" s="52" t="s">
        <v>3</v>
      </c>
      <c r="C69" s="52" t="s">
        <v>37</v>
      </c>
      <c r="D69" s="233" t="s">
        <v>201</v>
      </c>
      <c r="E69" s="234" t="s">
        <v>609</v>
      </c>
      <c r="F69" s="234" t="s">
        <v>610</v>
      </c>
      <c r="G69" s="234" t="s">
        <v>611</v>
      </c>
      <c r="H69" s="233">
        <v>1</v>
      </c>
      <c r="I69" s="235">
        <v>30000</v>
      </c>
      <c r="J69" s="235">
        <f t="shared" si="5"/>
        <v>30000</v>
      </c>
      <c r="K69" s="175"/>
      <c r="L69" s="175"/>
    </row>
    <row r="70" spans="1:12" s="176" customFormat="1" ht="38.1" customHeight="1" outlineLevel="2">
      <c r="A70" s="232" t="s">
        <v>612</v>
      </c>
      <c r="B70" s="233" t="s">
        <v>3</v>
      </c>
      <c r="C70" s="233" t="s">
        <v>613</v>
      </c>
      <c r="D70" s="233" t="s">
        <v>584</v>
      </c>
      <c r="E70" s="256" t="s">
        <v>614</v>
      </c>
      <c r="F70" s="256" t="s">
        <v>615</v>
      </c>
      <c r="G70" s="256" t="s">
        <v>616</v>
      </c>
      <c r="H70" s="233">
        <v>1</v>
      </c>
      <c r="I70" s="235">
        <v>50000</v>
      </c>
      <c r="J70" s="235">
        <f t="shared" si="5"/>
        <v>50000</v>
      </c>
      <c r="K70" s="175"/>
      <c r="L70" s="175"/>
    </row>
    <row r="71" spans="1:12" s="176" customFormat="1" ht="38.1" customHeight="1" outlineLevel="2">
      <c r="A71" s="232" t="s">
        <v>82</v>
      </c>
      <c r="B71" s="233" t="s">
        <v>3</v>
      </c>
      <c r="C71" s="233" t="s">
        <v>37</v>
      </c>
      <c r="D71" s="233" t="s">
        <v>201</v>
      </c>
      <c r="E71" s="236" t="s">
        <v>614</v>
      </c>
      <c r="F71" s="236" t="s">
        <v>619</v>
      </c>
      <c r="G71" s="236" t="s">
        <v>620</v>
      </c>
      <c r="H71" s="233">
        <v>1</v>
      </c>
      <c r="I71" s="235">
        <v>70000</v>
      </c>
      <c r="J71" s="235">
        <f t="shared" si="5"/>
        <v>70000</v>
      </c>
      <c r="K71" s="175"/>
      <c r="L71" s="175"/>
    </row>
    <row r="72" spans="1:12" s="176" customFormat="1" ht="38.1" customHeight="1" outlineLevel="2">
      <c r="A72" s="232" t="s">
        <v>617</v>
      </c>
      <c r="B72" s="233" t="s">
        <v>3</v>
      </c>
      <c r="C72" s="233" t="s">
        <v>66</v>
      </c>
      <c r="D72" s="233" t="s">
        <v>584</v>
      </c>
      <c r="E72" s="255" t="s">
        <v>614</v>
      </c>
      <c r="F72" s="255" t="s">
        <v>619</v>
      </c>
      <c r="G72" s="255" t="s">
        <v>620</v>
      </c>
      <c r="H72" s="233">
        <v>1</v>
      </c>
      <c r="I72" s="235">
        <v>70000</v>
      </c>
      <c r="J72" s="235">
        <f t="shared" si="5"/>
        <v>70000</v>
      </c>
      <c r="K72" s="175"/>
      <c r="L72" s="175"/>
    </row>
    <row r="73" spans="1:12" s="176" customFormat="1" ht="38.1" customHeight="1" outlineLevel="2">
      <c r="A73" s="232" t="s">
        <v>80</v>
      </c>
      <c r="B73" s="233" t="s">
        <v>3</v>
      </c>
      <c r="C73" s="233" t="s">
        <v>37</v>
      </c>
      <c r="D73" s="233" t="s">
        <v>201</v>
      </c>
      <c r="E73" s="236" t="s">
        <v>614</v>
      </c>
      <c r="F73" s="236" t="s">
        <v>619</v>
      </c>
      <c r="G73" s="236" t="s">
        <v>620</v>
      </c>
      <c r="H73" s="233">
        <v>1</v>
      </c>
      <c r="I73" s="235">
        <v>70000</v>
      </c>
      <c r="J73" s="235">
        <f t="shared" si="5"/>
        <v>70000</v>
      </c>
      <c r="K73" s="175"/>
      <c r="L73" s="175"/>
    </row>
    <row r="74" spans="1:12" s="176" customFormat="1" ht="38.1" customHeight="1" outlineLevel="2">
      <c r="A74" s="232" t="s">
        <v>83</v>
      </c>
      <c r="B74" s="233" t="s">
        <v>3</v>
      </c>
      <c r="C74" s="233" t="s">
        <v>37</v>
      </c>
      <c r="D74" s="233" t="s">
        <v>201</v>
      </c>
      <c r="E74" s="236" t="s">
        <v>614</v>
      </c>
      <c r="F74" s="236" t="s">
        <v>619</v>
      </c>
      <c r="G74" s="236" t="s">
        <v>620</v>
      </c>
      <c r="H74" s="233">
        <v>1</v>
      </c>
      <c r="I74" s="235">
        <v>70000</v>
      </c>
      <c r="J74" s="235">
        <f t="shared" si="5"/>
        <v>70000</v>
      </c>
      <c r="K74" s="175"/>
      <c r="L74" s="175"/>
    </row>
    <row r="75" spans="1:12" s="176" customFormat="1" ht="38.1" customHeight="1" outlineLevel="2">
      <c r="A75" s="232" t="s">
        <v>80</v>
      </c>
      <c r="B75" s="233" t="s">
        <v>3</v>
      </c>
      <c r="C75" s="233" t="s">
        <v>37</v>
      </c>
      <c r="D75" s="233" t="s">
        <v>201</v>
      </c>
      <c r="E75" s="236" t="s">
        <v>614</v>
      </c>
      <c r="F75" s="236" t="s">
        <v>621</v>
      </c>
      <c r="G75" s="236" t="s">
        <v>622</v>
      </c>
      <c r="H75" s="233">
        <v>1</v>
      </c>
      <c r="I75" s="235">
        <v>50000</v>
      </c>
      <c r="J75" s="235">
        <f t="shared" si="5"/>
        <v>50000</v>
      </c>
      <c r="K75" s="175"/>
      <c r="L75" s="175"/>
    </row>
    <row r="76" spans="1:12" s="176" customFormat="1" ht="38.1" customHeight="1" outlineLevel="2">
      <c r="A76" s="232" t="s">
        <v>79</v>
      </c>
      <c r="B76" s="233" t="s">
        <v>3</v>
      </c>
      <c r="C76" s="233" t="s">
        <v>37</v>
      </c>
      <c r="D76" s="233" t="s">
        <v>201</v>
      </c>
      <c r="E76" s="236" t="s">
        <v>614</v>
      </c>
      <c r="F76" s="236" t="s">
        <v>621</v>
      </c>
      <c r="G76" s="236" t="s">
        <v>622</v>
      </c>
      <c r="H76" s="233">
        <v>1</v>
      </c>
      <c r="I76" s="235">
        <v>50000</v>
      </c>
      <c r="J76" s="235">
        <f t="shared" si="5"/>
        <v>50000</v>
      </c>
      <c r="K76" s="175"/>
      <c r="L76" s="175"/>
    </row>
    <row r="77" spans="1:12" s="176" customFormat="1" ht="38.1" customHeight="1" outlineLevel="2">
      <c r="A77" s="232" t="s">
        <v>85</v>
      </c>
      <c r="B77" s="233" t="s">
        <v>3</v>
      </c>
      <c r="C77" s="233" t="s">
        <v>66</v>
      </c>
      <c r="D77" s="233" t="s">
        <v>201</v>
      </c>
      <c r="E77" s="236" t="s">
        <v>614</v>
      </c>
      <c r="F77" s="236" t="s">
        <v>621</v>
      </c>
      <c r="G77" s="236" t="s">
        <v>622</v>
      </c>
      <c r="H77" s="233">
        <v>1</v>
      </c>
      <c r="I77" s="235">
        <v>50000</v>
      </c>
      <c r="J77" s="235">
        <f t="shared" si="5"/>
        <v>50000</v>
      </c>
      <c r="K77" s="175"/>
      <c r="L77" s="175"/>
    </row>
    <row r="78" spans="1:12" s="176" customFormat="1" ht="38.1" customHeight="1" outlineLevel="2">
      <c r="A78" s="232" t="s">
        <v>381</v>
      </c>
      <c r="B78" s="233" t="s">
        <v>3</v>
      </c>
      <c r="C78" s="233" t="s">
        <v>37</v>
      </c>
      <c r="D78" s="233" t="s">
        <v>201</v>
      </c>
      <c r="E78" s="236" t="s">
        <v>614</v>
      </c>
      <c r="F78" s="236" t="s">
        <v>621</v>
      </c>
      <c r="G78" s="236" t="s">
        <v>622</v>
      </c>
      <c r="H78" s="233">
        <v>1</v>
      </c>
      <c r="I78" s="235">
        <v>50000</v>
      </c>
      <c r="J78" s="235">
        <f t="shared" si="5"/>
        <v>50000</v>
      </c>
      <c r="K78" s="175"/>
      <c r="L78" s="175"/>
    </row>
    <row r="79" spans="1:12" s="176" customFormat="1" ht="38.1" customHeight="1" outlineLevel="2">
      <c r="A79" s="232" t="s">
        <v>82</v>
      </c>
      <c r="B79" s="233" t="s">
        <v>3</v>
      </c>
      <c r="C79" s="233" t="s">
        <v>37</v>
      </c>
      <c r="D79" s="233" t="s">
        <v>201</v>
      </c>
      <c r="E79" s="236" t="s">
        <v>626</v>
      </c>
      <c r="F79" s="236" t="s">
        <v>627</v>
      </c>
      <c r="G79" s="236" t="s">
        <v>628</v>
      </c>
      <c r="H79" s="233">
        <v>1</v>
      </c>
      <c r="I79" s="235">
        <v>50000</v>
      </c>
      <c r="J79" s="235">
        <f t="shared" si="5"/>
        <v>50000</v>
      </c>
      <c r="K79" s="175"/>
      <c r="L79" s="175"/>
    </row>
    <row r="80" spans="1:12" s="176" customFormat="1" ht="38.1" customHeight="1" outlineLevel="2">
      <c r="A80" s="232" t="s">
        <v>82</v>
      </c>
      <c r="B80" s="233" t="s">
        <v>3</v>
      </c>
      <c r="C80" s="233" t="s">
        <v>37</v>
      </c>
      <c r="D80" s="233" t="s">
        <v>201</v>
      </c>
      <c r="E80" s="236" t="s">
        <v>633</v>
      </c>
      <c r="F80" s="236" t="s">
        <v>634</v>
      </c>
      <c r="G80" s="236" t="s">
        <v>635</v>
      </c>
      <c r="H80" s="233">
        <v>1</v>
      </c>
      <c r="I80" s="235">
        <v>100000</v>
      </c>
      <c r="J80" s="235">
        <f t="shared" si="5"/>
        <v>100000</v>
      </c>
      <c r="K80" s="175"/>
      <c r="L80" s="175"/>
    </row>
    <row r="81" spans="1:12" s="176" customFormat="1" ht="38.1" customHeight="1" outlineLevel="2">
      <c r="A81" s="232" t="s">
        <v>84</v>
      </c>
      <c r="B81" s="233" t="s">
        <v>3</v>
      </c>
      <c r="C81" s="233" t="s">
        <v>66</v>
      </c>
      <c r="D81" s="233" t="s">
        <v>201</v>
      </c>
      <c r="E81" s="236" t="s">
        <v>633</v>
      </c>
      <c r="F81" s="236" t="s">
        <v>634</v>
      </c>
      <c r="G81" s="236" t="s">
        <v>635</v>
      </c>
      <c r="H81" s="233">
        <v>1</v>
      </c>
      <c r="I81" s="235">
        <v>120000</v>
      </c>
      <c r="J81" s="235">
        <f t="shared" si="5"/>
        <v>120000</v>
      </c>
      <c r="K81" s="175"/>
      <c r="L81" s="175"/>
    </row>
    <row r="82" spans="1:12" s="176" customFormat="1" ht="38.1" customHeight="1" outlineLevel="2">
      <c r="A82" s="232" t="s">
        <v>632</v>
      </c>
      <c r="B82" s="233" t="s">
        <v>3</v>
      </c>
      <c r="C82" s="233" t="s">
        <v>66</v>
      </c>
      <c r="D82" s="233" t="s">
        <v>584</v>
      </c>
      <c r="E82" s="255" t="s">
        <v>633</v>
      </c>
      <c r="F82" s="255" t="s">
        <v>634</v>
      </c>
      <c r="G82" s="255" t="s">
        <v>635</v>
      </c>
      <c r="H82" s="233">
        <v>1</v>
      </c>
      <c r="I82" s="235">
        <v>70000</v>
      </c>
      <c r="J82" s="235">
        <f t="shared" si="5"/>
        <v>70000</v>
      </c>
      <c r="K82" s="175"/>
      <c r="L82" s="175"/>
    </row>
    <row r="83" spans="1:12" s="176" customFormat="1" ht="38.1" customHeight="1" outlineLevel="2">
      <c r="A83" s="232" t="s">
        <v>632</v>
      </c>
      <c r="B83" s="233" t="s">
        <v>3</v>
      </c>
      <c r="C83" s="233" t="s">
        <v>66</v>
      </c>
      <c r="D83" s="233" t="s">
        <v>584</v>
      </c>
      <c r="E83" s="255" t="s">
        <v>633</v>
      </c>
      <c r="F83" s="255" t="s">
        <v>637</v>
      </c>
      <c r="G83" s="255" t="s">
        <v>638</v>
      </c>
      <c r="H83" s="233">
        <v>1</v>
      </c>
      <c r="I83" s="235">
        <v>100000</v>
      </c>
      <c r="J83" s="235">
        <f t="shared" si="5"/>
        <v>100000</v>
      </c>
      <c r="K83" s="175"/>
      <c r="L83" s="175"/>
    </row>
    <row r="84" spans="1:12" s="176" customFormat="1" ht="38.1" customHeight="1" outlineLevel="2">
      <c r="A84" s="232" t="s">
        <v>84</v>
      </c>
      <c r="B84" s="233" t="s">
        <v>3</v>
      </c>
      <c r="C84" s="233" t="s">
        <v>66</v>
      </c>
      <c r="D84" s="233" t="s">
        <v>201</v>
      </c>
      <c r="E84" s="236" t="s">
        <v>633</v>
      </c>
      <c r="F84" s="236" t="s">
        <v>637</v>
      </c>
      <c r="G84" s="236" t="s">
        <v>638</v>
      </c>
      <c r="H84" s="233">
        <v>1</v>
      </c>
      <c r="I84" s="235">
        <v>100000</v>
      </c>
      <c r="J84" s="235">
        <f t="shared" si="5"/>
        <v>100000</v>
      </c>
      <c r="K84" s="175"/>
      <c r="L84" s="175"/>
    </row>
    <row r="85" spans="1:12" s="176" customFormat="1" ht="38.1" customHeight="1" outlineLevel="2">
      <c r="A85" s="232" t="s">
        <v>82</v>
      </c>
      <c r="B85" s="233" t="s">
        <v>3</v>
      </c>
      <c r="C85" s="233" t="s">
        <v>37</v>
      </c>
      <c r="D85" s="233" t="s">
        <v>201</v>
      </c>
      <c r="E85" s="236" t="s">
        <v>633</v>
      </c>
      <c r="F85" s="236" t="s">
        <v>637</v>
      </c>
      <c r="G85" s="236" t="s">
        <v>638</v>
      </c>
      <c r="H85" s="233">
        <v>1</v>
      </c>
      <c r="I85" s="235">
        <v>250000</v>
      </c>
      <c r="J85" s="235">
        <f t="shared" si="5"/>
        <v>250000</v>
      </c>
      <c r="K85" s="175"/>
      <c r="L85" s="175"/>
    </row>
    <row r="86" spans="1:12" s="176" customFormat="1" ht="38.1" customHeight="1" outlineLevel="2">
      <c r="A86" s="232" t="s">
        <v>83</v>
      </c>
      <c r="B86" s="233" t="s">
        <v>3</v>
      </c>
      <c r="C86" s="233" t="s">
        <v>37</v>
      </c>
      <c r="D86" s="233" t="s">
        <v>201</v>
      </c>
      <c r="E86" s="236" t="s">
        <v>633</v>
      </c>
      <c r="F86" s="236" t="s">
        <v>639</v>
      </c>
      <c r="G86" s="236" t="s">
        <v>640</v>
      </c>
      <c r="H86" s="233">
        <v>518</v>
      </c>
      <c r="I86" s="235">
        <v>46</v>
      </c>
      <c r="J86" s="235">
        <f t="shared" si="5"/>
        <v>23828</v>
      </c>
      <c r="K86" s="175"/>
      <c r="L86" s="175"/>
    </row>
    <row r="87" spans="1:12" s="176" customFormat="1" ht="38.1" customHeight="1" outlineLevel="2">
      <c r="A87" s="232" t="s">
        <v>80</v>
      </c>
      <c r="B87" s="233" t="s">
        <v>3</v>
      </c>
      <c r="C87" s="233" t="s">
        <v>37</v>
      </c>
      <c r="D87" s="233" t="s">
        <v>201</v>
      </c>
      <c r="E87" s="236" t="s">
        <v>633</v>
      </c>
      <c r="F87" s="236" t="s">
        <v>639</v>
      </c>
      <c r="G87" s="236" t="s">
        <v>640</v>
      </c>
      <c r="H87" s="233">
        <v>169</v>
      </c>
      <c r="I87" s="235">
        <v>46</v>
      </c>
      <c r="J87" s="235">
        <f t="shared" si="5"/>
        <v>7774</v>
      </c>
      <c r="K87" s="175"/>
      <c r="L87" s="175"/>
    </row>
    <row r="88" spans="1:12" s="176" customFormat="1" ht="38.1" customHeight="1" outlineLevel="2">
      <c r="A88" s="232" t="s">
        <v>381</v>
      </c>
      <c r="B88" s="233" t="s">
        <v>3</v>
      </c>
      <c r="C88" s="233" t="s">
        <v>37</v>
      </c>
      <c r="D88" s="233" t="s">
        <v>201</v>
      </c>
      <c r="E88" s="236" t="s">
        <v>633</v>
      </c>
      <c r="F88" s="236" t="s">
        <v>639</v>
      </c>
      <c r="G88" s="236" t="s">
        <v>640</v>
      </c>
      <c r="H88" s="233">
        <v>445</v>
      </c>
      <c r="I88" s="235">
        <v>46</v>
      </c>
      <c r="J88" s="235">
        <f t="shared" si="5"/>
        <v>20470</v>
      </c>
      <c r="K88" s="175"/>
      <c r="L88" s="175"/>
    </row>
    <row r="89" spans="1:12" s="176" customFormat="1" ht="38.1" customHeight="1" outlineLevel="2">
      <c r="A89" s="232" t="s">
        <v>82</v>
      </c>
      <c r="B89" s="233" t="s">
        <v>3</v>
      </c>
      <c r="C89" s="233" t="s">
        <v>37</v>
      </c>
      <c r="D89" s="233" t="s">
        <v>201</v>
      </c>
      <c r="E89" s="236" t="s">
        <v>633</v>
      </c>
      <c r="F89" s="236" t="s">
        <v>639</v>
      </c>
      <c r="G89" s="236" t="s">
        <v>640</v>
      </c>
      <c r="H89" s="233">
        <v>1327</v>
      </c>
      <c r="I89" s="235">
        <v>46</v>
      </c>
      <c r="J89" s="235">
        <f t="shared" si="5"/>
        <v>61042</v>
      </c>
      <c r="K89" s="175"/>
      <c r="L89" s="175"/>
    </row>
    <row r="90" spans="1:12" s="176" customFormat="1" ht="38.1" customHeight="1" outlineLevel="2">
      <c r="A90" s="232" t="s">
        <v>79</v>
      </c>
      <c r="B90" s="233" t="s">
        <v>3</v>
      </c>
      <c r="C90" s="233" t="s">
        <v>37</v>
      </c>
      <c r="D90" s="233" t="s">
        <v>201</v>
      </c>
      <c r="E90" s="236" t="s">
        <v>633</v>
      </c>
      <c r="F90" s="236" t="s">
        <v>639</v>
      </c>
      <c r="G90" s="236" t="s">
        <v>640</v>
      </c>
      <c r="H90" s="233">
        <v>149</v>
      </c>
      <c r="I90" s="235">
        <v>46</v>
      </c>
      <c r="J90" s="235">
        <f t="shared" si="5"/>
        <v>6854</v>
      </c>
      <c r="K90" s="175"/>
      <c r="L90" s="175"/>
    </row>
    <row r="91" spans="1:12" s="176" customFormat="1" ht="38.1" customHeight="1" outlineLevel="2">
      <c r="A91" s="232" t="s">
        <v>86</v>
      </c>
      <c r="B91" s="233" t="s">
        <v>3</v>
      </c>
      <c r="C91" s="233" t="s">
        <v>66</v>
      </c>
      <c r="D91" s="233" t="s">
        <v>201</v>
      </c>
      <c r="E91" s="236" t="s">
        <v>633</v>
      </c>
      <c r="F91" s="236" t="s">
        <v>639</v>
      </c>
      <c r="G91" s="236" t="s">
        <v>640</v>
      </c>
      <c r="H91" s="233">
        <v>463</v>
      </c>
      <c r="I91" s="235">
        <v>46</v>
      </c>
      <c r="J91" s="235">
        <f t="shared" si="5"/>
        <v>21298</v>
      </c>
      <c r="K91" s="175"/>
      <c r="L91" s="175"/>
    </row>
    <row r="92" spans="1:12" s="176" customFormat="1" ht="38.1" customHeight="1" outlineLevel="2">
      <c r="A92" s="232" t="s">
        <v>84</v>
      </c>
      <c r="B92" s="233" t="s">
        <v>3</v>
      </c>
      <c r="C92" s="233" t="s">
        <v>66</v>
      </c>
      <c r="D92" s="233" t="s">
        <v>201</v>
      </c>
      <c r="E92" s="236" t="s">
        <v>633</v>
      </c>
      <c r="F92" s="236" t="s">
        <v>639</v>
      </c>
      <c r="G92" s="236" t="s">
        <v>640</v>
      </c>
      <c r="H92" s="233">
        <v>978</v>
      </c>
      <c r="I92" s="235">
        <v>46</v>
      </c>
      <c r="J92" s="235">
        <f t="shared" si="5"/>
        <v>44988</v>
      </c>
      <c r="K92" s="175"/>
      <c r="L92" s="175"/>
    </row>
    <row r="93" spans="1:12" s="176" customFormat="1" ht="38.1" customHeight="1" outlineLevel="2">
      <c r="A93" s="232" t="s">
        <v>88</v>
      </c>
      <c r="B93" s="233" t="s">
        <v>3</v>
      </c>
      <c r="C93" s="233" t="s">
        <v>65</v>
      </c>
      <c r="D93" s="233" t="s">
        <v>201</v>
      </c>
      <c r="E93" s="236" t="s">
        <v>633</v>
      </c>
      <c r="F93" s="236" t="s">
        <v>639</v>
      </c>
      <c r="G93" s="236" t="s">
        <v>640</v>
      </c>
      <c r="H93" s="233">
        <v>355</v>
      </c>
      <c r="I93" s="235">
        <v>46</v>
      </c>
      <c r="J93" s="235">
        <f t="shared" si="5"/>
        <v>16330</v>
      </c>
      <c r="K93" s="175"/>
      <c r="L93" s="175"/>
    </row>
    <row r="94" spans="1:12" s="176" customFormat="1" ht="38.1" customHeight="1" outlineLevel="2">
      <c r="A94" s="232" t="s">
        <v>87</v>
      </c>
      <c r="B94" s="233" t="s">
        <v>3</v>
      </c>
      <c r="C94" s="233" t="s">
        <v>66</v>
      </c>
      <c r="D94" s="233" t="s">
        <v>201</v>
      </c>
      <c r="E94" s="236" t="s">
        <v>633</v>
      </c>
      <c r="F94" s="236" t="s">
        <v>639</v>
      </c>
      <c r="G94" s="236" t="s">
        <v>640</v>
      </c>
      <c r="H94" s="233">
        <v>385</v>
      </c>
      <c r="I94" s="235">
        <v>46</v>
      </c>
      <c r="J94" s="235">
        <f t="shared" si="5"/>
        <v>17710</v>
      </c>
      <c r="K94" s="175"/>
      <c r="L94" s="175"/>
    </row>
    <row r="95" spans="1:12" s="176" customFormat="1" ht="38.1" customHeight="1" outlineLevel="2">
      <c r="A95" s="232" t="s">
        <v>85</v>
      </c>
      <c r="B95" s="233" t="s">
        <v>3</v>
      </c>
      <c r="C95" s="233" t="s">
        <v>66</v>
      </c>
      <c r="D95" s="233" t="s">
        <v>201</v>
      </c>
      <c r="E95" s="236" t="s">
        <v>633</v>
      </c>
      <c r="F95" s="236" t="s">
        <v>639</v>
      </c>
      <c r="G95" s="236" t="s">
        <v>640</v>
      </c>
      <c r="H95" s="233">
        <v>318</v>
      </c>
      <c r="I95" s="235">
        <v>46</v>
      </c>
      <c r="J95" s="235">
        <f t="shared" si="5"/>
        <v>14628</v>
      </c>
      <c r="K95" s="175"/>
      <c r="L95" s="175"/>
    </row>
    <row r="96" spans="1:12" s="176" customFormat="1" ht="38.1" customHeight="1" outlineLevel="1">
      <c r="A96" s="232"/>
      <c r="B96" s="239" t="s">
        <v>468</v>
      </c>
      <c r="C96" s="233"/>
      <c r="D96" s="233"/>
      <c r="E96" s="236"/>
      <c r="F96" s="236"/>
      <c r="G96" s="236"/>
      <c r="H96" s="233"/>
      <c r="I96" s="235"/>
      <c r="J96" s="235">
        <f>SUBTOTAL(9,J67:J95)</f>
        <v>1644922</v>
      </c>
      <c r="K96" s="175"/>
      <c r="L96" s="175"/>
    </row>
    <row r="97" spans="1:12" s="176" customFormat="1" ht="38.1" customHeight="1" outlineLevel="2">
      <c r="A97" s="232" t="s">
        <v>77</v>
      </c>
      <c r="B97" s="233" t="s">
        <v>1</v>
      </c>
      <c r="C97" s="233" t="s">
        <v>65</v>
      </c>
      <c r="D97" s="233" t="s">
        <v>201</v>
      </c>
      <c r="E97" s="236" t="s">
        <v>633</v>
      </c>
      <c r="F97" s="236" t="s">
        <v>639</v>
      </c>
      <c r="G97" s="236" t="s">
        <v>640</v>
      </c>
      <c r="H97" s="233">
        <v>443</v>
      </c>
      <c r="I97" s="235">
        <v>46</v>
      </c>
      <c r="J97" s="235">
        <f>I97*H97</f>
        <v>20378</v>
      </c>
      <c r="K97" s="175"/>
      <c r="L97" s="175"/>
    </row>
    <row r="98" spans="1:12" s="176" customFormat="1" ht="38.1" customHeight="1" outlineLevel="1">
      <c r="A98" s="232"/>
      <c r="B98" s="239" t="s">
        <v>68</v>
      </c>
      <c r="C98" s="233"/>
      <c r="D98" s="233"/>
      <c r="E98" s="236"/>
      <c r="F98" s="236"/>
      <c r="G98" s="236"/>
      <c r="H98" s="233"/>
      <c r="I98" s="235"/>
      <c r="J98" s="235">
        <f>SUBTOTAL(9,J97:J97)</f>
        <v>20378</v>
      </c>
      <c r="K98" s="175"/>
      <c r="L98" s="175"/>
    </row>
    <row r="99" spans="1:12" s="176" customFormat="1" ht="38.1" customHeight="1" outlineLevel="2">
      <c r="A99" s="232" t="s">
        <v>78</v>
      </c>
      <c r="B99" s="233" t="s">
        <v>2</v>
      </c>
      <c r="C99" s="233" t="s">
        <v>37</v>
      </c>
      <c r="D99" s="233" t="s">
        <v>201</v>
      </c>
      <c r="E99" s="236" t="s">
        <v>614</v>
      </c>
      <c r="F99" s="236" t="s">
        <v>621</v>
      </c>
      <c r="G99" s="236" t="s">
        <v>622</v>
      </c>
      <c r="H99" s="233">
        <v>1</v>
      </c>
      <c r="I99" s="235">
        <v>50000</v>
      </c>
      <c r="J99" s="235">
        <f>I99*H99</f>
        <v>50000</v>
      </c>
      <c r="K99" s="175"/>
      <c r="L99" s="175"/>
    </row>
    <row r="100" spans="1:12" s="176" customFormat="1" ht="38.1" customHeight="1" outlineLevel="2">
      <c r="A100" s="232" t="s">
        <v>78</v>
      </c>
      <c r="B100" s="233" t="s">
        <v>2</v>
      </c>
      <c r="C100" s="233" t="s">
        <v>37</v>
      </c>
      <c r="D100" s="233" t="s">
        <v>201</v>
      </c>
      <c r="E100" s="236" t="s">
        <v>633</v>
      </c>
      <c r="F100" s="236" t="s">
        <v>639</v>
      </c>
      <c r="G100" s="236" t="s">
        <v>640</v>
      </c>
      <c r="H100" s="233">
        <v>210</v>
      </c>
      <c r="I100" s="235">
        <v>46</v>
      </c>
      <c r="J100" s="235">
        <f>I100*H100</f>
        <v>9660</v>
      </c>
      <c r="K100" s="175"/>
      <c r="L100" s="175"/>
    </row>
    <row r="101" spans="1:12" s="176" customFormat="1" ht="38.1" customHeight="1" outlineLevel="1">
      <c r="A101" s="232"/>
      <c r="B101" s="239" t="s">
        <v>456</v>
      </c>
      <c r="C101" s="233"/>
      <c r="D101" s="233"/>
      <c r="E101" s="236"/>
      <c r="F101" s="236"/>
      <c r="G101" s="236"/>
      <c r="H101" s="233"/>
      <c r="I101" s="235"/>
      <c r="J101" s="235">
        <f>SUBTOTAL(9,J99:J100)</f>
        <v>59660</v>
      </c>
      <c r="K101" s="175"/>
      <c r="L101" s="175"/>
    </row>
    <row r="102" spans="1:12" s="176" customFormat="1" ht="38.1" customHeight="1" outlineLevel="2">
      <c r="A102" s="232" t="s">
        <v>292</v>
      </c>
      <c r="B102" s="233" t="s">
        <v>8</v>
      </c>
      <c r="C102" s="233" t="s">
        <v>37</v>
      </c>
      <c r="D102" s="233" t="s">
        <v>201</v>
      </c>
      <c r="E102" s="234" t="s">
        <v>609</v>
      </c>
      <c r="F102" s="234" t="s">
        <v>610</v>
      </c>
      <c r="G102" s="234" t="s">
        <v>611</v>
      </c>
      <c r="H102" s="233">
        <v>1</v>
      </c>
      <c r="I102" s="235">
        <v>30000</v>
      </c>
      <c r="J102" s="235">
        <f t="shared" ref="J102:J121" si="6">I102*H102</f>
        <v>30000</v>
      </c>
      <c r="K102" s="175"/>
      <c r="L102" s="175"/>
    </row>
    <row r="103" spans="1:12" s="176" customFormat="1" ht="38.1" customHeight="1" outlineLevel="2">
      <c r="A103" s="232" t="s">
        <v>114</v>
      </c>
      <c r="B103" s="233" t="s">
        <v>8</v>
      </c>
      <c r="C103" s="233" t="s">
        <v>37</v>
      </c>
      <c r="D103" s="233" t="s">
        <v>201</v>
      </c>
      <c r="E103" s="234" t="s">
        <v>609</v>
      </c>
      <c r="F103" s="234" t="s">
        <v>610</v>
      </c>
      <c r="G103" s="234" t="s">
        <v>611</v>
      </c>
      <c r="H103" s="233">
        <v>1</v>
      </c>
      <c r="I103" s="235">
        <v>30000</v>
      </c>
      <c r="J103" s="235">
        <f t="shared" si="6"/>
        <v>30000</v>
      </c>
      <c r="K103" s="175"/>
      <c r="L103" s="175"/>
    </row>
    <row r="104" spans="1:12" s="176" customFormat="1" ht="38.1" customHeight="1" outlineLevel="2">
      <c r="A104" s="232" t="s">
        <v>117</v>
      </c>
      <c r="B104" s="233" t="s">
        <v>8</v>
      </c>
      <c r="C104" s="233" t="s">
        <v>66</v>
      </c>
      <c r="D104" s="233" t="s">
        <v>201</v>
      </c>
      <c r="E104" s="234" t="s">
        <v>609</v>
      </c>
      <c r="F104" s="234" t="s">
        <v>610</v>
      </c>
      <c r="G104" s="234" t="s">
        <v>611</v>
      </c>
      <c r="H104" s="233">
        <v>1</v>
      </c>
      <c r="I104" s="235">
        <v>30000</v>
      </c>
      <c r="J104" s="235">
        <f t="shared" si="6"/>
        <v>30000</v>
      </c>
      <c r="K104" s="175"/>
      <c r="L104" s="175"/>
    </row>
    <row r="105" spans="1:12" s="176" customFormat="1" ht="38.1" customHeight="1" outlineLevel="2">
      <c r="A105" s="232" t="s">
        <v>114</v>
      </c>
      <c r="B105" s="233" t="s">
        <v>8</v>
      </c>
      <c r="C105" s="233" t="s">
        <v>37</v>
      </c>
      <c r="D105" s="233" t="s">
        <v>201</v>
      </c>
      <c r="E105" s="236" t="s">
        <v>614</v>
      </c>
      <c r="F105" s="236" t="s">
        <v>619</v>
      </c>
      <c r="G105" s="236" t="s">
        <v>620</v>
      </c>
      <c r="H105" s="233">
        <v>1</v>
      </c>
      <c r="I105" s="235">
        <v>70000</v>
      </c>
      <c r="J105" s="235">
        <f t="shared" si="6"/>
        <v>70000</v>
      </c>
      <c r="K105" s="175"/>
      <c r="L105" s="175"/>
    </row>
    <row r="106" spans="1:12" s="176" customFormat="1" ht="38.1" customHeight="1" outlineLevel="2">
      <c r="A106" s="232" t="s">
        <v>111</v>
      </c>
      <c r="B106" s="233" t="s">
        <v>8</v>
      </c>
      <c r="C106" s="233" t="s">
        <v>65</v>
      </c>
      <c r="D106" s="233" t="s">
        <v>201</v>
      </c>
      <c r="E106" s="236" t="s">
        <v>614</v>
      </c>
      <c r="F106" s="236" t="s">
        <v>619</v>
      </c>
      <c r="G106" s="236" t="s">
        <v>620</v>
      </c>
      <c r="H106" s="233">
        <v>1</v>
      </c>
      <c r="I106" s="235">
        <v>70000</v>
      </c>
      <c r="J106" s="235">
        <f t="shared" si="6"/>
        <v>70000</v>
      </c>
      <c r="K106" s="175"/>
      <c r="L106" s="175"/>
    </row>
    <row r="107" spans="1:12" s="176" customFormat="1" ht="38.1" customHeight="1" outlineLevel="2">
      <c r="A107" s="232" t="s">
        <v>112</v>
      </c>
      <c r="B107" s="233" t="s">
        <v>8</v>
      </c>
      <c r="C107" s="233" t="s">
        <v>37</v>
      </c>
      <c r="D107" s="233" t="s">
        <v>201</v>
      </c>
      <c r="E107" s="236" t="s">
        <v>626</v>
      </c>
      <c r="F107" s="236" t="s">
        <v>627</v>
      </c>
      <c r="G107" s="236" t="s">
        <v>628</v>
      </c>
      <c r="H107" s="233">
        <v>1</v>
      </c>
      <c r="I107" s="235">
        <v>50000</v>
      </c>
      <c r="J107" s="235">
        <f t="shared" si="6"/>
        <v>50000</v>
      </c>
      <c r="K107" s="175"/>
      <c r="L107" s="175"/>
    </row>
    <row r="108" spans="1:12" s="176" customFormat="1" ht="38.1" customHeight="1" outlineLevel="2">
      <c r="A108" s="232" t="s">
        <v>623</v>
      </c>
      <c r="B108" s="233" t="s">
        <v>8</v>
      </c>
      <c r="C108" s="233" t="s">
        <v>37</v>
      </c>
      <c r="D108" s="233" t="s">
        <v>201</v>
      </c>
      <c r="E108" s="236" t="s">
        <v>626</v>
      </c>
      <c r="F108" s="236" t="s">
        <v>627</v>
      </c>
      <c r="G108" s="236" t="s">
        <v>628</v>
      </c>
      <c r="H108" s="233">
        <v>1</v>
      </c>
      <c r="I108" s="235">
        <v>50000</v>
      </c>
      <c r="J108" s="235">
        <f t="shared" si="6"/>
        <v>50000</v>
      </c>
      <c r="K108" s="175"/>
      <c r="L108" s="175"/>
    </row>
    <row r="109" spans="1:12" s="176" customFormat="1" ht="38.1" customHeight="1" outlineLevel="2">
      <c r="A109" s="232" t="s">
        <v>114</v>
      </c>
      <c r="B109" s="233" t="s">
        <v>8</v>
      </c>
      <c r="C109" s="233" t="s">
        <v>37</v>
      </c>
      <c r="D109" s="233" t="s">
        <v>201</v>
      </c>
      <c r="E109" s="236" t="s">
        <v>633</v>
      </c>
      <c r="F109" s="236" t="s">
        <v>634</v>
      </c>
      <c r="G109" s="236" t="s">
        <v>635</v>
      </c>
      <c r="H109" s="233">
        <v>1</v>
      </c>
      <c r="I109" s="235">
        <v>50000</v>
      </c>
      <c r="J109" s="235">
        <f t="shared" si="6"/>
        <v>50000</v>
      </c>
      <c r="K109" s="175"/>
      <c r="L109" s="175"/>
    </row>
    <row r="110" spans="1:12" s="176" customFormat="1" ht="38.1" customHeight="1" outlineLevel="2">
      <c r="A110" s="232" t="s">
        <v>118</v>
      </c>
      <c r="B110" s="233" t="s">
        <v>8</v>
      </c>
      <c r="C110" s="233" t="s">
        <v>66</v>
      </c>
      <c r="D110" s="233" t="s">
        <v>201</v>
      </c>
      <c r="E110" s="236" t="s">
        <v>633</v>
      </c>
      <c r="F110" s="236" t="s">
        <v>637</v>
      </c>
      <c r="G110" s="236" t="s">
        <v>638</v>
      </c>
      <c r="H110" s="233">
        <v>1</v>
      </c>
      <c r="I110" s="235">
        <v>70000</v>
      </c>
      <c r="J110" s="235">
        <f t="shared" si="6"/>
        <v>70000</v>
      </c>
      <c r="K110" s="175"/>
      <c r="L110" s="175"/>
    </row>
    <row r="111" spans="1:12" s="176" customFormat="1" ht="38.1" customHeight="1" outlineLevel="2">
      <c r="A111" s="232" t="s">
        <v>636</v>
      </c>
      <c r="B111" s="233" t="s">
        <v>8</v>
      </c>
      <c r="C111" s="233" t="s">
        <v>37</v>
      </c>
      <c r="D111" s="233" t="s">
        <v>201</v>
      </c>
      <c r="E111" s="236" t="s">
        <v>633</v>
      </c>
      <c r="F111" s="236" t="s">
        <v>637</v>
      </c>
      <c r="G111" s="236" t="s">
        <v>638</v>
      </c>
      <c r="H111" s="233">
        <v>1</v>
      </c>
      <c r="I111" s="235">
        <v>70000</v>
      </c>
      <c r="J111" s="235">
        <f t="shared" si="6"/>
        <v>70000</v>
      </c>
      <c r="K111" s="175"/>
      <c r="L111" s="175"/>
    </row>
    <row r="112" spans="1:12" s="176" customFormat="1" ht="38.1" customHeight="1" outlineLevel="2">
      <c r="A112" s="232" t="s">
        <v>401</v>
      </c>
      <c r="B112" s="233" t="s">
        <v>8</v>
      </c>
      <c r="C112" s="233" t="s">
        <v>65</v>
      </c>
      <c r="D112" s="233" t="s">
        <v>201</v>
      </c>
      <c r="E112" s="236" t="s">
        <v>633</v>
      </c>
      <c r="F112" s="236" t="s">
        <v>637</v>
      </c>
      <c r="G112" s="236" t="s">
        <v>638</v>
      </c>
      <c r="H112" s="233">
        <v>1</v>
      </c>
      <c r="I112" s="235">
        <v>110000</v>
      </c>
      <c r="J112" s="235">
        <f t="shared" si="6"/>
        <v>110000</v>
      </c>
      <c r="K112" s="175"/>
      <c r="L112" s="175"/>
    </row>
    <row r="113" spans="1:12" s="176" customFormat="1" ht="38.1" customHeight="1" outlineLevel="2">
      <c r="A113" s="232" t="s">
        <v>114</v>
      </c>
      <c r="B113" s="233" t="s">
        <v>8</v>
      </c>
      <c r="C113" s="233" t="s">
        <v>37</v>
      </c>
      <c r="D113" s="233" t="s">
        <v>201</v>
      </c>
      <c r="E113" s="236" t="s">
        <v>633</v>
      </c>
      <c r="F113" s="236" t="s">
        <v>637</v>
      </c>
      <c r="G113" s="236" t="s">
        <v>638</v>
      </c>
      <c r="H113" s="233">
        <v>1</v>
      </c>
      <c r="I113" s="235">
        <v>160000</v>
      </c>
      <c r="J113" s="235">
        <f t="shared" si="6"/>
        <v>160000</v>
      </c>
      <c r="K113" s="175"/>
      <c r="L113" s="175"/>
    </row>
    <row r="114" spans="1:12" s="176" customFormat="1" ht="38.1" customHeight="1" outlineLevel="2">
      <c r="A114" s="232" t="s">
        <v>112</v>
      </c>
      <c r="B114" s="233" t="s">
        <v>8</v>
      </c>
      <c r="C114" s="233" t="s">
        <v>37</v>
      </c>
      <c r="D114" s="233" t="s">
        <v>201</v>
      </c>
      <c r="E114" s="236" t="s">
        <v>633</v>
      </c>
      <c r="F114" s="236" t="s">
        <v>639</v>
      </c>
      <c r="G114" s="236" t="s">
        <v>640</v>
      </c>
      <c r="H114" s="233">
        <v>177</v>
      </c>
      <c r="I114" s="235">
        <v>46</v>
      </c>
      <c r="J114" s="235">
        <f t="shared" si="6"/>
        <v>8142</v>
      </c>
      <c r="K114" s="175"/>
      <c r="L114" s="175"/>
    </row>
    <row r="115" spans="1:12" s="176" customFormat="1" ht="38.1" customHeight="1" outlineLevel="2">
      <c r="A115" s="232" t="s">
        <v>397</v>
      </c>
      <c r="B115" s="233" t="s">
        <v>8</v>
      </c>
      <c r="C115" s="233" t="s">
        <v>37</v>
      </c>
      <c r="D115" s="233" t="s">
        <v>201</v>
      </c>
      <c r="E115" s="236" t="s">
        <v>633</v>
      </c>
      <c r="F115" s="236" t="s">
        <v>639</v>
      </c>
      <c r="G115" s="236" t="s">
        <v>640</v>
      </c>
      <c r="H115" s="233">
        <v>623</v>
      </c>
      <c r="I115" s="235">
        <v>46</v>
      </c>
      <c r="J115" s="235">
        <f t="shared" si="6"/>
        <v>28658</v>
      </c>
      <c r="K115" s="175"/>
      <c r="L115" s="175"/>
    </row>
    <row r="116" spans="1:12" s="176" customFormat="1" ht="38.1" customHeight="1" outlineLevel="2">
      <c r="A116" s="232" t="s">
        <v>398</v>
      </c>
      <c r="B116" s="233" t="s">
        <v>8</v>
      </c>
      <c r="C116" s="233" t="s">
        <v>37</v>
      </c>
      <c r="D116" s="233" t="s">
        <v>201</v>
      </c>
      <c r="E116" s="236" t="s">
        <v>633</v>
      </c>
      <c r="F116" s="236" t="s">
        <v>639</v>
      </c>
      <c r="G116" s="236" t="s">
        <v>640</v>
      </c>
      <c r="H116" s="233">
        <v>235</v>
      </c>
      <c r="I116" s="235">
        <v>46</v>
      </c>
      <c r="J116" s="235">
        <f t="shared" si="6"/>
        <v>10810</v>
      </c>
      <c r="K116" s="175"/>
      <c r="L116" s="175"/>
    </row>
    <row r="117" spans="1:12" s="176" customFormat="1" ht="38.1" customHeight="1" outlineLevel="2">
      <c r="A117" s="232" t="s">
        <v>113</v>
      </c>
      <c r="B117" s="233" t="s">
        <v>8</v>
      </c>
      <c r="C117" s="233" t="s">
        <v>37</v>
      </c>
      <c r="D117" s="233" t="s">
        <v>201</v>
      </c>
      <c r="E117" s="236" t="s">
        <v>633</v>
      </c>
      <c r="F117" s="236" t="s">
        <v>639</v>
      </c>
      <c r="G117" s="236" t="s">
        <v>640</v>
      </c>
      <c r="H117" s="233">
        <v>208</v>
      </c>
      <c r="I117" s="235">
        <v>46</v>
      </c>
      <c r="J117" s="235">
        <f t="shared" si="6"/>
        <v>9568</v>
      </c>
      <c r="K117" s="175"/>
      <c r="L117" s="175"/>
    </row>
    <row r="118" spans="1:12" s="176" customFormat="1" ht="38.1" customHeight="1" outlineLevel="2">
      <c r="A118" s="232" t="s">
        <v>117</v>
      </c>
      <c r="B118" s="233" t="s">
        <v>8</v>
      </c>
      <c r="C118" s="233" t="s">
        <v>66</v>
      </c>
      <c r="D118" s="233" t="s">
        <v>201</v>
      </c>
      <c r="E118" s="236" t="s">
        <v>633</v>
      </c>
      <c r="F118" s="236" t="s">
        <v>639</v>
      </c>
      <c r="G118" s="236" t="s">
        <v>640</v>
      </c>
      <c r="H118" s="233">
        <v>291</v>
      </c>
      <c r="I118" s="235">
        <v>46</v>
      </c>
      <c r="J118" s="235">
        <f t="shared" si="6"/>
        <v>13386</v>
      </c>
      <c r="K118" s="175"/>
      <c r="L118" s="175"/>
    </row>
    <row r="119" spans="1:12" s="176" customFormat="1" ht="38.1" customHeight="1" outlineLevel="2">
      <c r="A119" s="232" t="s">
        <v>116</v>
      </c>
      <c r="B119" s="233" t="s">
        <v>8</v>
      </c>
      <c r="C119" s="233" t="s">
        <v>66</v>
      </c>
      <c r="D119" s="233" t="s">
        <v>201</v>
      </c>
      <c r="E119" s="236" t="s">
        <v>633</v>
      </c>
      <c r="F119" s="236" t="s">
        <v>639</v>
      </c>
      <c r="G119" s="236" t="s">
        <v>640</v>
      </c>
      <c r="H119" s="233">
        <v>406</v>
      </c>
      <c r="I119" s="235">
        <v>46</v>
      </c>
      <c r="J119" s="235">
        <f t="shared" si="6"/>
        <v>18676</v>
      </c>
      <c r="K119" s="175"/>
      <c r="L119" s="175"/>
    </row>
    <row r="120" spans="1:12" s="176" customFormat="1" ht="38.1" customHeight="1" outlineLevel="2">
      <c r="A120" s="232" t="s">
        <v>118</v>
      </c>
      <c r="B120" s="233" t="s">
        <v>8</v>
      </c>
      <c r="C120" s="233" t="s">
        <v>66</v>
      </c>
      <c r="D120" s="233" t="s">
        <v>201</v>
      </c>
      <c r="E120" s="236" t="s">
        <v>633</v>
      </c>
      <c r="F120" s="236" t="s">
        <v>639</v>
      </c>
      <c r="G120" s="236" t="s">
        <v>640</v>
      </c>
      <c r="H120" s="233">
        <v>367</v>
      </c>
      <c r="I120" s="235">
        <v>46</v>
      </c>
      <c r="J120" s="235">
        <f t="shared" si="6"/>
        <v>16882</v>
      </c>
      <c r="K120" s="175"/>
      <c r="L120" s="175"/>
    </row>
    <row r="121" spans="1:12" s="176" customFormat="1" ht="38.1" customHeight="1" outlineLevel="2">
      <c r="A121" s="232" t="s">
        <v>111</v>
      </c>
      <c r="B121" s="233" t="s">
        <v>8</v>
      </c>
      <c r="C121" s="233" t="s">
        <v>65</v>
      </c>
      <c r="D121" s="233" t="s">
        <v>201</v>
      </c>
      <c r="E121" s="236" t="s">
        <v>633</v>
      </c>
      <c r="F121" s="236" t="s">
        <v>639</v>
      </c>
      <c r="G121" s="236" t="s">
        <v>640</v>
      </c>
      <c r="H121" s="233">
        <v>417</v>
      </c>
      <c r="I121" s="235">
        <v>46</v>
      </c>
      <c r="J121" s="235">
        <f t="shared" si="6"/>
        <v>19182</v>
      </c>
      <c r="K121" s="175"/>
      <c r="L121" s="175"/>
    </row>
    <row r="122" spans="1:12" s="176" customFormat="1" ht="38.1" customHeight="1" outlineLevel="1">
      <c r="A122" s="232"/>
      <c r="B122" s="239" t="s">
        <v>498</v>
      </c>
      <c r="C122" s="233"/>
      <c r="D122" s="233"/>
      <c r="E122" s="236"/>
      <c r="F122" s="236"/>
      <c r="G122" s="236"/>
      <c r="H122" s="233"/>
      <c r="I122" s="235"/>
      <c r="J122" s="235">
        <f>SUBTOTAL(9,J102:J121)</f>
        <v>915304</v>
      </c>
      <c r="K122" s="175"/>
      <c r="L122" s="175"/>
    </row>
    <row r="123" spans="1:12" s="176" customFormat="1" ht="38.1" customHeight="1">
      <c r="A123" s="232"/>
      <c r="B123" s="239" t="s">
        <v>21</v>
      </c>
      <c r="C123" s="233"/>
      <c r="D123" s="233"/>
      <c r="E123" s="236"/>
      <c r="F123" s="236"/>
      <c r="G123" s="236"/>
      <c r="H123" s="233"/>
      <c r="I123" s="235"/>
      <c r="J123" s="235">
        <f>SUBTOTAL(9,J4:J121)</f>
        <v>4377410</v>
      </c>
      <c r="K123" s="175"/>
      <c r="L123" s="175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2" customWidth="1"/>
    <col min="2" max="2" width="11.25" style="172" customWidth="1"/>
    <col min="3" max="3" width="8.625" style="172" customWidth="1"/>
    <col min="4" max="4" width="8.5" style="172" customWidth="1"/>
    <col min="5" max="5" width="21.75" style="172" customWidth="1"/>
    <col min="6" max="6" width="20.5" style="172" customWidth="1"/>
    <col min="7" max="7" width="26.625" style="172" customWidth="1"/>
    <col min="8" max="8" width="5.625" style="172" customWidth="1"/>
    <col min="9" max="9" width="11.625" style="173" customWidth="1"/>
    <col min="10" max="10" width="12.5" style="173" customWidth="1"/>
    <col min="11" max="12" width="9" style="169"/>
    <col min="13" max="16384" width="9" style="170"/>
  </cols>
  <sheetData>
    <row r="1" spans="1:12" s="226" customFormat="1" ht="30" customHeight="1">
      <c r="A1" s="367" t="s">
        <v>667</v>
      </c>
      <c r="B1" s="367"/>
      <c r="C1" s="367"/>
      <c r="D1" s="367"/>
      <c r="E1" s="367"/>
      <c r="F1" s="367"/>
      <c r="G1" s="367"/>
      <c r="H1" s="367"/>
      <c r="I1" s="367"/>
      <c r="J1" s="367"/>
      <c r="K1" s="225"/>
      <c r="L1" s="225"/>
    </row>
    <row r="2" spans="1:12" s="224" customFormat="1" ht="30" customHeight="1">
      <c r="A2" s="368" t="s">
        <v>223</v>
      </c>
      <c r="B2" s="368"/>
      <c r="C2" s="368"/>
      <c r="D2" s="368"/>
      <c r="E2" s="368"/>
      <c r="F2" s="368"/>
      <c r="G2" s="368"/>
      <c r="H2" s="368"/>
      <c r="I2" s="368"/>
      <c r="J2" s="368"/>
      <c r="K2" s="223"/>
      <c r="L2" s="223"/>
    </row>
    <row r="3" spans="1:12" s="176" customFormat="1" ht="23.1" customHeight="1">
      <c r="A3" s="179" t="s">
        <v>59</v>
      </c>
      <c r="B3" s="179" t="s">
        <v>506</v>
      </c>
      <c r="C3" s="179" t="s">
        <v>507</v>
      </c>
      <c r="D3" s="179" t="s">
        <v>508</v>
      </c>
      <c r="E3" s="179" t="s">
        <v>60</v>
      </c>
      <c r="F3" s="179" t="s">
        <v>61</v>
      </c>
      <c r="G3" s="179" t="s">
        <v>62</v>
      </c>
      <c r="H3" s="179" t="s">
        <v>63</v>
      </c>
      <c r="I3" s="179" t="s">
        <v>64</v>
      </c>
      <c r="J3" s="179" t="s">
        <v>509</v>
      </c>
      <c r="K3" s="175"/>
      <c r="L3" s="175"/>
    </row>
    <row r="4" spans="1:12" s="176" customFormat="1" ht="23.1" customHeight="1" outlineLevel="2">
      <c r="A4" s="174" t="s">
        <v>122</v>
      </c>
      <c r="B4" s="171" t="s">
        <v>528</v>
      </c>
      <c r="C4" s="171" t="s">
        <v>510</v>
      </c>
      <c r="D4" s="171" t="s">
        <v>511</v>
      </c>
      <c r="E4" s="206" t="s">
        <v>525</v>
      </c>
      <c r="F4" s="207" t="s">
        <v>526</v>
      </c>
      <c r="G4" s="207" t="s">
        <v>516</v>
      </c>
      <c r="H4" s="171">
        <v>1</v>
      </c>
      <c r="I4" s="178">
        <v>100000</v>
      </c>
      <c r="J4" s="178">
        <f>I4*H4</f>
        <v>100000</v>
      </c>
      <c r="K4" s="175"/>
      <c r="L4" s="175"/>
    </row>
    <row r="5" spans="1:12" s="176" customFormat="1" ht="23.1" customHeight="1" outlineLevel="2">
      <c r="A5" s="174" t="s">
        <v>121</v>
      </c>
      <c r="B5" s="171" t="s">
        <v>528</v>
      </c>
      <c r="C5" s="177" t="s">
        <v>517</v>
      </c>
      <c r="D5" s="171" t="s">
        <v>511</v>
      </c>
      <c r="E5" s="206" t="s">
        <v>533</v>
      </c>
      <c r="F5" s="206" t="s">
        <v>533</v>
      </c>
      <c r="G5" s="206" t="s">
        <v>534</v>
      </c>
      <c r="H5" s="171">
        <v>1</v>
      </c>
      <c r="I5" s="178">
        <v>600000</v>
      </c>
      <c r="J5" s="178">
        <f>I5*H5</f>
        <v>600000</v>
      </c>
      <c r="K5" s="175"/>
      <c r="L5" s="175"/>
    </row>
    <row r="6" spans="1:12" s="176" customFormat="1" ht="23.1" customHeight="1" outlineLevel="2">
      <c r="A6" s="203" t="s">
        <v>119</v>
      </c>
      <c r="B6" s="171" t="s">
        <v>528</v>
      </c>
      <c r="C6" s="171" t="s">
        <v>513</v>
      </c>
      <c r="D6" s="171" t="s">
        <v>511</v>
      </c>
      <c r="E6" s="206" t="s">
        <v>533</v>
      </c>
      <c r="F6" s="203" t="s">
        <v>514</v>
      </c>
      <c r="G6" s="203" t="s">
        <v>515</v>
      </c>
      <c r="H6" s="171">
        <v>1</v>
      </c>
      <c r="I6" s="178">
        <v>1000000</v>
      </c>
      <c r="J6" s="178">
        <f>I6*H6</f>
        <v>1000000</v>
      </c>
      <c r="K6" s="175"/>
      <c r="L6" s="175"/>
    </row>
    <row r="7" spans="1:12" s="176" customFormat="1" ht="23.1" customHeight="1" outlineLevel="2">
      <c r="A7" s="208" t="s">
        <v>556</v>
      </c>
      <c r="B7" s="171" t="s">
        <v>528</v>
      </c>
      <c r="C7" s="171" t="s">
        <v>510</v>
      </c>
      <c r="D7" s="171" t="s">
        <v>511</v>
      </c>
      <c r="E7" s="206" t="s">
        <v>512</v>
      </c>
      <c r="F7" s="206" t="s">
        <v>512</v>
      </c>
      <c r="G7" s="206" t="s">
        <v>512</v>
      </c>
      <c r="H7" s="171">
        <v>1</v>
      </c>
      <c r="I7" s="178">
        <v>280000</v>
      </c>
      <c r="J7" s="178">
        <f>I7*H7</f>
        <v>280000</v>
      </c>
      <c r="K7" s="175"/>
      <c r="L7" s="175"/>
    </row>
    <row r="8" spans="1:12" s="176" customFormat="1" ht="23.1" customHeight="1" outlineLevel="1">
      <c r="A8" s="208"/>
      <c r="B8" s="205" t="s">
        <v>504</v>
      </c>
      <c r="C8" s="171"/>
      <c r="D8" s="171"/>
      <c r="E8" s="206"/>
      <c r="F8" s="206"/>
      <c r="G8" s="206"/>
      <c r="H8" s="171"/>
      <c r="I8" s="178"/>
      <c r="J8" s="178">
        <f>SUBTOTAL(9,J4:J7)</f>
        <v>1980000</v>
      </c>
      <c r="K8" s="175"/>
      <c r="L8" s="175"/>
    </row>
    <row r="9" spans="1:12" s="176" customFormat="1" ht="23.1" customHeight="1" outlineLevel="2">
      <c r="A9" s="174" t="s">
        <v>110</v>
      </c>
      <c r="B9" s="177" t="s">
        <v>531</v>
      </c>
      <c r="C9" s="177" t="s">
        <v>517</v>
      </c>
      <c r="D9" s="171" t="s">
        <v>511</v>
      </c>
      <c r="E9" s="206" t="s">
        <v>525</v>
      </c>
      <c r="F9" s="207" t="s">
        <v>526</v>
      </c>
      <c r="G9" s="207" t="s">
        <v>516</v>
      </c>
      <c r="H9" s="171">
        <v>1</v>
      </c>
      <c r="I9" s="178">
        <v>100000</v>
      </c>
      <c r="J9" s="178">
        <f>I9*H9</f>
        <v>100000</v>
      </c>
      <c r="K9" s="175"/>
      <c r="L9" s="175"/>
    </row>
    <row r="10" spans="1:12" s="176" customFormat="1" ht="23.1" customHeight="1" outlineLevel="2">
      <c r="A10" s="174" t="s">
        <v>669</v>
      </c>
      <c r="B10" s="171" t="s">
        <v>531</v>
      </c>
      <c r="C10" s="171" t="s">
        <v>517</v>
      </c>
      <c r="D10" s="171" t="s">
        <v>511</v>
      </c>
      <c r="E10" s="206" t="s">
        <v>533</v>
      </c>
      <c r="F10" s="206" t="s">
        <v>533</v>
      </c>
      <c r="G10" s="206" t="s">
        <v>543</v>
      </c>
      <c r="H10" s="171">
        <v>1</v>
      </c>
      <c r="I10" s="178">
        <v>600000</v>
      </c>
      <c r="J10" s="178">
        <f>I10*H10</f>
        <v>600000</v>
      </c>
      <c r="K10" s="175"/>
      <c r="L10" s="175"/>
    </row>
    <row r="11" spans="1:12" s="176" customFormat="1" ht="23.1" customHeight="1" outlineLevel="2">
      <c r="A11" s="208" t="s">
        <v>554</v>
      </c>
      <c r="B11" s="171" t="s">
        <v>531</v>
      </c>
      <c r="C11" s="171" t="s">
        <v>510</v>
      </c>
      <c r="D11" s="171" t="s">
        <v>511</v>
      </c>
      <c r="E11" s="206" t="s">
        <v>512</v>
      </c>
      <c r="F11" s="206" t="s">
        <v>512</v>
      </c>
      <c r="G11" s="206" t="s">
        <v>512</v>
      </c>
      <c r="H11" s="171">
        <v>1</v>
      </c>
      <c r="I11" s="178">
        <v>280000</v>
      </c>
      <c r="J11" s="178">
        <f>I11*H11</f>
        <v>280000</v>
      </c>
      <c r="K11" s="175"/>
      <c r="L11" s="175"/>
    </row>
    <row r="12" spans="1:12" s="176" customFormat="1" ht="23.1" customHeight="1" outlineLevel="1">
      <c r="A12" s="208"/>
      <c r="B12" s="205" t="s">
        <v>34</v>
      </c>
      <c r="C12" s="171"/>
      <c r="D12" s="171"/>
      <c r="E12" s="206"/>
      <c r="F12" s="206"/>
      <c r="G12" s="206"/>
      <c r="H12" s="171"/>
      <c r="I12" s="178"/>
      <c r="J12" s="178">
        <f>SUBTOTAL(9,J9:J11)</f>
        <v>980000</v>
      </c>
      <c r="K12" s="175"/>
      <c r="L12" s="175"/>
    </row>
    <row r="13" spans="1:12" s="176" customFormat="1" ht="23.1" customHeight="1" outlineLevel="2">
      <c r="A13" s="174" t="s">
        <v>106</v>
      </c>
      <c r="B13" s="171" t="s">
        <v>530</v>
      </c>
      <c r="C13" s="171" t="s">
        <v>517</v>
      </c>
      <c r="D13" s="171" t="s">
        <v>511</v>
      </c>
      <c r="E13" s="206" t="s">
        <v>525</v>
      </c>
      <c r="F13" s="207" t="s">
        <v>526</v>
      </c>
      <c r="G13" s="207" t="s">
        <v>516</v>
      </c>
      <c r="H13" s="171">
        <v>1</v>
      </c>
      <c r="I13" s="178">
        <v>100000</v>
      </c>
      <c r="J13" s="178">
        <f>I13*H13</f>
        <v>100000</v>
      </c>
      <c r="K13" s="175"/>
      <c r="L13" s="175"/>
    </row>
    <row r="14" spans="1:12" s="176" customFormat="1" ht="23.1" customHeight="1" outlineLevel="2">
      <c r="A14" s="174" t="s">
        <v>673</v>
      </c>
      <c r="B14" s="171" t="s">
        <v>530</v>
      </c>
      <c r="C14" s="177" t="s">
        <v>517</v>
      </c>
      <c r="D14" s="171" t="s">
        <v>511</v>
      </c>
      <c r="E14" s="206" t="s">
        <v>533</v>
      </c>
      <c r="F14" s="206" t="s">
        <v>518</v>
      </c>
      <c r="G14" s="206" t="s">
        <v>535</v>
      </c>
      <c r="H14" s="171">
        <v>1</v>
      </c>
      <c r="I14" s="178">
        <v>600000</v>
      </c>
      <c r="J14" s="178">
        <f>I14*H14</f>
        <v>600000</v>
      </c>
      <c r="K14" s="175"/>
      <c r="L14" s="175"/>
    </row>
    <row r="15" spans="1:12" s="176" customFormat="1" ht="23.1" customHeight="1" outlineLevel="2">
      <c r="A15" s="208" t="s">
        <v>553</v>
      </c>
      <c r="B15" s="171" t="s">
        <v>530</v>
      </c>
      <c r="C15" s="171" t="s">
        <v>510</v>
      </c>
      <c r="D15" s="171" t="s">
        <v>511</v>
      </c>
      <c r="E15" s="206" t="s">
        <v>512</v>
      </c>
      <c r="F15" s="206" t="s">
        <v>512</v>
      </c>
      <c r="G15" s="206" t="s">
        <v>512</v>
      </c>
      <c r="H15" s="171">
        <v>1</v>
      </c>
      <c r="I15" s="178">
        <v>300000</v>
      </c>
      <c r="J15" s="178">
        <f>I15*H15</f>
        <v>300000</v>
      </c>
      <c r="K15" s="175"/>
      <c r="L15" s="175"/>
    </row>
    <row r="16" spans="1:12" s="176" customFormat="1" ht="23.1" customHeight="1" outlineLevel="1">
      <c r="A16" s="208"/>
      <c r="B16" s="205" t="s">
        <v>487</v>
      </c>
      <c r="C16" s="171"/>
      <c r="D16" s="171"/>
      <c r="E16" s="206"/>
      <c r="F16" s="206"/>
      <c r="G16" s="206"/>
      <c r="H16" s="171"/>
      <c r="I16" s="178"/>
      <c r="J16" s="178">
        <f>SUBTOTAL(9,J13:J15)</f>
        <v>1000000</v>
      </c>
      <c r="K16" s="175"/>
      <c r="L16" s="175"/>
    </row>
    <row r="17" spans="1:12" s="176" customFormat="1" ht="23.1" customHeight="1" outlineLevel="2">
      <c r="A17" s="174" t="s">
        <v>101</v>
      </c>
      <c r="B17" s="171" t="s">
        <v>527</v>
      </c>
      <c r="C17" s="171" t="s">
        <v>517</v>
      </c>
      <c r="D17" s="171" t="s">
        <v>511</v>
      </c>
      <c r="E17" s="206" t="s">
        <v>525</v>
      </c>
      <c r="F17" s="207" t="s">
        <v>526</v>
      </c>
      <c r="G17" s="207" t="s">
        <v>516</v>
      </c>
      <c r="H17" s="171">
        <v>1</v>
      </c>
      <c r="I17" s="178">
        <v>100000</v>
      </c>
      <c r="J17" s="178">
        <f>I17*H17</f>
        <v>100000</v>
      </c>
      <c r="K17" s="175"/>
      <c r="L17" s="175"/>
    </row>
    <row r="18" spans="1:12" s="176" customFormat="1" ht="23.1" customHeight="1" outlineLevel="2">
      <c r="A18" s="174" t="s">
        <v>101</v>
      </c>
      <c r="B18" s="171" t="s">
        <v>527</v>
      </c>
      <c r="C18" s="177" t="s">
        <v>517</v>
      </c>
      <c r="D18" s="171" t="s">
        <v>511</v>
      </c>
      <c r="E18" s="206" t="s">
        <v>533</v>
      </c>
      <c r="F18" s="206" t="s">
        <v>536</v>
      </c>
      <c r="G18" s="206" t="s">
        <v>537</v>
      </c>
      <c r="H18" s="171">
        <v>1</v>
      </c>
      <c r="I18" s="178">
        <v>600000</v>
      </c>
      <c r="J18" s="178">
        <f>I18*H18</f>
        <v>600000</v>
      </c>
      <c r="K18" s="175"/>
      <c r="L18" s="175"/>
    </row>
    <row r="19" spans="1:12" s="176" customFormat="1" ht="23.1" customHeight="1" outlineLevel="2">
      <c r="A19" s="174" t="s">
        <v>538</v>
      </c>
      <c r="B19" s="171" t="s">
        <v>527</v>
      </c>
      <c r="C19" s="171" t="s">
        <v>510</v>
      </c>
      <c r="D19" s="171" t="s">
        <v>511</v>
      </c>
      <c r="E19" s="206" t="s">
        <v>533</v>
      </c>
      <c r="F19" s="206" t="s">
        <v>540</v>
      </c>
      <c r="G19" s="206" t="s">
        <v>541</v>
      </c>
      <c r="H19" s="171">
        <v>1</v>
      </c>
      <c r="I19" s="178">
        <v>500000</v>
      </c>
      <c r="J19" s="178">
        <f>I19*H19</f>
        <v>500000</v>
      </c>
      <c r="K19" s="175"/>
      <c r="L19" s="175"/>
    </row>
    <row r="20" spans="1:12" s="176" customFormat="1" ht="23.1" customHeight="1" outlineLevel="2">
      <c r="A20" s="174" t="s">
        <v>539</v>
      </c>
      <c r="B20" s="171" t="s">
        <v>527</v>
      </c>
      <c r="C20" s="171" t="s">
        <v>513</v>
      </c>
      <c r="D20" s="171" t="s">
        <v>511</v>
      </c>
      <c r="E20" s="206" t="s">
        <v>533</v>
      </c>
      <c r="F20" s="206" t="s">
        <v>540</v>
      </c>
      <c r="G20" s="206" t="s">
        <v>541</v>
      </c>
      <c r="H20" s="171">
        <v>1</v>
      </c>
      <c r="I20" s="178">
        <v>500000</v>
      </c>
      <c r="J20" s="178">
        <f>I20*H20</f>
        <v>500000</v>
      </c>
      <c r="K20" s="175"/>
      <c r="L20" s="175"/>
    </row>
    <row r="21" spans="1:12" s="176" customFormat="1" ht="23.1" customHeight="1" outlineLevel="2">
      <c r="A21" s="208" t="s">
        <v>552</v>
      </c>
      <c r="B21" s="171" t="s">
        <v>527</v>
      </c>
      <c r="C21" s="171" t="s">
        <v>510</v>
      </c>
      <c r="D21" s="171" t="s">
        <v>511</v>
      </c>
      <c r="E21" s="206" t="s">
        <v>512</v>
      </c>
      <c r="F21" s="206" t="s">
        <v>512</v>
      </c>
      <c r="G21" s="206" t="s">
        <v>512</v>
      </c>
      <c r="H21" s="171">
        <v>1</v>
      </c>
      <c r="I21" s="178">
        <v>300000</v>
      </c>
      <c r="J21" s="178">
        <f>I21*H21</f>
        <v>300000</v>
      </c>
      <c r="K21" s="175"/>
      <c r="L21" s="175"/>
    </row>
    <row r="22" spans="1:12" s="176" customFormat="1" ht="23.1" customHeight="1" outlineLevel="1">
      <c r="A22" s="208"/>
      <c r="B22" s="205" t="s">
        <v>31</v>
      </c>
      <c r="C22" s="171"/>
      <c r="D22" s="171"/>
      <c r="E22" s="206"/>
      <c r="F22" s="206"/>
      <c r="G22" s="206"/>
      <c r="H22" s="171"/>
      <c r="I22" s="178"/>
      <c r="J22" s="178">
        <f>SUBTOTAL(9,J17:J21)</f>
        <v>2000000</v>
      </c>
      <c r="K22" s="175"/>
      <c r="L22" s="175"/>
    </row>
    <row r="23" spans="1:12" s="176" customFormat="1" ht="23.1" customHeight="1" outlineLevel="2">
      <c r="A23" s="174" t="s">
        <v>96</v>
      </c>
      <c r="B23" s="171" t="s">
        <v>529</v>
      </c>
      <c r="C23" s="171" t="s">
        <v>510</v>
      </c>
      <c r="D23" s="171" t="s">
        <v>511</v>
      </c>
      <c r="E23" s="206" t="s">
        <v>525</v>
      </c>
      <c r="F23" s="207" t="s">
        <v>526</v>
      </c>
      <c r="G23" s="207" t="s">
        <v>516</v>
      </c>
      <c r="H23" s="171">
        <v>1</v>
      </c>
      <c r="I23" s="178">
        <v>100000</v>
      </c>
      <c r="J23" s="178">
        <f t="shared" ref="J23:J29" si="0">I23*H23</f>
        <v>100000</v>
      </c>
      <c r="K23" s="175"/>
      <c r="L23" s="175"/>
    </row>
    <row r="24" spans="1:12" s="176" customFormat="1" ht="23.1" customHeight="1" outlineLevel="2">
      <c r="A24" s="174" t="s">
        <v>670</v>
      </c>
      <c r="B24" s="177" t="s">
        <v>529</v>
      </c>
      <c r="C24" s="177" t="s">
        <v>517</v>
      </c>
      <c r="D24" s="177" t="s">
        <v>511</v>
      </c>
      <c r="E24" s="206" t="s">
        <v>533</v>
      </c>
      <c r="F24" s="206" t="s">
        <v>533</v>
      </c>
      <c r="G24" s="206" t="s">
        <v>534</v>
      </c>
      <c r="H24" s="171">
        <v>1</v>
      </c>
      <c r="I24" s="178">
        <v>600000</v>
      </c>
      <c r="J24" s="178">
        <f t="shared" si="0"/>
        <v>600000</v>
      </c>
      <c r="K24" s="175"/>
      <c r="L24" s="175"/>
    </row>
    <row r="25" spans="1:12" s="176" customFormat="1" ht="23.1" customHeight="1" outlineLevel="2">
      <c r="A25" s="174" t="s">
        <v>671</v>
      </c>
      <c r="B25" s="171" t="s">
        <v>529</v>
      </c>
      <c r="C25" s="171" t="s">
        <v>513</v>
      </c>
      <c r="D25" s="171" t="s">
        <v>511</v>
      </c>
      <c r="E25" s="206" t="s">
        <v>533</v>
      </c>
      <c r="F25" s="206" t="s">
        <v>524</v>
      </c>
      <c r="G25" s="206" t="s">
        <v>542</v>
      </c>
      <c r="H25" s="171">
        <v>1</v>
      </c>
      <c r="I25" s="178">
        <v>1000000</v>
      </c>
      <c r="J25" s="178">
        <f t="shared" si="0"/>
        <v>1000000</v>
      </c>
      <c r="K25" s="209"/>
      <c r="L25" s="175"/>
    </row>
    <row r="26" spans="1:12" s="176" customFormat="1" ht="23.1" customHeight="1" outlineLevel="2">
      <c r="A26" s="208" t="s">
        <v>551</v>
      </c>
      <c r="B26" s="171" t="s">
        <v>529</v>
      </c>
      <c r="C26" s="171" t="s">
        <v>510</v>
      </c>
      <c r="D26" s="171" t="s">
        <v>511</v>
      </c>
      <c r="E26" s="206" t="s">
        <v>533</v>
      </c>
      <c r="F26" s="206" t="s">
        <v>519</v>
      </c>
      <c r="G26" s="206" t="s">
        <v>520</v>
      </c>
      <c r="H26" s="210">
        <v>1</v>
      </c>
      <c r="I26" s="178">
        <v>3000000</v>
      </c>
      <c r="J26" s="178">
        <f t="shared" si="0"/>
        <v>3000000</v>
      </c>
      <c r="K26" s="175"/>
      <c r="L26" s="175"/>
    </row>
    <row r="27" spans="1:12" s="176" customFormat="1" ht="23.1" customHeight="1" outlineLevel="2">
      <c r="A27" s="208" t="s">
        <v>551</v>
      </c>
      <c r="B27" s="171" t="s">
        <v>529</v>
      </c>
      <c r="C27" s="171" t="s">
        <v>510</v>
      </c>
      <c r="D27" s="171" t="s">
        <v>511</v>
      </c>
      <c r="E27" s="206" t="s">
        <v>533</v>
      </c>
      <c r="F27" s="206" t="s">
        <v>521</v>
      </c>
      <c r="G27" s="206" t="s">
        <v>522</v>
      </c>
      <c r="H27" s="210">
        <v>1</v>
      </c>
      <c r="I27" s="178">
        <v>4000000</v>
      </c>
      <c r="J27" s="178">
        <f t="shared" si="0"/>
        <v>4000000</v>
      </c>
      <c r="K27" s="175"/>
      <c r="L27" s="175"/>
    </row>
    <row r="28" spans="1:12" s="176" customFormat="1" ht="23.1" customHeight="1" outlineLevel="2">
      <c r="A28" s="208" t="s">
        <v>551</v>
      </c>
      <c r="B28" s="171" t="s">
        <v>529</v>
      </c>
      <c r="C28" s="171" t="s">
        <v>510</v>
      </c>
      <c r="D28" s="171" t="s">
        <v>511</v>
      </c>
      <c r="E28" s="206" t="s">
        <v>533</v>
      </c>
      <c r="F28" s="206" t="s">
        <v>519</v>
      </c>
      <c r="G28" s="206" t="s">
        <v>523</v>
      </c>
      <c r="H28" s="210">
        <v>1</v>
      </c>
      <c r="I28" s="178">
        <v>100000</v>
      </c>
      <c r="J28" s="178">
        <f t="shared" si="0"/>
        <v>100000</v>
      </c>
      <c r="K28" s="175"/>
      <c r="L28" s="175"/>
    </row>
    <row r="29" spans="1:12" s="176" customFormat="1" ht="23.1" customHeight="1" outlineLevel="2">
      <c r="A29" s="208" t="s">
        <v>551</v>
      </c>
      <c r="B29" s="171" t="s">
        <v>529</v>
      </c>
      <c r="C29" s="171" t="s">
        <v>510</v>
      </c>
      <c r="D29" s="171" t="s">
        <v>511</v>
      </c>
      <c r="E29" s="206" t="s">
        <v>512</v>
      </c>
      <c r="F29" s="206" t="s">
        <v>512</v>
      </c>
      <c r="G29" s="206" t="s">
        <v>512</v>
      </c>
      <c r="H29" s="171">
        <v>1</v>
      </c>
      <c r="I29" s="178">
        <v>340000</v>
      </c>
      <c r="J29" s="178">
        <f t="shared" si="0"/>
        <v>340000</v>
      </c>
      <c r="K29" s="175"/>
      <c r="L29" s="175"/>
    </row>
    <row r="30" spans="1:12" s="176" customFormat="1" ht="23.1" customHeight="1" outlineLevel="1">
      <c r="A30" s="208"/>
      <c r="B30" s="205" t="s">
        <v>29</v>
      </c>
      <c r="C30" s="171"/>
      <c r="D30" s="171"/>
      <c r="E30" s="206"/>
      <c r="F30" s="206"/>
      <c r="G30" s="206"/>
      <c r="H30" s="171"/>
      <c r="I30" s="178"/>
      <c r="J30" s="178">
        <f>SUBTOTAL(9,J23:J29)</f>
        <v>9140000</v>
      </c>
      <c r="K30" s="175"/>
      <c r="L30" s="175"/>
    </row>
    <row r="31" spans="1:12" s="176" customFormat="1" ht="23.1" customHeight="1" outlineLevel="2">
      <c r="A31" s="208" t="s">
        <v>549</v>
      </c>
      <c r="B31" s="171" t="s">
        <v>550</v>
      </c>
      <c r="C31" s="171" t="s">
        <v>510</v>
      </c>
      <c r="D31" s="171" t="s">
        <v>511</v>
      </c>
      <c r="E31" s="206" t="s">
        <v>512</v>
      </c>
      <c r="F31" s="206" t="s">
        <v>512</v>
      </c>
      <c r="G31" s="206" t="s">
        <v>512</v>
      </c>
      <c r="H31" s="171">
        <v>1</v>
      </c>
      <c r="I31" s="178">
        <v>340000</v>
      </c>
      <c r="J31" s="178">
        <f>I31*H31</f>
        <v>340000</v>
      </c>
      <c r="K31" s="175"/>
      <c r="L31" s="175"/>
    </row>
    <row r="32" spans="1:12" s="176" customFormat="1" ht="23.1" customHeight="1" outlineLevel="1">
      <c r="A32" s="208"/>
      <c r="B32" s="205" t="s">
        <v>468</v>
      </c>
      <c r="C32" s="171"/>
      <c r="D32" s="171"/>
      <c r="E32" s="206"/>
      <c r="F32" s="206"/>
      <c r="G32" s="206"/>
      <c r="H32" s="171"/>
      <c r="I32" s="178"/>
      <c r="J32" s="178">
        <f>SUBTOTAL(9,J31:J31)</f>
        <v>340000</v>
      </c>
      <c r="K32" s="175"/>
      <c r="L32" s="175"/>
    </row>
    <row r="33" spans="1:12" s="176" customFormat="1" ht="23.1" customHeight="1" outlineLevel="2">
      <c r="A33" s="208" t="s">
        <v>545</v>
      </c>
      <c r="B33" s="171" t="s">
        <v>546</v>
      </c>
      <c r="C33" s="171" t="s">
        <v>510</v>
      </c>
      <c r="D33" s="171" t="s">
        <v>511</v>
      </c>
      <c r="E33" s="206" t="s">
        <v>512</v>
      </c>
      <c r="F33" s="206" t="s">
        <v>512</v>
      </c>
      <c r="G33" s="206" t="s">
        <v>512</v>
      </c>
      <c r="H33" s="171">
        <v>1</v>
      </c>
      <c r="I33" s="178">
        <v>280000</v>
      </c>
      <c r="J33" s="178">
        <f>I33*H33</f>
        <v>280000</v>
      </c>
      <c r="K33" s="175"/>
      <c r="L33" s="175"/>
    </row>
    <row r="34" spans="1:12" s="176" customFormat="1" ht="23.1" customHeight="1" outlineLevel="1">
      <c r="A34" s="208"/>
      <c r="B34" s="205" t="s">
        <v>68</v>
      </c>
      <c r="C34" s="171"/>
      <c r="D34" s="171"/>
      <c r="E34" s="206"/>
      <c r="F34" s="206"/>
      <c r="G34" s="206"/>
      <c r="H34" s="171"/>
      <c r="I34" s="178"/>
      <c r="J34" s="178">
        <f>SUBTOTAL(9,J33:J33)</f>
        <v>280000</v>
      </c>
      <c r="K34" s="175"/>
      <c r="L34" s="175"/>
    </row>
    <row r="35" spans="1:12" s="176" customFormat="1" ht="23.1" customHeight="1" outlineLevel="2">
      <c r="A35" s="208" t="s">
        <v>547</v>
      </c>
      <c r="B35" s="171" t="s">
        <v>548</v>
      </c>
      <c r="C35" s="171" t="s">
        <v>510</v>
      </c>
      <c r="D35" s="171" t="s">
        <v>511</v>
      </c>
      <c r="E35" s="206" t="s">
        <v>512</v>
      </c>
      <c r="F35" s="206" t="s">
        <v>512</v>
      </c>
      <c r="G35" s="206" t="s">
        <v>512</v>
      </c>
      <c r="H35" s="171">
        <v>1</v>
      </c>
      <c r="I35" s="178">
        <v>260000</v>
      </c>
      <c r="J35" s="178">
        <f>I35*H35</f>
        <v>260000</v>
      </c>
      <c r="K35" s="175"/>
      <c r="L35" s="175"/>
    </row>
    <row r="36" spans="1:12" s="176" customFormat="1" ht="23.1" customHeight="1" outlineLevel="1">
      <c r="A36" s="208"/>
      <c r="B36" s="205" t="s">
        <v>456</v>
      </c>
      <c r="C36" s="171"/>
      <c r="D36" s="171"/>
      <c r="E36" s="206"/>
      <c r="F36" s="206"/>
      <c r="G36" s="206"/>
      <c r="H36" s="171"/>
      <c r="I36" s="178"/>
      <c r="J36" s="178">
        <f>SUBTOTAL(9,J35:J35)</f>
        <v>260000</v>
      </c>
      <c r="K36" s="175"/>
      <c r="L36" s="175"/>
    </row>
    <row r="37" spans="1:12" s="176" customFormat="1" ht="23.1" customHeight="1" outlineLevel="2">
      <c r="A37" s="174" t="s">
        <v>117</v>
      </c>
      <c r="B37" s="171" t="s">
        <v>532</v>
      </c>
      <c r="C37" s="171" t="s">
        <v>510</v>
      </c>
      <c r="D37" s="171" t="s">
        <v>511</v>
      </c>
      <c r="E37" s="206" t="s">
        <v>525</v>
      </c>
      <c r="F37" s="207" t="s">
        <v>526</v>
      </c>
      <c r="G37" s="207" t="s">
        <v>516</v>
      </c>
      <c r="H37" s="171">
        <v>1</v>
      </c>
      <c r="I37" s="178">
        <v>100000</v>
      </c>
      <c r="J37" s="178">
        <f>I37*H37</f>
        <v>100000</v>
      </c>
      <c r="K37" s="175"/>
      <c r="L37" s="175"/>
    </row>
    <row r="38" spans="1:12" s="176" customFormat="1" ht="23.1" customHeight="1" outlineLevel="2">
      <c r="A38" s="171" t="s">
        <v>118</v>
      </c>
      <c r="B38" s="171" t="s">
        <v>532</v>
      </c>
      <c r="C38" s="171" t="s">
        <v>510</v>
      </c>
      <c r="D38" s="171" t="s">
        <v>511</v>
      </c>
      <c r="E38" s="206" t="s">
        <v>533</v>
      </c>
      <c r="F38" s="206" t="s">
        <v>533</v>
      </c>
      <c r="G38" s="206" t="s">
        <v>544</v>
      </c>
      <c r="H38" s="171">
        <v>1</v>
      </c>
      <c r="I38" s="178">
        <v>1000000</v>
      </c>
      <c r="J38" s="178">
        <f>I38*H38</f>
        <v>1000000</v>
      </c>
      <c r="K38" s="175"/>
      <c r="L38" s="175"/>
    </row>
    <row r="39" spans="1:12" s="176" customFormat="1" ht="23.1" customHeight="1" outlineLevel="2">
      <c r="A39" s="208" t="s">
        <v>555</v>
      </c>
      <c r="B39" s="171" t="s">
        <v>532</v>
      </c>
      <c r="C39" s="171" t="s">
        <v>510</v>
      </c>
      <c r="D39" s="171" t="s">
        <v>511</v>
      </c>
      <c r="E39" s="206" t="s">
        <v>512</v>
      </c>
      <c r="F39" s="206" t="s">
        <v>512</v>
      </c>
      <c r="G39" s="206" t="s">
        <v>512</v>
      </c>
      <c r="H39" s="171">
        <v>1</v>
      </c>
      <c r="I39" s="178">
        <v>320000</v>
      </c>
      <c r="J39" s="178">
        <f>I39*H39</f>
        <v>320000</v>
      </c>
      <c r="K39" s="175"/>
      <c r="L39" s="175"/>
    </row>
    <row r="40" spans="1:12" s="176" customFormat="1" ht="23.1" customHeight="1" outlineLevel="1">
      <c r="A40" s="208"/>
      <c r="B40" s="205" t="s">
        <v>498</v>
      </c>
      <c r="C40" s="171"/>
      <c r="D40" s="171"/>
      <c r="E40" s="206"/>
      <c r="F40" s="206"/>
      <c r="G40" s="206"/>
      <c r="H40" s="171"/>
      <c r="I40" s="178"/>
      <c r="J40" s="178">
        <f>SUBTOTAL(9,J37:J39)</f>
        <v>1420000</v>
      </c>
      <c r="K40" s="175"/>
      <c r="L40" s="175"/>
    </row>
    <row r="41" spans="1:12" s="176" customFormat="1" ht="23.1" customHeight="1">
      <c r="A41" s="208"/>
      <c r="B41" s="205" t="s">
        <v>21</v>
      </c>
      <c r="C41" s="171"/>
      <c r="D41" s="171"/>
      <c r="E41" s="206"/>
      <c r="F41" s="206"/>
      <c r="G41" s="206"/>
      <c r="H41" s="171"/>
      <c r="I41" s="178"/>
      <c r="J41" s="178">
        <f>SUBTOTAL(9,J4:J39)</f>
        <v>17400000</v>
      </c>
      <c r="K41" s="175"/>
      <c r="L41" s="175"/>
    </row>
    <row r="42" spans="1:12" s="176" customFormat="1" ht="12">
      <c r="A42" s="180"/>
      <c r="B42" s="180"/>
      <c r="C42" s="180"/>
      <c r="D42" s="180"/>
      <c r="E42" s="180"/>
      <c r="F42" s="180"/>
      <c r="G42" s="180"/>
      <c r="H42" s="180"/>
      <c r="I42" s="181"/>
      <c r="J42" s="181"/>
      <c r="K42" s="175"/>
      <c r="L42" s="175"/>
    </row>
    <row r="43" spans="1:12" s="176" customFormat="1" ht="12">
      <c r="A43" s="180"/>
      <c r="B43" s="180"/>
      <c r="C43" s="180"/>
      <c r="D43" s="180"/>
      <c r="E43" s="180"/>
      <c r="F43" s="180"/>
      <c r="G43" s="180"/>
      <c r="H43" s="180"/>
      <c r="I43" s="181"/>
      <c r="J43" s="181"/>
      <c r="K43" s="175"/>
      <c r="L43" s="175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4" customWidth="1"/>
    <col min="2" max="2" width="12.5" style="194" customWidth="1"/>
    <col min="3" max="4" width="8.125" style="194" customWidth="1"/>
    <col min="5" max="5" width="21.125" style="194" customWidth="1"/>
    <col min="6" max="6" width="17.375" style="194" customWidth="1"/>
    <col min="7" max="7" width="29" style="194" customWidth="1"/>
    <col min="8" max="8" width="6.625" style="194" customWidth="1"/>
    <col min="9" max="9" width="11.25" style="194" customWidth="1"/>
    <col min="10" max="10" width="14.625" style="194" customWidth="1"/>
    <col min="11" max="11" width="24.875" style="211" customWidth="1"/>
    <col min="12" max="16384" width="9" style="194"/>
  </cols>
  <sheetData>
    <row r="1" spans="1:10" s="222" customFormat="1" ht="30" customHeight="1">
      <c r="A1" s="365" t="s">
        <v>661</v>
      </c>
      <c r="B1" s="366"/>
      <c r="C1" s="366"/>
      <c r="D1" s="365"/>
      <c r="E1" s="365"/>
      <c r="F1" s="365"/>
      <c r="G1" s="365"/>
      <c r="H1" s="365"/>
      <c r="I1" s="365"/>
      <c r="J1" s="369"/>
    </row>
    <row r="2" spans="1:10" s="221" customFormat="1" ht="30" customHeight="1">
      <c r="A2" s="370" t="s">
        <v>660</v>
      </c>
      <c r="B2" s="364"/>
      <c r="C2" s="364"/>
      <c r="D2" s="364"/>
      <c r="E2" s="364"/>
      <c r="F2" s="364"/>
      <c r="G2" s="364"/>
      <c r="H2" s="364"/>
      <c r="I2" s="364"/>
      <c r="J2" s="364"/>
    </row>
    <row r="3" spans="1:10" s="211" customFormat="1" ht="30" customHeight="1">
      <c r="A3" s="268" t="s">
        <v>59</v>
      </c>
      <c r="B3" s="269" t="s">
        <v>593</v>
      </c>
      <c r="C3" s="268" t="s">
        <v>604</v>
      </c>
      <c r="D3" s="268" t="s">
        <v>594</v>
      </c>
      <c r="E3" s="268" t="s">
        <v>60</v>
      </c>
      <c r="F3" s="268" t="s">
        <v>587</v>
      </c>
      <c r="G3" s="268" t="s">
        <v>595</v>
      </c>
      <c r="H3" s="268" t="s">
        <v>63</v>
      </c>
      <c r="I3" s="270" t="s">
        <v>64</v>
      </c>
      <c r="J3" s="270" t="s">
        <v>586</v>
      </c>
    </row>
    <row r="4" spans="1:10" s="211" customFormat="1" ht="30" customHeight="1" outlineLevel="2">
      <c r="A4" s="213" t="s">
        <v>82</v>
      </c>
      <c r="B4" s="212" t="s">
        <v>596</v>
      </c>
      <c r="C4" s="214" t="s">
        <v>597</v>
      </c>
      <c r="D4" s="214" t="s">
        <v>598</v>
      </c>
      <c r="E4" s="219" t="s">
        <v>588</v>
      </c>
      <c r="F4" s="219" t="s">
        <v>589</v>
      </c>
      <c r="G4" s="219" t="s">
        <v>589</v>
      </c>
      <c r="H4" s="215">
        <v>1</v>
      </c>
      <c r="I4" s="216">
        <v>50000</v>
      </c>
      <c r="J4" s="216">
        <f>H4*I4</f>
        <v>50000</v>
      </c>
    </row>
    <row r="5" spans="1:10" s="211" customFormat="1" ht="30" customHeight="1" outlineLevel="2">
      <c r="A5" s="217" t="s">
        <v>88</v>
      </c>
      <c r="B5" s="212" t="s">
        <v>596</v>
      </c>
      <c r="C5" s="214" t="s">
        <v>597</v>
      </c>
      <c r="D5" s="214" t="s">
        <v>599</v>
      </c>
      <c r="E5" s="219" t="s">
        <v>590</v>
      </c>
      <c r="F5" s="219" t="s">
        <v>591</v>
      </c>
      <c r="G5" s="220" t="s">
        <v>592</v>
      </c>
      <c r="H5" s="218">
        <v>1</v>
      </c>
      <c r="I5" s="218">
        <v>40000</v>
      </c>
      <c r="J5" s="218">
        <f>H5*I5</f>
        <v>40000</v>
      </c>
    </row>
    <row r="6" spans="1:10" s="211" customFormat="1" ht="30" customHeight="1" outlineLevel="2">
      <c r="A6" s="217" t="s">
        <v>600</v>
      </c>
      <c r="B6" s="212" t="s">
        <v>596</v>
      </c>
      <c r="C6" s="214" t="s">
        <v>597</v>
      </c>
      <c r="D6" s="214" t="s">
        <v>601</v>
      </c>
      <c r="E6" s="219" t="s">
        <v>590</v>
      </c>
      <c r="F6" s="219" t="s">
        <v>591</v>
      </c>
      <c r="G6" s="220" t="s">
        <v>592</v>
      </c>
      <c r="H6" s="215">
        <v>1</v>
      </c>
      <c r="I6" s="216">
        <v>40000</v>
      </c>
      <c r="J6" s="216">
        <f>H6*I6</f>
        <v>40000</v>
      </c>
    </row>
    <row r="7" spans="1:10" s="211" customFormat="1" ht="30" customHeight="1" outlineLevel="1">
      <c r="A7" s="217"/>
      <c r="B7" s="240" t="s">
        <v>468</v>
      </c>
      <c r="C7" s="214"/>
      <c r="D7" s="214"/>
      <c r="E7" s="219"/>
      <c r="F7" s="219"/>
      <c r="G7" s="220"/>
      <c r="H7" s="215"/>
      <c r="I7" s="216"/>
      <c r="J7" s="216">
        <f>SUBTOTAL(9,J4:J6)</f>
        <v>130000</v>
      </c>
    </row>
    <row r="8" spans="1:10" s="211" customFormat="1" ht="30" customHeight="1" outlineLevel="2">
      <c r="A8" s="213" t="s">
        <v>118</v>
      </c>
      <c r="B8" s="212" t="s">
        <v>602</v>
      </c>
      <c r="C8" s="214" t="s">
        <v>597</v>
      </c>
      <c r="D8" s="214" t="s">
        <v>603</v>
      </c>
      <c r="E8" s="219" t="s">
        <v>590</v>
      </c>
      <c r="F8" s="219" t="s">
        <v>591</v>
      </c>
      <c r="G8" s="220" t="s">
        <v>592</v>
      </c>
      <c r="H8" s="215">
        <v>1</v>
      </c>
      <c r="I8" s="216">
        <v>40000</v>
      </c>
      <c r="J8" s="216">
        <f>H8*I8</f>
        <v>40000</v>
      </c>
    </row>
    <row r="9" spans="1:10" s="211" customFormat="1" ht="30" customHeight="1" outlineLevel="2">
      <c r="A9" s="213" t="s">
        <v>114</v>
      </c>
      <c r="B9" s="212" t="s">
        <v>602</v>
      </c>
      <c r="C9" s="214" t="s">
        <v>597</v>
      </c>
      <c r="D9" s="171" t="s">
        <v>598</v>
      </c>
      <c r="E9" s="219" t="s">
        <v>590</v>
      </c>
      <c r="F9" s="219" t="s">
        <v>591</v>
      </c>
      <c r="G9" s="220" t="s">
        <v>592</v>
      </c>
      <c r="H9" s="215">
        <v>1</v>
      </c>
      <c r="I9" s="216">
        <v>40000</v>
      </c>
      <c r="J9" s="216">
        <f>H9*I9</f>
        <v>40000</v>
      </c>
    </row>
    <row r="10" spans="1:10" s="211" customFormat="1" ht="30" customHeight="1" outlineLevel="1">
      <c r="A10" s="213"/>
      <c r="B10" s="240" t="s">
        <v>498</v>
      </c>
      <c r="C10" s="214"/>
      <c r="D10" s="171"/>
      <c r="E10" s="219"/>
      <c r="F10" s="219"/>
      <c r="G10" s="220"/>
      <c r="H10" s="215"/>
      <c r="I10" s="216"/>
      <c r="J10" s="216">
        <f>SUBTOTAL(9,J8:J9)</f>
        <v>80000</v>
      </c>
    </row>
    <row r="11" spans="1:10" s="211" customFormat="1" ht="30" customHeight="1">
      <c r="A11" s="213"/>
      <c r="B11" s="240" t="s">
        <v>21</v>
      </c>
      <c r="C11" s="214"/>
      <c r="D11" s="171"/>
      <c r="E11" s="219"/>
      <c r="F11" s="219"/>
      <c r="G11" s="220"/>
      <c r="H11" s="215"/>
      <c r="I11" s="216"/>
      <c r="J11" s="216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3" customWidth="1"/>
    <col min="2" max="2" width="30.125" customWidth="1"/>
    <col min="3" max="3" width="33.625" customWidth="1"/>
  </cols>
  <sheetData>
    <row r="1" spans="1:12" s="226" customFormat="1" ht="30" customHeight="1">
      <c r="A1" s="367" t="s">
        <v>678</v>
      </c>
      <c r="B1" s="367"/>
      <c r="C1" s="367"/>
      <c r="D1" s="283"/>
      <c r="E1" s="283"/>
      <c r="F1" s="283"/>
      <c r="G1" s="283"/>
      <c r="H1" s="283"/>
      <c r="I1" s="283"/>
      <c r="J1" s="283"/>
      <c r="K1" s="225"/>
      <c r="L1" s="225"/>
    </row>
    <row r="2" spans="1:12" s="224" customFormat="1" ht="30" customHeight="1">
      <c r="A2" s="368" t="s">
        <v>223</v>
      </c>
      <c r="B2" s="368"/>
      <c r="C2" s="368"/>
      <c r="D2" s="282"/>
      <c r="E2" s="282"/>
      <c r="F2" s="282"/>
      <c r="G2" s="282"/>
      <c r="H2" s="282"/>
      <c r="I2" s="282"/>
      <c r="J2" s="282"/>
      <c r="K2" s="223"/>
      <c r="L2" s="223"/>
    </row>
    <row r="3" spans="1:12" s="242" customFormat="1" ht="18" customHeight="1">
      <c r="A3" s="241" t="s">
        <v>12</v>
      </c>
      <c r="B3" s="241" t="s">
        <v>0</v>
      </c>
      <c r="C3" s="241" t="s">
        <v>641</v>
      </c>
      <c r="D3" s="284"/>
      <c r="E3" s="244"/>
      <c r="F3" s="244"/>
      <c r="G3" s="244"/>
      <c r="H3" s="244"/>
      <c r="I3" s="244"/>
      <c r="J3" s="244"/>
    </row>
    <row r="4" spans="1:12" outlineLevel="2">
      <c r="A4" s="232" t="s">
        <v>123</v>
      </c>
      <c r="B4" s="58" t="s">
        <v>9</v>
      </c>
      <c r="C4" s="58">
        <v>5600</v>
      </c>
    </row>
    <row r="5" spans="1:12" outlineLevel="2">
      <c r="A5" s="232" t="s">
        <v>122</v>
      </c>
      <c r="B5" s="58" t="s">
        <v>9</v>
      </c>
      <c r="C5" s="58">
        <v>7000</v>
      </c>
    </row>
    <row r="6" spans="1:12" outlineLevel="2">
      <c r="A6" s="232" t="s">
        <v>121</v>
      </c>
      <c r="B6" s="58" t="s">
        <v>9</v>
      </c>
      <c r="C6" s="58">
        <v>6400</v>
      </c>
    </row>
    <row r="7" spans="1:12" outlineLevel="2">
      <c r="A7" s="232" t="s">
        <v>120</v>
      </c>
      <c r="B7" s="58" t="s">
        <v>9</v>
      </c>
      <c r="C7" s="58">
        <v>7800</v>
      </c>
    </row>
    <row r="8" spans="1:12" outlineLevel="2">
      <c r="A8" s="232" t="s">
        <v>119</v>
      </c>
      <c r="B8" s="58" t="s">
        <v>9</v>
      </c>
      <c r="C8" s="58">
        <v>4400</v>
      </c>
    </row>
    <row r="9" spans="1:12" outlineLevel="2">
      <c r="A9" s="232" t="s">
        <v>335</v>
      </c>
      <c r="B9" s="58" t="s">
        <v>9</v>
      </c>
      <c r="C9" s="58">
        <v>1800</v>
      </c>
    </row>
    <row r="10" spans="1:12" outlineLevel="2">
      <c r="A10" s="232" t="s">
        <v>149</v>
      </c>
      <c r="B10" s="58" t="s">
        <v>9</v>
      </c>
      <c r="C10" s="58">
        <v>2200</v>
      </c>
    </row>
    <row r="11" spans="1:12" outlineLevel="2">
      <c r="A11" s="232" t="s">
        <v>150</v>
      </c>
      <c r="B11" s="58" t="s">
        <v>9</v>
      </c>
      <c r="C11" s="58">
        <v>3200</v>
      </c>
    </row>
    <row r="12" spans="1:12" outlineLevel="2">
      <c r="A12" s="232" t="s">
        <v>557</v>
      </c>
      <c r="B12" s="58" t="s">
        <v>9</v>
      </c>
      <c r="C12" s="58">
        <v>2600</v>
      </c>
    </row>
    <row r="13" spans="1:12" outlineLevel="2">
      <c r="A13" s="232" t="s">
        <v>151</v>
      </c>
      <c r="B13" s="58" t="s">
        <v>9</v>
      </c>
      <c r="C13" s="58">
        <v>1000</v>
      </c>
    </row>
    <row r="14" spans="1:12" outlineLevel="1">
      <c r="A14" s="232"/>
      <c r="B14" s="285" t="s">
        <v>504</v>
      </c>
      <c r="C14" s="58">
        <f>SUBTOTAL(9,C4:C13)</f>
        <v>42000</v>
      </c>
    </row>
    <row r="15" spans="1:12" outlineLevel="2">
      <c r="A15" s="232" t="s">
        <v>110</v>
      </c>
      <c r="B15" s="58" t="s">
        <v>7</v>
      </c>
      <c r="C15" s="58">
        <v>7800</v>
      </c>
    </row>
    <row r="16" spans="1:12" outlineLevel="2">
      <c r="A16" s="232" t="s">
        <v>108</v>
      </c>
      <c r="B16" s="58" t="s">
        <v>7</v>
      </c>
      <c r="C16" s="58">
        <v>10800</v>
      </c>
    </row>
    <row r="17" spans="1:3">
      <c r="A17" s="232" t="s">
        <v>109</v>
      </c>
      <c r="B17" s="58" t="s">
        <v>7</v>
      </c>
      <c r="C17" s="58">
        <v>9800</v>
      </c>
    </row>
    <row r="18" spans="1:3">
      <c r="A18" s="232" t="s">
        <v>143</v>
      </c>
      <c r="B18" s="58" t="s">
        <v>7</v>
      </c>
      <c r="C18" s="58">
        <v>2200</v>
      </c>
    </row>
    <row r="19" spans="1:3">
      <c r="A19" s="232" t="s">
        <v>141</v>
      </c>
      <c r="B19" s="58" t="s">
        <v>7</v>
      </c>
      <c r="C19" s="58">
        <v>4000</v>
      </c>
    </row>
    <row r="20" spans="1:3">
      <c r="A20" s="232" t="s">
        <v>144</v>
      </c>
      <c r="B20" s="58" t="s">
        <v>7</v>
      </c>
      <c r="C20" s="58">
        <v>1600</v>
      </c>
    </row>
    <row r="21" spans="1:3">
      <c r="A21" s="232" t="s">
        <v>142</v>
      </c>
      <c r="B21" s="58" t="s">
        <v>7</v>
      </c>
      <c r="C21" s="58">
        <v>1800</v>
      </c>
    </row>
    <row r="22" spans="1:3">
      <c r="A22" s="232" t="s">
        <v>653</v>
      </c>
      <c r="B22" s="58" t="s">
        <v>7</v>
      </c>
      <c r="C22" s="58">
        <v>1200</v>
      </c>
    </row>
    <row r="23" spans="1:3">
      <c r="A23" s="232"/>
      <c r="B23" s="245" t="s">
        <v>34</v>
      </c>
      <c r="C23" s="58">
        <f>SUBTOTAL(9,C15:C22)</f>
        <v>39200</v>
      </c>
    </row>
    <row r="24" spans="1:3">
      <c r="A24" s="232" t="s">
        <v>107</v>
      </c>
      <c r="B24" s="58" t="s">
        <v>6</v>
      </c>
      <c r="C24" s="58">
        <v>8600</v>
      </c>
    </row>
    <row r="25" spans="1:3">
      <c r="A25" s="232" t="s">
        <v>106</v>
      </c>
      <c r="B25" s="58" t="s">
        <v>6</v>
      </c>
      <c r="C25" s="58">
        <v>10000</v>
      </c>
    </row>
    <row r="26" spans="1:3">
      <c r="A26" s="232" t="s">
        <v>67</v>
      </c>
      <c r="B26" s="58" t="s">
        <v>6</v>
      </c>
      <c r="C26" s="58">
        <v>9200</v>
      </c>
    </row>
    <row r="27" spans="1:3">
      <c r="A27" s="232" t="s">
        <v>105</v>
      </c>
      <c r="B27" s="58" t="s">
        <v>6</v>
      </c>
      <c r="C27" s="58">
        <v>13000</v>
      </c>
    </row>
    <row r="28" spans="1:3">
      <c r="A28" s="232" t="s">
        <v>138</v>
      </c>
      <c r="B28" s="58" t="s">
        <v>6</v>
      </c>
      <c r="C28" s="58">
        <v>1800</v>
      </c>
    </row>
    <row r="29" spans="1:3">
      <c r="A29" s="232" t="s">
        <v>578</v>
      </c>
      <c r="B29" s="58" t="s">
        <v>6</v>
      </c>
      <c r="C29" s="58">
        <v>1800</v>
      </c>
    </row>
    <row r="30" spans="1:3">
      <c r="A30" s="232" t="s">
        <v>139</v>
      </c>
      <c r="B30" s="58" t="s">
        <v>6</v>
      </c>
      <c r="C30" s="58">
        <v>1200</v>
      </c>
    </row>
    <row r="31" spans="1:3">
      <c r="A31" s="232" t="s">
        <v>140</v>
      </c>
      <c r="B31" s="58" t="s">
        <v>6</v>
      </c>
      <c r="C31" s="58">
        <v>2000</v>
      </c>
    </row>
    <row r="32" spans="1:3">
      <c r="A32" s="232" t="s">
        <v>646</v>
      </c>
      <c r="B32" s="58" t="s">
        <v>6</v>
      </c>
      <c r="C32" s="58">
        <v>1800</v>
      </c>
    </row>
    <row r="33" spans="1:3">
      <c r="A33" s="232" t="s">
        <v>648</v>
      </c>
      <c r="B33" s="58" t="s">
        <v>6</v>
      </c>
      <c r="C33" s="58">
        <v>1000</v>
      </c>
    </row>
    <row r="34" spans="1:3">
      <c r="A34" s="232" t="s">
        <v>649</v>
      </c>
      <c r="B34" s="58" t="s">
        <v>6</v>
      </c>
      <c r="C34" s="58">
        <v>1200</v>
      </c>
    </row>
    <row r="35" spans="1:3">
      <c r="A35" s="232"/>
      <c r="B35" s="245" t="s">
        <v>487</v>
      </c>
      <c r="C35" s="58">
        <f>SUBTOTAL(9,C24:C34)</f>
        <v>51600</v>
      </c>
    </row>
    <row r="36" spans="1:3">
      <c r="A36" s="232" t="s">
        <v>101</v>
      </c>
      <c r="B36" s="58" t="s">
        <v>5</v>
      </c>
      <c r="C36" s="58">
        <v>8800</v>
      </c>
    </row>
    <row r="37" spans="1:3">
      <c r="A37" s="232" t="s">
        <v>102</v>
      </c>
      <c r="B37" s="58" t="s">
        <v>5</v>
      </c>
      <c r="C37" s="58">
        <v>7400</v>
      </c>
    </row>
    <row r="38" spans="1:3">
      <c r="A38" s="232" t="s">
        <v>103</v>
      </c>
      <c r="B38" s="58" t="s">
        <v>5</v>
      </c>
      <c r="C38" s="58">
        <v>7200</v>
      </c>
    </row>
    <row r="39" spans="1:3">
      <c r="A39" s="232" t="s">
        <v>104</v>
      </c>
      <c r="B39" s="58" t="s">
        <v>5</v>
      </c>
      <c r="C39" s="58">
        <v>8200</v>
      </c>
    </row>
    <row r="40" spans="1:3">
      <c r="A40" s="232" t="s">
        <v>99</v>
      </c>
      <c r="B40" s="58" t="s">
        <v>5</v>
      </c>
      <c r="C40" s="58">
        <v>5200</v>
      </c>
    </row>
    <row r="41" spans="1:3">
      <c r="A41" s="232" t="s">
        <v>153</v>
      </c>
      <c r="B41" s="58" t="s">
        <v>5</v>
      </c>
      <c r="C41" s="58">
        <v>7000</v>
      </c>
    </row>
    <row r="42" spans="1:3">
      <c r="A42" s="232" t="s">
        <v>100</v>
      </c>
      <c r="B42" s="58" t="s">
        <v>5</v>
      </c>
      <c r="C42" s="58">
        <v>3600</v>
      </c>
    </row>
    <row r="43" spans="1:3">
      <c r="A43" s="232" t="s">
        <v>134</v>
      </c>
      <c r="B43" s="58" t="s">
        <v>5</v>
      </c>
      <c r="C43" s="58">
        <v>3800</v>
      </c>
    </row>
    <row r="44" spans="1:3">
      <c r="A44" s="232" t="s">
        <v>135</v>
      </c>
      <c r="B44" s="58" t="s">
        <v>5</v>
      </c>
      <c r="C44" s="58">
        <v>2400</v>
      </c>
    </row>
    <row r="45" spans="1:3">
      <c r="A45" s="232" t="s">
        <v>133</v>
      </c>
      <c r="B45" s="58" t="s">
        <v>5</v>
      </c>
      <c r="C45" s="58">
        <v>2400</v>
      </c>
    </row>
    <row r="46" spans="1:3">
      <c r="A46" s="232" t="s">
        <v>136</v>
      </c>
      <c r="B46" s="58" t="s">
        <v>5</v>
      </c>
      <c r="C46" s="58">
        <v>2800</v>
      </c>
    </row>
    <row r="47" spans="1:3">
      <c r="A47" s="232" t="s">
        <v>647</v>
      </c>
      <c r="B47" s="58" t="s">
        <v>5</v>
      </c>
      <c r="C47" s="58">
        <v>1600</v>
      </c>
    </row>
    <row r="48" spans="1:3">
      <c r="A48" s="232" t="s">
        <v>137</v>
      </c>
      <c r="B48" s="58" t="s">
        <v>5</v>
      </c>
      <c r="C48" s="58">
        <v>1200</v>
      </c>
    </row>
    <row r="49" spans="1:3">
      <c r="A49" s="232" t="s">
        <v>650</v>
      </c>
      <c r="B49" s="58" t="s">
        <v>5</v>
      </c>
      <c r="C49" s="58">
        <v>2400</v>
      </c>
    </row>
    <row r="50" spans="1:3">
      <c r="A50" s="232"/>
      <c r="B50" s="245" t="s">
        <v>31</v>
      </c>
      <c r="C50" s="58">
        <f>SUBTOTAL(9,C36:C49)</f>
        <v>64000</v>
      </c>
    </row>
    <row r="51" spans="1:3">
      <c r="A51" s="232" t="s">
        <v>96</v>
      </c>
      <c r="B51" s="58" t="s">
        <v>4</v>
      </c>
      <c r="C51" s="58">
        <v>7400</v>
      </c>
    </row>
    <row r="52" spans="1:3">
      <c r="A52" s="232" t="s">
        <v>94</v>
      </c>
      <c r="B52" s="58" t="s">
        <v>4</v>
      </c>
      <c r="C52" s="58">
        <v>5200</v>
      </c>
    </row>
    <row r="53" spans="1:3">
      <c r="A53" s="232" t="s">
        <v>95</v>
      </c>
      <c r="B53" s="58" t="s">
        <v>4</v>
      </c>
      <c r="C53" s="58">
        <v>6200</v>
      </c>
    </row>
    <row r="54" spans="1:3">
      <c r="A54" s="232" t="s">
        <v>97</v>
      </c>
      <c r="B54" s="58" t="s">
        <v>4</v>
      </c>
      <c r="C54" s="58">
        <v>7800</v>
      </c>
    </row>
    <row r="55" spans="1:3">
      <c r="A55" s="232" t="s">
        <v>98</v>
      </c>
      <c r="B55" s="58" t="s">
        <v>4</v>
      </c>
      <c r="C55" s="58">
        <v>2400</v>
      </c>
    </row>
    <row r="56" spans="1:3">
      <c r="A56" s="232" t="s">
        <v>90</v>
      </c>
      <c r="B56" s="58" t="s">
        <v>4</v>
      </c>
      <c r="C56" s="58">
        <v>3600</v>
      </c>
    </row>
    <row r="57" spans="1:3">
      <c r="A57" s="232" t="s">
        <v>89</v>
      </c>
      <c r="B57" s="58" t="s">
        <v>4</v>
      </c>
      <c r="C57" s="58">
        <v>5000</v>
      </c>
    </row>
    <row r="58" spans="1:3">
      <c r="A58" s="232" t="s">
        <v>92</v>
      </c>
      <c r="B58" s="58" t="s">
        <v>4</v>
      </c>
      <c r="C58" s="58">
        <v>6000</v>
      </c>
    </row>
    <row r="59" spans="1:3">
      <c r="A59" s="232" t="s">
        <v>91</v>
      </c>
      <c r="B59" s="58" t="s">
        <v>4</v>
      </c>
      <c r="C59" s="58">
        <v>4000</v>
      </c>
    </row>
    <row r="60" spans="1:3">
      <c r="A60" s="232" t="s">
        <v>93</v>
      </c>
      <c r="B60" s="58" t="s">
        <v>4</v>
      </c>
      <c r="C60" s="58">
        <v>3800</v>
      </c>
    </row>
    <row r="61" spans="1:3">
      <c r="A61" s="232" t="s">
        <v>645</v>
      </c>
      <c r="B61" s="58" t="s">
        <v>4</v>
      </c>
      <c r="C61" s="58">
        <v>2600</v>
      </c>
    </row>
    <row r="62" spans="1:3">
      <c r="A62" s="232" t="s">
        <v>128</v>
      </c>
      <c r="B62" s="58" t="s">
        <v>4</v>
      </c>
      <c r="C62" s="58">
        <v>3200</v>
      </c>
    </row>
    <row r="63" spans="1:3">
      <c r="A63" s="232" t="s">
        <v>565</v>
      </c>
      <c r="B63" s="58" t="s">
        <v>4</v>
      </c>
      <c r="C63" s="58">
        <v>2400</v>
      </c>
    </row>
    <row r="64" spans="1:3">
      <c r="A64" s="232" t="s">
        <v>129</v>
      </c>
      <c r="B64" s="58" t="s">
        <v>4</v>
      </c>
      <c r="C64" s="58">
        <v>2200</v>
      </c>
    </row>
    <row r="65" spans="1:3">
      <c r="A65" s="232" t="s">
        <v>130</v>
      </c>
      <c r="B65" s="58" t="s">
        <v>4</v>
      </c>
      <c r="C65" s="58">
        <v>1200</v>
      </c>
    </row>
    <row r="66" spans="1:3">
      <c r="A66" s="232" t="s">
        <v>131</v>
      </c>
      <c r="B66" s="58" t="s">
        <v>4</v>
      </c>
      <c r="C66" s="58">
        <v>2200</v>
      </c>
    </row>
    <row r="67" spans="1:3">
      <c r="A67" s="232" t="s">
        <v>132</v>
      </c>
      <c r="B67" s="58" t="s">
        <v>4</v>
      </c>
      <c r="C67" s="58">
        <v>1000</v>
      </c>
    </row>
    <row r="68" spans="1:3">
      <c r="A68" s="232" t="s">
        <v>651</v>
      </c>
      <c r="B68" s="58" t="s">
        <v>4</v>
      </c>
      <c r="C68" s="58">
        <v>1000</v>
      </c>
    </row>
    <row r="69" spans="1:3">
      <c r="A69" s="232"/>
      <c r="B69" s="245" t="s">
        <v>29</v>
      </c>
      <c r="C69" s="58">
        <f>SUBTOTAL(9,C51:C68)</f>
        <v>67200</v>
      </c>
    </row>
    <row r="70" spans="1:3">
      <c r="A70" s="232" t="s">
        <v>85</v>
      </c>
      <c r="B70" s="58" t="s">
        <v>3</v>
      </c>
      <c r="C70" s="58">
        <v>7000</v>
      </c>
    </row>
    <row r="71" spans="1:3">
      <c r="A71" s="232" t="s">
        <v>84</v>
      </c>
      <c r="B71" s="58" t="s">
        <v>3</v>
      </c>
      <c r="C71" s="58">
        <v>20000</v>
      </c>
    </row>
    <row r="72" spans="1:3">
      <c r="A72" s="232" t="s">
        <v>87</v>
      </c>
      <c r="B72" s="58" t="s">
        <v>3</v>
      </c>
      <c r="C72" s="58">
        <v>11000</v>
      </c>
    </row>
    <row r="73" spans="1:3">
      <c r="A73" s="232" t="s">
        <v>86</v>
      </c>
      <c r="B73" s="58" t="s">
        <v>3</v>
      </c>
      <c r="C73" s="58">
        <v>11000</v>
      </c>
    </row>
    <row r="74" spans="1:3">
      <c r="A74" s="232" t="s">
        <v>88</v>
      </c>
      <c r="B74" s="58" t="s">
        <v>3</v>
      </c>
      <c r="C74" s="58">
        <v>13600</v>
      </c>
    </row>
    <row r="75" spans="1:3">
      <c r="A75" s="232" t="s">
        <v>79</v>
      </c>
      <c r="B75" s="58" t="s">
        <v>3</v>
      </c>
      <c r="C75" s="58">
        <v>4000</v>
      </c>
    </row>
    <row r="76" spans="1:3">
      <c r="A76" s="232" t="s">
        <v>82</v>
      </c>
      <c r="B76" s="58" t="s">
        <v>3</v>
      </c>
      <c r="C76" s="58">
        <v>28000</v>
      </c>
    </row>
    <row r="77" spans="1:3">
      <c r="A77" s="232" t="s">
        <v>83</v>
      </c>
      <c r="B77" s="58" t="s">
        <v>3</v>
      </c>
      <c r="C77" s="58">
        <v>9000</v>
      </c>
    </row>
    <row r="78" spans="1:3">
      <c r="A78" s="232" t="s">
        <v>80</v>
      </c>
      <c r="B78" s="58" t="s">
        <v>3</v>
      </c>
      <c r="C78" s="58">
        <v>4000</v>
      </c>
    </row>
    <row r="79" spans="1:3">
      <c r="A79" s="232" t="s">
        <v>81</v>
      </c>
      <c r="B79" s="58" t="s">
        <v>3</v>
      </c>
      <c r="C79" s="58">
        <v>10000</v>
      </c>
    </row>
    <row r="80" spans="1:3">
      <c r="A80" s="232" t="s">
        <v>126</v>
      </c>
      <c r="B80" s="58" t="s">
        <v>3</v>
      </c>
      <c r="C80" s="58">
        <v>2400</v>
      </c>
    </row>
    <row r="81" spans="1:3">
      <c r="A81" s="232" t="s">
        <v>642</v>
      </c>
      <c r="B81" s="58" t="s">
        <v>3</v>
      </c>
      <c r="C81" s="58">
        <v>6000</v>
      </c>
    </row>
    <row r="82" spans="1:3">
      <c r="A82" s="232" t="s">
        <v>127</v>
      </c>
      <c r="B82" s="58" t="s">
        <v>3</v>
      </c>
      <c r="C82" s="58">
        <v>3200</v>
      </c>
    </row>
    <row r="83" spans="1:3">
      <c r="A83" s="232" t="s">
        <v>643</v>
      </c>
      <c r="B83" s="58" t="s">
        <v>3</v>
      </c>
      <c r="C83" s="58">
        <v>2600</v>
      </c>
    </row>
    <row r="84" spans="1:3">
      <c r="A84" s="232" t="s">
        <v>426</v>
      </c>
      <c r="B84" s="58" t="s">
        <v>3</v>
      </c>
      <c r="C84" s="58">
        <v>2400</v>
      </c>
    </row>
    <row r="85" spans="1:3">
      <c r="A85" s="232" t="s">
        <v>652</v>
      </c>
      <c r="B85" s="58" t="s">
        <v>3</v>
      </c>
      <c r="C85" s="58">
        <v>2200</v>
      </c>
    </row>
    <row r="86" spans="1:3">
      <c r="A86" s="232" t="s">
        <v>575</v>
      </c>
      <c r="B86" s="58" t="s">
        <v>3</v>
      </c>
      <c r="C86" s="58">
        <v>3400</v>
      </c>
    </row>
    <row r="87" spans="1:3">
      <c r="A87" s="232" t="s">
        <v>427</v>
      </c>
      <c r="B87" s="58" t="s">
        <v>3</v>
      </c>
      <c r="C87" s="58">
        <v>800</v>
      </c>
    </row>
    <row r="88" spans="1:3">
      <c r="A88" s="232"/>
      <c r="B88" s="245" t="s">
        <v>468</v>
      </c>
      <c r="C88" s="58">
        <f>SUBTOTAL(9,C70:C87)</f>
        <v>140600</v>
      </c>
    </row>
    <row r="89" spans="1:3">
      <c r="A89" s="232" t="s">
        <v>77</v>
      </c>
      <c r="B89" s="58" t="s">
        <v>1</v>
      </c>
      <c r="C89" s="58">
        <v>10000</v>
      </c>
    </row>
    <row r="90" spans="1:3">
      <c r="A90" s="232" t="s">
        <v>124</v>
      </c>
      <c r="B90" s="58" t="s">
        <v>1</v>
      </c>
      <c r="C90" s="58">
        <v>2800</v>
      </c>
    </row>
    <row r="91" spans="1:3">
      <c r="A91" s="232" t="s">
        <v>147</v>
      </c>
      <c r="B91" s="58" t="s">
        <v>1</v>
      </c>
      <c r="C91" s="58">
        <v>2200</v>
      </c>
    </row>
    <row r="92" spans="1:3">
      <c r="A92" s="232" t="s">
        <v>567</v>
      </c>
      <c r="B92" s="58" t="s">
        <v>1</v>
      </c>
      <c r="C92" s="58">
        <v>2600</v>
      </c>
    </row>
    <row r="93" spans="1:3">
      <c r="A93" s="232"/>
      <c r="B93" s="245" t="s">
        <v>68</v>
      </c>
      <c r="C93" s="58">
        <f>SUBTOTAL(9,C89:C92)</f>
        <v>17600</v>
      </c>
    </row>
    <row r="94" spans="1:3">
      <c r="A94" s="232" t="s">
        <v>78</v>
      </c>
      <c r="B94" s="58" t="s">
        <v>2</v>
      </c>
      <c r="C94" s="58">
        <v>9000</v>
      </c>
    </row>
    <row r="95" spans="1:3">
      <c r="A95" s="232" t="s">
        <v>579</v>
      </c>
      <c r="B95" s="58" t="s">
        <v>2</v>
      </c>
      <c r="C95" s="58">
        <v>1800</v>
      </c>
    </row>
    <row r="96" spans="1:3">
      <c r="A96" s="232"/>
      <c r="B96" s="245" t="s">
        <v>456</v>
      </c>
      <c r="C96" s="58">
        <f>SUBTOTAL(9,C94:C95)</f>
        <v>10800</v>
      </c>
    </row>
    <row r="97" spans="1:3">
      <c r="A97" s="232" t="s">
        <v>117</v>
      </c>
      <c r="B97" s="58" t="s">
        <v>8</v>
      </c>
      <c r="C97" s="58">
        <v>5000</v>
      </c>
    </row>
    <row r="98" spans="1:3">
      <c r="A98" s="232" t="s">
        <v>116</v>
      </c>
      <c r="B98" s="58" t="s">
        <v>8</v>
      </c>
      <c r="C98" s="58">
        <v>10000</v>
      </c>
    </row>
    <row r="99" spans="1:3">
      <c r="A99" s="232" t="s">
        <v>118</v>
      </c>
      <c r="B99" s="58" t="s">
        <v>8</v>
      </c>
      <c r="C99" s="58">
        <v>9000</v>
      </c>
    </row>
    <row r="100" spans="1:3">
      <c r="A100" s="232" t="s">
        <v>111</v>
      </c>
      <c r="B100" s="58" t="s">
        <v>8</v>
      </c>
      <c r="C100" s="58">
        <v>10400</v>
      </c>
    </row>
    <row r="101" spans="1:3">
      <c r="A101" s="232" t="s">
        <v>114</v>
      </c>
      <c r="B101" s="58" t="s">
        <v>8</v>
      </c>
      <c r="C101" s="58">
        <v>14000</v>
      </c>
    </row>
    <row r="102" spans="1:3">
      <c r="A102" s="232" t="s">
        <v>113</v>
      </c>
      <c r="B102" s="58" t="s">
        <v>8</v>
      </c>
      <c r="C102" s="58">
        <v>4600</v>
      </c>
    </row>
    <row r="103" spans="1:3">
      <c r="A103" s="232" t="s">
        <v>112</v>
      </c>
      <c r="B103" s="58" t="s">
        <v>8</v>
      </c>
      <c r="C103" s="58">
        <v>5600</v>
      </c>
    </row>
    <row r="104" spans="1:3">
      <c r="A104" s="232" t="s">
        <v>115</v>
      </c>
      <c r="B104" s="58" t="s">
        <v>8</v>
      </c>
      <c r="C104" s="58">
        <v>5400</v>
      </c>
    </row>
    <row r="105" spans="1:3">
      <c r="A105" s="232" t="s">
        <v>146</v>
      </c>
      <c r="B105" s="58" t="s">
        <v>8</v>
      </c>
      <c r="C105" s="58">
        <v>2400</v>
      </c>
    </row>
    <row r="106" spans="1:3">
      <c r="A106" s="232" t="s">
        <v>644</v>
      </c>
      <c r="B106" s="58" t="s">
        <v>8</v>
      </c>
      <c r="C106" s="58">
        <v>2000</v>
      </c>
    </row>
    <row r="107" spans="1:3">
      <c r="A107" s="232" t="s">
        <v>145</v>
      </c>
      <c r="B107" s="58" t="s">
        <v>8</v>
      </c>
      <c r="C107" s="58">
        <v>2800</v>
      </c>
    </row>
    <row r="108" spans="1:3">
      <c r="A108" s="232" t="s">
        <v>148</v>
      </c>
      <c r="B108" s="58" t="s">
        <v>8</v>
      </c>
      <c r="C108" s="58">
        <v>1600</v>
      </c>
    </row>
    <row r="109" spans="1:3">
      <c r="A109" s="232" t="s">
        <v>566</v>
      </c>
      <c r="B109" s="58" t="s">
        <v>8</v>
      </c>
      <c r="C109" s="58">
        <v>1200</v>
      </c>
    </row>
    <row r="110" spans="1:3">
      <c r="A110" s="232"/>
      <c r="B110" s="245" t="s">
        <v>498</v>
      </c>
      <c r="C110" s="58">
        <f>SUBTOTAL(9,C97:C109)</f>
        <v>74000</v>
      </c>
    </row>
    <row r="111" spans="1:3">
      <c r="A111" s="232"/>
      <c r="B111" s="245" t="s">
        <v>21</v>
      </c>
      <c r="C111" s="58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颛桥镇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2026-04-21T06:38:48Z</cp:lastPrinted>
  <dcterms:created xsi:type="dcterms:W3CDTF">2022-11-11T08:39:54Z</dcterms:created>
  <dcterms:modified xsi:type="dcterms:W3CDTF">2026-06-16T05:51:28Z</dcterms:modified>
</cp:coreProperties>
</file>